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vbaProject.bin" ContentType="application/vnd.ms-office.vbaProject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ean-Marc\Desktop\Transmission client\8.3_Anexo_Financiero\8.3.1 y 8.3.2 Financiero global\"/>
    </mc:Choice>
  </mc:AlternateContent>
  <bookViews>
    <workbookView xWindow="-12" yWindow="1080" windowWidth="19212" windowHeight="7068" tabRatio="844"/>
  </bookViews>
  <sheets>
    <sheet name="Mensaje" sheetId="111" r:id="rId1"/>
    <sheet name="PARAMETROS" sheetId="62" state="hidden" r:id="rId2"/>
    <sheet name="CASH_FLOWS_RECAP" sheetId="110" state="hidden" r:id="rId3"/>
    <sheet name="CANTIDADES" sheetId="25" state="hidden" r:id="rId4"/>
    <sheet name="PRECIOS UNITARIOS" sheetId="22" state="hidden" r:id="rId5"/>
    <sheet name="DEMANDA" sheetId="68" state="hidden" r:id="rId6"/>
    <sheet name="OFERTA ALIMENTADORA" sheetId="70" state="hidden" r:id="rId7"/>
    <sheet name="INGRESOS de pasajeros" sheetId="72" state="hidden" r:id="rId8"/>
    <sheet name="Sintesis_Inversion_TC" sheetId="64" state="hidden" r:id="rId9"/>
    <sheet name="CHIFFRAGE_TC" sheetId="5" state="hidden" r:id="rId10"/>
    <sheet name="INVERSION_ANUALIZADA_TC_Alt_4" sheetId="73" state="hidden" r:id="rId11"/>
    <sheet name="INVERSION_ANUALIZADA_TC_Alt_20" sheetId="74" state="hidden" r:id="rId12"/>
    <sheet name="OPERACION_Mano_de_Obras" sheetId="15" state="hidden" r:id="rId13"/>
    <sheet name="OPERACION_ANUALIZADA_TC" sheetId="14" state="hidden" r:id="rId14"/>
    <sheet name="1_CASH_FLOW_TC_4_BASE" sheetId="52" state="hidden" r:id="rId15"/>
    <sheet name="5_CASH_FLOW_TC_4_WORST_CASE" sheetId="88" state="hidden" r:id="rId16"/>
    <sheet name="7_CASH_FLOW_TC_22_BASE" sheetId="92" state="hidden" r:id="rId17"/>
    <sheet name="11_CASH_FLOW_TC_22_WORST_CASE" sheetId="96" state="hidden" r:id="rId18"/>
  </sheets>
  <definedNames>
    <definedName name="Capex_Category_Code">PARAMETROS!$C$36:$F$36</definedName>
    <definedName name="EUR_GTQ_rate_DB">PARAMETROS!$E$36</definedName>
    <definedName name="hor_pasaj_1_AMC">PARAMETROS!$D$8</definedName>
    <definedName name="sal_agent">OPERACION_Mano_de_Obras!$C$41</definedName>
    <definedName name="sal_agex">OPERACION_Mano_de_Obras!$C$39</definedName>
    <definedName name="sal_agex2">OPERACION_Mano_de_Obras!$C$39</definedName>
    <definedName name="sal_chefex">OPERACION_Mano_de_Obras!$C$37</definedName>
    <definedName name="sal_chefquai">OPERACION_Mano_de_Obras!$C$38</definedName>
    <definedName name="sal_direx">OPERACION_Mano_de_Obras!$C$36</definedName>
    <definedName name="sal_dirinst">OPERACION_Mano_de_Obras!$C$33</definedName>
    <definedName name="sal_supmaint">OPERACION_Mano_de_Obras!$C$43</definedName>
    <definedName name="Suministro">PARAMETROS!$C$56:$D$56</definedName>
  </definedNames>
  <calcPr calcId="152511"/>
</workbook>
</file>

<file path=xl/calcChain.xml><?xml version="1.0" encoding="utf-8"?>
<calcChain xmlns="http://schemas.openxmlformats.org/spreadsheetml/2006/main">
  <c r="G204" i="5" l="1"/>
  <c r="G203" i="5"/>
  <c r="G202" i="5"/>
  <c r="B43" i="25"/>
  <c r="K28" i="22" l="1"/>
  <c r="I28" i="22"/>
  <c r="G28" i="22"/>
  <c r="D34" i="68" l="1"/>
  <c r="D35" i="68"/>
  <c r="D36" i="68"/>
  <c r="D33" i="68"/>
  <c r="X32" i="68" l="1"/>
  <c r="S32" i="68"/>
  <c r="N32" i="68"/>
  <c r="I32" i="68"/>
  <c r="S36" i="68" l="1"/>
  <c r="S35" i="68"/>
  <c r="S34" i="68"/>
  <c r="S33" i="68"/>
  <c r="I36" i="68"/>
  <c r="I35" i="68"/>
  <c r="I34" i="68"/>
  <c r="I33" i="68"/>
  <c r="N36" i="68"/>
  <c r="N35" i="68"/>
  <c r="N34" i="68"/>
  <c r="N33" i="68"/>
  <c r="X36" i="68"/>
  <c r="X35" i="68"/>
  <c r="X34" i="68"/>
  <c r="X33" i="68"/>
  <c r="H118" i="5" l="1"/>
  <c r="H110" i="5"/>
  <c r="H107" i="5"/>
  <c r="H99" i="5"/>
  <c r="H68" i="5"/>
  <c r="H67" i="5"/>
  <c r="H65" i="5"/>
  <c r="H63" i="5"/>
  <c r="H15" i="5"/>
  <c r="H16" i="5"/>
  <c r="H17" i="5"/>
  <c r="H18" i="5"/>
  <c r="H19" i="5"/>
  <c r="H20" i="5"/>
  <c r="H14" i="5"/>
  <c r="X61" i="68" l="1"/>
  <c r="X60" i="68"/>
  <c r="X59" i="68"/>
  <c r="X58" i="68"/>
  <c r="X57" i="68"/>
  <c r="S61" i="68"/>
  <c r="S60" i="68"/>
  <c r="S59" i="68"/>
  <c r="S58" i="68"/>
  <c r="S57" i="68"/>
  <c r="N61" i="68"/>
  <c r="N60" i="68"/>
  <c r="N59" i="68"/>
  <c r="N58" i="68"/>
  <c r="N57" i="68"/>
  <c r="I61" i="68"/>
  <c r="I60" i="68"/>
  <c r="I59" i="68"/>
  <c r="I58" i="68"/>
  <c r="I57" i="68"/>
  <c r="D58" i="68"/>
  <c r="D59" i="68"/>
  <c r="D60" i="68"/>
  <c r="D61" i="68"/>
  <c r="D57" i="68"/>
  <c r="C25" i="25"/>
  <c r="C22" i="25"/>
  <c r="C50" i="25"/>
  <c r="B50" i="25"/>
  <c r="H191" i="5" l="1"/>
  <c r="G191" i="5"/>
  <c r="G190" i="5" l="1"/>
  <c r="G189" i="5"/>
  <c r="G188" i="5"/>
  <c r="G187" i="5"/>
  <c r="H185" i="5" l="1"/>
  <c r="G185" i="5" l="1"/>
  <c r="H178" i="5"/>
  <c r="G178" i="5"/>
  <c r="H177" i="5"/>
  <c r="G177" i="5"/>
  <c r="H78" i="5"/>
  <c r="G78" i="5"/>
  <c r="H72" i="5"/>
  <c r="H83" i="5" s="1"/>
  <c r="G72" i="5"/>
  <c r="G83" i="5" s="1"/>
  <c r="H62" i="5"/>
  <c r="G62" i="5"/>
  <c r="H58" i="5"/>
  <c r="H59" i="5" s="1"/>
  <c r="G58" i="5"/>
  <c r="H49" i="5"/>
  <c r="H40" i="5"/>
  <c r="G40" i="5"/>
  <c r="H36" i="5"/>
  <c r="G36" i="5"/>
  <c r="H34" i="5"/>
  <c r="G34" i="5"/>
  <c r="G59" i="5"/>
  <c r="H189" i="5"/>
  <c r="G186" i="5"/>
  <c r="H173" i="5"/>
  <c r="H172" i="5"/>
  <c r="H171" i="5"/>
  <c r="H170" i="5"/>
  <c r="H169" i="5"/>
  <c r="H168" i="5"/>
  <c r="H167" i="5"/>
  <c r="H166" i="5"/>
  <c r="G165" i="5"/>
  <c r="H165" i="5" s="1"/>
  <c r="H164" i="5"/>
  <c r="H162" i="5"/>
  <c r="G161" i="5"/>
  <c r="H161" i="5" s="1"/>
  <c r="H160" i="5"/>
  <c r="H159" i="5"/>
  <c r="H158" i="5"/>
  <c r="H157" i="5"/>
  <c r="H156" i="5"/>
  <c r="H155" i="5"/>
  <c r="G154" i="5"/>
  <c r="H153" i="5"/>
  <c r="H151" i="5"/>
  <c r="H150" i="5"/>
  <c r="H149" i="5"/>
  <c r="H148" i="5"/>
  <c r="H147" i="5"/>
  <c r="H146" i="5"/>
  <c r="H145" i="5"/>
  <c r="H144" i="5"/>
  <c r="H143" i="5"/>
  <c r="H142" i="5"/>
  <c r="H140" i="5"/>
  <c r="H139" i="5"/>
  <c r="H138" i="5"/>
  <c r="H137" i="5"/>
  <c r="H136" i="5"/>
  <c r="H135" i="5"/>
  <c r="H134" i="5"/>
  <c r="H203" i="5" s="1"/>
  <c r="H133" i="5"/>
  <c r="H202" i="5" s="1"/>
  <c r="H132" i="5"/>
  <c r="H131" i="5"/>
  <c r="G118" i="5"/>
  <c r="G110" i="5"/>
  <c r="G106" i="5"/>
  <c r="G96" i="5"/>
  <c r="G88" i="5"/>
  <c r="G80" i="5"/>
  <c r="G68" i="5"/>
  <c r="G67" i="5"/>
  <c r="G65" i="5"/>
  <c r="G63" i="5"/>
  <c r="H25" i="5"/>
  <c r="H24" i="5"/>
  <c r="C99" i="25"/>
  <c r="B99" i="25"/>
  <c r="C54" i="25"/>
  <c r="B54" i="25"/>
  <c r="G43" i="5"/>
  <c r="C36" i="25"/>
  <c r="B36" i="25"/>
  <c r="C29" i="25"/>
  <c r="C92" i="25" s="1"/>
  <c r="B29" i="25"/>
  <c r="B92" i="25" s="1"/>
  <c r="B26" i="25"/>
  <c r="C26" i="25" s="1"/>
  <c r="H35" i="5" s="1"/>
  <c r="H204" i="5" l="1"/>
  <c r="G42" i="5"/>
  <c r="G79" i="5"/>
  <c r="G35" i="5"/>
  <c r="H43" i="5"/>
  <c r="G41" i="5"/>
  <c r="H42" i="5"/>
  <c r="H79" i="5"/>
  <c r="H41" i="5"/>
  <c r="G73" i="5"/>
  <c r="G74" i="5"/>
  <c r="H76" i="5"/>
  <c r="H73" i="5"/>
  <c r="H80" i="5"/>
  <c r="H82" i="5"/>
  <c r="H74" i="5"/>
  <c r="H154" i="5"/>
  <c r="G82" i="5"/>
  <c r="H187" i="5"/>
  <c r="G76" i="5"/>
  <c r="B93" i="25"/>
  <c r="B94" i="25"/>
  <c r="B57" i="25"/>
  <c r="B60" i="25"/>
  <c r="B63" i="25" s="1"/>
  <c r="B66" i="25" s="1"/>
  <c r="B69" i="25" s="1"/>
  <c r="C93" i="25"/>
  <c r="C94" i="25"/>
  <c r="C57" i="25"/>
  <c r="C60" i="25"/>
  <c r="C63" i="25" s="1"/>
  <c r="C66" i="25" s="1"/>
  <c r="C69" i="25" s="1"/>
  <c r="B74" i="25" l="1"/>
  <c r="G176" i="5" s="1"/>
  <c r="G66" i="5" s="1"/>
  <c r="G77" i="5"/>
  <c r="G54" i="5"/>
  <c r="G55" i="5" s="1"/>
  <c r="C74" i="25"/>
  <c r="H176" i="5" s="1"/>
  <c r="H66" i="5" s="1"/>
  <c r="H77" i="5"/>
  <c r="H54" i="5"/>
  <c r="H55" i="5" s="1"/>
  <c r="B83" i="25" l="1"/>
  <c r="G179" i="5" s="1"/>
  <c r="C83" i="25"/>
  <c r="C86" i="25" s="1"/>
  <c r="F198" i="110"/>
  <c r="H179" i="5" l="1"/>
  <c r="B86" i="25"/>
  <c r="C194" i="74"/>
  <c r="C194" i="73"/>
  <c r="F195" i="5"/>
  <c r="B195" i="5"/>
  <c r="B194" i="74" l="1"/>
  <c r="B194" i="73"/>
  <c r="C18" i="70"/>
  <c r="C17" i="70"/>
  <c r="D33" i="72" l="1"/>
  <c r="D34" i="72"/>
  <c r="D35" i="72"/>
  <c r="D36" i="72"/>
  <c r="D32" i="72"/>
  <c r="D39" i="68" l="1"/>
  <c r="F396" i="88" l="1"/>
  <c r="E396" i="88"/>
  <c r="D396" i="88"/>
  <c r="C396" i="88"/>
  <c r="F396" i="92"/>
  <c r="E396" i="92"/>
  <c r="D396" i="92"/>
  <c r="C396" i="92"/>
  <c r="F396" i="96"/>
  <c r="E396" i="96"/>
  <c r="D396" i="96"/>
  <c r="C396" i="96"/>
  <c r="F396" i="52"/>
  <c r="E396" i="52"/>
  <c r="D396" i="52"/>
  <c r="C396" i="52"/>
  <c r="B382" i="88"/>
  <c r="C382" i="88"/>
  <c r="D382" i="88"/>
  <c r="E382" i="88"/>
  <c r="F382" i="88"/>
  <c r="B383" i="88"/>
  <c r="C383" i="88"/>
  <c r="D383" i="88"/>
  <c r="E383" i="88"/>
  <c r="F383" i="88"/>
  <c r="V383" i="88"/>
  <c r="W383" i="88"/>
  <c r="X383" i="88"/>
  <c r="Y383" i="88"/>
  <c r="Z383" i="88"/>
  <c r="AA383" i="88"/>
  <c r="AB383" i="88"/>
  <c r="AC383" i="88"/>
  <c r="AD383" i="88"/>
  <c r="AE383" i="88"/>
  <c r="AF383" i="88"/>
  <c r="AG383" i="88"/>
  <c r="AH383" i="88"/>
  <c r="AI383" i="88"/>
  <c r="AJ383" i="88"/>
  <c r="AK383" i="88"/>
  <c r="AL383" i="88"/>
  <c r="AM383" i="88"/>
  <c r="AN383" i="88"/>
  <c r="AO383" i="88"/>
  <c r="AP383" i="88"/>
  <c r="AQ383" i="88"/>
  <c r="AR383" i="88"/>
  <c r="AS383" i="88"/>
  <c r="AT383" i="88"/>
  <c r="B384" i="88"/>
  <c r="C384" i="88"/>
  <c r="D384" i="88"/>
  <c r="E384" i="88"/>
  <c r="F384" i="88"/>
  <c r="Q384" i="88"/>
  <c r="R384" i="88"/>
  <c r="S384" i="88"/>
  <c r="T384" i="88"/>
  <c r="U384" i="88"/>
  <c r="V384" i="88"/>
  <c r="W384" i="88"/>
  <c r="X384" i="88"/>
  <c r="Y384" i="88"/>
  <c r="Z384" i="88"/>
  <c r="AA384" i="88"/>
  <c r="AB384" i="88"/>
  <c r="AC384" i="88"/>
  <c r="AD384" i="88"/>
  <c r="AE384" i="88"/>
  <c r="AF384" i="88"/>
  <c r="AG384" i="88"/>
  <c r="AH384" i="88"/>
  <c r="AI384" i="88"/>
  <c r="AJ384" i="88"/>
  <c r="AK384" i="88"/>
  <c r="AL384" i="88"/>
  <c r="AM384" i="88"/>
  <c r="AN384" i="88"/>
  <c r="AO384" i="88"/>
  <c r="AP384" i="88"/>
  <c r="AQ384" i="88"/>
  <c r="AR384" i="88"/>
  <c r="AS384" i="88"/>
  <c r="AT384" i="88"/>
  <c r="B385" i="88"/>
  <c r="C385" i="88"/>
  <c r="D385" i="88"/>
  <c r="E385" i="88"/>
  <c r="F385" i="88"/>
  <c r="L385" i="88"/>
  <c r="M385" i="88"/>
  <c r="N385" i="88"/>
  <c r="O385" i="88"/>
  <c r="P385" i="88"/>
  <c r="Q385" i="88"/>
  <c r="R385" i="88"/>
  <c r="S385" i="88"/>
  <c r="T385" i="88"/>
  <c r="U385" i="88"/>
  <c r="V385" i="88"/>
  <c r="W385" i="88"/>
  <c r="X385" i="88"/>
  <c r="Y385" i="88"/>
  <c r="Z385" i="88"/>
  <c r="AA385" i="88"/>
  <c r="AB385" i="88"/>
  <c r="AC385" i="88"/>
  <c r="AD385" i="88"/>
  <c r="AE385" i="88"/>
  <c r="AF385" i="88"/>
  <c r="AG385" i="88"/>
  <c r="AH385" i="88"/>
  <c r="AI385" i="88"/>
  <c r="AJ385" i="88"/>
  <c r="AK385" i="88"/>
  <c r="AL385" i="88"/>
  <c r="AM385" i="88"/>
  <c r="AN385" i="88"/>
  <c r="AO385" i="88"/>
  <c r="AP385" i="88"/>
  <c r="AQ385" i="88"/>
  <c r="AR385" i="88"/>
  <c r="AS385" i="88"/>
  <c r="AT385" i="88"/>
  <c r="B386" i="88"/>
  <c r="C386" i="88"/>
  <c r="D386" i="88"/>
  <c r="E386" i="88"/>
  <c r="F386" i="88"/>
  <c r="B387" i="88"/>
  <c r="C387" i="88"/>
  <c r="D387" i="88"/>
  <c r="E387" i="88"/>
  <c r="F387" i="88"/>
  <c r="G387" i="88"/>
  <c r="H387" i="88"/>
  <c r="I387" i="88"/>
  <c r="J387" i="88"/>
  <c r="K387" i="88"/>
  <c r="L387" i="88"/>
  <c r="M387" i="88"/>
  <c r="N387" i="88"/>
  <c r="O387" i="88"/>
  <c r="P387" i="88"/>
  <c r="Q387" i="88"/>
  <c r="AC387" i="88"/>
  <c r="AD387" i="88"/>
  <c r="AE387" i="88"/>
  <c r="AF387" i="88"/>
  <c r="AG387" i="88"/>
  <c r="AH387" i="88"/>
  <c r="AI387" i="88"/>
  <c r="AJ387" i="88"/>
  <c r="AK387" i="88"/>
  <c r="AL387" i="88"/>
  <c r="AM387" i="88"/>
  <c r="AN387" i="88"/>
  <c r="AO387" i="88"/>
  <c r="AP387" i="88"/>
  <c r="AQ387" i="88"/>
  <c r="AR387" i="88"/>
  <c r="AS387" i="88"/>
  <c r="AT387" i="88"/>
  <c r="B388" i="88"/>
  <c r="C388" i="88"/>
  <c r="D388" i="88"/>
  <c r="E388" i="88"/>
  <c r="F388" i="88"/>
  <c r="G388" i="88"/>
  <c r="H388" i="88"/>
  <c r="I388" i="88"/>
  <c r="J388" i="88"/>
  <c r="K388" i="88"/>
  <c r="L388" i="88"/>
  <c r="M388" i="88"/>
  <c r="N388" i="88"/>
  <c r="O388" i="88"/>
  <c r="P388" i="88"/>
  <c r="Q388" i="88"/>
  <c r="AC388" i="88"/>
  <c r="AD388" i="88"/>
  <c r="AE388" i="88"/>
  <c r="AF388" i="88"/>
  <c r="AG388" i="88"/>
  <c r="AH388" i="88"/>
  <c r="AI388" i="88"/>
  <c r="AJ388" i="88"/>
  <c r="AK388" i="88"/>
  <c r="AL388" i="88"/>
  <c r="AM388" i="88"/>
  <c r="AN388" i="88"/>
  <c r="AO388" i="88"/>
  <c r="AP388" i="88"/>
  <c r="AQ388" i="88"/>
  <c r="AR388" i="88"/>
  <c r="AS388" i="88"/>
  <c r="AT388" i="88"/>
  <c r="B389" i="88"/>
  <c r="C389" i="88"/>
  <c r="D389" i="88"/>
  <c r="E389" i="88"/>
  <c r="F389" i="88"/>
  <c r="G389" i="88"/>
  <c r="H389" i="88"/>
  <c r="I389" i="88"/>
  <c r="J389" i="88"/>
  <c r="K389" i="88"/>
  <c r="L389" i="88"/>
  <c r="M389" i="88"/>
  <c r="N389" i="88"/>
  <c r="O389" i="88"/>
  <c r="P389" i="88"/>
  <c r="Q389" i="88"/>
  <c r="R389" i="88"/>
  <c r="S389" i="88"/>
  <c r="T389" i="88"/>
  <c r="U389" i="88"/>
  <c r="V389" i="88"/>
  <c r="W389" i="88"/>
  <c r="AM389" i="88"/>
  <c r="AN389" i="88"/>
  <c r="AO389" i="88"/>
  <c r="AP389" i="88"/>
  <c r="AQ389" i="88"/>
  <c r="AR389" i="88"/>
  <c r="AS389" i="88"/>
  <c r="AT389" i="88"/>
  <c r="B390" i="88"/>
  <c r="C390" i="88"/>
  <c r="D390" i="88"/>
  <c r="E390" i="88"/>
  <c r="F390" i="88"/>
  <c r="G390" i="88"/>
  <c r="H390" i="88"/>
  <c r="I390" i="88"/>
  <c r="J390" i="88"/>
  <c r="K390" i="88"/>
  <c r="L390" i="88"/>
  <c r="M390" i="88"/>
  <c r="N390" i="88"/>
  <c r="O390" i="88"/>
  <c r="P390" i="88"/>
  <c r="Q390" i="88"/>
  <c r="R390" i="88"/>
  <c r="S390" i="88"/>
  <c r="T390" i="88"/>
  <c r="U390" i="88"/>
  <c r="V390" i="88"/>
  <c r="W390" i="88"/>
  <c r="AM390" i="88"/>
  <c r="AN390" i="88"/>
  <c r="AO390" i="88"/>
  <c r="AP390" i="88"/>
  <c r="AQ390" i="88"/>
  <c r="AR390" i="88"/>
  <c r="AS390" i="88"/>
  <c r="AT390" i="88"/>
  <c r="B391" i="88"/>
  <c r="C391" i="88"/>
  <c r="D391" i="88"/>
  <c r="E391" i="88"/>
  <c r="F391" i="88"/>
  <c r="G391" i="88"/>
  <c r="H391" i="88"/>
  <c r="I391" i="88"/>
  <c r="J391" i="88"/>
  <c r="K391" i="88"/>
  <c r="L391" i="88"/>
  <c r="M391" i="88"/>
  <c r="N391" i="88"/>
  <c r="O391" i="88"/>
  <c r="P391" i="88"/>
  <c r="Q391" i="88"/>
  <c r="R391" i="88"/>
  <c r="S391" i="88"/>
  <c r="T391" i="88"/>
  <c r="U391" i="88"/>
  <c r="V391" i="88"/>
  <c r="W391" i="88"/>
  <c r="X391" i="88"/>
  <c r="Y391" i="88"/>
  <c r="Z391" i="88"/>
  <c r="AA391" i="88"/>
  <c r="AB391" i="88"/>
  <c r="AN391" i="88"/>
  <c r="AO391" i="88"/>
  <c r="AP391" i="88"/>
  <c r="AQ391" i="88"/>
  <c r="AR391" i="88"/>
  <c r="AS391" i="88"/>
  <c r="AT391" i="88"/>
  <c r="B392" i="88"/>
  <c r="C392" i="88"/>
  <c r="D392" i="88"/>
  <c r="E392" i="88"/>
  <c r="F392" i="88"/>
  <c r="G392" i="88"/>
  <c r="H392" i="88"/>
  <c r="I392" i="88"/>
  <c r="J392" i="88"/>
  <c r="K392" i="88"/>
  <c r="L392" i="88"/>
  <c r="M392" i="88"/>
  <c r="N392" i="88"/>
  <c r="O392" i="88"/>
  <c r="P392" i="88"/>
  <c r="Q392" i="88"/>
  <c r="R392" i="88"/>
  <c r="S392" i="88"/>
  <c r="T392" i="88"/>
  <c r="U392" i="88"/>
  <c r="V392" i="88"/>
  <c r="W392" i="88"/>
  <c r="X392" i="88"/>
  <c r="Y392" i="88"/>
  <c r="Z392" i="88"/>
  <c r="AA392" i="88"/>
  <c r="AB392" i="88"/>
  <c r="AN392" i="88"/>
  <c r="AO392" i="88"/>
  <c r="AP392" i="88"/>
  <c r="AQ392" i="88"/>
  <c r="AR392" i="88"/>
  <c r="AS392" i="88"/>
  <c r="AT392" i="88"/>
  <c r="B393" i="88"/>
  <c r="C393" i="88"/>
  <c r="D393" i="88"/>
  <c r="E393" i="88"/>
  <c r="F393" i="88"/>
  <c r="G393" i="88"/>
  <c r="H393" i="88"/>
  <c r="I393" i="88"/>
  <c r="J393" i="88"/>
  <c r="K393" i="88"/>
  <c r="L393" i="88"/>
  <c r="M393" i="88"/>
  <c r="N393" i="88"/>
  <c r="O393" i="88"/>
  <c r="P393" i="88"/>
  <c r="Q393" i="88"/>
  <c r="R393" i="88"/>
  <c r="S393" i="88"/>
  <c r="T393" i="88"/>
  <c r="U393" i="88"/>
  <c r="V393" i="88"/>
  <c r="W393" i="88"/>
  <c r="X393" i="88"/>
  <c r="Y393" i="88"/>
  <c r="Z393" i="88"/>
  <c r="AA393" i="88"/>
  <c r="AB393" i="88"/>
  <c r="AC393" i="88"/>
  <c r="AD393" i="88"/>
  <c r="AE393" i="88"/>
  <c r="AF393" i="88"/>
  <c r="AG393" i="88"/>
  <c r="AH393" i="88"/>
  <c r="AI393" i="88"/>
  <c r="AJ393" i="88"/>
  <c r="AK393" i="88"/>
  <c r="AL393" i="88"/>
  <c r="AM393" i="88"/>
  <c r="AN393" i="88"/>
  <c r="B394" i="88"/>
  <c r="C394" i="88"/>
  <c r="D394" i="88"/>
  <c r="E394" i="88"/>
  <c r="F394" i="88"/>
  <c r="G394" i="88"/>
  <c r="H394" i="88"/>
  <c r="I394" i="88"/>
  <c r="J394" i="88"/>
  <c r="K394" i="88"/>
  <c r="L394" i="88"/>
  <c r="M394" i="88"/>
  <c r="N394" i="88"/>
  <c r="O394" i="88"/>
  <c r="P394" i="88"/>
  <c r="Q394" i="88"/>
  <c r="R394" i="88"/>
  <c r="S394" i="88"/>
  <c r="T394" i="88"/>
  <c r="U394" i="88"/>
  <c r="V394" i="88"/>
  <c r="W394" i="88"/>
  <c r="X394" i="88"/>
  <c r="Y394" i="88"/>
  <c r="Z394" i="88"/>
  <c r="AA394" i="88"/>
  <c r="AB394" i="88"/>
  <c r="AC394" i="88"/>
  <c r="AD394" i="88"/>
  <c r="AE394" i="88"/>
  <c r="AF394" i="88"/>
  <c r="AG394" i="88"/>
  <c r="AH394" i="88"/>
  <c r="AI394" i="88"/>
  <c r="AJ394" i="88"/>
  <c r="AK394" i="88"/>
  <c r="AL394" i="88"/>
  <c r="AM394" i="88"/>
  <c r="AN394" i="88"/>
  <c r="B382" i="92"/>
  <c r="C382" i="92"/>
  <c r="D382" i="92"/>
  <c r="E382" i="92"/>
  <c r="F382" i="92"/>
  <c r="B383" i="92"/>
  <c r="C383" i="92"/>
  <c r="D383" i="92"/>
  <c r="E383" i="92"/>
  <c r="F383" i="92"/>
  <c r="V383" i="92"/>
  <c r="W383" i="92"/>
  <c r="X383" i="92"/>
  <c r="Y383" i="92"/>
  <c r="Z383" i="92"/>
  <c r="AA383" i="92"/>
  <c r="AB383" i="92"/>
  <c r="AC383" i="92"/>
  <c r="AD383" i="92"/>
  <c r="AE383" i="92"/>
  <c r="AF383" i="92"/>
  <c r="AG383" i="92"/>
  <c r="AH383" i="92"/>
  <c r="AI383" i="92"/>
  <c r="AJ383" i="92"/>
  <c r="AK383" i="92"/>
  <c r="AL383" i="92"/>
  <c r="AM383" i="92"/>
  <c r="AN383" i="92"/>
  <c r="AO383" i="92"/>
  <c r="AP383" i="92"/>
  <c r="AQ383" i="92"/>
  <c r="AR383" i="92"/>
  <c r="AS383" i="92"/>
  <c r="AT383" i="92"/>
  <c r="B384" i="92"/>
  <c r="C384" i="92"/>
  <c r="D384" i="92"/>
  <c r="E384" i="92"/>
  <c r="F384" i="92"/>
  <c r="Q384" i="92"/>
  <c r="R384" i="92"/>
  <c r="S384" i="92"/>
  <c r="T384" i="92"/>
  <c r="U384" i="92"/>
  <c r="V384" i="92"/>
  <c r="W384" i="92"/>
  <c r="X384" i="92"/>
  <c r="Y384" i="92"/>
  <c r="Z384" i="92"/>
  <c r="AA384" i="92"/>
  <c r="AB384" i="92"/>
  <c r="AC384" i="92"/>
  <c r="AD384" i="92"/>
  <c r="AE384" i="92"/>
  <c r="AF384" i="92"/>
  <c r="AG384" i="92"/>
  <c r="AH384" i="92"/>
  <c r="AI384" i="92"/>
  <c r="AJ384" i="92"/>
  <c r="AK384" i="92"/>
  <c r="AL384" i="92"/>
  <c r="AM384" i="92"/>
  <c r="AN384" i="92"/>
  <c r="AO384" i="92"/>
  <c r="AP384" i="92"/>
  <c r="AQ384" i="92"/>
  <c r="AR384" i="92"/>
  <c r="AS384" i="92"/>
  <c r="AT384" i="92"/>
  <c r="B385" i="92"/>
  <c r="C385" i="92"/>
  <c r="D385" i="92"/>
  <c r="E385" i="92"/>
  <c r="F385" i="92"/>
  <c r="L385" i="92"/>
  <c r="M385" i="92"/>
  <c r="N385" i="92"/>
  <c r="O385" i="92"/>
  <c r="P385" i="92"/>
  <c r="Q385" i="92"/>
  <c r="R385" i="92"/>
  <c r="S385" i="92"/>
  <c r="T385" i="92"/>
  <c r="U385" i="92"/>
  <c r="V385" i="92"/>
  <c r="W385" i="92"/>
  <c r="X385" i="92"/>
  <c r="Y385" i="92"/>
  <c r="Z385" i="92"/>
  <c r="AA385" i="92"/>
  <c r="AB385" i="92"/>
  <c r="AC385" i="92"/>
  <c r="AD385" i="92"/>
  <c r="AE385" i="92"/>
  <c r="AF385" i="92"/>
  <c r="AG385" i="92"/>
  <c r="AH385" i="92"/>
  <c r="AI385" i="92"/>
  <c r="AJ385" i="92"/>
  <c r="AK385" i="92"/>
  <c r="AL385" i="92"/>
  <c r="AM385" i="92"/>
  <c r="AN385" i="92"/>
  <c r="AO385" i="92"/>
  <c r="AP385" i="92"/>
  <c r="AQ385" i="92"/>
  <c r="AR385" i="92"/>
  <c r="AS385" i="92"/>
  <c r="AT385" i="92"/>
  <c r="B386" i="92"/>
  <c r="C386" i="92"/>
  <c r="D386" i="92"/>
  <c r="E386" i="92"/>
  <c r="F386" i="92"/>
  <c r="B387" i="92"/>
  <c r="C387" i="92"/>
  <c r="D387" i="92"/>
  <c r="E387" i="92"/>
  <c r="F387" i="92"/>
  <c r="G387" i="92"/>
  <c r="H387" i="92"/>
  <c r="I387" i="92"/>
  <c r="J387" i="92"/>
  <c r="K387" i="92"/>
  <c r="L387" i="92"/>
  <c r="M387" i="92"/>
  <c r="N387" i="92"/>
  <c r="O387" i="92"/>
  <c r="P387" i="92"/>
  <c r="Q387" i="92"/>
  <c r="AC387" i="92"/>
  <c r="AD387" i="92"/>
  <c r="AE387" i="92"/>
  <c r="AF387" i="92"/>
  <c r="AG387" i="92"/>
  <c r="AH387" i="92"/>
  <c r="AI387" i="92"/>
  <c r="AJ387" i="92"/>
  <c r="AK387" i="92"/>
  <c r="AL387" i="92"/>
  <c r="AM387" i="92"/>
  <c r="AN387" i="92"/>
  <c r="AO387" i="92"/>
  <c r="AP387" i="92"/>
  <c r="AQ387" i="92"/>
  <c r="AR387" i="92"/>
  <c r="AS387" i="92"/>
  <c r="AT387" i="92"/>
  <c r="B388" i="92"/>
  <c r="C388" i="92"/>
  <c r="D388" i="92"/>
  <c r="E388" i="92"/>
  <c r="F388" i="92"/>
  <c r="G388" i="92"/>
  <c r="H388" i="92"/>
  <c r="I388" i="92"/>
  <c r="J388" i="92"/>
  <c r="K388" i="92"/>
  <c r="L388" i="92"/>
  <c r="M388" i="92"/>
  <c r="N388" i="92"/>
  <c r="O388" i="92"/>
  <c r="P388" i="92"/>
  <c r="Q388" i="92"/>
  <c r="AC388" i="92"/>
  <c r="AD388" i="92"/>
  <c r="AE388" i="92"/>
  <c r="AF388" i="92"/>
  <c r="AG388" i="92"/>
  <c r="AH388" i="92"/>
  <c r="AI388" i="92"/>
  <c r="AJ388" i="92"/>
  <c r="AK388" i="92"/>
  <c r="AL388" i="92"/>
  <c r="AM388" i="92"/>
  <c r="AN388" i="92"/>
  <c r="AO388" i="92"/>
  <c r="AP388" i="92"/>
  <c r="AQ388" i="92"/>
  <c r="AR388" i="92"/>
  <c r="AS388" i="92"/>
  <c r="AT388" i="92"/>
  <c r="B389" i="92"/>
  <c r="C389" i="92"/>
  <c r="D389" i="92"/>
  <c r="E389" i="92"/>
  <c r="F389" i="92"/>
  <c r="G389" i="92"/>
  <c r="H389" i="92"/>
  <c r="I389" i="92"/>
  <c r="J389" i="92"/>
  <c r="K389" i="92"/>
  <c r="L389" i="92"/>
  <c r="M389" i="92"/>
  <c r="N389" i="92"/>
  <c r="O389" i="92"/>
  <c r="P389" i="92"/>
  <c r="Q389" i="92"/>
  <c r="R389" i="92"/>
  <c r="S389" i="92"/>
  <c r="T389" i="92"/>
  <c r="U389" i="92"/>
  <c r="V389" i="92"/>
  <c r="W389" i="92"/>
  <c r="AM389" i="92"/>
  <c r="AN389" i="92"/>
  <c r="AO389" i="92"/>
  <c r="AP389" i="92"/>
  <c r="AQ389" i="92"/>
  <c r="AR389" i="92"/>
  <c r="AS389" i="92"/>
  <c r="AT389" i="92"/>
  <c r="B390" i="92"/>
  <c r="C390" i="92"/>
  <c r="D390" i="92"/>
  <c r="E390" i="92"/>
  <c r="F390" i="92"/>
  <c r="G390" i="92"/>
  <c r="H390" i="92"/>
  <c r="I390" i="92"/>
  <c r="J390" i="92"/>
  <c r="K390" i="92"/>
  <c r="L390" i="92"/>
  <c r="M390" i="92"/>
  <c r="N390" i="92"/>
  <c r="O390" i="92"/>
  <c r="P390" i="92"/>
  <c r="Q390" i="92"/>
  <c r="R390" i="92"/>
  <c r="S390" i="92"/>
  <c r="T390" i="92"/>
  <c r="U390" i="92"/>
  <c r="V390" i="92"/>
  <c r="W390" i="92"/>
  <c r="AM390" i="92"/>
  <c r="AN390" i="92"/>
  <c r="AO390" i="92"/>
  <c r="AP390" i="92"/>
  <c r="AQ390" i="92"/>
  <c r="AR390" i="92"/>
  <c r="AS390" i="92"/>
  <c r="AT390" i="92"/>
  <c r="B391" i="92"/>
  <c r="C391" i="92"/>
  <c r="D391" i="92"/>
  <c r="E391" i="92"/>
  <c r="F391" i="92"/>
  <c r="G391" i="92"/>
  <c r="H391" i="92"/>
  <c r="I391" i="92"/>
  <c r="J391" i="92"/>
  <c r="K391" i="92"/>
  <c r="L391" i="92"/>
  <c r="M391" i="92"/>
  <c r="N391" i="92"/>
  <c r="O391" i="92"/>
  <c r="P391" i="92"/>
  <c r="Q391" i="92"/>
  <c r="R391" i="92"/>
  <c r="S391" i="92"/>
  <c r="T391" i="92"/>
  <c r="U391" i="92"/>
  <c r="V391" i="92"/>
  <c r="W391" i="92"/>
  <c r="X391" i="92"/>
  <c r="Y391" i="92"/>
  <c r="Z391" i="92"/>
  <c r="AA391" i="92"/>
  <c r="AB391" i="92"/>
  <c r="AN391" i="92"/>
  <c r="AO391" i="92"/>
  <c r="AP391" i="92"/>
  <c r="AQ391" i="92"/>
  <c r="AR391" i="92"/>
  <c r="AS391" i="92"/>
  <c r="AT391" i="92"/>
  <c r="B392" i="92"/>
  <c r="C392" i="92"/>
  <c r="D392" i="92"/>
  <c r="E392" i="92"/>
  <c r="F392" i="92"/>
  <c r="G392" i="92"/>
  <c r="H392" i="92"/>
  <c r="I392" i="92"/>
  <c r="J392" i="92"/>
  <c r="K392" i="92"/>
  <c r="L392" i="92"/>
  <c r="M392" i="92"/>
  <c r="N392" i="92"/>
  <c r="O392" i="92"/>
  <c r="P392" i="92"/>
  <c r="Q392" i="92"/>
  <c r="R392" i="92"/>
  <c r="S392" i="92"/>
  <c r="T392" i="92"/>
  <c r="U392" i="92"/>
  <c r="V392" i="92"/>
  <c r="W392" i="92"/>
  <c r="X392" i="92"/>
  <c r="Y392" i="92"/>
  <c r="Z392" i="92"/>
  <c r="AA392" i="92"/>
  <c r="AB392" i="92"/>
  <c r="AN392" i="92"/>
  <c r="AO392" i="92"/>
  <c r="AP392" i="92"/>
  <c r="AQ392" i="92"/>
  <c r="AR392" i="92"/>
  <c r="AS392" i="92"/>
  <c r="AT392" i="92"/>
  <c r="B393" i="92"/>
  <c r="C393" i="92"/>
  <c r="D393" i="92"/>
  <c r="E393" i="92"/>
  <c r="F393" i="92"/>
  <c r="G393" i="92"/>
  <c r="H393" i="92"/>
  <c r="I393" i="92"/>
  <c r="J393" i="92"/>
  <c r="K393" i="92"/>
  <c r="L393" i="92"/>
  <c r="M393" i="92"/>
  <c r="N393" i="92"/>
  <c r="O393" i="92"/>
  <c r="P393" i="92"/>
  <c r="Q393" i="92"/>
  <c r="R393" i="92"/>
  <c r="S393" i="92"/>
  <c r="T393" i="92"/>
  <c r="U393" i="92"/>
  <c r="V393" i="92"/>
  <c r="W393" i="92"/>
  <c r="X393" i="92"/>
  <c r="Y393" i="92"/>
  <c r="Z393" i="92"/>
  <c r="AA393" i="92"/>
  <c r="AB393" i="92"/>
  <c r="AC393" i="92"/>
  <c r="AD393" i="92"/>
  <c r="AE393" i="92"/>
  <c r="AF393" i="92"/>
  <c r="AG393" i="92"/>
  <c r="AH393" i="92"/>
  <c r="AI393" i="92"/>
  <c r="AJ393" i="92"/>
  <c r="AK393" i="92"/>
  <c r="AL393" i="92"/>
  <c r="AM393" i="92"/>
  <c r="AN393" i="92"/>
  <c r="B394" i="92"/>
  <c r="C394" i="92"/>
  <c r="D394" i="92"/>
  <c r="E394" i="92"/>
  <c r="F394" i="92"/>
  <c r="G394" i="92"/>
  <c r="H394" i="92"/>
  <c r="I394" i="92"/>
  <c r="J394" i="92"/>
  <c r="K394" i="92"/>
  <c r="L394" i="92"/>
  <c r="M394" i="92"/>
  <c r="N394" i="92"/>
  <c r="O394" i="92"/>
  <c r="P394" i="92"/>
  <c r="Q394" i="92"/>
  <c r="R394" i="92"/>
  <c r="S394" i="92"/>
  <c r="T394" i="92"/>
  <c r="U394" i="92"/>
  <c r="V394" i="92"/>
  <c r="W394" i="92"/>
  <c r="X394" i="92"/>
  <c r="Y394" i="92"/>
  <c r="Z394" i="92"/>
  <c r="AA394" i="92"/>
  <c r="AB394" i="92"/>
  <c r="AC394" i="92"/>
  <c r="AD394" i="92"/>
  <c r="AE394" i="92"/>
  <c r="AF394" i="92"/>
  <c r="AG394" i="92"/>
  <c r="AH394" i="92"/>
  <c r="AI394" i="92"/>
  <c r="AJ394" i="92"/>
  <c r="AK394" i="92"/>
  <c r="AL394" i="92"/>
  <c r="AM394" i="92"/>
  <c r="AN394" i="92"/>
  <c r="B382" i="96"/>
  <c r="C382" i="96"/>
  <c r="D382" i="96"/>
  <c r="E382" i="96"/>
  <c r="F382" i="96"/>
  <c r="B383" i="96"/>
  <c r="C383" i="96"/>
  <c r="D383" i="96"/>
  <c r="E383" i="96"/>
  <c r="F383" i="96"/>
  <c r="V383" i="96"/>
  <c r="W383" i="96"/>
  <c r="X383" i="96"/>
  <c r="Y383" i="96"/>
  <c r="Z383" i="96"/>
  <c r="AA383" i="96"/>
  <c r="AB383" i="96"/>
  <c r="AC383" i="96"/>
  <c r="AD383" i="96"/>
  <c r="AE383" i="96"/>
  <c r="AF383" i="96"/>
  <c r="AG383" i="96"/>
  <c r="AH383" i="96"/>
  <c r="AI383" i="96"/>
  <c r="AJ383" i="96"/>
  <c r="AK383" i="96"/>
  <c r="AL383" i="96"/>
  <c r="AM383" i="96"/>
  <c r="AN383" i="96"/>
  <c r="AO383" i="96"/>
  <c r="AP383" i="96"/>
  <c r="AQ383" i="96"/>
  <c r="AR383" i="96"/>
  <c r="AS383" i="96"/>
  <c r="AT383" i="96"/>
  <c r="B384" i="96"/>
  <c r="C384" i="96"/>
  <c r="D384" i="96"/>
  <c r="E384" i="96"/>
  <c r="F384" i="96"/>
  <c r="Q384" i="96"/>
  <c r="R384" i="96"/>
  <c r="S384" i="96"/>
  <c r="T384" i="96"/>
  <c r="U384" i="96"/>
  <c r="V384" i="96"/>
  <c r="W384" i="96"/>
  <c r="X384" i="96"/>
  <c r="Y384" i="96"/>
  <c r="Z384" i="96"/>
  <c r="AA384" i="96"/>
  <c r="AB384" i="96"/>
  <c r="AC384" i="96"/>
  <c r="AD384" i="96"/>
  <c r="AE384" i="96"/>
  <c r="AF384" i="96"/>
  <c r="AG384" i="96"/>
  <c r="AH384" i="96"/>
  <c r="AI384" i="96"/>
  <c r="AJ384" i="96"/>
  <c r="AK384" i="96"/>
  <c r="AL384" i="96"/>
  <c r="AM384" i="96"/>
  <c r="AN384" i="96"/>
  <c r="AO384" i="96"/>
  <c r="AP384" i="96"/>
  <c r="AQ384" i="96"/>
  <c r="AR384" i="96"/>
  <c r="AS384" i="96"/>
  <c r="AT384" i="96"/>
  <c r="B385" i="96"/>
  <c r="C385" i="96"/>
  <c r="D385" i="96"/>
  <c r="E385" i="96"/>
  <c r="F385" i="96"/>
  <c r="L385" i="96"/>
  <c r="M385" i="96"/>
  <c r="N385" i="96"/>
  <c r="O385" i="96"/>
  <c r="P385" i="96"/>
  <c r="Q385" i="96"/>
  <c r="R385" i="96"/>
  <c r="S385" i="96"/>
  <c r="T385" i="96"/>
  <c r="U385" i="96"/>
  <c r="V385" i="96"/>
  <c r="W385" i="96"/>
  <c r="X385" i="96"/>
  <c r="Y385" i="96"/>
  <c r="Z385" i="96"/>
  <c r="AA385" i="96"/>
  <c r="AB385" i="96"/>
  <c r="AC385" i="96"/>
  <c r="AD385" i="96"/>
  <c r="AE385" i="96"/>
  <c r="AF385" i="96"/>
  <c r="AG385" i="96"/>
  <c r="AH385" i="96"/>
  <c r="AI385" i="96"/>
  <c r="AJ385" i="96"/>
  <c r="AK385" i="96"/>
  <c r="AL385" i="96"/>
  <c r="AM385" i="96"/>
  <c r="AN385" i="96"/>
  <c r="AO385" i="96"/>
  <c r="AP385" i="96"/>
  <c r="AQ385" i="96"/>
  <c r="AR385" i="96"/>
  <c r="AS385" i="96"/>
  <c r="AT385" i="96"/>
  <c r="B386" i="96"/>
  <c r="C386" i="96"/>
  <c r="D386" i="96"/>
  <c r="E386" i="96"/>
  <c r="F386" i="96"/>
  <c r="B387" i="96"/>
  <c r="C387" i="96"/>
  <c r="D387" i="96"/>
  <c r="E387" i="96"/>
  <c r="F387" i="96"/>
  <c r="G387" i="96"/>
  <c r="H387" i="96"/>
  <c r="I387" i="96"/>
  <c r="J387" i="96"/>
  <c r="K387" i="96"/>
  <c r="L387" i="96"/>
  <c r="M387" i="96"/>
  <c r="N387" i="96"/>
  <c r="O387" i="96"/>
  <c r="P387" i="96"/>
  <c r="Q387" i="96"/>
  <c r="AC387" i="96"/>
  <c r="AD387" i="96"/>
  <c r="AE387" i="96"/>
  <c r="AF387" i="96"/>
  <c r="AG387" i="96"/>
  <c r="AH387" i="96"/>
  <c r="AI387" i="96"/>
  <c r="AJ387" i="96"/>
  <c r="AK387" i="96"/>
  <c r="AL387" i="96"/>
  <c r="AM387" i="96"/>
  <c r="AN387" i="96"/>
  <c r="AO387" i="96"/>
  <c r="AP387" i="96"/>
  <c r="AQ387" i="96"/>
  <c r="AR387" i="96"/>
  <c r="AS387" i="96"/>
  <c r="AT387" i="96"/>
  <c r="B388" i="96"/>
  <c r="C388" i="96"/>
  <c r="D388" i="96"/>
  <c r="E388" i="96"/>
  <c r="F388" i="96"/>
  <c r="G388" i="96"/>
  <c r="H388" i="96"/>
  <c r="I388" i="96"/>
  <c r="J388" i="96"/>
  <c r="K388" i="96"/>
  <c r="L388" i="96"/>
  <c r="M388" i="96"/>
  <c r="N388" i="96"/>
  <c r="O388" i="96"/>
  <c r="P388" i="96"/>
  <c r="Q388" i="96"/>
  <c r="AC388" i="96"/>
  <c r="AD388" i="96"/>
  <c r="AE388" i="96"/>
  <c r="AF388" i="96"/>
  <c r="AG388" i="96"/>
  <c r="AH388" i="96"/>
  <c r="AI388" i="96"/>
  <c r="AJ388" i="96"/>
  <c r="AK388" i="96"/>
  <c r="AL388" i="96"/>
  <c r="AM388" i="96"/>
  <c r="AN388" i="96"/>
  <c r="AO388" i="96"/>
  <c r="AP388" i="96"/>
  <c r="AQ388" i="96"/>
  <c r="AR388" i="96"/>
  <c r="AS388" i="96"/>
  <c r="AT388" i="96"/>
  <c r="B389" i="96"/>
  <c r="C389" i="96"/>
  <c r="D389" i="96"/>
  <c r="E389" i="96"/>
  <c r="F389" i="96"/>
  <c r="G389" i="96"/>
  <c r="H389" i="96"/>
  <c r="I389" i="96"/>
  <c r="J389" i="96"/>
  <c r="K389" i="96"/>
  <c r="L389" i="96"/>
  <c r="M389" i="96"/>
  <c r="N389" i="96"/>
  <c r="O389" i="96"/>
  <c r="P389" i="96"/>
  <c r="Q389" i="96"/>
  <c r="R389" i="96"/>
  <c r="S389" i="96"/>
  <c r="T389" i="96"/>
  <c r="U389" i="96"/>
  <c r="V389" i="96"/>
  <c r="W389" i="96"/>
  <c r="AM389" i="96"/>
  <c r="AN389" i="96"/>
  <c r="AO389" i="96"/>
  <c r="AP389" i="96"/>
  <c r="AQ389" i="96"/>
  <c r="AR389" i="96"/>
  <c r="AS389" i="96"/>
  <c r="AT389" i="96"/>
  <c r="B390" i="96"/>
  <c r="C390" i="96"/>
  <c r="D390" i="96"/>
  <c r="E390" i="96"/>
  <c r="F390" i="96"/>
  <c r="G390" i="96"/>
  <c r="H390" i="96"/>
  <c r="I390" i="96"/>
  <c r="J390" i="96"/>
  <c r="K390" i="96"/>
  <c r="L390" i="96"/>
  <c r="M390" i="96"/>
  <c r="N390" i="96"/>
  <c r="O390" i="96"/>
  <c r="P390" i="96"/>
  <c r="Q390" i="96"/>
  <c r="R390" i="96"/>
  <c r="S390" i="96"/>
  <c r="T390" i="96"/>
  <c r="U390" i="96"/>
  <c r="V390" i="96"/>
  <c r="W390" i="96"/>
  <c r="AM390" i="96"/>
  <c r="AN390" i="96"/>
  <c r="AO390" i="96"/>
  <c r="AP390" i="96"/>
  <c r="AQ390" i="96"/>
  <c r="AR390" i="96"/>
  <c r="AS390" i="96"/>
  <c r="AT390" i="96"/>
  <c r="B391" i="96"/>
  <c r="C391" i="96"/>
  <c r="D391" i="96"/>
  <c r="E391" i="96"/>
  <c r="F391" i="96"/>
  <c r="G391" i="96"/>
  <c r="H391" i="96"/>
  <c r="I391" i="96"/>
  <c r="J391" i="96"/>
  <c r="K391" i="96"/>
  <c r="L391" i="96"/>
  <c r="M391" i="96"/>
  <c r="N391" i="96"/>
  <c r="O391" i="96"/>
  <c r="P391" i="96"/>
  <c r="Q391" i="96"/>
  <c r="R391" i="96"/>
  <c r="S391" i="96"/>
  <c r="T391" i="96"/>
  <c r="U391" i="96"/>
  <c r="V391" i="96"/>
  <c r="W391" i="96"/>
  <c r="X391" i="96"/>
  <c r="Y391" i="96"/>
  <c r="Z391" i="96"/>
  <c r="AA391" i="96"/>
  <c r="AB391" i="96"/>
  <c r="AN391" i="96"/>
  <c r="AO391" i="96"/>
  <c r="AP391" i="96"/>
  <c r="AQ391" i="96"/>
  <c r="AR391" i="96"/>
  <c r="AS391" i="96"/>
  <c r="AT391" i="96"/>
  <c r="B392" i="96"/>
  <c r="C392" i="96"/>
  <c r="D392" i="96"/>
  <c r="E392" i="96"/>
  <c r="F392" i="96"/>
  <c r="G392" i="96"/>
  <c r="H392" i="96"/>
  <c r="I392" i="96"/>
  <c r="J392" i="96"/>
  <c r="K392" i="96"/>
  <c r="L392" i="96"/>
  <c r="M392" i="96"/>
  <c r="N392" i="96"/>
  <c r="O392" i="96"/>
  <c r="P392" i="96"/>
  <c r="Q392" i="96"/>
  <c r="R392" i="96"/>
  <c r="S392" i="96"/>
  <c r="T392" i="96"/>
  <c r="U392" i="96"/>
  <c r="V392" i="96"/>
  <c r="W392" i="96"/>
  <c r="X392" i="96"/>
  <c r="Y392" i="96"/>
  <c r="Z392" i="96"/>
  <c r="AA392" i="96"/>
  <c r="AB392" i="96"/>
  <c r="AN392" i="96"/>
  <c r="AO392" i="96"/>
  <c r="AP392" i="96"/>
  <c r="AQ392" i="96"/>
  <c r="AR392" i="96"/>
  <c r="AS392" i="96"/>
  <c r="AT392" i="96"/>
  <c r="B393" i="96"/>
  <c r="C393" i="96"/>
  <c r="D393" i="96"/>
  <c r="E393" i="96"/>
  <c r="F393" i="96"/>
  <c r="G393" i="96"/>
  <c r="H393" i="96"/>
  <c r="I393" i="96"/>
  <c r="J393" i="96"/>
  <c r="K393" i="96"/>
  <c r="L393" i="96"/>
  <c r="M393" i="96"/>
  <c r="N393" i="96"/>
  <c r="O393" i="96"/>
  <c r="P393" i="96"/>
  <c r="Q393" i="96"/>
  <c r="R393" i="96"/>
  <c r="S393" i="96"/>
  <c r="T393" i="96"/>
  <c r="U393" i="96"/>
  <c r="V393" i="96"/>
  <c r="W393" i="96"/>
  <c r="X393" i="96"/>
  <c r="Y393" i="96"/>
  <c r="Z393" i="96"/>
  <c r="AA393" i="96"/>
  <c r="AB393" i="96"/>
  <c r="AC393" i="96"/>
  <c r="AD393" i="96"/>
  <c r="AE393" i="96"/>
  <c r="AF393" i="96"/>
  <c r="AG393" i="96"/>
  <c r="AH393" i="96"/>
  <c r="AI393" i="96"/>
  <c r="AJ393" i="96"/>
  <c r="AK393" i="96"/>
  <c r="AL393" i="96"/>
  <c r="AM393" i="96"/>
  <c r="AN393" i="96"/>
  <c r="B394" i="96"/>
  <c r="C394" i="96"/>
  <c r="D394" i="96"/>
  <c r="E394" i="96"/>
  <c r="F394" i="96"/>
  <c r="G394" i="96"/>
  <c r="H394" i="96"/>
  <c r="I394" i="96"/>
  <c r="J394" i="96"/>
  <c r="K394" i="96"/>
  <c r="L394" i="96"/>
  <c r="M394" i="96"/>
  <c r="N394" i="96"/>
  <c r="O394" i="96"/>
  <c r="P394" i="96"/>
  <c r="Q394" i="96"/>
  <c r="R394" i="96"/>
  <c r="S394" i="96"/>
  <c r="T394" i="96"/>
  <c r="U394" i="96"/>
  <c r="V394" i="96"/>
  <c r="W394" i="96"/>
  <c r="X394" i="96"/>
  <c r="Y394" i="96"/>
  <c r="Z394" i="96"/>
  <c r="AA394" i="96"/>
  <c r="AB394" i="96"/>
  <c r="AC394" i="96"/>
  <c r="AD394" i="96"/>
  <c r="AE394" i="96"/>
  <c r="AF394" i="96"/>
  <c r="AG394" i="96"/>
  <c r="AH394" i="96"/>
  <c r="AI394" i="96"/>
  <c r="AJ394" i="96"/>
  <c r="AK394" i="96"/>
  <c r="AL394" i="96"/>
  <c r="AM394" i="96"/>
  <c r="AN394" i="96"/>
  <c r="B382" i="52"/>
  <c r="C382" i="52"/>
  <c r="D382" i="52"/>
  <c r="E382" i="52"/>
  <c r="F382" i="52"/>
  <c r="B383" i="52"/>
  <c r="C383" i="52"/>
  <c r="D383" i="52"/>
  <c r="E383" i="52"/>
  <c r="F383" i="52"/>
  <c r="V383" i="52"/>
  <c r="W383" i="52"/>
  <c r="X383" i="52"/>
  <c r="Y383" i="52"/>
  <c r="Z383" i="52"/>
  <c r="AA383" i="52"/>
  <c r="AB383" i="52"/>
  <c r="AC383" i="52"/>
  <c r="AD383" i="52"/>
  <c r="AE383" i="52"/>
  <c r="AF383" i="52"/>
  <c r="AG383" i="52"/>
  <c r="AH383" i="52"/>
  <c r="AI383" i="52"/>
  <c r="AJ383" i="52"/>
  <c r="AK383" i="52"/>
  <c r="AL383" i="52"/>
  <c r="AM383" i="52"/>
  <c r="AN383" i="52"/>
  <c r="AO383" i="52"/>
  <c r="AP383" i="52"/>
  <c r="AQ383" i="52"/>
  <c r="AR383" i="52"/>
  <c r="AS383" i="52"/>
  <c r="AT383" i="52"/>
  <c r="B384" i="52"/>
  <c r="C384" i="52"/>
  <c r="D384" i="52"/>
  <c r="E384" i="52"/>
  <c r="F384" i="52"/>
  <c r="Q384" i="52"/>
  <c r="R384" i="52"/>
  <c r="S384" i="52"/>
  <c r="T384" i="52"/>
  <c r="U384" i="52"/>
  <c r="V384" i="52"/>
  <c r="W384" i="52"/>
  <c r="X384" i="52"/>
  <c r="Y384" i="52"/>
  <c r="Z384" i="52"/>
  <c r="AA384" i="52"/>
  <c r="AB384" i="52"/>
  <c r="AC384" i="52"/>
  <c r="AD384" i="52"/>
  <c r="AE384" i="52"/>
  <c r="AF384" i="52"/>
  <c r="AG384" i="52"/>
  <c r="AH384" i="52"/>
  <c r="AI384" i="52"/>
  <c r="AJ384" i="52"/>
  <c r="AK384" i="52"/>
  <c r="AL384" i="52"/>
  <c r="AM384" i="52"/>
  <c r="AN384" i="52"/>
  <c r="AO384" i="52"/>
  <c r="AP384" i="52"/>
  <c r="AQ384" i="52"/>
  <c r="AR384" i="52"/>
  <c r="AS384" i="52"/>
  <c r="AT384" i="52"/>
  <c r="B385" i="52"/>
  <c r="C385" i="52"/>
  <c r="D385" i="52"/>
  <c r="E385" i="52"/>
  <c r="F385" i="52"/>
  <c r="L385" i="52"/>
  <c r="M385" i="52"/>
  <c r="N385" i="52"/>
  <c r="O385" i="52"/>
  <c r="P385" i="52"/>
  <c r="Q385" i="52"/>
  <c r="R385" i="52"/>
  <c r="S385" i="52"/>
  <c r="T385" i="52"/>
  <c r="U385" i="52"/>
  <c r="V385" i="52"/>
  <c r="W385" i="52"/>
  <c r="X385" i="52"/>
  <c r="Y385" i="52"/>
  <c r="Z385" i="52"/>
  <c r="AA385" i="52"/>
  <c r="AB385" i="52"/>
  <c r="AC385" i="52"/>
  <c r="AD385" i="52"/>
  <c r="AE385" i="52"/>
  <c r="AF385" i="52"/>
  <c r="AG385" i="52"/>
  <c r="AH385" i="52"/>
  <c r="AI385" i="52"/>
  <c r="AJ385" i="52"/>
  <c r="AK385" i="52"/>
  <c r="AL385" i="52"/>
  <c r="AM385" i="52"/>
  <c r="AN385" i="52"/>
  <c r="AO385" i="52"/>
  <c r="AP385" i="52"/>
  <c r="AQ385" i="52"/>
  <c r="AR385" i="52"/>
  <c r="AS385" i="52"/>
  <c r="AT385" i="52"/>
  <c r="B386" i="52"/>
  <c r="C386" i="52"/>
  <c r="D386" i="52"/>
  <c r="E386" i="52"/>
  <c r="F386" i="52"/>
  <c r="B387" i="52"/>
  <c r="C387" i="52"/>
  <c r="D387" i="52"/>
  <c r="E387" i="52"/>
  <c r="F387" i="52"/>
  <c r="G387" i="52"/>
  <c r="H387" i="52"/>
  <c r="I387" i="52"/>
  <c r="J387" i="52"/>
  <c r="K387" i="52"/>
  <c r="L387" i="52"/>
  <c r="M387" i="52"/>
  <c r="N387" i="52"/>
  <c r="O387" i="52"/>
  <c r="P387" i="52"/>
  <c r="Q387" i="52"/>
  <c r="AC387" i="52"/>
  <c r="AD387" i="52"/>
  <c r="AE387" i="52"/>
  <c r="AF387" i="52"/>
  <c r="AG387" i="52"/>
  <c r="AH387" i="52"/>
  <c r="AI387" i="52"/>
  <c r="AJ387" i="52"/>
  <c r="AK387" i="52"/>
  <c r="AL387" i="52"/>
  <c r="AM387" i="52"/>
  <c r="AN387" i="52"/>
  <c r="AO387" i="52"/>
  <c r="AP387" i="52"/>
  <c r="AQ387" i="52"/>
  <c r="AR387" i="52"/>
  <c r="AS387" i="52"/>
  <c r="AT387" i="52"/>
  <c r="B388" i="52"/>
  <c r="C388" i="52"/>
  <c r="D388" i="52"/>
  <c r="E388" i="52"/>
  <c r="F388" i="52"/>
  <c r="G388" i="52"/>
  <c r="H388" i="52"/>
  <c r="I388" i="52"/>
  <c r="J388" i="52"/>
  <c r="K388" i="52"/>
  <c r="L388" i="52"/>
  <c r="M388" i="52"/>
  <c r="N388" i="52"/>
  <c r="O388" i="52"/>
  <c r="P388" i="52"/>
  <c r="Q388" i="52"/>
  <c r="AC388" i="52"/>
  <c r="AD388" i="52"/>
  <c r="AE388" i="52"/>
  <c r="AF388" i="52"/>
  <c r="AG388" i="52"/>
  <c r="AH388" i="52"/>
  <c r="AI388" i="52"/>
  <c r="AJ388" i="52"/>
  <c r="AK388" i="52"/>
  <c r="AL388" i="52"/>
  <c r="AM388" i="52"/>
  <c r="AN388" i="52"/>
  <c r="AO388" i="52"/>
  <c r="AP388" i="52"/>
  <c r="AQ388" i="52"/>
  <c r="AR388" i="52"/>
  <c r="AS388" i="52"/>
  <c r="AT388" i="52"/>
  <c r="B389" i="52"/>
  <c r="C389" i="52"/>
  <c r="D389" i="52"/>
  <c r="E389" i="52"/>
  <c r="F389" i="52"/>
  <c r="G389" i="52"/>
  <c r="H389" i="52"/>
  <c r="I389" i="52"/>
  <c r="J389" i="52"/>
  <c r="K389" i="52"/>
  <c r="L389" i="52"/>
  <c r="M389" i="52"/>
  <c r="N389" i="52"/>
  <c r="O389" i="52"/>
  <c r="P389" i="52"/>
  <c r="Q389" i="52"/>
  <c r="R389" i="52"/>
  <c r="S389" i="52"/>
  <c r="T389" i="52"/>
  <c r="U389" i="52"/>
  <c r="V389" i="52"/>
  <c r="W389" i="52"/>
  <c r="AM389" i="52"/>
  <c r="AN389" i="52"/>
  <c r="AO389" i="52"/>
  <c r="AP389" i="52"/>
  <c r="AQ389" i="52"/>
  <c r="AR389" i="52"/>
  <c r="AS389" i="52"/>
  <c r="AT389" i="52"/>
  <c r="B390" i="52"/>
  <c r="C390" i="52"/>
  <c r="D390" i="52"/>
  <c r="E390" i="52"/>
  <c r="F390" i="52"/>
  <c r="G390" i="52"/>
  <c r="H390" i="52"/>
  <c r="I390" i="52"/>
  <c r="J390" i="52"/>
  <c r="K390" i="52"/>
  <c r="L390" i="52"/>
  <c r="M390" i="52"/>
  <c r="N390" i="52"/>
  <c r="O390" i="52"/>
  <c r="P390" i="52"/>
  <c r="Q390" i="52"/>
  <c r="R390" i="52"/>
  <c r="S390" i="52"/>
  <c r="T390" i="52"/>
  <c r="U390" i="52"/>
  <c r="V390" i="52"/>
  <c r="W390" i="52"/>
  <c r="AM390" i="52"/>
  <c r="AN390" i="52"/>
  <c r="AO390" i="52"/>
  <c r="AP390" i="52"/>
  <c r="AQ390" i="52"/>
  <c r="AR390" i="52"/>
  <c r="AS390" i="52"/>
  <c r="AT390" i="52"/>
  <c r="B391" i="52"/>
  <c r="C391" i="52"/>
  <c r="D391" i="52"/>
  <c r="E391" i="52"/>
  <c r="F391" i="52"/>
  <c r="G391" i="52"/>
  <c r="H391" i="52"/>
  <c r="I391" i="52"/>
  <c r="J391" i="52"/>
  <c r="K391" i="52"/>
  <c r="L391" i="52"/>
  <c r="M391" i="52"/>
  <c r="N391" i="52"/>
  <c r="O391" i="52"/>
  <c r="P391" i="52"/>
  <c r="Q391" i="52"/>
  <c r="R391" i="52"/>
  <c r="S391" i="52"/>
  <c r="T391" i="52"/>
  <c r="U391" i="52"/>
  <c r="V391" i="52"/>
  <c r="W391" i="52"/>
  <c r="X391" i="52"/>
  <c r="Y391" i="52"/>
  <c r="Z391" i="52"/>
  <c r="AA391" i="52"/>
  <c r="AB391" i="52"/>
  <c r="AN391" i="52"/>
  <c r="AO391" i="52"/>
  <c r="AP391" i="52"/>
  <c r="AQ391" i="52"/>
  <c r="AR391" i="52"/>
  <c r="AS391" i="52"/>
  <c r="AT391" i="52"/>
  <c r="B392" i="52"/>
  <c r="C392" i="52"/>
  <c r="D392" i="52"/>
  <c r="E392" i="52"/>
  <c r="F392" i="52"/>
  <c r="G392" i="52"/>
  <c r="H392" i="52"/>
  <c r="I392" i="52"/>
  <c r="J392" i="52"/>
  <c r="K392" i="52"/>
  <c r="L392" i="52"/>
  <c r="M392" i="52"/>
  <c r="N392" i="52"/>
  <c r="O392" i="52"/>
  <c r="P392" i="52"/>
  <c r="Q392" i="52"/>
  <c r="R392" i="52"/>
  <c r="S392" i="52"/>
  <c r="T392" i="52"/>
  <c r="U392" i="52"/>
  <c r="V392" i="52"/>
  <c r="W392" i="52"/>
  <c r="X392" i="52"/>
  <c r="Y392" i="52"/>
  <c r="Z392" i="52"/>
  <c r="AA392" i="52"/>
  <c r="AB392" i="52"/>
  <c r="AN392" i="52"/>
  <c r="AO392" i="52"/>
  <c r="AP392" i="52"/>
  <c r="AQ392" i="52"/>
  <c r="AR392" i="52"/>
  <c r="AS392" i="52"/>
  <c r="AT392" i="52"/>
  <c r="B393" i="52"/>
  <c r="C393" i="52"/>
  <c r="D393" i="52"/>
  <c r="E393" i="52"/>
  <c r="F393" i="52"/>
  <c r="G393" i="52"/>
  <c r="H393" i="52"/>
  <c r="I393" i="52"/>
  <c r="J393" i="52"/>
  <c r="K393" i="52"/>
  <c r="L393" i="52"/>
  <c r="M393" i="52"/>
  <c r="N393" i="52"/>
  <c r="O393" i="52"/>
  <c r="P393" i="52"/>
  <c r="Q393" i="52"/>
  <c r="R393" i="52"/>
  <c r="S393" i="52"/>
  <c r="T393" i="52"/>
  <c r="U393" i="52"/>
  <c r="V393" i="52"/>
  <c r="W393" i="52"/>
  <c r="X393" i="52"/>
  <c r="Y393" i="52"/>
  <c r="Z393" i="52"/>
  <c r="AA393" i="52"/>
  <c r="AB393" i="52"/>
  <c r="AC393" i="52"/>
  <c r="AD393" i="52"/>
  <c r="AE393" i="52"/>
  <c r="AF393" i="52"/>
  <c r="AG393" i="52"/>
  <c r="AH393" i="52"/>
  <c r="AI393" i="52"/>
  <c r="AJ393" i="52"/>
  <c r="AK393" i="52"/>
  <c r="AL393" i="52"/>
  <c r="AM393" i="52"/>
  <c r="AN393" i="52"/>
  <c r="B394" i="52"/>
  <c r="C394" i="52"/>
  <c r="D394" i="52"/>
  <c r="E394" i="52"/>
  <c r="F394" i="52"/>
  <c r="G394" i="52"/>
  <c r="H394" i="52"/>
  <c r="I394" i="52"/>
  <c r="J394" i="52"/>
  <c r="K394" i="52"/>
  <c r="L394" i="52"/>
  <c r="M394" i="52"/>
  <c r="N394" i="52"/>
  <c r="O394" i="52"/>
  <c r="P394" i="52"/>
  <c r="Q394" i="52"/>
  <c r="R394" i="52"/>
  <c r="S394" i="52"/>
  <c r="T394" i="52"/>
  <c r="U394" i="52"/>
  <c r="V394" i="52"/>
  <c r="W394" i="52"/>
  <c r="X394" i="52"/>
  <c r="Y394" i="52"/>
  <c r="Z394" i="52"/>
  <c r="AA394" i="52"/>
  <c r="AB394" i="52"/>
  <c r="AC394" i="52"/>
  <c r="AD394" i="52"/>
  <c r="AE394" i="52"/>
  <c r="AF394" i="52"/>
  <c r="AG394" i="52"/>
  <c r="AH394" i="52"/>
  <c r="AI394" i="52"/>
  <c r="AJ394" i="52"/>
  <c r="AK394" i="52"/>
  <c r="AL394" i="52"/>
  <c r="AM394" i="52"/>
  <c r="AN394" i="52"/>
  <c r="C381" i="88"/>
  <c r="D381" i="88"/>
  <c r="E381" i="88"/>
  <c r="F381" i="88"/>
  <c r="C381" i="92"/>
  <c r="D381" i="92"/>
  <c r="E381" i="92"/>
  <c r="F381" i="92"/>
  <c r="C381" i="96"/>
  <c r="D381" i="96"/>
  <c r="E381" i="96"/>
  <c r="F381" i="96"/>
  <c r="C381" i="52"/>
  <c r="D381" i="52"/>
  <c r="E381" i="52"/>
  <c r="F381" i="52"/>
  <c r="B381" i="88"/>
  <c r="B381" i="92"/>
  <c r="B381" i="96"/>
  <c r="B381" i="52"/>
  <c r="F320" i="88"/>
  <c r="E320" i="88"/>
  <c r="D320" i="88"/>
  <c r="C320" i="88"/>
  <c r="F320" i="92"/>
  <c r="E320" i="92"/>
  <c r="D320" i="92"/>
  <c r="C320" i="92"/>
  <c r="F320" i="96"/>
  <c r="E320" i="96"/>
  <c r="D320" i="96"/>
  <c r="C320" i="96"/>
  <c r="F320" i="52"/>
  <c r="E320" i="52"/>
  <c r="D320" i="52"/>
  <c r="C320" i="52"/>
  <c r="C305" i="88"/>
  <c r="D305" i="88"/>
  <c r="E305" i="88"/>
  <c r="F305" i="88"/>
  <c r="C306" i="88"/>
  <c r="D306" i="88"/>
  <c r="E306" i="88"/>
  <c r="F306" i="88"/>
  <c r="C307" i="88"/>
  <c r="D307" i="88"/>
  <c r="E307" i="88"/>
  <c r="F307" i="88"/>
  <c r="V307" i="88"/>
  <c r="W307" i="88"/>
  <c r="X307" i="88"/>
  <c r="Y307" i="88"/>
  <c r="Z307" i="88"/>
  <c r="AA307" i="88"/>
  <c r="AB307" i="88"/>
  <c r="AC307" i="88"/>
  <c r="AD307" i="88"/>
  <c r="AE307" i="88"/>
  <c r="AF307" i="88"/>
  <c r="AG307" i="88"/>
  <c r="AH307" i="88"/>
  <c r="AI307" i="88"/>
  <c r="AJ307" i="88"/>
  <c r="AK307" i="88"/>
  <c r="AL307" i="88"/>
  <c r="AM307" i="88"/>
  <c r="AN307" i="88"/>
  <c r="AO307" i="88"/>
  <c r="AP307" i="88"/>
  <c r="AQ307" i="88"/>
  <c r="AR307" i="88"/>
  <c r="AS307" i="88"/>
  <c r="AT307" i="88"/>
  <c r="C308" i="88"/>
  <c r="D308" i="88"/>
  <c r="E308" i="88"/>
  <c r="F308" i="88"/>
  <c r="Q308" i="88"/>
  <c r="R308" i="88"/>
  <c r="S308" i="88"/>
  <c r="T308" i="88"/>
  <c r="U308" i="88"/>
  <c r="V308" i="88"/>
  <c r="W308" i="88"/>
  <c r="X308" i="88"/>
  <c r="Y308" i="88"/>
  <c r="Z308" i="88"/>
  <c r="AA308" i="88"/>
  <c r="AB308" i="88"/>
  <c r="AC308" i="88"/>
  <c r="AD308" i="88"/>
  <c r="AE308" i="88"/>
  <c r="AF308" i="88"/>
  <c r="AG308" i="88"/>
  <c r="AH308" i="88"/>
  <c r="AI308" i="88"/>
  <c r="AJ308" i="88"/>
  <c r="AK308" i="88"/>
  <c r="AL308" i="88"/>
  <c r="AM308" i="88"/>
  <c r="AN308" i="88"/>
  <c r="AO308" i="88"/>
  <c r="AP308" i="88"/>
  <c r="AQ308" i="88"/>
  <c r="AR308" i="88"/>
  <c r="AS308" i="88"/>
  <c r="AT308" i="88"/>
  <c r="C309" i="88"/>
  <c r="D309" i="88"/>
  <c r="E309" i="88"/>
  <c r="F309" i="88"/>
  <c r="L309" i="88"/>
  <c r="M309" i="88"/>
  <c r="N309" i="88"/>
  <c r="O309" i="88"/>
  <c r="P309" i="88"/>
  <c r="Q309" i="88"/>
  <c r="R309" i="88"/>
  <c r="S309" i="88"/>
  <c r="T309" i="88"/>
  <c r="U309" i="88"/>
  <c r="V309" i="88"/>
  <c r="W309" i="88"/>
  <c r="X309" i="88"/>
  <c r="Y309" i="88"/>
  <c r="Z309" i="88"/>
  <c r="AA309" i="88"/>
  <c r="AB309" i="88"/>
  <c r="AC309" i="88"/>
  <c r="AD309" i="88"/>
  <c r="AE309" i="88"/>
  <c r="AF309" i="88"/>
  <c r="AG309" i="88"/>
  <c r="AH309" i="88"/>
  <c r="AI309" i="88"/>
  <c r="AJ309" i="88"/>
  <c r="AK309" i="88"/>
  <c r="AL309" i="88"/>
  <c r="AM309" i="88"/>
  <c r="AN309" i="88"/>
  <c r="AO309" i="88"/>
  <c r="AP309" i="88"/>
  <c r="AQ309" i="88"/>
  <c r="AR309" i="88"/>
  <c r="AS309" i="88"/>
  <c r="AT309" i="88"/>
  <c r="C310" i="88"/>
  <c r="D310" i="88"/>
  <c r="E310" i="88"/>
  <c r="F310" i="88"/>
  <c r="C311" i="88"/>
  <c r="D311" i="88"/>
  <c r="E311" i="88"/>
  <c r="F311" i="88"/>
  <c r="G311" i="88"/>
  <c r="H311" i="88"/>
  <c r="I311" i="88"/>
  <c r="J311" i="88"/>
  <c r="K311" i="88"/>
  <c r="L311" i="88"/>
  <c r="M311" i="88"/>
  <c r="N311" i="88"/>
  <c r="O311" i="88"/>
  <c r="P311" i="88"/>
  <c r="Q311" i="88"/>
  <c r="AC311" i="88"/>
  <c r="AD311" i="88"/>
  <c r="AE311" i="88"/>
  <c r="AF311" i="88"/>
  <c r="AG311" i="88"/>
  <c r="AH311" i="88"/>
  <c r="AI311" i="88"/>
  <c r="AJ311" i="88"/>
  <c r="AK311" i="88"/>
  <c r="AL311" i="88"/>
  <c r="AM311" i="88"/>
  <c r="AN311" i="88"/>
  <c r="AO311" i="88"/>
  <c r="AP311" i="88"/>
  <c r="AQ311" i="88"/>
  <c r="AR311" i="88"/>
  <c r="AS311" i="88"/>
  <c r="AT311" i="88"/>
  <c r="C312" i="88"/>
  <c r="D312" i="88"/>
  <c r="E312" i="88"/>
  <c r="F312" i="88"/>
  <c r="G312" i="88"/>
  <c r="H312" i="88"/>
  <c r="I312" i="88"/>
  <c r="J312" i="88"/>
  <c r="K312" i="88"/>
  <c r="L312" i="88"/>
  <c r="M312" i="88"/>
  <c r="N312" i="88"/>
  <c r="O312" i="88"/>
  <c r="P312" i="88"/>
  <c r="Q312" i="88"/>
  <c r="AC312" i="88"/>
  <c r="AD312" i="88"/>
  <c r="AE312" i="88"/>
  <c r="AF312" i="88"/>
  <c r="AG312" i="88"/>
  <c r="AH312" i="88"/>
  <c r="AI312" i="88"/>
  <c r="AJ312" i="88"/>
  <c r="AK312" i="88"/>
  <c r="AL312" i="88"/>
  <c r="AM312" i="88"/>
  <c r="AN312" i="88"/>
  <c r="AO312" i="88"/>
  <c r="AP312" i="88"/>
  <c r="AQ312" i="88"/>
  <c r="AR312" i="88"/>
  <c r="AS312" i="88"/>
  <c r="AT312" i="88"/>
  <c r="C313" i="88"/>
  <c r="D313" i="88"/>
  <c r="E313" i="88"/>
  <c r="F313" i="88"/>
  <c r="G313" i="88"/>
  <c r="H313" i="88"/>
  <c r="I313" i="88"/>
  <c r="J313" i="88"/>
  <c r="K313" i="88"/>
  <c r="L313" i="88"/>
  <c r="M313" i="88"/>
  <c r="N313" i="88"/>
  <c r="O313" i="88"/>
  <c r="P313" i="88"/>
  <c r="Q313" i="88"/>
  <c r="R313" i="88"/>
  <c r="S313" i="88"/>
  <c r="T313" i="88"/>
  <c r="U313" i="88"/>
  <c r="V313" i="88"/>
  <c r="W313" i="88"/>
  <c r="AM313" i="88"/>
  <c r="AN313" i="88"/>
  <c r="AO313" i="88"/>
  <c r="AP313" i="88"/>
  <c r="AQ313" i="88"/>
  <c r="AR313" i="88"/>
  <c r="AS313" i="88"/>
  <c r="AT313" i="88"/>
  <c r="C314" i="88"/>
  <c r="D314" i="88"/>
  <c r="E314" i="88"/>
  <c r="F314" i="88"/>
  <c r="G314" i="88"/>
  <c r="H314" i="88"/>
  <c r="I314" i="88"/>
  <c r="J314" i="88"/>
  <c r="K314" i="88"/>
  <c r="L314" i="88"/>
  <c r="M314" i="88"/>
  <c r="N314" i="88"/>
  <c r="O314" i="88"/>
  <c r="P314" i="88"/>
  <c r="Q314" i="88"/>
  <c r="R314" i="88"/>
  <c r="S314" i="88"/>
  <c r="T314" i="88"/>
  <c r="U314" i="88"/>
  <c r="V314" i="88"/>
  <c r="W314" i="88"/>
  <c r="AM314" i="88"/>
  <c r="AN314" i="88"/>
  <c r="AO314" i="88"/>
  <c r="AP314" i="88"/>
  <c r="AQ314" i="88"/>
  <c r="AR314" i="88"/>
  <c r="AS314" i="88"/>
  <c r="AT314" i="88"/>
  <c r="C315" i="88"/>
  <c r="D315" i="88"/>
  <c r="E315" i="88"/>
  <c r="F315" i="88"/>
  <c r="G315" i="88"/>
  <c r="H315" i="88"/>
  <c r="I315" i="88"/>
  <c r="J315" i="88"/>
  <c r="K315" i="88"/>
  <c r="L315" i="88"/>
  <c r="M315" i="88"/>
  <c r="N315" i="88"/>
  <c r="O315" i="88"/>
  <c r="P315" i="88"/>
  <c r="Q315" i="88"/>
  <c r="R315" i="88"/>
  <c r="S315" i="88"/>
  <c r="T315" i="88"/>
  <c r="U315" i="88"/>
  <c r="V315" i="88"/>
  <c r="W315" i="88"/>
  <c r="X315" i="88"/>
  <c r="Y315" i="88"/>
  <c r="Z315" i="88"/>
  <c r="AA315" i="88"/>
  <c r="AB315" i="88"/>
  <c r="AN315" i="88"/>
  <c r="AO315" i="88"/>
  <c r="AP315" i="88"/>
  <c r="AQ315" i="88"/>
  <c r="AR315" i="88"/>
  <c r="AS315" i="88"/>
  <c r="AT315" i="88"/>
  <c r="C316" i="88"/>
  <c r="D316" i="88"/>
  <c r="E316" i="88"/>
  <c r="F316" i="88"/>
  <c r="G316" i="88"/>
  <c r="H316" i="88"/>
  <c r="I316" i="88"/>
  <c r="J316" i="88"/>
  <c r="K316" i="88"/>
  <c r="L316" i="88"/>
  <c r="M316" i="88"/>
  <c r="N316" i="88"/>
  <c r="O316" i="88"/>
  <c r="P316" i="88"/>
  <c r="Q316" i="88"/>
  <c r="R316" i="88"/>
  <c r="S316" i="88"/>
  <c r="T316" i="88"/>
  <c r="U316" i="88"/>
  <c r="V316" i="88"/>
  <c r="W316" i="88"/>
  <c r="X316" i="88"/>
  <c r="Y316" i="88"/>
  <c r="Z316" i="88"/>
  <c r="AA316" i="88"/>
  <c r="AB316" i="88"/>
  <c r="AN316" i="88"/>
  <c r="AO316" i="88"/>
  <c r="AP316" i="88"/>
  <c r="AQ316" i="88"/>
  <c r="AR316" i="88"/>
  <c r="AS316" i="88"/>
  <c r="AT316" i="88"/>
  <c r="C317" i="88"/>
  <c r="D317" i="88"/>
  <c r="E317" i="88"/>
  <c r="F317" i="88"/>
  <c r="G317" i="88"/>
  <c r="H317" i="88"/>
  <c r="I317" i="88"/>
  <c r="J317" i="88"/>
  <c r="K317" i="88"/>
  <c r="L317" i="88"/>
  <c r="M317" i="88"/>
  <c r="N317" i="88"/>
  <c r="O317" i="88"/>
  <c r="P317" i="88"/>
  <c r="Q317" i="88"/>
  <c r="R317" i="88"/>
  <c r="S317" i="88"/>
  <c r="T317" i="88"/>
  <c r="U317" i="88"/>
  <c r="V317" i="88"/>
  <c r="W317" i="88"/>
  <c r="X317" i="88"/>
  <c r="Y317" i="88"/>
  <c r="Z317" i="88"/>
  <c r="AA317" i="88"/>
  <c r="AB317" i="88"/>
  <c r="AC317" i="88"/>
  <c r="AD317" i="88"/>
  <c r="AE317" i="88"/>
  <c r="AF317" i="88"/>
  <c r="AG317" i="88"/>
  <c r="AH317" i="88"/>
  <c r="AI317" i="88"/>
  <c r="AJ317" i="88"/>
  <c r="AK317" i="88"/>
  <c r="AL317" i="88"/>
  <c r="AM317" i="88"/>
  <c r="AN317" i="88"/>
  <c r="C318" i="88"/>
  <c r="D318" i="88"/>
  <c r="E318" i="88"/>
  <c r="F318" i="88"/>
  <c r="G318" i="88"/>
  <c r="H318" i="88"/>
  <c r="I318" i="88"/>
  <c r="J318" i="88"/>
  <c r="K318" i="88"/>
  <c r="L318" i="88"/>
  <c r="M318" i="88"/>
  <c r="N318" i="88"/>
  <c r="O318" i="88"/>
  <c r="P318" i="88"/>
  <c r="Q318" i="88"/>
  <c r="R318" i="88"/>
  <c r="S318" i="88"/>
  <c r="T318" i="88"/>
  <c r="U318" i="88"/>
  <c r="V318" i="88"/>
  <c r="W318" i="88"/>
  <c r="X318" i="88"/>
  <c r="Y318" i="88"/>
  <c r="Z318" i="88"/>
  <c r="AA318" i="88"/>
  <c r="AB318" i="88"/>
  <c r="AC318" i="88"/>
  <c r="AD318" i="88"/>
  <c r="AE318" i="88"/>
  <c r="AF318" i="88"/>
  <c r="AG318" i="88"/>
  <c r="AH318" i="88"/>
  <c r="AI318" i="88"/>
  <c r="AJ318" i="88"/>
  <c r="AK318" i="88"/>
  <c r="AL318" i="88"/>
  <c r="AM318" i="88"/>
  <c r="AN318" i="88"/>
  <c r="C305" i="92"/>
  <c r="D305" i="92"/>
  <c r="E305" i="92"/>
  <c r="F305" i="92"/>
  <c r="C306" i="92"/>
  <c r="D306" i="92"/>
  <c r="E306" i="92"/>
  <c r="F306" i="92"/>
  <c r="C307" i="92"/>
  <c r="D307" i="92"/>
  <c r="E307" i="92"/>
  <c r="F307" i="92"/>
  <c r="V307" i="92"/>
  <c r="W307" i="92"/>
  <c r="X307" i="92"/>
  <c r="Y307" i="92"/>
  <c r="Z307" i="92"/>
  <c r="AA307" i="92"/>
  <c r="AB307" i="92"/>
  <c r="AC307" i="92"/>
  <c r="AD307" i="92"/>
  <c r="AE307" i="92"/>
  <c r="AF307" i="92"/>
  <c r="AG307" i="92"/>
  <c r="AH307" i="92"/>
  <c r="AI307" i="92"/>
  <c r="AJ307" i="92"/>
  <c r="AK307" i="92"/>
  <c r="AL307" i="92"/>
  <c r="AM307" i="92"/>
  <c r="AN307" i="92"/>
  <c r="AO307" i="92"/>
  <c r="AP307" i="92"/>
  <c r="AQ307" i="92"/>
  <c r="AR307" i="92"/>
  <c r="AS307" i="92"/>
  <c r="AT307" i="92"/>
  <c r="C308" i="92"/>
  <c r="D308" i="92"/>
  <c r="E308" i="92"/>
  <c r="F308" i="92"/>
  <c r="Q308" i="92"/>
  <c r="R308" i="92"/>
  <c r="S308" i="92"/>
  <c r="T308" i="92"/>
  <c r="U308" i="92"/>
  <c r="V308" i="92"/>
  <c r="W308" i="92"/>
  <c r="X308" i="92"/>
  <c r="Y308" i="92"/>
  <c r="Z308" i="92"/>
  <c r="AA308" i="92"/>
  <c r="AB308" i="92"/>
  <c r="AC308" i="92"/>
  <c r="AD308" i="92"/>
  <c r="AE308" i="92"/>
  <c r="AF308" i="92"/>
  <c r="AG308" i="92"/>
  <c r="AH308" i="92"/>
  <c r="AI308" i="92"/>
  <c r="AJ308" i="92"/>
  <c r="AK308" i="92"/>
  <c r="AL308" i="92"/>
  <c r="AM308" i="92"/>
  <c r="AN308" i="92"/>
  <c r="AO308" i="92"/>
  <c r="AP308" i="92"/>
  <c r="AQ308" i="92"/>
  <c r="AR308" i="92"/>
  <c r="AS308" i="92"/>
  <c r="AT308" i="92"/>
  <c r="C309" i="92"/>
  <c r="D309" i="92"/>
  <c r="E309" i="92"/>
  <c r="F309" i="92"/>
  <c r="L309" i="92"/>
  <c r="M309" i="92"/>
  <c r="N309" i="92"/>
  <c r="O309" i="92"/>
  <c r="P309" i="92"/>
  <c r="Q309" i="92"/>
  <c r="R309" i="92"/>
  <c r="S309" i="92"/>
  <c r="T309" i="92"/>
  <c r="U309" i="92"/>
  <c r="V309" i="92"/>
  <c r="W309" i="92"/>
  <c r="X309" i="92"/>
  <c r="Y309" i="92"/>
  <c r="Z309" i="92"/>
  <c r="AA309" i="92"/>
  <c r="AB309" i="92"/>
  <c r="AC309" i="92"/>
  <c r="AD309" i="92"/>
  <c r="AE309" i="92"/>
  <c r="AF309" i="92"/>
  <c r="AG309" i="92"/>
  <c r="AH309" i="92"/>
  <c r="AI309" i="92"/>
  <c r="AJ309" i="92"/>
  <c r="AK309" i="92"/>
  <c r="AL309" i="92"/>
  <c r="AM309" i="92"/>
  <c r="AN309" i="92"/>
  <c r="AO309" i="92"/>
  <c r="AP309" i="92"/>
  <c r="AQ309" i="92"/>
  <c r="AR309" i="92"/>
  <c r="AS309" i="92"/>
  <c r="AT309" i="92"/>
  <c r="C310" i="92"/>
  <c r="D310" i="92"/>
  <c r="E310" i="92"/>
  <c r="F310" i="92"/>
  <c r="C311" i="92"/>
  <c r="D311" i="92"/>
  <c r="E311" i="92"/>
  <c r="F311" i="92"/>
  <c r="G311" i="92"/>
  <c r="H311" i="92"/>
  <c r="I311" i="92"/>
  <c r="J311" i="92"/>
  <c r="K311" i="92"/>
  <c r="L311" i="92"/>
  <c r="M311" i="92"/>
  <c r="N311" i="92"/>
  <c r="O311" i="92"/>
  <c r="P311" i="92"/>
  <c r="Q311" i="92"/>
  <c r="AC311" i="92"/>
  <c r="AD311" i="92"/>
  <c r="AE311" i="92"/>
  <c r="AF311" i="92"/>
  <c r="AG311" i="92"/>
  <c r="AH311" i="92"/>
  <c r="AI311" i="92"/>
  <c r="AJ311" i="92"/>
  <c r="AK311" i="92"/>
  <c r="AL311" i="92"/>
  <c r="AM311" i="92"/>
  <c r="AN311" i="92"/>
  <c r="AO311" i="92"/>
  <c r="AP311" i="92"/>
  <c r="AQ311" i="92"/>
  <c r="AR311" i="92"/>
  <c r="AS311" i="92"/>
  <c r="AT311" i="92"/>
  <c r="C312" i="92"/>
  <c r="D312" i="92"/>
  <c r="E312" i="92"/>
  <c r="F312" i="92"/>
  <c r="G312" i="92"/>
  <c r="H312" i="92"/>
  <c r="I312" i="92"/>
  <c r="J312" i="92"/>
  <c r="K312" i="92"/>
  <c r="L312" i="92"/>
  <c r="M312" i="92"/>
  <c r="N312" i="92"/>
  <c r="O312" i="92"/>
  <c r="P312" i="92"/>
  <c r="Q312" i="92"/>
  <c r="AC312" i="92"/>
  <c r="AD312" i="92"/>
  <c r="AE312" i="92"/>
  <c r="AF312" i="92"/>
  <c r="AG312" i="92"/>
  <c r="AH312" i="92"/>
  <c r="AI312" i="92"/>
  <c r="AJ312" i="92"/>
  <c r="AK312" i="92"/>
  <c r="AL312" i="92"/>
  <c r="AM312" i="92"/>
  <c r="AN312" i="92"/>
  <c r="AO312" i="92"/>
  <c r="AP312" i="92"/>
  <c r="AQ312" i="92"/>
  <c r="AR312" i="92"/>
  <c r="AS312" i="92"/>
  <c r="AT312" i="92"/>
  <c r="C313" i="92"/>
  <c r="D313" i="92"/>
  <c r="E313" i="92"/>
  <c r="F313" i="92"/>
  <c r="G313" i="92"/>
  <c r="H313" i="92"/>
  <c r="I313" i="92"/>
  <c r="J313" i="92"/>
  <c r="K313" i="92"/>
  <c r="L313" i="92"/>
  <c r="M313" i="92"/>
  <c r="N313" i="92"/>
  <c r="O313" i="92"/>
  <c r="P313" i="92"/>
  <c r="Q313" i="92"/>
  <c r="R313" i="92"/>
  <c r="S313" i="92"/>
  <c r="T313" i="92"/>
  <c r="U313" i="92"/>
  <c r="V313" i="92"/>
  <c r="W313" i="92"/>
  <c r="AM313" i="92"/>
  <c r="AN313" i="92"/>
  <c r="AO313" i="92"/>
  <c r="AP313" i="92"/>
  <c r="AQ313" i="92"/>
  <c r="AR313" i="92"/>
  <c r="AS313" i="92"/>
  <c r="AT313" i="92"/>
  <c r="C314" i="92"/>
  <c r="D314" i="92"/>
  <c r="E314" i="92"/>
  <c r="F314" i="92"/>
  <c r="G314" i="92"/>
  <c r="H314" i="92"/>
  <c r="I314" i="92"/>
  <c r="J314" i="92"/>
  <c r="K314" i="92"/>
  <c r="L314" i="92"/>
  <c r="M314" i="92"/>
  <c r="N314" i="92"/>
  <c r="O314" i="92"/>
  <c r="P314" i="92"/>
  <c r="Q314" i="92"/>
  <c r="R314" i="92"/>
  <c r="S314" i="92"/>
  <c r="T314" i="92"/>
  <c r="U314" i="92"/>
  <c r="V314" i="92"/>
  <c r="W314" i="92"/>
  <c r="AM314" i="92"/>
  <c r="AN314" i="92"/>
  <c r="AO314" i="92"/>
  <c r="AP314" i="92"/>
  <c r="AQ314" i="92"/>
  <c r="AR314" i="92"/>
  <c r="AS314" i="92"/>
  <c r="AT314" i="92"/>
  <c r="C315" i="92"/>
  <c r="D315" i="92"/>
  <c r="E315" i="92"/>
  <c r="F315" i="92"/>
  <c r="G315" i="92"/>
  <c r="H315" i="92"/>
  <c r="I315" i="92"/>
  <c r="J315" i="92"/>
  <c r="K315" i="92"/>
  <c r="L315" i="92"/>
  <c r="M315" i="92"/>
  <c r="N315" i="92"/>
  <c r="O315" i="92"/>
  <c r="P315" i="92"/>
  <c r="Q315" i="92"/>
  <c r="R315" i="92"/>
  <c r="S315" i="92"/>
  <c r="T315" i="92"/>
  <c r="U315" i="92"/>
  <c r="V315" i="92"/>
  <c r="W315" i="92"/>
  <c r="X315" i="92"/>
  <c r="Y315" i="92"/>
  <c r="Z315" i="92"/>
  <c r="AA315" i="92"/>
  <c r="AB315" i="92"/>
  <c r="AN315" i="92"/>
  <c r="AO315" i="92"/>
  <c r="AP315" i="92"/>
  <c r="AQ315" i="92"/>
  <c r="AR315" i="92"/>
  <c r="AS315" i="92"/>
  <c r="AT315" i="92"/>
  <c r="C316" i="92"/>
  <c r="D316" i="92"/>
  <c r="E316" i="92"/>
  <c r="F316" i="92"/>
  <c r="G316" i="92"/>
  <c r="H316" i="92"/>
  <c r="I316" i="92"/>
  <c r="J316" i="92"/>
  <c r="K316" i="92"/>
  <c r="L316" i="92"/>
  <c r="M316" i="92"/>
  <c r="N316" i="92"/>
  <c r="O316" i="92"/>
  <c r="P316" i="92"/>
  <c r="Q316" i="92"/>
  <c r="R316" i="92"/>
  <c r="S316" i="92"/>
  <c r="T316" i="92"/>
  <c r="U316" i="92"/>
  <c r="V316" i="92"/>
  <c r="W316" i="92"/>
  <c r="X316" i="92"/>
  <c r="Y316" i="92"/>
  <c r="Z316" i="92"/>
  <c r="AA316" i="92"/>
  <c r="AB316" i="92"/>
  <c r="AN316" i="92"/>
  <c r="AO316" i="92"/>
  <c r="AP316" i="92"/>
  <c r="AQ316" i="92"/>
  <c r="AR316" i="92"/>
  <c r="AS316" i="92"/>
  <c r="AT316" i="92"/>
  <c r="C317" i="92"/>
  <c r="D317" i="92"/>
  <c r="E317" i="92"/>
  <c r="F317" i="92"/>
  <c r="G317" i="92"/>
  <c r="H317" i="92"/>
  <c r="I317" i="92"/>
  <c r="J317" i="92"/>
  <c r="K317" i="92"/>
  <c r="L317" i="92"/>
  <c r="M317" i="92"/>
  <c r="N317" i="92"/>
  <c r="O317" i="92"/>
  <c r="P317" i="92"/>
  <c r="Q317" i="92"/>
  <c r="R317" i="92"/>
  <c r="S317" i="92"/>
  <c r="T317" i="92"/>
  <c r="U317" i="92"/>
  <c r="V317" i="92"/>
  <c r="W317" i="92"/>
  <c r="X317" i="92"/>
  <c r="Y317" i="92"/>
  <c r="Z317" i="92"/>
  <c r="AA317" i="92"/>
  <c r="AB317" i="92"/>
  <c r="AC317" i="92"/>
  <c r="AD317" i="92"/>
  <c r="AE317" i="92"/>
  <c r="AF317" i="92"/>
  <c r="AG317" i="92"/>
  <c r="AH317" i="92"/>
  <c r="AI317" i="92"/>
  <c r="AJ317" i="92"/>
  <c r="AK317" i="92"/>
  <c r="AL317" i="92"/>
  <c r="AM317" i="92"/>
  <c r="AN317" i="92"/>
  <c r="C318" i="92"/>
  <c r="D318" i="92"/>
  <c r="E318" i="92"/>
  <c r="F318" i="92"/>
  <c r="G318" i="92"/>
  <c r="H318" i="92"/>
  <c r="I318" i="92"/>
  <c r="J318" i="92"/>
  <c r="K318" i="92"/>
  <c r="L318" i="92"/>
  <c r="M318" i="92"/>
  <c r="N318" i="92"/>
  <c r="O318" i="92"/>
  <c r="P318" i="92"/>
  <c r="Q318" i="92"/>
  <c r="R318" i="92"/>
  <c r="S318" i="92"/>
  <c r="T318" i="92"/>
  <c r="U318" i="92"/>
  <c r="V318" i="92"/>
  <c r="W318" i="92"/>
  <c r="X318" i="92"/>
  <c r="Y318" i="92"/>
  <c r="Z318" i="92"/>
  <c r="AA318" i="92"/>
  <c r="AB318" i="92"/>
  <c r="AC318" i="92"/>
  <c r="AD318" i="92"/>
  <c r="AE318" i="92"/>
  <c r="AF318" i="92"/>
  <c r="AG318" i="92"/>
  <c r="AH318" i="92"/>
  <c r="AI318" i="92"/>
  <c r="AJ318" i="92"/>
  <c r="AK318" i="92"/>
  <c r="AL318" i="92"/>
  <c r="AM318" i="92"/>
  <c r="AN318" i="92"/>
  <c r="C305" i="96"/>
  <c r="D305" i="96"/>
  <c r="E305" i="96"/>
  <c r="F305" i="96"/>
  <c r="C306" i="96"/>
  <c r="D306" i="96"/>
  <c r="E306" i="96"/>
  <c r="F306" i="96"/>
  <c r="C307" i="96"/>
  <c r="D307" i="96"/>
  <c r="E307" i="96"/>
  <c r="F307" i="96"/>
  <c r="V307" i="96"/>
  <c r="W307" i="96"/>
  <c r="X307" i="96"/>
  <c r="Y307" i="96"/>
  <c r="Z307" i="96"/>
  <c r="AA307" i="96"/>
  <c r="AB307" i="96"/>
  <c r="AC307" i="96"/>
  <c r="AD307" i="96"/>
  <c r="AE307" i="96"/>
  <c r="AF307" i="96"/>
  <c r="AG307" i="96"/>
  <c r="AH307" i="96"/>
  <c r="AI307" i="96"/>
  <c r="AJ307" i="96"/>
  <c r="AK307" i="96"/>
  <c r="AL307" i="96"/>
  <c r="AM307" i="96"/>
  <c r="AN307" i="96"/>
  <c r="AO307" i="96"/>
  <c r="AP307" i="96"/>
  <c r="AQ307" i="96"/>
  <c r="AR307" i="96"/>
  <c r="AS307" i="96"/>
  <c r="AT307" i="96"/>
  <c r="C308" i="96"/>
  <c r="D308" i="96"/>
  <c r="E308" i="96"/>
  <c r="F308" i="96"/>
  <c r="Q308" i="96"/>
  <c r="R308" i="96"/>
  <c r="S308" i="96"/>
  <c r="T308" i="96"/>
  <c r="U308" i="96"/>
  <c r="V308" i="96"/>
  <c r="W308" i="96"/>
  <c r="X308" i="96"/>
  <c r="Y308" i="96"/>
  <c r="Z308" i="96"/>
  <c r="AA308" i="96"/>
  <c r="AB308" i="96"/>
  <c r="AC308" i="96"/>
  <c r="AD308" i="96"/>
  <c r="AE308" i="96"/>
  <c r="AF308" i="96"/>
  <c r="AG308" i="96"/>
  <c r="AH308" i="96"/>
  <c r="AI308" i="96"/>
  <c r="AJ308" i="96"/>
  <c r="AK308" i="96"/>
  <c r="AL308" i="96"/>
  <c r="AM308" i="96"/>
  <c r="AN308" i="96"/>
  <c r="AO308" i="96"/>
  <c r="AP308" i="96"/>
  <c r="AQ308" i="96"/>
  <c r="AR308" i="96"/>
  <c r="AS308" i="96"/>
  <c r="AT308" i="96"/>
  <c r="C309" i="96"/>
  <c r="D309" i="96"/>
  <c r="E309" i="96"/>
  <c r="F309" i="96"/>
  <c r="L309" i="96"/>
  <c r="M309" i="96"/>
  <c r="N309" i="96"/>
  <c r="O309" i="96"/>
  <c r="P309" i="96"/>
  <c r="Q309" i="96"/>
  <c r="R309" i="96"/>
  <c r="S309" i="96"/>
  <c r="T309" i="96"/>
  <c r="U309" i="96"/>
  <c r="V309" i="96"/>
  <c r="W309" i="96"/>
  <c r="X309" i="96"/>
  <c r="Y309" i="96"/>
  <c r="Z309" i="96"/>
  <c r="AA309" i="96"/>
  <c r="AB309" i="96"/>
  <c r="AC309" i="96"/>
  <c r="AD309" i="96"/>
  <c r="AE309" i="96"/>
  <c r="AF309" i="96"/>
  <c r="AG309" i="96"/>
  <c r="AH309" i="96"/>
  <c r="AI309" i="96"/>
  <c r="AJ309" i="96"/>
  <c r="AK309" i="96"/>
  <c r="AL309" i="96"/>
  <c r="AM309" i="96"/>
  <c r="AN309" i="96"/>
  <c r="AO309" i="96"/>
  <c r="AP309" i="96"/>
  <c r="AQ309" i="96"/>
  <c r="AR309" i="96"/>
  <c r="AS309" i="96"/>
  <c r="AT309" i="96"/>
  <c r="C310" i="96"/>
  <c r="D310" i="96"/>
  <c r="E310" i="96"/>
  <c r="F310" i="96"/>
  <c r="C311" i="96"/>
  <c r="D311" i="96"/>
  <c r="E311" i="96"/>
  <c r="F311" i="96"/>
  <c r="G311" i="96"/>
  <c r="H311" i="96"/>
  <c r="I311" i="96"/>
  <c r="J311" i="96"/>
  <c r="K311" i="96"/>
  <c r="L311" i="96"/>
  <c r="M311" i="96"/>
  <c r="N311" i="96"/>
  <c r="O311" i="96"/>
  <c r="P311" i="96"/>
  <c r="Q311" i="96"/>
  <c r="AC311" i="96"/>
  <c r="AD311" i="96"/>
  <c r="AE311" i="96"/>
  <c r="AF311" i="96"/>
  <c r="AG311" i="96"/>
  <c r="AH311" i="96"/>
  <c r="AI311" i="96"/>
  <c r="AJ311" i="96"/>
  <c r="AK311" i="96"/>
  <c r="AL311" i="96"/>
  <c r="AM311" i="96"/>
  <c r="AN311" i="96"/>
  <c r="AO311" i="96"/>
  <c r="AP311" i="96"/>
  <c r="AQ311" i="96"/>
  <c r="AR311" i="96"/>
  <c r="AS311" i="96"/>
  <c r="AT311" i="96"/>
  <c r="C312" i="96"/>
  <c r="D312" i="96"/>
  <c r="E312" i="96"/>
  <c r="F312" i="96"/>
  <c r="G312" i="96"/>
  <c r="H312" i="96"/>
  <c r="I312" i="96"/>
  <c r="J312" i="96"/>
  <c r="K312" i="96"/>
  <c r="L312" i="96"/>
  <c r="M312" i="96"/>
  <c r="N312" i="96"/>
  <c r="O312" i="96"/>
  <c r="P312" i="96"/>
  <c r="Q312" i="96"/>
  <c r="AC312" i="96"/>
  <c r="AD312" i="96"/>
  <c r="AE312" i="96"/>
  <c r="AF312" i="96"/>
  <c r="AG312" i="96"/>
  <c r="AH312" i="96"/>
  <c r="AI312" i="96"/>
  <c r="AJ312" i="96"/>
  <c r="AK312" i="96"/>
  <c r="AL312" i="96"/>
  <c r="AM312" i="96"/>
  <c r="AN312" i="96"/>
  <c r="AO312" i="96"/>
  <c r="AP312" i="96"/>
  <c r="AQ312" i="96"/>
  <c r="AR312" i="96"/>
  <c r="AS312" i="96"/>
  <c r="AT312" i="96"/>
  <c r="C313" i="96"/>
  <c r="D313" i="96"/>
  <c r="E313" i="96"/>
  <c r="F313" i="96"/>
  <c r="G313" i="96"/>
  <c r="H313" i="96"/>
  <c r="I313" i="96"/>
  <c r="J313" i="96"/>
  <c r="K313" i="96"/>
  <c r="L313" i="96"/>
  <c r="M313" i="96"/>
  <c r="N313" i="96"/>
  <c r="O313" i="96"/>
  <c r="P313" i="96"/>
  <c r="Q313" i="96"/>
  <c r="R313" i="96"/>
  <c r="S313" i="96"/>
  <c r="T313" i="96"/>
  <c r="U313" i="96"/>
  <c r="V313" i="96"/>
  <c r="W313" i="96"/>
  <c r="AM313" i="96"/>
  <c r="AN313" i="96"/>
  <c r="AO313" i="96"/>
  <c r="AP313" i="96"/>
  <c r="AQ313" i="96"/>
  <c r="AR313" i="96"/>
  <c r="AS313" i="96"/>
  <c r="AT313" i="96"/>
  <c r="C314" i="96"/>
  <c r="D314" i="96"/>
  <c r="E314" i="96"/>
  <c r="F314" i="96"/>
  <c r="G314" i="96"/>
  <c r="H314" i="96"/>
  <c r="I314" i="96"/>
  <c r="J314" i="96"/>
  <c r="K314" i="96"/>
  <c r="L314" i="96"/>
  <c r="M314" i="96"/>
  <c r="N314" i="96"/>
  <c r="O314" i="96"/>
  <c r="P314" i="96"/>
  <c r="Q314" i="96"/>
  <c r="R314" i="96"/>
  <c r="S314" i="96"/>
  <c r="T314" i="96"/>
  <c r="U314" i="96"/>
  <c r="V314" i="96"/>
  <c r="W314" i="96"/>
  <c r="AM314" i="96"/>
  <c r="AN314" i="96"/>
  <c r="AO314" i="96"/>
  <c r="AP314" i="96"/>
  <c r="AQ314" i="96"/>
  <c r="AR314" i="96"/>
  <c r="AS314" i="96"/>
  <c r="AT314" i="96"/>
  <c r="C315" i="96"/>
  <c r="D315" i="96"/>
  <c r="E315" i="96"/>
  <c r="F315" i="96"/>
  <c r="G315" i="96"/>
  <c r="H315" i="96"/>
  <c r="I315" i="96"/>
  <c r="J315" i="96"/>
  <c r="K315" i="96"/>
  <c r="L315" i="96"/>
  <c r="M315" i="96"/>
  <c r="N315" i="96"/>
  <c r="O315" i="96"/>
  <c r="P315" i="96"/>
  <c r="Q315" i="96"/>
  <c r="R315" i="96"/>
  <c r="S315" i="96"/>
  <c r="T315" i="96"/>
  <c r="U315" i="96"/>
  <c r="V315" i="96"/>
  <c r="W315" i="96"/>
  <c r="X315" i="96"/>
  <c r="Y315" i="96"/>
  <c r="Z315" i="96"/>
  <c r="AA315" i="96"/>
  <c r="AB315" i="96"/>
  <c r="AN315" i="96"/>
  <c r="AO315" i="96"/>
  <c r="AP315" i="96"/>
  <c r="AQ315" i="96"/>
  <c r="AR315" i="96"/>
  <c r="AS315" i="96"/>
  <c r="AT315" i="96"/>
  <c r="C316" i="96"/>
  <c r="D316" i="96"/>
  <c r="E316" i="96"/>
  <c r="F316" i="96"/>
  <c r="G316" i="96"/>
  <c r="H316" i="96"/>
  <c r="I316" i="96"/>
  <c r="J316" i="96"/>
  <c r="K316" i="96"/>
  <c r="L316" i="96"/>
  <c r="M316" i="96"/>
  <c r="N316" i="96"/>
  <c r="O316" i="96"/>
  <c r="P316" i="96"/>
  <c r="Q316" i="96"/>
  <c r="R316" i="96"/>
  <c r="S316" i="96"/>
  <c r="T316" i="96"/>
  <c r="U316" i="96"/>
  <c r="V316" i="96"/>
  <c r="W316" i="96"/>
  <c r="X316" i="96"/>
  <c r="Y316" i="96"/>
  <c r="Z316" i="96"/>
  <c r="AA316" i="96"/>
  <c r="AB316" i="96"/>
  <c r="AN316" i="96"/>
  <c r="AO316" i="96"/>
  <c r="AP316" i="96"/>
  <c r="AQ316" i="96"/>
  <c r="AR316" i="96"/>
  <c r="AS316" i="96"/>
  <c r="AT316" i="96"/>
  <c r="C317" i="96"/>
  <c r="D317" i="96"/>
  <c r="E317" i="96"/>
  <c r="F317" i="96"/>
  <c r="G317" i="96"/>
  <c r="H317" i="96"/>
  <c r="I317" i="96"/>
  <c r="J317" i="96"/>
  <c r="K317" i="96"/>
  <c r="L317" i="96"/>
  <c r="M317" i="96"/>
  <c r="N317" i="96"/>
  <c r="O317" i="96"/>
  <c r="P317" i="96"/>
  <c r="Q317" i="96"/>
  <c r="R317" i="96"/>
  <c r="S317" i="96"/>
  <c r="T317" i="96"/>
  <c r="U317" i="96"/>
  <c r="V317" i="96"/>
  <c r="W317" i="96"/>
  <c r="X317" i="96"/>
  <c r="Y317" i="96"/>
  <c r="Z317" i="96"/>
  <c r="AA317" i="96"/>
  <c r="AB317" i="96"/>
  <c r="AC317" i="96"/>
  <c r="AD317" i="96"/>
  <c r="AE317" i="96"/>
  <c r="AF317" i="96"/>
  <c r="AG317" i="96"/>
  <c r="AH317" i="96"/>
  <c r="AI317" i="96"/>
  <c r="AJ317" i="96"/>
  <c r="AK317" i="96"/>
  <c r="AL317" i="96"/>
  <c r="AM317" i="96"/>
  <c r="AN317" i="96"/>
  <c r="C318" i="96"/>
  <c r="D318" i="96"/>
  <c r="E318" i="96"/>
  <c r="F318" i="96"/>
  <c r="G318" i="96"/>
  <c r="H318" i="96"/>
  <c r="I318" i="96"/>
  <c r="J318" i="96"/>
  <c r="K318" i="96"/>
  <c r="L318" i="96"/>
  <c r="M318" i="96"/>
  <c r="N318" i="96"/>
  <c r="O318" i="96"/>
  <c r="P318" i="96"/>
  <c r="Q318" i="96"/>
  <c r="R318" i="96"/>
  <c r="S318" i="96"/>
  <c r="T318" i="96"/>
  <c r="U318" i="96"/>
  <c r="V318" i="96"/>
  <c r="W318" i="96"/>
  <c r="X318" i="96"/>
  <c r="Y318" i="96"/>
  <c r="Z318" i="96"/>
  <c r="AA318" i="96"/>
  <c r="AB318" i="96"/>
  <c r="AC318" i="96"/>
  <c r="AD318" i="96"/>
  <c r="AE318" i="96"/>
  <c r="AF318" i="96"/>
  <c r="AG318" i="96"/>
  <c r="AH318" i="96"/>
  <c r="AI318" i="96"/>
  <c r="AJ318" i="96"/>
  <c r="AK318" i="96"/>
  <c r="AL318" i="96"/>
  <c r="AM318" i="96"/>
  <c r="AN318" i="96"/>
  <c r="C305" i="52"/>
  <c r="D305" i="52"/>
  <c r="E305" i="52"/>
  <c r="F305" i="52"/>
  <c r="C306" i="52"/>
  <c r="D306" i="52"/>
  <c r="E306" i="52"/>
  <c r="F306" i="52"/>
  <c r="C307" i="52"/>
  <c r="D307" i="52"/>
  <c r="E307" i="52"/>
  <c r="F307" i="52"/>
  <c r="V307" i="52"/>
  <c r="W307" i="52"/>
  <c r="X307" i="52"/>
  <c r="Y307" i="52"/>
  <c r="Z307" i="52"/>
  <c r="AA307" i="52"/>
  <c r="AB307" i="52"/>
  <c r="AC307" i="52"/>
  <c r="AD307" i="52"/>
  <c r="AE307" i="52"/>
  <c r="AF307" i="52"/>
  <c r="AG307" i="52"/>
  <c r="AH307" i="52"/>
  <c r="AI307" i="52"/>
  <c r="AJ307" i="52"/>
  <c r="AK307" i="52"/>
  <c r="AL307" i="52"/>
  <c r="AM307" i="52"/>
  <c r="AN307" i="52"/>
  <c r="AO307" i="52"/>
  <c r="AP307" i="52"/>
  <c r="AQ307" i="52"/>
  <c r="AR307" i="52"/>
  <c r="AS307" i="52"/>
  <c r="AT307" i="52"/>
  <c r="C308" i="52"/>
  <c r="D308" i="52"/>
  <c r="E308" i="52"/>
  <c r="F308" i="52"/>
  <c r="Q308" i="52"/>
  <c r="R308" i="52"/>
  <c r="S308" i="52"/>
  <c r="T308" i="52"/>
  <c r="U308" i="52"/>
  <c r="V308" i="52"/>
  <c r="W308" i="52"/>
  <c r="X308" i="52"/>
  <c r="Y308" i="52"/>
  <c r="Z308" i="52"/>
  <c r="AA308" i="52"/>
  <c r="AB308" i="52"/>
  <c r="AC308" i="52"/>
  <c r="AD308" i="52"/>
  <c r="AE308" i="52"/>
  <c r="AF308" i="52"/>
  <c r="AG308" i="52"/>
  <c r="AH308" i="52"/>
  <c r="AI308" i="52"/>
  <c r="AJ308" i="52"/>
  <c r="AK308" i="52"/>
  <c r="AL308" i="52"/>
  <c r="AM308" i="52"/>
  <c r="AN308" i="52"/>
  <c r="AO308" i="52"/>
  <c r="AP308" i="52"/>
  <c r="AQ308" i="52"/>
  <c r="AR308" i="52"/>
  <c r="AS308" i="52"/>
  <c r="AT308" i="52"/>
  <c r="C309" i="52"/>
  <c r="D309" i="52"/>
  <c r="E309" i="52"/>
  <c r="F309" i="52"/>
  <c r="L309" i="52"/>
  <c r="M309" i="52"/>
  <c r="N309" i="52"/>
  <c r="O309" i="52"/>
  <c r="P309" i="52"/>
  <c r="Q309" i="52"/>
  <c r="R309" i="52"/>
  <c r="S309" i="52"/>
  <c r="T309" i="52"/>
  <c r="U309" i="52"/>
  <c r="V309" i="52"/>
  <c r="W309" i="52"/>
  <c r="X309" i="52"/>
  <c r="Y309" i="52"/>
  <c r="Z309" i="52"/>
  <c r="AA309" i="52"/>
  <c r="AB309" i="52"/>
  <c r="AC309" i="52"/>
  <c r="AD309" i="52"/>
  <c r="AE309" i="52"/>
  <c r="AF309" i="52"/>
  <c r="AG309" i="52"/>
  <c r="AH309" i="52"/>
  <c r="AI309" i="52"/>
  <c r="AJ309" i="52"/>
  <c r="AK309" i="52"/>
  <c r="AL309" i="52"/>
  <c r="AM309" i="52"/>
  <c r="AN309" i="52"/>
  <c r="AO309" i="52"/>
  <c r="AP309" i="52"/>
  <c r="AQ309" i="52"/>
  <c r="AR309" i="52"/>
  <c r="AS309" i="52"/>
  <c r="AT309" i="52"/>
  <c r="C310" i="52"/>
  <c r="D310" i="52"/>
  <c r="E310" i="52"/>
  <c r="F310" i="52"/>
  <c r="C311" i="52"/>
  <c r="D311" i="52"/>
  <c r="E311" i="52"/>
  <c r="F311" i="52"/>
  <c r="G311" i="52"/>
  <c r="H311" i="52"/>
  <c r="I311" i="52"/>
  <c r="J311" i="52"/>
  <c r="K311" i="52"/>
  <c r="L311" i="52"/>
  <c r="M311" i="52"/>
  <c r="N311" i="52"/>
  <c r="O311" i="52"/>
  <c r="P311" i="52"/>
  <c r="Q311" i="52"/>
  <c r="AC311" i="52"/>
  <c r="AD311" i="52"/>
  <c r="AE311" i="52"/>
  <c r="AF311" i="52"/>
  <c r="AG311" i="52"/>
  <c r="AH311" i="52"/>
  <c r="AI311" i="52"/>
  <c r="AJ311" i="52"/>
  <c r="AK311" i="52"/>
  <c r="AL311" i="52"/>
  <c r="AM311" i="52"/>
  <c r="AN311" i="52"/>
  <c r="AO311" i="52"/>
  <c r="AP311" i="52"/>
  <c r="AQ311" i="52"/>
  <c r="AR311" i="52"/>
  <c r="AS311" i="52"/>
  <c r="AT311" i="52"/>
  <c r="C312" i="52"/>
  <c r="D312" i="52"/>
  <c r="E312" i="52"/>
  <c r="F312" i="52"/>
  <c r="G312" i="52"/>
  <c r="H312" i="52"/>
  <c r="I312" i="52"/>
  <c r="J312" i="52"/>
  <c r="K312" i="52"/>
  <c r="L312" i="52"/>
  <c r="M312" i="52"/>
  <c r="N312" i="52"/>
  <c r="O312" i="52"/>
  <c r="P312" i="52"/>
  <c r="Q312" i="52"/>
  <c r="AC312" i="52"/>
  <c r="AD312" i="52"/>
  <c r="AE312" i="52"/>
  <c r="AF312" i="52"/>
  <c r="AG312" i="52"/>
  <c r="AH312" i="52"/>
  <c r="AI312" i="52"/>
  <c r="AJ312" i="52"/>
  <c r="AK312" i="52"/>
  <c r="AL312" i="52"/>
  <c r="AM312" i="52"/>
  <c r="AN312" i="52"/>
  <c r="AO312" i="52"/>
  <c r="AP312" i="52"/>
  <c r="AQ312" i="52"/>
  <c r="AR312" i="52"/>
  <c r="AS312" i="52"/>
  <c r="AT312" i="52"/>
  <c r="C313" i="52"/>
  <c r="D313" i="52"/>
  <c r="E313" i="52"/>
  <c r="F313" i="52"/>
  <c r="G313" i="52"/>
  <c r="H313" i="52"/>
  <c r="I313" i="52"/>
  <c r="J313" i="52"/>
  <c r="K313" i="52"/>
  <c r="L313" i="52"/>
  <c r="M313" i="52"/>
  <c r="N313" i="52"/>
  <c r="O313" i="52"/>
  <c r="P313" i="52"/>
  <c r="Q313" i="52"/>
  <c r="R313" i="52"/>
  <c r="S313" i="52"/>
  <c r="T313" i="52"/>
  <c r="U313" i="52"/>
  <c r="V313" i="52"/>
  <c r="W313" i="52"/>
  <c r="AM313" i="52"/>
  <c r="AN313" i="52"/>
  <c r="AO313" i="52"/>
  <c r="AP313" i="52"/>
  <c r="AQ313" i="52"/>
  <c r="AR313" i="52"/>
  <c r="AS313" i="52"/>
  <c r="AT313" i="52"/>
  <c r="C314" i="52"/>
  <c r="D314" i="52"/>
  <c r="E314" i="52"/>
  <c r="F314" i="52"/>
  <c r="G314" i="52"/>
  <c r="H314" i="52"/>
  <c r="I314" i="52"/>
  <c r="J314" i="52"/>
  <c r="K314" i="52"/>
  <c r="L314" i="52"/>
  <c r="M314" i="52"/>
  <c r="N314" i="52"/>
  <c r="O314" i="52"/>
  <c r="P314" i="52"/>
  <c r="Q314" i="52"/>
  <c r="R314" i="52"/>
  <c r="S314" i="52"/>
  <c r="T314" i="52"/>
  <c r="U314" i="52"/>
  <c r="V314" i="52"/>
  <c r="W314" i="52"/>
  <c r="AM314" i="52"/>
  <c r="AN314" i="52"/>
  <c r="AO314" i="52"/>
  <c r="AP314" i="52"/>
  <c r="AQ314" i="52"/>
  <c r="AR314" i="52"/>
  <c r="AS314" i="52"/>
  <c r="AT314" i="52"/>
  <c r="C315" i="52"/>
  <c r="D315" i="52"/>
  <c r="E315" i="52"/>
  <c r="F315" i="52"/>
  <c r="G315" i="52"/>
  <c r="H315" i="52"/>
  <c r="I315" i="52"/>
  <c r="J315" i="52"/>
  <c r="K315" i="52"/>
  <c r="L315" i="52"/>
  <c r="M315" i="52"/>
  <c r="N315" i="52"/>
  <c r="O315" i="52"/>
  <c r="P315" i="52"/>
  <c r="Q315" i="52"/>
  <c r="R315" i="52"/>
  <c r="S315" i="52"/>
  <c r="T315" i="52"/>
  <c r="U315" i="52"/>
  <c r="V315" i="52"/>
  <c r="W315" i="52"/>
  <c r="X315" i="52"/>
  <c r="Y315" i="52"/>
  <c r="Z315" i="52"/>
  <c r="AA315" i="52"/>
  <c r="AB315" i="52"/>
  <c r="AN315" i="52"/>
  <c r="AO315" i="52"/>
  <c r="AP315" i="52"/>
  <c r="AQ315" i="52"/>
  <c r="AR315" i="52"/>
  <c r="AS315" i="52"/>
  <c r="AT315" i="52"/>
  <c r="C316" i="52"/>
  <c r="D316" i="52"/>
  <c r="E316" i="52"/>
  <c r="F316" i="52"/>
  <c r="G316" i="52"/>
  <c r="H316" i="52"/>
  <c r="I316" i="52"/>
  <c r="J316" i="52"/>
  <c r="K316" i="52"/>
  <c r="L316" i="52"/>
  <c r="M316" i="52"/>
  <c r="N316" i="52"/>
  <c r="O316" i="52"/>
  <c r="P316" i="52"/>
  <c r="Q316" i="52"/>
  <c r="R316" i="52"/>
  <c r="S316" i="52"/>
  <c r="T316" i="52"/>
  <c r="U316" i="52"/>
  <c r="V316" i="52"/>
  <c r="W316" i="52"/>
  <c r="X316" i="52"/>
  <c r="Y316" i="52"/>
  <c r="Z316" i="52"/>
  <c r="AA316" i="52"/>
  <c r="AB316" i="52"/>
  <c r="AN316" i="52"/>
  <c r="AO316" i="52"/>
  <c r="AP316" i="52"/>
  <c r="AQ316" i="52"/>
  <c r="AR316" i="52"/>
  <c r="AS316" i="52"/>
  <c r="AT316" i="52"/>
  <c r="C317" i="52"/>
  <c r="D317" i="52"/>
  <c r="E317" i="52"/>
  <c r="F317" i="52"/>
  <c r="G317" i="52"/>
  <c r="H317" i="52"/>
  <c r="I317" i="52"/>
  <c r="J317" i="52"/>
  <c r="K317" i="52"/>
  <c r="L317" i="52"/>
  <c r="M317" i="52"/>
  <c r="N317" i="52"/>
  <c r="O317" i="52"/>
  <c r="P317" i="52"/>
  <c r="Q317" i="52"/>
  <c r="R317" i="52"/>
  <c r="S317" i="52"/>
  <c r="T317" i="52"/>
  <c r="U317" i="52"/>
  <c r="V317" i="52"/>
  <c r="W317" i="52"/>
  <c r="X317" i="52"/>
  <c r="Y317" i="52"/>
  <c r="Z317" i="52"/>
  <c r="AA317" i="52"/>
  <c r="AB317" i="52"/>
  <c r="AC317" i="52"/>
  <c r="AD317" i="52"/>
  <c r="AE317" i="52"/>
  <c r="AF317" i="52"/>
  <c r="AG317" i="52"/>
  <c r="AH317" i="52"/>
  <c r="AI317" i="52"/>
  <c r="AJ317" i="52"/>
  <c r="AK317" i="52"/>
  <c r="AL317" i="52"/>
  <c r="AM317" i="52"/>
  <c r="AN317" i="52"/>
  <c r="C318" i="52"/>
  <c r="D318" i="52"/>
  <c r="E318" i="52"/>
  <c r="F318" i="52"/>
  <c r="G318" i="52"/>
  <c r="H318" i="52"/>
  <c r="I318" i="52"/>
  <c r="J318" i="52"/>
  <c r="K318" i="52"/>
  <c r="L318" i="52"/>
  <c r="M318" i="52"/>
  <c r="N318" i="52"/>
  <c r="O318" i="52"/>
  <c r="P318" i="52"/>
  <c r="Q318" i="52"/>
  <c r="R318" i="52"/>
  <c r="S318" i="52"/>
  <c r="T318" i="52"/>
  <c r="U318" i="52"/>
  <c r="V318" i="52"/>
  <c r="W318" i="52"/>
  <c r="X318" i="52"/>
  <c r="Y318" i="52"/>
  <c r="Z318" i="52"/>
  <c r="AA318" i="52"/>
  <c r="AB318" i="52"/>
  <c r="AC318" i="52"/>
  <c r="AD318" i="52"/>
  <c r="AE318" i="52"/>
  <c r="AF318" i="52"/>
  <c r="AG318" i="52"/>
  <c r="AH318" i="52"/>
  <c r="AI318" i="52"/>
  <c r="AJ318" i="52"/>
  <c r="AK318" i="52"/>
  <c r="AL318" i="52"/>
  <c r="AM318" i="52"/>
  <c r="AN318" i="52"/>
  <c r="B306" i="88"/>
  <c r="B307" i="88"/>
  <c r="B308" i="88"/>
  <c r="B309" i="88"/>
  <c r="B310" i="88"/>
  <c r="B311" i="88"/>
  <c r="B312" i="88"/>
  <c r="B313" i="88"/>
  <c r="B314" i="88"/>
  <c r="B315" i="88"/>
  <c r="B316" i="88"/>
  <c r="B317" i="88"/>
  <c r="B318" i="88"/>
  <c r="B306" i="92"/>
  <c r="B307" i="92"/>
  <c r="B308" i="92"/>
  <c r="B309" i="92"/>
  <c r="B310" i="92"/>
  <c r="B311" i="92"/>
  <c r="B312" i="92"/>
  <c r="B313" i="92"/>
  <c r="B314" i="92"/>
  <c r="B315" i="92"/>
  <c r="B316" i="92"/>
  <c r="B317" i="92"/>
  <c r="B318" i="92"/>
  <c r="B306" i="96"/>
  <c r="B307" i="96"/>
  <c r="B308" i="96"/>
  <c r="B309" i="96"/>
  <c r="B310" i="96"/>
  <c r="B311" i="96"/>
  <c r="B312" i="96"/>
  <c r="B313" i="96"/>
  <c r="B314" i="96"/>
  <c r="B315" i="96"/>
  <c r="B316" i="96"/>
  <c r="B317" i="96"/>
  <c r="B318" i="96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05" i="88"/>
  <c r="B305" i="92"/>
  <c r="B305" i="96"/>
  <c r="B305" i="52"/>
  <c r="F244" i="88"/>
  <c r="E244" i="88"/>
  <c r="D244" i="88"/>
  <c r="C244" i="88"/>
  <c r="F244" i="92"/>
  <c r="E244" i="92"/>
  <c r="D244" i="92"/>
  <c r="C244" i="92"/>
  <c r="F244" i="96"/>
  <c r="E244" i="96"/>
  <c r="D244" i="96"/>
  <c r="C244" i="96"/>
  <c r="F244" i="52"/>
  <c r="E244" i="52"/>
  <c r="D244" i="52"/>
  <c r="C244" i="52"/>
  <c r="C229" i="88"/>
  <c r="D229" i="88"/>
  <c r="E229" i="88"/>
  <c r="F229" i="88"/>
  <c r="C230" i="88"/>
  <c r="D230" i="88"/>
  <c r="E230" i="88"/>
  <c r="F230" i="88"/>
  <c r="C231" i="88"/>
  <c r="D231" i="88"/>
  <c r="E231" i="88"/>
  <c r="F231" i="88"/>
  <c r="V231" i="88"/>
  <c r="W231" i="88"/>
  <c r="X231" i="88"/>
  <c r="Y231" i="88"/>
  <c r="Z231" i="88"/>
  <c r="AA231" i="88"/>
  <c r="AB231" i="88"/>
  <c r="AC231" i="88"/>
  <c r="AD231" i="88"/>
  <c r="AE231" i="88"/>
  <c r="AF231" i="88"/>
  <c r="AG231" i="88"/>
  <c r="AH231" i="88"/>
  <c r="AI231" i="88"/>
  <c r="AJ231" i="88"/>
  <c r="AK231" i="88"/>
  <c r="AL231" i="88"/>
  <c r="AM231" i="88"/>
  <c r="AN231" i="88"/>
  <c r="AO231" i="88"/>
  <c r="AP231" i="88"/>
  <c r="AQ231" i="88"/>
  <c r="AR231" i="88"/>
  <c r="AS231" i="88"/>
  <c r="AT231" i="88"/>
  <c r="C232" i="88"/>
  <c r="D232" i="88"/>
  <c r="E232" i="88"/>
  <c r="F232" i="88"/>
  <c r="Q232" i="88"/>
  <c r="R232" i="88"/>
  <c r="S232" i="88"/>
  <c r="T232" i="88"/>
  <c r="U232" i="88"/>
  <c r="V232" i="88"/>
  <c r="W232" i="88"/>
  <c r="X232" i="88"/>
  <c r="Y232" i="88"/>
  <c r="Z232" i="88"/>
  <c r="AA232" i="88"/>
  <c r="AB232" i="88"/>
  <c r="AC232" i="88"/>
  <c r="AD232" i="88"/>
  <c r="AE232" i="88"/>
  <c r="AF232" i="88"/>
  <c r="AG232" i="88"/>
  <c r="AH232" i="88"/>
  <c r="AI232" i="88"/>
  <c r="AJ232" i="88"/>
  <c r="AK232" i="88"/>
  <c r="AL232" i="88"/>
  <c r="AM232" i="88"/>
  <c r="AN232" i="88"/>
  <c r="AO232" i="88"/>
  <c r="AP232" i="88"/>
  <c r="AQ232" i="88"/>
  <c r="AR232" i="88"/>
  <c r="AS232" i="88"/>
  <c r="AT232" i="88"/>
  <c r="C233" i="88"/>
  <c r="D233" i="88"/>
  <c r="E233" i="88"/>
  <c r="F233" i="88"/>
  <c r="L233" i="88"/>
  <c r="M233" i="88"/>
  <c r="N233" i="88"/>
  <c r="O233" i="88"/>
  <c r="P233" i="88"/>
  <c r="Q233" i="88"/>
  <c r="R233" i="88"/>
  <c r="S233" i="88"/>
  <c r="T233" i="88"/>
  <c r="U233" i="88"/>
  <c r="V233" i="88"/>
  <c r="W233" i="88"/>
  <c r="X233" i="88"/>
  <c r="Y233" i="88"/>
  <c r="Z233" i="88"/>
  <c r="AA233" i="88"/>
  <c r="AB233" i="88"/>
  <c r="AC233" i="88"/>
  <c r="AD233" i="88"/>
  <c r="AE233" i="88"/>
  <c r="AF233" i="88"/>
  <c r="AG233" i="88"/>
  <c r="AH233" i="88"/>
  <c r="AI233" i="88"/>
  <c r="AJ233" i="88"/>
  <c r="AK233" i="88"/>
  <c r="AL233" i="88"/>
  <c r="AM233" i="88"/>
  <c r="AN233" i="88"/>
  <c r="AO233" i="88"/>
  <c r="AP233" i="88"/>
  <c r="AQ233" i="88"/>
  <c r="AR233" i="88"/>
  <c r="AS233" i="88"/>
  <c r="AT233" i="88"/>
  <c r="C234" i="88"/>
  <c r="D234" i="88"/>
  <c r="E234" i="88"/>
  <c r="F234" i="88"/>
  <c r="C235" i="88"/>
  <c r="D235" i="88"/>
  <c r="E235" i="88"/>
  <c r="F235" i="88"/>
  <c r="G235" i="88"/>
  <c r="H235" i="88"/>
  <c r="I235" i="88"/>
  <c r="J235" i="88"/>
  <c r="K235" i="88"/>
  <c r="L235" i="88"/>
  <c r="M235" i="88"/>
  <c r="N235" i="88"/>
  <c r="O235" i="88"/>
  <c r="P235" i="88"/>
  <c r="Q235" i="88"/>
  <c r="AC235" i="88"/>
  <c r="AD235" i="88"/>
  <c r="AE235" i="88"/>
  <c r="AF235" i="88"/>
  <c r="AG235" i="88"/>
  <c r="AH235" i="88"/>
  <c r="AI235" i="88"/>
  <c r="AJ235" i="88"/>
  <c r="AK235" i="88"/>
  <c r="AL235" i="88"/>
  <c r="AM235" i="88"/>
  <c r="AN235" i="88"/>
  <c r="AO235" i="88"/>
  <c r="AP235" i="88"/>
  <c r="AQ235" i="88"/>
  <c r="AR235" i="88"/>
  <c r="AS235" i="88"/>
  <c r="AT235" i="88"/>
  <c r="C236" i="88"/>
  <c r="D236" i="88"/>
  <c r="E236" i="88"/>
  <c r="F236" i="88"/>
  <c r="G236" i="88"/>
  <c r="H236" i="88"/>
  <c r="I236" i="88"/>
  <c r="J236" i="88"/>
  <c r="K236" i="88"/>
  <c r="L236" i="88"/>
  <c r="M236" i="88"/>
  <c r="N236" i="88"/>
  <c r="O236" i="88"/>
  <c r="P236" i="88"/>
  <c r="Q236" i="88"/>
  <c r="AC236" i="88"/>
  <c r="AD236" i="88"/>
  <c r="AE236" i="88"/>
  <c r="AF236" i="88"/>
  <c r="AG236" i="88"/>
  <c r="AH236" i="88"/>
  <c r="AI236" i="88"/>
  <c r="AJ236" i="88"/>
  <c r="AK236" i="88"/>
  <c r="AL236" i="88"/>
  <c r="AM236" i="88"/>
  <c r="AN236" i="88"/>
  <c r="AO236" i="88"/>
  <c r="AP236" i="88"/>
  <c r="AQ236" i="88"/>
  <c r="AR236" i="88"/>
  <c r="AS236" i="88"/>
  <c r="AT236" i="88"/>
  <c r="C237" i="88"/>
  <c r="D237" i="88"/>
  <c r="E237" i="88"/>
  <c r="F237" i="88"/>
  <c r="G237" i="88"/>
  <c r="H237" i="88"/>
  <c r="I237" i="88"/>
  <c r="J237" i="88"/>
  <c r="K237" i="88"/>
  <c r="L237" i="88"/>
  <c r="M237" i="88"/>
  <c r="N237" i="88"/>
  <c r="O237" i="88"/>
  <c r="P237" i="88"/>
  <c r="Q237" i="88"/>
  <c r="R237" i="88"/>
  <c r="S237" i="88"/>
  <c r="T237" i="88"/>
  <c r="U237" i="88"/>
  <c r="V237" i="88"/>
  <c r="W237" i="88"/>
  <c r="AM237" i="88"/>
  <c r="AN237" i="88"/>
  <c r="AO237" i="88"/>
  <c r="AP237" i="88"/>
  <c r="AQ237" i="88"/>
  <c r="AR237" i="88"/>
  <c r="AS237" i="88"/>
  <c r="AT237" i="88"/>
  <c r="C238" i="88"/>
  <c r="D238" i="88"/>
  <c r="E238" i="88"/>
  <c r="F238" i="88"/>
  <c r="G238" i="88"/>
  <c r="H238" i="88"/>
  <c r="I238" i="88"/>
  <c r="J238" i="88"/>
  <c r="K238" i="88"/>
  <c r="L238" i="88"/>
  <c r="M238" i="88"/>
  <c r="N238" i="88"/>
  <c r="O238" i="88"/>
  <c r="P238" i="88"/>
  <c r="Q238" i="88"/>
  <c r="R238" i="88"/>
  <c r="S238" i="88"/>
  <c r="T238" i="88"/>
  <c r="U238" i="88"/>
  <c r="V238" i="88"/>
  <c r="W238" i="88"/>
  <c r="AM238" i="88"/>
  <c r="AN238" i="88"/>
  <c r="AO238" i="88"/>
  <c r="AP238" i="88"/>
  <c r="AQ238" i="88"/>
  <c r="AR238" i="88"/>
  <c r="AS238" i="88"/>
  <c r="AT238" i="88"/>
  <c r="C239" i="88"/>
  <c r="D239" i="88"/>
  <c r="E239" i="88"/>
  <c r="F239" i="88"/>
  <c r="G239" i="88"/>
  <c r="H239" i="88"/>
  <c r="I239" i="88"/>
  <c r="J239" i="88"/>
  <c r="K239" i="88"/>
  <c r="L239" i="88"/>
  <c r="M239" i="88"/>
  <c r="N239" i="88"/>
  <c r="O239" i="88"/>
  <c r="P239" i="88"/>
  <c r="Q239" i="88"/>
  <c r="R239" i="88"/>
  <c r="S239" i="88"/>
  <c r="T239" i="88"/>
  <c r="U239" i="88"/>
  <c r="V239" i="88"/>
  <c r="W239" i="88"/>
  <c r="X239" i="88"/>
  <c r="Y239" i="88"/>
  <c r="Z239" i="88"/>
  <c r="AA239" i="88"/>
  <c r="AB239" i="88"/>
  <c r="AN239" i="88"/>
  <c r="AO239" i="88"/>
  <c r="AP239" i="88"/>
  <c r="AQ239" i="88"/>
  <c r="AR239" i="88"/>
  <c r="AS239" i="88"/>
  <c r="AT239" i="88"/>
  <c r="C240" i="88"/>
  <c r="D240" i="88"/>
  <c r="E240" i="88"/>
  <c r="F240" i="88"/>
  <c r="G240" i="88"/>
  <c r="H240" i="88"/>
  <c r="I240" i="88"/>
  <c r="J240" i="88"/>
  <c r="K240" i="88"/>
  <c r="L240" i="88"/>
  <c r="M240" i="88"/>
  <c r="N240" i="88"/>
  <c r="O240" i="88"/>
  <c r="P240" i="88"/>
  <c r="Q240" i="88"/>
  <c r="R240" i="88"/>
  <c r="S240" i="88"/>
  <c r="T240" i="88"/>
  <c r="U240" i="88"/>
  <c r="V240" i="88"/>
  <c r="W240" i="88"/>
  <c r="X240" i="88"/>
  <c r="Y240" i="88"/>
  <c r="Z240" i="88"/>
  <c r="AA240" i="88"/>
  <c r="AB240" i="88"/>
  <c r="AN240" i="88"/>
  <c r="AO240" i="88"/>
  <c r="AP240" i="88"/>
  <c r="AQ240" i="88"/>
  <c r="AR240" i="88"/>
  <c r="AS240" i="88"/>
  <c r="AT240" i="88"/>
  <c r="C241" i="88"/>
  <c r="D241" i="88"/>
  <c r="E241" i="88"/>
  <c r="F241" i="88"/>
  <c r="G241" i="88"/>
  <c r="H241" i="88"/>
  <c r="I241" i="88"/>
  <c r="J241" i="88"/>
  <c r="K241" i="88"/>
  <c r="L241" i="88"/>
  <c r="M241" i="88"/>
  <c r="N241" i="88"/>
  <c r="O241" i="88"/>
  <c r="P241" i="88"/>
  <c r="Q241" i="88"/>
  <c r="R241" i="88"/>
  <c r="S241" i="88"/>
  <c r="T241" i="88"/>
  <c r="U241" i="88"/>
  <c r="V241" i="88"/>
  <c r="W241" i="88"/>
  <c r="X241" i="88"/>
  <c r="Y241" i="88"/>
  <c r="Z241" i="88"/>
  <c r="AA241" i="88"/>
  <c r="AB241" i="88"/>
  <c r="AC241" i="88"/>
  <c r="AD241" i="88"/>
  <c r="AE241" i="88"/>
  <c r="AF241" i="88"/>
  <c r="AG241" i="88"/>
  <c r="AH241" i="88"/>
  <c r="AI241" i="88"/>
  <c r="AJ241" i="88"/>
  <c r="AK241" i="88"/>
  <c r="AL241" i="88"/>
  <c r="AM241" i="88"/>
  <c r="AN241" i="88"/>
  <c r="C242" i="88"/>
  <c r="D242" i="88"/>
  <c r="E242" i="88"/>
  <c r="F242" i="88"/>
  <c r="G242" i="88"/>
  <c r="H242" i="88"/>
  <c r="I242" i="88"/>
  <c r="J242" i="88"/>
  <c r="K242" i="88"/>
  <c r="L242" i="88"/>
  <c r="M242" i="88"/>
  <c r="N242" i="88"/>
  <c r="O242" i="88"/>
  <c r="P242" i="88"/>
  <c r="Q242" i="88"/>
  <c r="R242" i="88"/>
  <c r="S242" i="88"/>
  <c r="T242" i="88"/>
  <c r="U242" i="88"/>
  <c r="V242" i="88"/>
  <c r="W242" i="88"/>
  <c r="X242" i="88"/>
  <c r="Y242" i="88"/>
  <c r="Z242" i="88"/>
  <c r="AA242" i="88"/>
  <c r="AB242" i="88"/>
  <c r="AC242" i="88"/>
  <c r="AD242" i="88"/>
  <c r="AE242" i="88"/>
  <c r="AF242" i="88"/>
  <c r="AG242" i="88"/>
  <c r="AH242" i="88"/>
  <c r="AI242" i="88"/>
  <c r="AJ242" i="88"/>
  <c r="AK242" i="88"/>
  <c r="AL242" i="88"/>
  <c r="AM242" i="88"/>
  <c r="AN242" i="88"/>
  <c r="C229" i="92"/>
  <c r="D229" i="92"/>
  <c r="E229" i="92"/>
  <c r="F229" i="92"/>
  <c r="C230" i="92"/>
  <c r="D230" i="92"/>
  <c r="E230" i="92"/>
  <c r="F230" i="92"/>
  <c r="C231" i="92"/>
  <c r="D231" i="92"/>
  <c r="E231" i="92"/>
  <c r="F231" i="92"/>
  <c r="V231" i="92"/>
  <c r="W231" i="92"/>
  <c r="X231" i="92"/>
  <c r="Y231" i="92"/>
  <c r="Z231" i="92"/>
  <c r="AA231" i="92"/>
  <c r="AB231" i="92"/>
  <c r="AC231" i="92"/>
  <c r="AD231" i="92"/>
  <c r="AE231" i="92"/>
  <c r="AF231" i="92"/>
  <c r="AG231" i="92"/>
  <c r="AH231" i="92"/>
  <c r="AI231" i="92"/>
  <c r="AJ231" i="92"/>
  <c r="AK231" i="92"/>
  <c r="AL231" i="92"/>
  <c r="AM231" i="92"/>
  <c r="AN231" i="92"/>
  <c r="AO231" i="92"/>
  <c r="AP231" i="92"/>
  <c r="AQ231" i="92"/>
  <c r="AR231" i="92"/>
  <c r="AS231" i="92"/>
  <c r="AT231" i="92"/>
  <c r="C232" i="92"/>
  <c r="D232" i="92"/>
  <c r="E232" i="92"/>
  <c r="F232" i="92"/>
  <c r="Q232" i="92"/>
  <c r="R232" i="92"/>
  <c r="S232" i="92"/>
  <c r="T232" i="92"/>
  <c r="U232" i="92"/>
  <c r="V232" i="92"/>
  <c r="W232" i="92"/>
  <c r="X232" i="92"/>
  <c r="Y232" i="92"/>
  <c r="Z232" i="92"/>
  <c r="AA232" i="92"/>
  <c r="AB232" i="92"/>
  <c r="AC232" i="92"/>
  <c r="AD232" i="92"/>
  <c r="AE232" i="92"/>
  <c r="AF232" i="92"/>
  <c r="AG232" i="92"/>
  <c r="AH232" i="92"/>
  <c r="AI232" i="92"/>
  <c r="AJ232" i="92"/>
  <c r="AK232" i="92"/>
  <c r="AL232" i="92"/>
  <c r="AM232" i="92"/>
  <c r="AN232" i="92"/>
  <c r="AO232" i="92"/>
  <c r="AP232" i="92"/>
  <c r="AQ232" i="92"/>
  <c r="AR232" i="92"/>
  <c r="AS232" i="92"/>
  <c r="AT232" i="92"/>
  <c r="C233" i="92"/>
  <c r="D233" i="92"/>
  <c r="E233" i="92"/>
  <c r="F233" i="92"/>
  <c r="L233" i="92"/>
  <c r="M233" i="92"/>
  <c r="N233" i="92"/>
  <c r="O233" i="92"/>
  <c r="P233" i="92"/>
  <c r="Q233" i="92"/>
  <c r="R233" i="92"/>
  <c r="S233" i="92"/>
  <c r="T233" i="92"/>
  <c r="U233" i="92"/>
  <c r="V233" i="92"/>
  <c r="W233" i="92"/>
  <c r="X233" i="92"/>
  <c r="Y233" i="92"/>
  <c r="Z233" i="92"/>
  <c r="AA233" i="92"/>
  <c r="AB233" i="92"/>
  <c r="AC233" i="92"/>
  <c r="AD233" i="92"/>
  <c r="AE233" i="92"/>
  <c r="AF233" i="92"/>
  <c r="AG233" i="92"/>
  <c r="AH233" i="92"/>
  <c r="AI233" i="92"/>
  <c r="AJ233" i="92"/>
  <c r="AK233" i="92"/>
  <c r="AL233" i="92"/>
  <c r="AM233" i="92"/>
  <c r="AN233" i="92"/>
  <c r="AO233" i="92"/>
  <c r="AP233" i="92"/>
  <c r="AQ233" i="92"/>
  <c r="AR233" i="92"/>
  <c r="AS233" i="92"/>
  <c r="AT233" i="92"/>
  <c r="C234" i="92"/>
  <c r="D234" i="92"/>
  <c r="E234" i="92"/>
  <c r="F234" i="92"/>
  <c r="C235" i="92"/>
  <c r="D235" i="92"/>
  <c r="E235" i="92"/>
  <c r="F235" i="92"/>
  <c r="G235" i="92"/>
  <c r="H235" i="92"/>
  <c r="I235" i="92"/>
  <c r="J235" i="92"/>
  <c r="K235" i="92"/>
  <c r="L235" i="92"/>
  <c r="M235" i="92"/>
  <c r="N235" i="92"/>
  <c r="O235" i="92"/>
  <c r="P235" i="92"/>
  <c r="Q235" i="92"/>
  <c r="AC235" i="92"/>
  <c r="AD235" i="92"/>
  <c r="AE235" i="92"/>
  <c r="AF235" i="92"/>
  <c r="AG235" i="92"/>
  <c r="AH235" i="92"/>
  <c r="AI235" i="92"/>
  <c r="AJ235" i="92"/>
  <c r="AK235" i="92"/>
  <c r="AL235" i="92"/>
  <c r="AM235" i="92"/>
  <c r="AN235" i="92"/>
  <c r="AO235" i="92"/>
  <c r="AP235" i="92"/>
  <c r="AQ235" i="92"/>
  <c r="AR235" i="92"/>
  <c r="AS235" i="92"/>
  <c r="AT235" i="92"/>
  <c r="C236" i="92"/>
  <c r="D236" i="92"/>
  <c r="E236" i="92"/>
  <c r="F236" i="92"/>
  <c r="G236" i="92"/>
  <c r="H236" i="92"/>
  <c r="I236" i="92"/>
  <c r="J236" i="92"/>
  <c r="K236" i="92"/>
  <c r="L236" i="92"/>
  <c r="M236" i="92"/>
  <c r="N236" i="92"/>
  <c r="O236" i="92"/>
  <c r="P236" i="92"/>
  <c r="Q236" i="92"/>
  <c r="AC236" i="92"/>
  <c r="AD236" i="92"/>
  <c r="AE236" i="92"/>
  <c r="AF236" i="92"/>
  <c r="AG236" i="92"/>
  <c r="AH236" i="92"/>
  <c r="AI236" i="92"/>
  <c r="AJ236" i="92"/>
  <c r="AK236" i="92"/>
  <c r="AL236" i="92"/>
  <c r="AM236" i="92"/>
  <c r="AN236" i="92"/>
  <c r="AO236" i="92"/>
  <c r="AP236" i="92"/>
  <c r="AQ236" i="92"/>
  <c r="AR236" i="92"/>
  <c r="AS236" i="92"/>
  <c r="AT236" i="92"/>
  <c r="C237" i="92"/>
  <c r="D237" i="92"/>
  <c r="E237" i="92"/>
  <c r="F237" i="92"/>
  <c r="G237" i="92"/>
  <c r="H237" i="92"/>
  <c r="I237" i="92"/>
  <c r="J237" i="92"/>
  <c r="K237" i="92"/>
  <c r="L237" i="92"/>
  <c r="M237" i="92"/>
  <c r="N237" i="92"/>
  <c r="O237" i="92"/>
  <c r="P237" i="92"/>
  <c r="Q237" i="92"/>
  <c r="R237" i="92"/>
  <c r="S237" i="92"/>
  <c r="T237" i="92"/>
  <c r="U237" i="92"/>
  <c r="V237" i="92"/>
  <c r="W237" i="92"/>
  <c r="AM237" i="92"/>
  <c r="AN237" i="92"/>
  <c r="AO237" i="92"/>
  <c r="AP237" i="92"/>
  <c r="AQ237" i="92"/>
  <c r="AR237" i="92"/>
  <c r="AS237" i="92"/>
  <c r="AT237" i="92"/>
  <c r="C238" i="92"/>
  <c r="D238" i="92"/>
  <c r="E238" i="92"/>
  <c r="F238" i="92"/>
  <c r="G238" i="92"/>
  <c r="H238" i="92"/>
  <c r="I238" i="92"/>
  <c r="J238" i="92"/>
  <c r="K238" i="92"/>
  <c r="L238" i="92"/>
  <c r="M238" i="92"/>
  <c r="N238" i="92"/>
  <c r="O238" i="92"/>
  <c r="P238" i="92"/>
  <c r="Q238" i="92"/>
  <c r="R238" i="92"/>
  <c r="S238" i="92"/>
  <c r="T238" i="92"/>
  <c r="U238" i="92"/>
  <c r="V238" i="92"/>
  <c r="W238" i="92"/>
  <c r="AM238" i="92"/>
  <c r="AN238" i="92"/>
  <c r="AO238" i="92"/>
  <c r="AP238" i="92"/>
  <c r="AQ238" i="92"/>
  <c r="AR238" i="92"/>
  <c r="AS238" i="92"/>
  <c r="AT238" i="92"/>
  <c r="C239" i="92"/>
  <c r="D239" i="92"/>
  <c r="E239" i="92"/>
  <c r="F239" i="92"/>
  <c r="G239" i="92"/>
  <c r="H239" i="92"/>
  <c r="I239" i="92"/>
  <c r="J239" i="92"/>
  <c r="K239" i="92"/>
  <c r="L239" i="92"/>
  <c r="M239" i="92"/>
  <c r="N239" i="92"/>
  <c r="O239" i="92"/>
  <c r="P239" i="92"/>
  <c r="Q239" i="92"/>
  <c r="R239" i="92"/>
  <c r="S239" i="92"/>
  <c r="T239" i="92"/>
  <c r="U239" i="92"/>
  <c r="V239" i="92"/>
  <c r="W239" i="92"/>
  <c r="X239" i="92"/>
  <c r="Y239" i="92"/>
  <c r="Z239" i="92"/>
  <c r="AA239" i="92"/>
  <c r="AB239" i="92"/>
  <c r="AN239" i="92"/>
  <c r="AO239" i="92"/>
  <c r="AP239" i="92"/>
  <c r="AQ239" i="92"/>
  <c r="AR239" i="92"/>
  <c r="AS239" i="92"/>
  <c r="AT239" i="92"/>
  <c r="C240" i="92"/>
  <c r="D240" i="92"/>
  <c r="E240" i="92"/>
  <c r="F240" i="92"/>
  <c r="G240" i="92"/>
  <c r="H240" i="92"/>
  <c r="I240" i="92"/>
  <c r="J240" i="92"/>
  <c r="K240" i="92"/>
  <c r="L240" i="92"/>
  <c r="M240" i="92"/>
  <c r="N240" i="92"/>
  <c r="O240" i="92"/>
  <c r="P240" i="92"/>
  <c r="Q240" i="92"/>
  <c r="R240" i="92"/>
  <c r="S240" i="92"/>
  <c r="T240" i="92"/>
  <c r="U240" i="92"/>
  <c r="V240" i="92"/>
  <c r="W240" i="92"/>
  <c r="X240" i="92"/>
  <c r="Y240" i="92"/>
  <c r="Z240" i="92"/>
  <c r="AA240" i="92"/>
  <c r="AB240" i="92"/>
  <c r="AN240" i="92"/>
  <c r="AO240" i="92"/>
  <c r="AP240" i="92"/>
  <c r="AQ240" i="92"/>
  <c r="AR240" i="92"/>
  <c r="AS240" i="92"/>
  <c r="AT240" i="92"/>
  <c r="C241" i="92"/>
  <c r="D241" i="92"/>
  <c r="E241" i="92"/>
  <c r="F241" i="92"/>
  <c r="G241" i="92"/>
  <c r="H241" i="92"/>
  <c r="I241" i="92"/>
  <c r="J241" i="92"/>
  <c r="K241" i="92"/>
  <c r="L241" i="92"/>
  <c r="M241" i="92"/>
  <c r="N241" i="92"/>
  <c r="O241" i="92"/>
  <c r="P241" i="92"/>
  <c r="Q241" i="92"/>
  <c r="R241" i="92"/>
  <c r="S241" i="92"/>
  <c r="T241" i="92"/>
  <c r="U241" i="92"/>
  <c r="V241" i="92"/>
  <c r="W241" i="92"/>
  <c r="X241" i="92"/>
  <c r="Y241" i="92"/>
  <c r="Z241" i="92"/>
  <c r="AA241" i="92"/>
  <c r="AB241" i="92"/>
  <c r="AC241" i="92"/>
  <c r="AD241" i="92"/>
  <c r="AE241" i="92"/>
  <c r="AF241" i="92"/>
  <c r="AG241" i="92"/>
  <c r="AH241" i="92"/>
  <c r="AI241" i="92"/>
  <c r="AJ241" i="92"/>
  <c r="AK241" i="92"/>
  <c r="AL241" i="92"/>
  <c r="AM241" i="92"/>
  <c r="AN241" i="92"/>
  <c r="C242" i="92"/>
  <c r="D242" i="92"/>
  <c r="E242" i="92"/>
  <c r="F242" i="92"/>
  <c r="G242" i="92"/>
  <c r="H242" i="92"/>
  <c r="I242" i="92"/>
  <c r="J242" i="92"/>
  <c r="K242" i="92"/>
  <c r="L242" i="92"/>
  <c r="M242" i="92"/>
  <c r="N242" i="92"/>
  <c r="O242" i="92"/>
  <c r="P242" i="92"/>
  <c r="Q242" i="92"/>
  <c r="R242" i="92"/>
  <c r="S242" i="92"/>
  <c r="T242" i="92"/>
  <c r="U242" i="92"/>
  <c r="V242" i="92"/>
  <c r="W242" i="92"/>
  <c r="X242" i="92"/>
  <c r="Y242" i="92"/>
  <c r="Z242" i="92"/>
  <c r="AA242" i="92"/>
  <c r="AB242" i="92"/>
  <c r="AC242" i="92"/>
  <c r="AD242" i="92"/>
  <c r="AE242" i="92"/>
  <c r="AF242" i="92"/>
  <c r="AG242" i="92"/>
  <c r="AH242" i="92"/>
  <c r="AI242" i="92"/>
  <c r="AJ242" i="92"/>
  <c r="AK242" i="92"/>
  <c r="AL242" i="92"/>
  <c r="AM242" i="92"/>
  <c r="AN242" i="92"/>
  <c r="C229" i="96"/>
  <c r="D229" i="96"/>
  <c r="E229" i="96"/>
  <c r="F229" i="96"/>
  <c r="C230" i="96"/>
  <c r="D230" i="96"/>
  <c r="E230" i="96"/>
  <c r="F230" i="96"/>
  <c r="C231" i="96"/>
  <c r="D231" i="96"/>
  <c r="E231" i="96"/>
  <c r="F231" i="96"/>
  <c r="V231" i="96"/>
  <c r="W231" i="96"/>
  <c r="X231" i="96"/>
  <c r="Y231" i="96"/>
  <c r="Z231" i="96"/>
  <c r="AA231" i="96"/>
  <c r="AB231" i="96"/>
  <c r="AC231" i="96"/>
  <c r="AD231" i="96"/>
  <c r="AE231" i="96"/>
  <c r="AF231" i="96"/>
  <c r="AG231" i="96"/>
  <c r="AH231" i="96"/>
  <c r="AI231" i="96"/>
  <c r="AJ231" i="96"/>
  <c r="AK231" i="96"/>
  <c r="AL231" i="96"/>
  <c r="AM231" i="96"/>
  <c r="AN231" i="96"/>
  <c r="AO231" i="96"/>
  <c r="AP231" i="96"/>
  <c r="AQ231" i="96"/>
  <c r="AR231" i="96"/>
  <c r="AS231" i="96"/>
  <c r="AT231" i="96"/>
  <c r="C232" i="96"/>
  <c r="D232" i="96"/>
  <c r="E232" i="96"/>
  <c r="F232" i="96"/>
  <c r="Q232" i="96"/>
  <c r="R232" i="96"/>
  <c r="S232" i="96"/>
  <c r="T232" i="96"/>
  <c r="U232" i="96"/>
  <c r="V232" i="96"/>
  <c r="W232" i="96"/>
  <c r="X232" i="96"/>
  <c r="Y232" i="96"/>
  <c r="Z232" i="96"/>
  <c r="AA232" i="96"/>
  <c r="AB232" i="96"/>
  <c r="AC232" i="96"/>
  <c r="AD232" i="96"/>
  <c r="AE232" i="96"/>
  <c r="AF232" i="96"/>
  <c r="AG232" i="96"/>
  <c r="AH232" i="96"/>
  <c r="AI232" i="96"/>
  <c r="AJ232" i="96"/>
  <c r="AK232" i="96"/>
  <c r="AL232" i="96"/>
  <c r="AM232" i="96"/>
  <c r="AN232" i="96"/>
  <c r="AO232" i="96"/>
  <c r="AP232" i="96"/>
  <c r="AQ232" i="96"/>
  <c r="AR232" i="96"/>
  <c r="AS232" i="96"/>
  <c r="AT232" i="96"/>
  <c r="C233" i="96"/>
  <c r="D233" i="96"/>
  <c r="E233" i="96"/>
  <c r="F233" i="96"/>
  <c r="L233" i="96"/>
  <c r="M233" i="96"/>
  <c r="N233" i="96"/>
  <c r="O233" i="96"/>
  <c r="P233" i="96"/>
  <c r="Q233" i="96"/>
  <c r="R233" i="96"/>
  <c r="S233" i="96"/>
  <c r="T233" i="96"/>
  <c r="U233" i="96"/>
  <c r="V233" i="96"/>
  <c r="W233" i="96"/>
  <c r="X233" i="96"/>
  <c r="Y233" i="96"/>
  <c r="Z233" i="96"/>
  <c r="AA233" i="96"/>
  <c r="AB233" i="96"/>
  <c r="AC233" i="96"/>
  <c r="AD233" i="96"/>
  <c r="AE233" i="96"/>
  <c r="AF233" i="96"/>
  <c r="AG233" i="96"/>
  <c r="AH233" i="96"/>
  <c r="AI233" i="96"/>
  <c r="AJ233" i="96"/>
  <c r="AK233" i="96"/>
  <c r="AL233" i="96"/>
  <c r="AM233" i="96"/>
  <c r="AN233" i="96"/>
  <c r="AO233" i="96"/>
  <c r="AP233" i="96"/>
  <c r="AQ233" i="96"/>
  <c r="AR233" i="96"/>
  <c r="AS233" i="96"/>
  <c r="AT233" i="96"/>
  <c r="C234" i="96"/>
  <c r="D234" i="96"/>
  <c r="E234" i="96"/>
  <c r="F234" i="96"/>
  <c r="C235" i="96"/>
  <c r="D235" i="96"/>
  <c r="E235" i="96"/>
  <c r="F235" i="96"/>
  <c r="G235" i="96"/>
  <c r="H235" i="96"/>
  <c r="I235" i="96"/>
  <c r="J235" i="96"/>
  <c r="K235" i="96"/>
  <c r="L235" i="96"/>
  <c r="M235" i="96"/>
  <c r="N235" i="96"/>
  <c r="O235" i="96"/>
  <c r="P235" i="96"/>
  <c r="Q235" i="96"/>
  <c r="AC235" i="96"/>
  <c r="AD235" i="96"/>
  <c r="AE235" i="96"/>
  <c r="AF235" i="96"/>
  <c r="AG235" i="96"/>
  <c r="AH235" i="96"/>
  <c r="AI235" i="96"/>
  <c r="AJ235" i="96"/>
  <c r="AK235" i="96"/>
  <c r="AL235" i="96"/>
  <c r="AM235" i="96"/>
  <c r="AN235" i="96"/>
  <c r="AO235" i="96"/>
  <c r="AP235" i="96"/>
  <c r="AQ235" i="96"/>
  <c r="AR235" i="96"/>
  <c r="AS235" i="96"/>
  <c r="AT235" i="96"/>
  <c r="C236" i="96"/>
  <c r="D236" i="96"/>
  <c r="E236" i="96"/>
  <c r="F236" i="96"/>
  <c r="G236" i="96"/>
  <c r="H236" i="96"/>
  <c r="I236" i="96"/>
  <c r="J236" i="96"/>
  <c r="K236" i="96"/>
  <c r="L236" i="96"/>
  <c r="M236" i="96"/>
  <c r="N236" i="96"/>
  <c r="O236" i="96"/>
  <c r="P236" i="96"/>
  <c r="Q236" i="96"/>
  <c r="AC236" i="96"/>
  <c r="AD236" i="96"/>
  <c r="AE236" i="96"/>
  <c r="AF236" i="96"/>
  <c r="AG236" i="96"/>
  <c r="AH236" i="96"/>
  <c r="AI236" i="96"/>
  <c r="AJ236" i="96"/>
  <c r="AK236" i="96"/>
  <c r="AL236" i="96"/>
  <c r="AM236" i="96"/>
  <c r="AN236" i="96"/>
  <c r="AO236" i="96"/>
  <c r="AP236" i="96"/>
  <c r="AQ236" i="96"/>
  <c r="AR236" i="96"/>
  <c r="AS236" i="96"/>
  <c r="AT236" i="96"/>
  <c r="C237" i="96"/>
  <c r="D237" i="96"/>
  <c r="E237" i="96"/>
  <c r="F237" i="96"/>
  <c r="G237" i="96"/>
  <c r="H237" i="96"/>
  <c r="I237" i="96"/>
  <c r="J237" i="96"/>
  <c r="K237" i="96"/>
  <c r="L237" i="96"/>
  <c r="M237" i="96"/>
  <c r="N237" i="96"/>
  <c r="O237" i="96"/>
  <c r="P237" i="96"/>
  <c r="Q237" i="96"/>
  <c r="R237" i="96"/>
  <c r="S237" i="96"/>
  <c r="T237" i="96"/>
  <c r="U237" i="96"/>
  <c r="V237" i="96"/>
  <c r="W237" i="96"/>
  <c r="AM237" i="96"/>
  <c r="AN237" i="96"/>
  <c r="AO237" i="96"/>
  <c r="AP237" i="96"/>
  <c r="AQ237" i="96"/>
  <c r="AR237" i="96"/>
  <c r="AS237" i="96"/>
  <c r="AT237" i="96"/>
  <c r="C238" i="96"/>
  <c r="D238" i="96"/>
  <c r="E238" i="96"/>
  <c r="F238" i="96"/>
  <c r="G238" i="96"/>
  <c r="H238" i="96"/>
  <c r="I238" i="96"/>
  <c r="J238" i="96"/>
  <c r="K238" i="96"/>
  <c r="L238" i="96"/>
  <c r="M238" i="96"/>
  <c r="N238" i="96"/>
  <c r="O238" i="96"/>
  <c r="P238" i="96"/>
  <c r="Q238" i="96"/>
  <c r="R238" i="96"/>
  <c r="S238" i="96"/>
  <c r="T238" i="96"/>
  <c r="U238" i="96"/>
  <c r="V238" i="96"/>
  <c r="W238" i="96"/>
  <c r="AM238" i="96"/>
  <c r="AN238" i="96"/>
  <c r="AO238" i="96"/>
  <c r="AP238" i="96"/>
  <c r="AQ238" i="96"/>
  <c r="AR238" i="96"/>
  <c r="AS238" i="96"/>
  <c r="AT238" i="96"/>
  <c r="C239" i="96"/>
  <c r="D239" i="96"/>
  <c r="E239" i="96"/>
  <c r="F239" i="96"/>
  <c r="G239" i="96"/>
  <c r="H239" i="96"/>
  <c r="I239" i="96"/>
  <c r="J239" i="96"/>
  <c r="K239" i="96"/>
  <c r="L239" i="96"/>
  <c r="M239" i="96"/>
  <c r="N239" i="96"/>
  <c r="O239" i="96"/>
  <c r="P239" i="96"/>
  <c r="Q239" i="96"/>
  <c r="R239" i="96"/>
  <c r="S239" i="96"/>
  <c r="T239" i="96"/>
  <c r="U239" i="96"/>
  <c r="V239" i="96"/>
  <c r="W239" i="96"/>
  <c r="X239" i="96"/>
  <c r="Y239" i="96"/>
  <c r="Z239" i="96"/>
  <c r="AA239" i="96"/>
  <c r="AB239" i="96"/>
  <c r="AN239" i="96"/>
  <c r="AO239" i="96"/>
  <c r="AP239" i="96"/>
  <c r="AQ239" i="96"/>
  <c r="AR239" i="96"/>
  <c r="AS239" i="96"/>
  <c r="AT239" i="96"/>
  <c r="C240" i="96"/>
  <c r="D240" i="96"/>
  <c r="E240" i="96"/>
  <c r="F240" i="96"/>
  <c r="G240" i="96"/>
  <c r="H240" i="96"/>
  <c r="I240" i="96"/>
  <c r="J240" i="96"/>
  <c r="K240" i="96"/>
  <c r="L240" i="96"/>
  <c r="M240" i="96"/>
  <c r="N240" i="96"/>
  <c r="O240" i="96"/>
  <c r="P240" i="96"/>
  <c r="Q240" i="96"/>
  <c r="R240" i="96"/>
  <c r="S240" i="96"/>
  <c r="T240" i="96"/>
  <c r="U240" i="96"/>
  <c r="V240" i="96"/>
  <c r="W240" i="96"/>
  <c r="X240" i="96"/>
  <c r="Y240" i="96"/>
  <c r="Z240" i="96"/>
  <c r="AA240" i="96"/>
  <c r="AB240" i="96"/>
  <c r="AN240" i="96"/>
  <c r="AO240" i="96"/>
  <c r="AP240" i="96"/>
  <c r="AQ240" i="96"/>
  <c r="AR240" i="96"/>
  <c r="AS240" i="96"/>
  <c r="AT240" i="96"/>
  <c r="C241" i="96"/>
  <c r="D241" i="96"/>
  <c r="E241" i="96"/>
  <c r="F241" i="96"/>
  <c r="G241" i="96"/>
  <c r="H241" i="96"/>
  <c r="I241" i="96"/>
  <c r="J241" i="96"/>
  <c r="K241" i="96"/>
  <c r="L241" i="96"/>
  <c r="M241" i="96"/>
  <c r="N241" i="96"/>
  <c r="O241" i="96"/>
  <c r="P241" i="96"/>
  <c r="Q241" i="96"/>
  <c r="R241" i="96"/>
  <c r="S241" i="96"/>
  <c r="T241" i="96"/>
  <c r="U241" i="96"/>
  <c r="V241" i="96"/>
  <c r="W241" i="96"/>
  <c r="X241" i="96"/>
  <c r="Y241" i="96"/>
  <c r="Z241" i="96"/>
  <c r="AA241" i="96"/>
  <c r="AB241" i="96"/>
  <c r="AC241" i="96"/>
  <c r="AD241" i="96"/>
  <c r="AE241" i="96"/>
  <c r="AF241" i="96"/>
  <c r="AG241" i="96"/>
  <c r="AH241" i="96"/>
  <c r="AI241" i="96"/>
  <c r="AJ241" i="96"/>
  <c r="AK241" i="96"/>
  <c r="AL241" i="96"/>
  <c r="AM241" i="96"/>
  <c r="AN241" i="96"/>
  <c r="C242" i="96"/>
  <c r="D242" i="96"/>
  <c r="E242" i="96"/>
  <c r="F242" i="96"/>
  <c r="G242" i="96"/>
  <c r="H242" i="96"/>
  <c r="I242" i="96"/>
  <c r="J242" i="96"/>
  <c r="K242" i="96"/>
  <c r="L242" i="96"/>
  <c r="M242" i="96"/>
  <c r="N242" i="96"/>
  <c r="O242" i="96"/>
  <c r="P242" i="96"/>
  <c r="Q242" i="96"/>
  <c r="R242" i="96"/>
  <c r="S242" i="96"/>
  <c r="T242" i="96"/>
  <c r="U242" i="96"/>
  <c r="V242" i="96"/>
  <c r="W242" i="96"/>
  <c r="X242" i="96"/>
  <c r="Y242" i="96"/>
  <c r="Z242" i="96"/>
  <c r="AA242" i="96"/>
  <c r="AB242" i="96"/>
  <c r="AC242" i="96"/>
  <c r="AD242" i="96"/>
  <c r="AE242" i="96"/>
  <c r="AF242" i="96"/>
  <c r="AG242" i="96"/>
  <c r="AH242" i="96"/>
  <c r="AI242" i="96"/>
  <c r="AJ242" i="96"/>
  <c r="AK242" i="96"/>
  <c r="AL242" i="96"/>
  <c r="AM242" i="96"/>
  <c r="AN242" i="96"/>
  <c r="C229" i="52"/>
  <c r="D229" i="52"/>
  <c r="E229" i="52"/>
  <c r="F229" i="52"/>
  <c r="C230" i="52"/>
  <c r="D230" i="52"/>
  <c r="E230" i="52"/>
  <c r="F230" i="52"/>
  <c r="C231" i="52"/>
  <c r="D231" i="52"/>
  <c r="E231" i="52"/>
  <c r="F231" i="52"/>
  <c r="V231" i="52"/>
  <c r="W231" i="52"/>
  <c r="X231" i="52"/>
  <c r="Y231" i="52"/>
  <c r="Z231" i="52"/>
  <c r="AA231" i="52"/>
  <c r="AB231" i="52"/>
  <c r="AC231" i="52"/>
  <c r="AD231" i="52"/>
  <c r="AE231" i="52"/>
  <c r="AF231" i="52"/>
  <c r="AG231" i="52"/>
  <c r="AH231" i="52"/>
  <c r="AI231" i="52"/>
  <c r="AJ231" i="52"/>
  <c r="AK231" i="52"/>
  <c r="AL231" i="52"/>
  <c r="AM231" i="52"/>
  <c r="AN231" i="52"/>
  <c r="AO231" i="52"/>
  <c r="AP231" i="52"/>
  <c r="AQ231" i="52"/>
  <c r="AR231" i="52"/>
  <c r="AS231" i="52"/>
  <c r="AT231" i="52"/>
  <c r="C232" i="52"/>
  <c r="D232" i="52"/>
  <c r="E232" i="52"/>
  <c r="F232" i="52"/>
  <c r="Q232" i="52"/>
  <c r="R232" i="52"/>
  <c r="S232" i="52"/>
  <c r="T232" i="52"/>
  <c r="U232" i="52"/>
  <c r="V232" i="52"/>
  <c r="W232" i="52"/>
  <c r="X232" i="52"/>
  <c r="Y232" i="52"/>
  <c r="Z232" i="52"/>
  <c r="AA232" i="52"/>
  <c r="AB232" i="52"/>
  <c r="AC232" i="52"/>
  <c r="AD232" i="52"/>
  <c r="AE232" i="52"/>
  <c r="AF232" i="52"/>
  <c r="AG232" i="52"/>
  <c r="AH232" i="52"/>
  <c r="AI232" i="52"/>
  <c r="AJ232" i="52"/>
  <c r="AK232" i="52"/>
  <c r="AL232" i="52"/>
  <c r="AM232" i="52"/>
  <c r="AN232" i="52"/>
  <c r="AO232" i="52"/>
  <c r="AP232" i="52"/>
  <c r="AQ232" i="52"/>
  <c r="AR232" i="52"/>
  <c r="AS232" i="52"/>
  <c r="AT232" i="52"/>
  <c r="C233" i="52"/>
  <c r="D233" i="52"/>
  <c r="E233" i="52"/>
  <c r="F233" i="52"/>
  <c r="L233" i="52"/>
  <c r="M233" i="52"/>
  <c r="N233" i="52"/>
  <c r="O233" i="52"/>
  <c r="P233" i="52"/>
  <c r="Q233" i="52"/>
  <c r="R233" i="52"/>
  <c r="S233" i="52"/>
  <c r="T233" i="52"/>
  <c r="U233" i="52"/>
  <c r="V233" i="52"/>
  <c r="W233" i="52"/>
  <c r="X233" i="52"/>
  <c r="Y233" i="52"/>
  <c r="Z233" i="52"/>
  <c r="AA233" i="52"/>
  <c r="AB233" i="52"/>
  <c r="AC233" i="52"/>
  <c r="AD233" i="52"/>
  <c r="AE233" i="52"/>
  <c r="AF233" i="52"/>
  <c r="AG233" i="52"/>
  <c r="AH233" i="52"/>
  <c r="AI233" i="52"/>
  <c r="AJ233" i="52"/>
  <c r="AK233" i="52"/>
  <c r="AL233" i="52"/>
  <c r="AM233" i="52"/>
  <c r="AN233" i="52"/>
  <c r="AO233" i="52"/>
  <c r="AP233" i="52"/>
  <c r="AQ233" i="52"/>
  <c r="AR233" i="52"/>
  <c r="AS233" i="52"/>
  <c r="AT233" i="52"/>
  <c r="C234" i="52"/>
  <c r="D234" i="52"/>
  <c r="E234" i="52"/>
  <c r="F234" i="52"/>
  <c r="C235" i="52"/>
  <c r="D235" i="52"/>
  <c r="E235" i="52"/>
  <c r="F235" i="52"/>
  <c r="G235" i="52"/>
  <c r="H235" i="52"/>
  <c r="I235" i="52"/>
  <c r="J235" i="52"/>
  <c r="K235" i="52"/>
  <c r="L235" i="52"/>
  <c r="M235" i="52"/>
  <c r="N235" i="52"/>
  <c r="O235" i="52"/>
  <c r="P235" i="52"/>
  <c r="Q235" i="52"/>
  <c r="AC235" i="52"/>
  <c r="AD235" i="52"/>
  <c r="AE235" i="52"/>
  <c r="AF235" i="52"/>
  <c r="AG235" i="52"/>
  <c r="AH235" i="52"/>
  <c r="AI235" i="52"/>
  <c r="AJ235" i="52"/>
  <c r="AK235" i="52"/>
  <c r="AL235" i="52"/>
  <c r="AM235" i="52"/>
  <c r="AN235" i="52"/>
  <c r="AO235" i="52"/>
  <c r="AP235" i="52"/>
  <c r="AQ235" i="52"/>
  <c r="AR235" i="52"/>
  <c r="AS235" i="52"/>
  <c r="AT235" i="52"/>
  <c r="C236" i="52"/>
  <c r="D236" i="52"/>
  <c r="E236" i="52"/>
  <c r="F236" i="52"/>
  <c r="G236" i="52"/>
  <c r="H236" i="52"/>
  <c r="I236" i="52"/>
  <c r="J236" i="52"/>
  <c r="K236" i="52"/>
  <c r="L236" i="52"/>
  <c r="M236" i="52"/>
  <c r="N236" i="52"/>
  <c r="O236" i="52"/>
  <c r="P236" i="52"/>
  <c r="Q236" i="52"/>
  <c r="AC236" i="52"/>
  <c r="AD236" i="52"/>
  <c r="AE236" i="52"/>
  <c r="AF236" i="52"/>
  <c r="AG236" i="52"/>
  <c r="AH236" i="52"/>
  <c r="AI236" i="52"/>
  <c r="AJ236" i="52"/>
  <c r="AK236" i="52"/>
  <c r="AL236" i="52"/>
  <c r="AM236" i="52"/>
  <c r="AN236" i="52"/>
  <c r="AO236" i="52"/>
  <c r="AP236" i="52"/>
  <c r="AQ236" i="52"/>
  <c r="AR236" i="52"/>
  <c r="AS236" i="52"/>
  <c r="AT236" i="52"/>
  <c r="C237" i="52"/>
  <c r="D237" i="52"/>
  <c r="E237" i="52"/>
  <c r="F237" i="52"/>
  <c r="G237" i="52"/>
  <c r="H237" i="52"/>
  <c r="I237" i="52"/>
  <c r="J237" i="52"/>
  <c r="K237" i="52"/>
  <c r="L237" i="52"/>
  <c r="M237" i="52"/>
  <c r="N237" i="52"/>
  <c r="O237" i="52"/>
  <c r="P237" i="52"/>
  <c r="Q237" i="52"/>
  <c r="R237" i="52"/>
  <c r="S237" i="52"/>
  <c r="T237" i="52"/>
  <c r="U237" i="52"/>
  <c r="V237" i="52"/>
  <c r="W237" i="52"/>
  <c r="AM237" i="52"/>
  <c r="AN237" i="52"/>
  <c r="AO237" i="52"/>
  <c r="AP237" i="52"/>
  <c r="AQ237" i="52"/>
  <c r="AR237" i="52"/>
  <c r="AS237" i="52"/>
  <c r="AT237" i="52"/>
  <c r="C238" i="52"/>
  <c r="D238" i="52"/>
  <c r="E238" i="52"/>
  <c r="F238" i="52"/>
  <c r="G238" i="52"/>
  <c r="H238" i="52"/>
  <c r="I238" i="52"/>
  <c r="J238" i="52"/>
  <c r="K238" i="52"/>
  <c r="L238" i="52"/>
  <c r="M238" i="52"/>
  <c r="N238" i="52"/>
  <c r="O238" i="52"/>
  <c r="P238" i="52"/>
  <c r="Q238" i="52"/>
  <c r="R238" i="52"/>
  <c r="S238" i="52"/>
  <c r="T238" i="52"/>
  <c r="U238" i="52"/>
  <c r="V238" i="52"/>
  <c r="W238" i="52"/>
  <c r="AM238" i="52"/>
  <c r="AN238" i="52"/>
  <c r="AO238" i="52"/>
  <c r="AP238" i="52"/>
  <c r="AQ238" i="52"/>
  <c r="AR238" i="52"/>
  <c r="AS238" i="52"/>
  <c r="AT238" i="52"/>
  <c r="C239" i="52"/>
  <c r="D239" i="52"/>
  <c r="E239" i="52"/>
  <c r="F239" i="52"/>
  <c r="G239" i="52"/>
  <c r="H239" i="52"/>
  <c r="I239" i="52"/>
  <c r="J239" i="52"/>
  <c r="K239" i="52"/>
  <c r="L239" i="52"/>
  <c r="M239" i="52"/>
  <c r="N239" i="52"/>
  <c r="O239" i="52"/>
  <c r="P239" i="52"/>
  <c r="Q239" i="52"/>
  <c r="R239" i="52"/>
  <c r="S239" i="52"/>
  <c r="T239" i="52"/>
  <c r="U239" i="52"/>
  <c r="V239" i="52"/>
  <c r="W239" i="52"/>
  <c r="X239" i="52"/>
  <c r="Y239" i="52"/>
  <c r="Z239" i="52"/>
  <c r="AA239" i="52"/>
  <c r="AB239" i="52"/>
  <c r="AN239" i="52"/>
  <c r="AO239" i="52"/>
  <c r="AP239" i="52"/>
  <c r="AQ239" i="52"/>
  <c r="AR239" i="52"/>
  <c r="AS239" i="52"/>
  <c r="AT239" i="52"/>
  <c r="C240" i="52"/>
  <c r="D240" i="52"/>
  <c r="E240" i="52"/>
  <c r="F240" i="52"/>
  <c r="G240" i="52"/>
  <c r="H240" i="52"/>
  <c r="I240" i="52"/>
  <c r="J240" i="52"/>
  <c r="K240" i="52"/>
  <c r="L240" i="52"/>
  <c r="M240" i="52"/>
  <c r="N240" i="52"/>
  <c r="O240" i="52"/>
  <c r="P240" i="52"/>
  <c r="Q240" i="52"/>
  <c r="R240" i="52"/>
  <c r="S240" i="52"/>
  <c r="T240" i="52"/>
  <c r="U240" i="52"/>
  <c r="V240" i="52"/>
  <c r="W240" i="52"/>
  <c r="X240" i="52"/>
  <c r="Y240" i="52"/>
  <c r="Z240" i="52"/>
  <c r="AA240" i="52"/>
  <c r="AB240" i="52"/>
  <c r="AN240" i="52"/>
  <c r="AO240" i="52"/>
  <c r="AP240" i="52"/>
  <c r="AQ240" i="52"/>
  <c r="AR240" i="52"/>
  <c r="AS240" i="52"/>
  <c r="AT240" i="52"/>
  <c r="C241" i="52"/>
  <c r="D241" i="52"/>
  <c r="E241" i="52"/>
  <c r="F241" i="52"/>
  <c r="G241" i="52"/>
  <c r="H241" i="52"/>
  <c r="I241" i="52"/>
  <c r="J241" i="52"/>
  <c r="K241" i="52"/>
  <c r="L241" i="52"/>
  <c r="M241" i="52"/>
  <c r="N241" i="52"/>
  <c r="O241" i="52"/>
  <c r="P241" i="52"/>
  <c r="Q241" i="52"/>
  <c r="R241" i="52"/>
  <c r="S241" i="52"/>
  <c r="T241" i="52"/>
  <c r="U241" i="52"/>
  <c r="V241" i="52"/>
  <c r="W241" i="52"/>
  <c r="X241" i="52"/>
  <c r="Y241" i="52"/>
  <c r="Z241" i="52"/>
  <c r="AA241" i="52"/>
  <c r="AB241" i="52"/>
  <c r="AC241" i="52"/>
  <c r="AD241" i="52"/>
  <c r="AE241" i="52"/>
  <c r="AF241" i="52"/>
  <c r="AG241" i="52"/>
  <c r="AH241" i="52"/>
  <c r="AI241" i="52"/>
  <c r="AJ241" i="52"/>
  <c r="AK241" i="52"/>
  <c r="AL241" i="52"/>
  <c r="AM241" i="52"/>
  <c r="AN241" i="52"/>
  <c r="C242" i="52"/>
  <c r="D242" i="52"/>
  <c r="E242" i="52"/>
  <c r="F242" i="52"/>
  <c r="G242" i="52"/>
  <c r="H242" i="52"/>
  <c r="I242" i="52"/>
  <c r="J242" i="52"/>
  <c r="K242" i="52"/>
  <c r="L242" i="52"/>
  <c r="M242" i="52"/>
  <c r="N242" i="52"/>
  <c r="O242" i="52"/>
  <c r="P242" i="52"/>
  <c r="Q242" i="52"/>
  <c r="R242" i="52"/>
  <c r="S242" i="52"/>
  <c r="T242" i="52"/>
  <c r="U242" i="52"/>
  <c r="V242" i="52"/>
  <c r="W242" i="52"/>
  <c r="X242" i="52"/>
  <c r="Y242" i="52"/>
  <c r="Z242" i="52"/>
  <c r="AA242" i="52"/>
  <c r="AB242" i="52"/>
  <c r="AC242" i="52"/>
  <c r="AD242" i="52"/>
  <c r="AE242" i="52"/>
  <c r="AF242" i="52"/>
  <c r="AG242" i="52"/>
  <c r="AH242" i="52"/>
  <c r="AI242" i="52"/>
  <c r="AJ242" i="52"/>
  <c r="AK242" i="52"/>
  <c r="AL242" i="52"/>
  <c r="AM242" i="52"/>
  <c r="AN242" i="52"/>
  <c r="B230" i="88"/>
  <c r="B231" i="88"/>
  <c r="B232" i="88"/>
  <c r="B233" i="88"/>
  <c r="B234" i="88"/>
  <c r="B235" i="88"/>
  <c r="B236" i="88"/>
  <c r="B237" i="88"/>
  <c r="B238" i="88"/>
  <c r="B239" i="88"/>
  <c r="B240" i="88"/>
  <c r="B241" i="88"/>
  <c r="B242" i="88"/>
  <c r="B230" i="92"/>
  <c r="B231" i="92"/>
  <c r="B232" i="92"/>
  <c r="B233" i="92"/>
  <c r="B234" i="92"/>
  <c r="B235" i="92"/>
  <c r="B236" i="92"/>
  <c r="B237" i="92"/>
  <c r="B238" i="92"/>
  <c r="B239" i="92"/>
  <c r="B240" i="92"/>
  <c r="B241" i="92"/>
  <c r="B242" i="92"/>
  <c r="B230" i="96"/>
  <c r="B231" i="96"/>
  <c r="B232" i="96"/>
  <c r="B233" i="96"/>
  <c r="B234" i="96"/>
  <c r="B235" i="96"/>
  <c r="B236" i="96"/>
  <c r="B237" i="96"/>
  <c r="B238" i="96"/>
  <c r="B239" i="96"/>
  <c r="B240" i="96"/>
  <c r="B241" i="96"/>
  <c r="B242" i="96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29" i="88"/>
  <c r="B229" i="92"/>
  <c r="B229" i="96"/>
  <c r="B229" i="52"/>
  <c r="F168" i="88"/>
  <c r="E168" i="88"/>
  <c r="D168" i="88"/>
  <c r="C168" i="88"/>
  <c r="F168" i="92"/>
  <c r="E168" i="92"/>
  <c r="D168" i="92"/>
  <c r="C168" i="92"/>
  <c r="F168" i="96"/>
  <c r="E168" i="96"/>
  <c r="D168" i="96"/>
  <c r="C168" i="96"/>
  <c r="F168" i="52"/>
  <c r="E168" i="52"/>
  <c r="D168" i="52"/>
  <c r="C168" i="52"/>
  <c r="C153" i="88"/>
  <c r="D153" i="88"/>
  <c r="E153" i="88"/>
  <c r="F153" i="88"/>
  <c r="C154" i="88"/>
  <c r="D154" i="88"/>
  <c r="E154" i="88"/>
  <c r="F154" i="88"/>
  <c r="C155" i="88"/>
  <c r="D155" i="88"/>
  <c r="E155" i="88"/>
  <c r="F155" i="88"/>
  <c r="V155" i="88"/>
  <c r="W155" i="88"/>
  <c r="X155" i="88"/>
  <c r="Y155" i="88"/>
  <c r="Z155" i="88"/>
  <c r="AA155" i="88"/>
  <c r="AB155" i="88"/>
  <c r="AC155" i="88"/>
  <c r="AD155" i="88"/>
  <c r="AE155" i="88"/>
  <c r="AF155" i="88"/>
  <c r="AG155" i="88"/>
  <c r="AH155" i="88"/>
  <c r="AI155" i="88"/>
  <c r="AJ155" i="88"/>
  <c r="AK155" i="88"/>
  <c r="AL155" i="88"/>
  <c r="AM155" i="88"/>
  <c r="AN155" i="88"/>
  <c r="AO155" i="88"/>
  <c r="AP155" i="88"/>
  <c r="AQ155" i="88"/>
  <c r="AR155" i="88"/>
  <c r="AS155" i="88"/>
  <c r="AT155" i="88"/>
  <c r="C156" i="88"/>
  <c r="D156" i="88"/>
  <c r="E156" i="88"/>
  <c r="F156" i="88"/>
  <c r="Q156" i="88"/>
  <c r="R156" i="88"/>
  <c r="S156" i="88"/>
  <c r="T156" i="88"/>
  <c r="U156" i="88"/>
  <c r="V156" i="88"/>
  <c r="W156" i="88"/>
  <c r="X156" i="88"/>
  <c r="Y156" i="88"/>
  <c r="Z156" i="88"/>
  <c r="AA156" i="88"/>
  <c r="AB156" i="88"/>
  <c r="AC156" i="88"/>
  <c r="AD156" i="88"/>
  <c r="AE156" i="88"/>
  <c r="AF156" i="88"/>
  <c r="AG156" i="88"/>
  <c r="AH156" i="88"/>
  <c r="AI156" i="88"/>
  <c r="AJ156" i="88"/>
  <c r="AK156" i="88"/>
  <c r="AL156" i="88"/>
  <c r="AM156" i="88"/>
  <c r="AN156" i="88"/>
  <c r="AO156" i="88"/>
  <c r="AP156" i="88"/>
  <c r="AQ156" i="88"/>
  <c r="AR156" i="88"/>
  <c r="AS156" i="88"/>
  <c r="AT156" i="88"/>
  <c r="C157" i="88"/>
  <c r="D157" i="88"/>
  <c r="E157" i="88"/>
  <c r="F157" i="88"/>
  <c r="L157" i="88"/>
  <c r="M157" i="88"/>
  <c r="N157" i="88"/>
  <c r="O157" i="88"/>
  <c r="P157" i="88"/>
  <c r="Q157" i="88"/>
  <c r="R157" i="88"/>
  <c r="S157" i="88"/>
  <c r="T157" i="88"/>
  <c r="U157" i="88"/>
  <c r="V157" i="88"/>
  <c r="W157" i="88"/>
  <c r="X157" i="88"/>
  <c r="Y157" i="88"/>
  <c r="Z157" i="88"/>
  <c r="AA157" i="88"/>
  <c r="AB157" i="88"/>
  <c r="AC157" i="88"/>
  <c r="AD157" i="88"/>
  <c r="AE157" i="88"/>
  <c r="AF157" i="88"/>
  <c r="AG157" i="88"/>
  <c r="AH157" i="88"/>
  <c r="AI157" i="88"/>
  <c r="AJ157" i="88"/>
  <c r="AK157" i="88"/>
  <c r="AL157" i="88"/>
  <c r="AM157" i="88"/>
  <c r="AN157" i="88"/>
  <c r="AO157" i="88"/>
  <c r="AP157" i="88"/>
  <c r="AQ157" i="88"/>
  <c r="AR157" i="88"/>
  <c r="AS157" i="88"/>
  <c r="AT157" i="88"/>
  <c r="C158" i="88"/>
  <c r="D158" i="88"/>
  <c r="E158" i="88"/>
  <c r="F158" i="88"/>
  <c r="C159" i="88"/>
  <c r="D159" i="88"/>
  <c r="E159" i="88"/>
  <c r="F159" i="88"/>
  <c r="G159" i="88"/>
  <c r="H159" i="88"/>
  <c r="I159" i="88"/>
  <c r="J159" i="88"/>
  <c r="K159" i="88"/>
  <c r="L159" i="88"/>
  <c r="M159" i="88"/>
  <c r="N159" i="88"/>
  <c r="O159" i="88"/>
  <c r="P159" i="88"/>
  <c r="Q159" i="88"/>
  <c r="AC159" i="88"/>
  <c r="AD159" i="88"/>
  <c r="AE159" i="88"/>
  <c r="AF159" i="88"/>
  <c r="AG159" i="88"/>
  <c r="AH159" i="88"/>
  <c r="AI159" i="88"/>
  <c r="AJ159" i="88"/>
  <c r="AK159" i="88"/>
  <c r="AL159" i="88"/>
  <c r="AM159" i="88"/>
  <c r="AN159" i="88"/>
  <c r="AO159" i="88"/>
  <c r="AP159" i="88"/>
  <c r="AQ159" i="88"/>
  <c r="AR159" i="88"/>
  <c r="AS159" i="88"/>
  <c r="AT159" i="88"/>
  <c r="C160" i="88"/>
  <c r="D160" i="88"/>
  <c r="E160" i="88"/>
  <c r="F160" i="88"/>
  <c r="G160" i="88"/>
  <c r="H160" i="88"/>
  <c r="I160" i="88"/>
  <c r="J160" i="88"/>
  <c r="K160" i="88"/>
  <c r="L160" i="88"/>
  <c r="M160" i="88"/>
  <c r="N160" i="88"/>
  <c r="O160" i="88"/>
  <c r="P160" i="88"/>
  <c r="Q160" i="88"/>
  <c r="AC160" i="88"/>
  <c r="AD160" i="88"/>
  <c r="AE160" i="88"/>
  <c r="AF160" i="88"/>
  <c r="AG160" i="88"/>
  <c r="AH160" i="88"/>
  <c r="AI160" i="88"/>
  <c r="AJ160" i="88"/>
  <c r="AK160" i="88"/>
  <c r="AL160" i="88"/>
  <c r="AM160" i="88"/>
  <c r="AN160" i="88"/>
  <c r="AO160" i="88"/>
  <c r="AP160" i="88"/>
  <c r="AQ160" i="88"/>
  <c r="AR160" i="88"/>
  <c r="AS160" i="88"/>
  <c r="AT160" i="88"/>
  <c r="C161" i="88"/>
  <c r="D161" i="88"/>
  <c r="E161" i="88"/>
  <c r="F161" i="88"/>
  <c r="G161" i="88"/>
  <c r="H161" i="88"/>
  <c r="I161" i="88"/>
  <c r="J161" i="88"/>
  <c r="K161" i="88"/>
  <c r="L161" i="88"/>
  <c r="M161" i="88"/>
  <c r="N161" i="88"/>
  <c r="O161" i="88"/>
  <c r="P161" i="88"/>
  <c r="Q161" i="88"/>
  <c r="R161" i="88"/>
  <c r="S161" i="88"/>
  <c r="T161" i="88"/>
  <c r="U161" i="88"/>
  <c r="V161" i="88"/>
  <c r="W161" i="88"/>
  <c r="AM161" i="88"/>
  <c r="AN161" i="88"/>
  <c r="AO161" i="88"/>
  <c r="AP161" i="88"/>
  <c r="AQ161" i="88"/>
  <c r="AR161" i="88"/>
  <c r="AS161" i="88"/>
  <c r="AT161" i="88"/>
  <c r="C162" i="88"/>
  <c r="D162" i="88"/>
  <c r="E162" i="88"/>
  <c r="F162" i="88"/>
  <c r="G162" i="88"/>
  <c r="H162" i="88"/>
  <c r="I162" i="88"/>
  <c r="J162" i="88"/>
  <c r="K162" i="88"/>
  <c r="L162" i="88"/>
  <c r="M162" i="88"/>
  <c r="N162" i="88"/>
  <c r="O162" i="88"/>
  <c r="P162" i="88"/>
  <c r="Q162" i="88"/>
  <c r="R162" i="88"/>
  <c r="S162" i="88"/>
  <c r="T162" i="88"/>
  <c r="U162" i="88"/>
  <c r="V162" i="88"/>
  <c r="W162" i="88"/>
  <c r="AM162" i="88"/>
  <c r="AN162" i="88"/>
  <c r="AO162" i="88"/>
  <c r="AP162" i="88"/>
  <c r="AQ162" i="88"/>
  <c r="AR162" i="88"/>
  <c r="AS162" i="88"/>
  <c r="AT162" i="88"/>
  <c r="C163" i="88"/>
  <c r="D163" i="88"/>
  <c r="E163" i="88"/>
  <c r="F163" i="88"/>
  <c r="G163" i="88"/>
  <c r="H163" i="88"/>
  <c r="I163" i="88"/>
  <c r="J163" i="88"/>
  <c r="K163" i="88"/>
  <c r="L163" i="88"/>
  <c r="M163" i="88"/>
  <c r="N163" i="88"/>
  <c r="O163" i="88"/>
  <c r="P163" i="88"/>
  <c r="Q163" i="88"/>
  <c r="R163" i="88"/>
  <c r="S163" i="88"/>
  <c r="T163" i="88"/>
  <c r="U163" i="88"/>
  <c r="V163" i="88"/>
  <c r="W163" i="88"/>
  <c r="X163" i="88"/>
  <c r="Y163" i="88"/>
  <c r="Z163" i="88"/>
  <c r="AA163" i="88"/>
  <c r="AB163" i="88"/>
  <c r="AN163" i="88"/>
  <c r="AO163" i="88"/>
  <c r="AP163" i="88"/>
  <c r="AQ163" i="88"/>
  <c r="AR163" i="88"/>
  <c r="AS163" i="88"/>
  <c r="AT163" i="88"/>
  <c r="C164" i="88"/>
  <c r="D164" i="88"/>
  <c r="E164" i="88"/>
  <c r="F164" i="88"/>
  <c r="G164" i="88"/>
  <c r="H164" i="88"/>
  <c r="I164" i="88"/>
  <c r="J164" i="88"/>
  <c r="K164" i="88"/>
  <c r="L164" i="88"/>
  <c r="M164" i="88"/>
  <c r="N164" i="88"/>
  <c r="O164" i="88"/>
  <c r="P164" i="88"/>
  <c r="Q164" i="88"/>
  <c r="R164" i="88"/>
  <c r="S164" i="88"/>
  <c r="T164" i="88"/>
  <c r="U164" i="88"/>
  <c r="V164" i="88"/>
  <c r="W164" i="88"/>
  <c r="X164" i="88"/>
  <c r="Y164" i="88"/>
  <c r="Z164" i="88"/>
  <c r="AA164" i="88"/>
  <c r="AB164" i="88"/>
  <c r="AN164" i="88"/>
  <c r="AO164" i="88"/>
  <c r="AP164" i="88"/>
  <c r="AQ164" i="88"/>
  <c r="AR164" i="88"/>
  <c r="AS164" i="88"/>
  <c r="AT164" i="88"/>
  <c r="C165" i="88"/>
  <c r="D165" i="88"/>
  <c r="E165" i="88"/>
  <c r="F165" i="88"/>
  <c r="G165" i="88"/>
  <c r="H165" i="88"/>
  <c r="I165" i="88"/>
  <c r="J165" i="88"/>
  <c r="K165" i="88"/>
  <c r="L165" i="88"/>
  <c r="M165" i="88"/>
  <c r="N165" i="88"/>
  <c r="O165" i="88"/>
  <c r="P165" i="88"/>
  <c r="Q165" i="88"/>
  <c r="R165" i="88"/>
  <c r="S165" i="88"/>
  <c r="T165" i="88"/>
  <c r="U165" i="88"/>
  <c r="V165" i="88"/>
  <c r="W165" i="88"/>
  <c r="X165" i="88"/>
  <c r="Y165" i="88"/>
  <c r="Z165" i="88"/>
  <c r="AA165" i="88"/>
  <c r="AB165" i="88"/>
  <c r="AC165" i="88"/>
  <c r="AD165" i="88"/>
  <c r="AE165" i="88"/>
  <c r="AF165" i="88"/>
  <c r="AG165" i="88"/>
  <c r="AH165" i="88"/>
  <c r="AI165" i="88"/>
  <c r="AJ165" i="88"/>
  <c r="AK165" i="88"/>
  <c r="AL165" i="88"/>
  <c r="AM165" i="88"/>
  <c r="AN165" i="88"/>
  <c r="C166" i="88"/>
  <c r="D166" i="88"/>
  <c r="E166" i="88"/>
  <c r="F166" i="88"/>
  <c r="G166" i="88"/>
  <c r="H166" i="88"/>
  <c r="I166" i="88"/>
  <c r="J166" i="88"/>
  <c r="K166" i="88"/>
  <c r="L166" i="88"/>
  <c r="M166" i="88"/>
  <c r="N166" i="88"/>
  <c r="O166" i="88"/>
  <c r="P166" i="88"/>
  <c r="Q166" i="88"/>
  <c r="R166" i="88"/>
  <c r="S166" i="88"/>
  <c r="T166" i="88"/>
  <c r="U166" i="88"/>
  <c r="V166" i="88"/>
  <c r="W166" i="88"/>
  <c r="X166" i="88"/>
  <c r="Y166" i="88"/>
  <c r="Z166" i="88"/>
  <c r="AA166" i="88"/>
  <c r="AB166" i="88"/>
  <c r="AC166" i="88"/>
  <c r="AD166" i="88"/>
  <c r="AE166" i="88"/>
  <c r="AF166" i="88"/>
  <c r="AG166" i="88"/>
  <c r="AH166" i="88"/>
  <c r="AI166" i="88"/>
  <c r="AJ166" i="88"/>
  <c r="AK166" i="88"/>
  <c r="AL166" i="88"/>
  <c r="AM166" i="88"/>
  <c r="AN166" i="88"/>
  <c r="C153" i="92"/>
  <c r="D153" i="92"/>
  <c r="E153" i="92"/>
  <c r="F153" i="92"/>
  <c r="C154" i="92"/>
  <c r="D154" i="92"/>
  <c r="E154" i="92"/>
  <c r="F154" i="92"/>
  <c r="C155" i="92"/>
  <c r="D155" i="92"/>
  <c r="E155" i="92"/>
  <c r="F155" i="92"/>
  <c r="V155" i="92"/>
  <c r="W155" i="92"/>
  <c r="X155" i="92"/>
  <c r="Y155" i="92"/>
  <c r="Z155" i="92"/>
  <c r="AA155" i="92"/>
  <c r="AB155" i="92"/>
  <c r="AC155" i="92"/>
  <c r="AD155" i="92"/>
  <c r="AE155" i="92"/>
  <c r="AF155" i="92"/>
  <c r="AG155" i="92"/>
  <c r="AH155" i="92"/>
  <c r="AI155" i="92"/>
  <c r="AJ155" i="92"/>
  <c r="AK155" i="92"/>
  <c r="AL155" i="92"/>
  <c r="AM155" i="92"/>
  <c r="AN155" i="92"/>
  <c r="AO155" i="92"/>
  <c r="AP155" i="92"/>
  <c r="AQ155" i="92"/>
  <c r="AR155" i="92"/>
  <c r="AS155" i="92"/>
  <c r="AT155" i="92"/>
  <c r="C156" i="92"/>
  <c r="D156" i="92"/>
  <c r="E156" i="92"/>
  <c r="F156" i="92"/>
  <c r="Q156" i="92"/>
  <c r="R156" i="92"/>
  <c r="S156" i="92"/>
  <c r="T156" i="92"/>
  <c r="U156" i="92"/>
  <c r="V156" i="92"/>
  <c r="W156" i="92"/>
  <c r="X156" i="92"/>
  <c r="Y156" i="92"/>
  <c r="Z156" i="92"/>
  <c r="AA156" i="92"/>
  <c r="AB156" i="92"/>
  <c r="AC156" i="92"/>
  <c r="AD156" i="92"/>
  <c r="AE156" i="92"/>
  <c r="AF156" i="92"/>
  <c r="AG156" i="92"/>
  <c r="AH156" i="92"/>
  <c r="AI156" i="92"/>
  <c r="AJ156" i="92"/>
  <c r="AK156" i="92"/>
  <c r="AL156" i="92"/>
  <c r="AM156" i="92"/>
  <c r="AN156" i="92"/>
  <c r="AO156" i="92"/>
  <c r="AP156" i="92"/>
  <c r="AQ156" i="92"/>
  <c r="AR156" i="92"/>
  <c r="AS156" i="92"/>
  <c r="AT156" i="92"/>
  <c r="C157" i="92"/>
  <c r="D157" i="92"/>
  <c r="E157" i="92"/>
  <c r="F157" i="92"/>
  <c r="L157" i="92"/>
  <c r="M157" i="92"/>
  <c r="N157" i="92"/>
  <c r="O157" i="92"/>
  <c r="P157" i="92"/>
  <c r="Q157" i="92"/>
  <c r="R157" i="92"/>
  <c r="S157" i="92"/>
  <c r="T157" i="92"/>
  <c r="U157" i="92"/>
  <c r="V157" i="92"/>
  <c r="W157" i="92"/>
  <c r="X157" i="92"/>
  <c r="Y157" i="92"/>
  <c r="Z157" i="92"/>
  <c r="AA157" i="92"/>
  <c r="AB157" i="92"/>
  <c r="AC157" i="92"/>
  <c r="AD157" i="92"/>
  <c r="AE157" i="92"/>
  <c r="AF157" i="92"/>
  <c r="AG157" i="92"/>
  <c r="AH157" i="92"/>
  <c r="AI157" i="92"/>
  <c r="AJ157" i="92"/>
  <c r="AK157" i="92"/>
  <c r="AL157" i="92"/>
  <c r="AM157" i="92"/>
  <c r="AN157" i="92"/>
  <c r="AO157" i="92"/>
  <c r="AP157" i="92"/>
  <c r="AQ157" i="92"/>
  <c r="AR157" i="92"/>
  <c r="AS157" i="92"/>
  <c r="AT157" i="92"/>
  <c r="C158" i="92"/>
  <c r="D158" i="92"/>
  <c r="E158" i="92"/>
  <c r="F158" i="92"/>
  <c r="C159" i="92"/>
  <c r="D159" i="92"/>
  <c r="E159" i="92"/>
  <c r="F159" i="92"/>
  <c r="G159" i="92"/>
  <c r="H159" i="92"/>
  <c r="I159" i="92"/>
  <c r="J159" i="92"/>
  <c r="K159" i="92"/>
  <c r="L159" i="92"/>
  <c r="M159" i="92"/>
  <c r="N159" i="92"/>
  <c r="O159" i="92"/>
  <c r="P159" i="92"/>
  <c r="Q159" i="92"/>
  <c r="AC159" i="92"/>
  <c r="AD159" i="92"/>
  <c r="AE159" i="92"/>
  <c r="AF159" i="92"/>
  <c r="AG159" i="92"/>
  <c r="AH159" i="92"/>
  <c r="AI159" i="92"/>
  <c r="AJ159" i="92"/>
  <c r="AK159" i="92"/>
  <c r="AL159" i="92"/>
  <c r="AM159" i="92"/>
  <c r="AN159" i="92"/>
  <c r="AO159" i="92"/>
  <c r="AP159" i="92"/>
  <c r="AQ159" i="92"/>
  <c r="AR159" i="92"/>
  <c r="AS159" i="92"/>
  <c r="AT159" i="92"/>
  <c r="C160" i="92"/>
  <c r="D160" i="92"/>
  <c r="E160" i="92"/>
  <c r="F160" i="92"/>
  <c r="G160" i="92"/>
  <c r="H160" i="92"/>
  <c r="I160" i="92"/>
  <c r="J160" i="92"/>
  <c r="K160" i="92"/>
  <c r="L160" i="92"/>
  <c r="M160" i="92"/>
  <c r="N160" i="92"/>
  <c r="O160" i="92"/>
  <c r="P160" i="92"/>
  <c r="Q160" i="92"/>
  <c r="AC160" i="92"/>
  <c r="AD160" i="92"/>
  <c r="AE160" i="92"/>
  <c r="AF160" i="92"/>
  <c r="AG160" i="92"/>
  <c r="AH160" i="92"/>
  <c r="AI160" i="92"/>
  <c r="AJ160" i="92"/>
  <c r="AK160" i="92"/>
  <c r="AL160" i="92"/>
  <c r="AM160" i="92"/>
  <c r="AN160" i="92"/>
  <c r="AO160" i="92"/>
  <c r="AP160" i="92"/>
  <c r="AQ160" i="92"/>
  <c r="AR160" i="92"/>
  <c r="AS160" i="92"/>
  <c r="AT160" i="92"/>
  <c r="C161" i="92"/>
  <c r="D161" i="92"/>
  <c r="E161" i="92"/>
  <c r="F161" i="92"/>
  <c r="G161" i="92"/>
  <c r="H161" i="92"/>
  <c r="I161" i="92"/>
  <c r="J161" i="92"/>
  <c r="K161" i="92"/>
  <c r="L161" i="92"/>
  <c r="M161" i="92"/>
  <c r="N161" i="92"/>
  <c r="O161" i="92"/>
  <c r="P161" i="92"/>
  <c r="Q161" i="92"/>
  <c r="R161" i="92"/>
  <c r="S161" i="92"/>
  <c r="T161" i="92"/>
  <c r="U161" i="92"/>
  <c r="V161" i="92"/>
  <c r="W161" i="92"/>
  <c r="AM161" i="92"/>
  <c r="AN161" i="92"/>
  <c r="AO161" i="92"/>
  <c r="AP161" i="92"/>
  <c r="AQ161" i="92"/>
  <c r="AR161" i="92"/>
  <c r="AS161" i="92"/>
  <c r="AT161" i="92"/>
  <c r="C162" i="92"/>
  <c r="D162" i="92"/>
  <c r="E162" i="92"/>
  <c r="F162" i="92"/>
  <c r="G162" i="92"/>
  <c r="H162" i="92"/>
  <c r="I162" i="92"/>
  <c r="J162" i="92"/>
  <c r="K162" i="92"/>
  <c r="L162" i="92"/>
  <c r="M162" i="92"/>
  <c r="N162" i="92"/>
  <c r="O162" i="92"/>
  <c r="P162" i="92"/>
  <c r="Q162" i="92"/>
  <c r="R162" i="92"/>
  <c r="S162" i="92"/>
  <c r="T162" i="92"/>
  <c r="U162" i="92"/>
  <c r="V162" i="92"/>
  <c r="W162" i="92"/>
  <c r="AM162" i="92"/>
  <c r="AN162" i="92"/>
  <c r="AO162" i="92"/>
  <c r="AP162" i="92"/>
  <c r="AQ162" i="92"/>
  <c r="AR162" i="92"/>
  <c r="AS162" i="92"/>
  <c r="AT162" i="92"/>
  <c r="C163" i="92"/>
  <c r="D163" i="92"/>
  <c r="E163" i="92"/>
  <c r="F163" i="92"/>
  <c r="G163" i="92"/>
  <c r="H163" i="92"/>
  <c r="I163" i="92"/>
  <c r="J163" i="92"/>
  <c r="K163" i="92"/>
  <c r="L163" i="92"/>
  <c r="M163" i="92"/>
  <c r="N163" i="92"/>
  <c r="O163" i="92"/>
  <c r="P163" i="92"/>
  <c r="Q163" i="92"/>
  <c r="R163" i="92"/>
  <c r="S163" i="92"/>
  <c r="T163" i="92"/>
  <c r="U163" i="92"/>
  <c r="V163" i="92"/>
  <c r="W163" i="92"/>
  <c r="X163" i="92"/>
  <c r="Y163" i="92"/>
  <c r="Z163" i="92"/>
  <c r="AA163" i="92"/>
  <c r="AB163" i="92"/>
  <c r="AN163" i="92"/>
  <c r="AO163" i="92"/>
  <c r="AP163" i="92"/>
  <c r="AQ163" i="92"/>
  <c r="AR163" i="92"/>
  <c r="AS163" i="92"/>
  <c r="AT163" i="92"/>
  <c r="C164" i="92"/>
  <c r="D164" i="92"/>
  <c r="E164" i="92"/>
  <c r="F164" i="92"/>
  <c r="G164" i="92"/>
  <c r="H164" i="92"/>
  <c r="I164" i="92"/>
  <c r="J164" i="92"/>
  <c r="K164" i="92"/>
  <c r="L164" i="92"/>
  <c r="M164" i="92"/>
  <c r="N164" i="92"/>
  <c r="O164" i="92"/>
  <c r="P164" i="92"/>
  <c r="Q164" i="92"/>
  <c r="R164" i="92"/>
  <c r="S164" i="92"/>
  <c r="T164" i="92"/>
  <c r="U164" i="92"/>
  <c r="V164" i="92"/>
  <c r="W164" i="92"/>
  <c r="X164" i="92"/>
  <c r="Y164" i="92"/>
  <c r="Z164" i="92"/>
  <c r="AA164" i="92"/>
  <c r="AB164" i="92"/>
  <c r="AN164" i="92"/>
  <c r="AO164" i="92"/>
  <c r="AP164" i="92"/>
  <c r="AQ164" i="92"/>
  <c r="AR164" i="92"/>
  <c r="AS164" i="92"/>
  <c r="AT164" i="92"/>
  <c r="C165" i="92"/>
  <c r="D165" i="92"/>
  <c r="E165" i="92"/>
  <c r="F165" i="92"/>
  <c r="G165" i="92"/>
  <c r="H165" i="92"/>
  <c r="I165" i="92"/>
  <c r="J165" i="92"/>
  <c r="K165" i="92"/>
  <c r="L165" i="92"/>
  <c r="M165" i="92"/>
  <c r="N165" i="92"/>
  <c r="O165" i="92"/>
  <c r="P165" i="92"/>
  <c r="Q165" i="92"/>
  <c r="R165" i="92"/>
  <c r="S165" i="92"/>
  <c r="T165" i="92"/>
  <c r="U165" i="92"/>
  <c r="V165" i="92"/>
  <c r="W165" i="92"/>
  <c r="X165" i="92"/>
  <c r="Y165" i="92"/>
  <c r="Z165" i="92"/>
  <c r="AA165" i="92"/>
  <c r="AB165" i="92"/>
  <c r="AC165" i="92"/>
  <c r="AD165" i="92"/>
  <c r="AE165" i="92"/>
  <c r="AF165" i="92"/>
  <c r="AG165" i="92"/>
  <c r="AH165" i="92"/>
  <c r="AI165" i="92"/>
  <c r="AJ165" i="92"/>
  <c r="AK165" i="92"/>
  <c r="AL165" i="92"/>
  <c r="AM165" i="92"/>
  <c r="AN165" i="92"/>
  <c r="C166" i="92"/>
  <c r="D166" i="92"/>
  <c r="E166" i="92"/>
  <c r="F166" i="92"/>
  <c r="G166" i="92"/>
  <c r="H166" i="92"/>
  <c r="I166" i="92"/>
  <c r="J166" i="92"/>
  <c r="K166" i="92"/>
  <c r="L166" i="92"/>
  <c r="M166" i="92"/>
  <c r="N166" i="92"/>
  <c r="O166" i="92"/>
  <c r="P166" i="92"/>
  <c r="Q166" i="92"/>
  <c r="R166" i="92"/>
  <c r="S166" i="92"/>
  <c r="T166" i="92"/>
  <c r="U166" i="92"/>
  <c r="V166" i="92"/>
  <c r="W166" i="92"/>
  <c r="X166" i="92"/>
  <c r="Y166" i="92"/>
  <c r="Z166" i="92"/>
  <c r="AA166" i="92"/>
  <c r="AB166" i="92"/>
  <c r="AC166" i="92"/>
  <c r="AD166" i="92"/>
  <c r="AE166" i="92"/>
  <c r="AF166" i="92"/>
  <c r="AG166" i="92"/>
  <c r="AH166" i="92"/>
  <c r="AI166" i="92"/>
  <c r="AJ166" i="92"/>
  <c r="AK166" i="92"/>
  <c r="AL166" i="92"/>
  <c r="AM166" i="92"/>
  <c r="AN166" i="92"/>
  <c r="C153" i="96"/>
  <c r="D153" i="96"/>
  <c r="E153" i="96"/>
  <c r="F153" i="96"/>
  <c r="C154" i="96"/>
  <c r="D154" i="96"/>
  <c r="E154" i="96"/>
  <c r="F154" i="96"/>
  <c r="C155" i="96"/>
  <c r="D155" i="96"/>
  <c r="E155" i="96"/>
  <c r="F155" i="96"/>
  <c r="V155" i="96"/>
  <c r="W155" i="96"/>
  <c r="X155" i="96"/>
  <c r="Y155" i="96"/>
  <c r="Z155" i="96"/>
  <c r="AA155" i="96"/>
  <c r="AB155" i="96"/>
  <c r="AC155" i="96"/>
  <c r="AD155" i="96"/>
  <c r="AE155" i="96"/>
  <c r="AF155" i="96"/>
  <c r="AG155" i="96"/>
  <c r="AH155" i="96"/>
  <c r="AI155" i="96"/>
  <c r="AJ155" i="96"/>
  <c r="AK155" i="96"/>
  <c r="AL155" i="96"/>
  <c r="AM155" i="96"/>
  <c r="AN155" i="96"/>
  <c r="AO155" i="96"/>
  <c r="AP155" i="96"/>
  <c r="AQ155" i="96"/>
  <c r="AR155" i="96"/>
  <c r="AS155" i="96"/>
  <c r="AT155" i="96"/>
  <c r="C156" i="96"/>
  <c r="D156" i="96"/>
  <c r="E156" i="96"/>
  <c r="F156" i="96"/>
  <c r="Q156" i="96"/>
  <c r="R156" i="96"/>
  <c r="S156" i="96"/>
  <c r="T156" i="96"/>
  <c r="U156" i="96"/>
  <c r="V156" i="96"/>
  <c r="W156" i="96"/>
  <c r="X156" i="96"/>
  <c r="Y156" i="96"/>
  <c r="Z156" i="96"/>
  <c r="AA156" i="96"/>
  <c r="AB156" i="96"/>
  <c r="AC156" i="96"/>
  <c r="AD156" i="96"/>
  <c r="AE156" i="96"/>
  <c r="AF156" i="96"/>
  <c r="AG156" i="96"/>
  <c r="AH156" i="96"/>
  <c r="AI156" i="96"/>
  <c r="AJ156" i="96"/>
  <c r="AK156" i="96"/>
  <c r="AL156" i="96"/>
  <c r="AM156" i="96"/>
  <c r="AN156" i="96"/>
  <c r="AO156" i="96"/>
  <c r="AP156" i="96"/>
  <c r="AQ156" i="96"/>
  <c r="AR156" i="96"/>
  <c r="AS156" i="96"/>
  <c r="AT156" i="96"/>
  <c r="C157" i="96"/>
  <c r="D157" i="96"/>
  <c r="E157" i="96"/>
  <c r="F157" i="96"/>
  <c r="L157" i="96"/>
  <c r="M157" i="96"/>
  <c r="N157" i="96"/>
  <c r="O157" i="96"/>
  <c r="P157" i="96"/>
  <c r="Q157" i="96"/>
  <c r="R157" i="96"/>
  <c r="S157" i="96"/>
  <c r="T157" i="96"/>
  <c r="U157" i="96"/>
  <c r="V157" i="96"/>
  <c r="W157" i="96"/>
  <c r="X157" i="96"/>
  <c r="Y157" i="96"/>
  <c r="Z157" i="96"/>
  <c r="AA157" i="96"/>
  <c r="AB157" i="96"/>
  <c r="AC157" i="96"/>
  <c r="AD157" i="96"/>
  <c r="AE157" i="96"/>
  <c r="AF157" i="96"/>
  <c r="AG157" i="96"/>
  <c r="AH157" i="96"/>
  <c r="AI157" i="96"/>
  <c r="AJ157" i="96"/>
  <c r="AK157" i="96"/>
  <c r="AL157" i="96"/>
  <c r="AM157" i="96"/>
  <c r="AN157" i="96"/>
  <c r="AO157" i="96"/>
  <c r="AP157" i="96"/>
  <c r="AQ157" i="96"/>
  <c r="AR157" i="96"/>
  <c r="AS157" i="96"/>
  <c r="AT157" i="96"/>
  <c r="C158" i="96"/>
  <c r="D158" i="96"/>
  <c r="E158" i="96"/>
  <c r="F158" i="96"/>
  <c r="C159" i="96"/>
  <c r="D159" i="96"/>
  <c r="E159" i="96"/>
  <c r="F159" i="96"/>
  <c r="G159" i="96"/>
  <c r="H159" i="96"/>
  <c r="I159" i="96"/>
  <c r="J159" i="96"/>
  <c r="K159" i="96"/>
  <c r="L159" i="96"/>
  <c r="M159" i="96"/>
  <c r="N159" i="96"/>
  <c r="O159" i="96"/>
  <c r="P159" i="96"/>
  <c r="Q159" i="96"/>
  <c r="AC159" i="96"/>
  <c r="AD159" i="96"/>
  <c r="AE159" i="96"/>
  <c r="AF159" i="96"/>
  <c r="AG159" i="96"/>
  <c r="AH159" i="96"/>
  <c r="AI159" i="96"/>
  <c r="AJ159" i="96"/>
  <c r="AK159" i="96"/>
  <c r="AL159" i="96"/>
  <c r="AM159" i="96"/>
  <c r="AN159" i="96"/>
  <c r="AO159" i="96"/>
  <c r="AP159" i="96"/>
  <c r="AQ159" i="96"/>
  <c r="AR159" i="96"/>
  <c r="AS159" i="96"/>
  <c r="AT159" i="96"/>
  <c r="C160" i="96"/>
  <c r="D160" i="96"/>
  <c r="E160" i="96"/>
  <c r="F160" i="96"/>
  <c r="G160" i="96"/>
  <c r="H160" i="96"/>
  <c r="I160" i="96"/>
  <c r="J160" i="96"/>
  <c r="K160" i="96"/>
  <c r="L160" i="96"/>
  <c r="M160" i="96"/>
  <c r="N160" i="96"/>
  <c r="O160" i="96"/>
  <c r="P160" i="96"/>
  <c r="Q160" i="96"/>
  <c r="AC160" i="96"/>
  <c r="AD160" i="96"/>
  <c r="AE160" i="96"/>
  <c r="AF160" i="96"/>
  <c r="AG160" i="96"/>
  <c r="AH160" i="96"/>
  <c r="AI160" i="96"/>
  <c r="AJ160" i="96"/>
  <c r="AK160" i="96"/>
  <c r="AL160" i="96"/>
  <c r="AM160" i="96"/>
  <c r="AN160" i="96"/>
  <c r="AO160" i="96"/>
  <c r="AP160" i="96"/>
  <c r="AQ160" i="96"/>
  <c r="AR160" i="96"/>
  <c r="AS160" i="96"/>
  <c r="AT160" i="96"/>
  <c r="C161" i="96"/>
  <c r="D161" i="96"/>
  <c r="E161" i="96"/>
  <c r="F161" i="96"/>
  <c r="G161" i="96"/>
  <c r="H161" i="96"/>
  <c r="I161" i="96"/>
  <c r="J161" i="96"/>
  <c r="K161" i="96"/>
  <c r="L161" i="96"/>
  <c r="M161" i="96"/>
  <c r="N161" i="96"/>
  <c r="O161" i="96"/>
  <c r="P161" i="96"/>
  <c r="Q161" i="96"/>
  <c r="R161" i="96"/>
  <c r="S161" i="96"/>
  <c r="T161" i="96"/>
  <c r="U161" i="96"/>
  <c r="V161" i="96"/>
  <c r="W161" i="96"/>
  <c r="AM161" i="96"/>
  <c r="AN161" i="96"/>
  <c r="AO161" i="96"/>
  <c r="AP161" i="96"/>
  <c r="AQ161" i="96"/>
  <c r="AR161" i="96"/>
  <c r="AS161" i="96"/>
  <c r="AT161" i="96"/>
  <c r="C162" i="96"/>
  <c r="D162" i="96"/>
  <c r="E162" i="96"/>
  <c r="F162" i="96"/>
  <c r="G162" i="96"/>
  <c r="H162" i="96"/>
  <c r="I162" i="96"/>
  <c r="J162" i="96"/>
  <c r="K162" i="96"/>
  <c r="L162" i="96"/>
  <c r="M162" i="96"/>
  <c r="N162" i="96"/>
  <c r="O162" i="96"/>
  <c r="P162" i="96"/>
  <c r="Q162" i="96"/>
  <c r="R162" i="96"/>
  <c r="S162" i="96"/>
  <c r="T162" i="96"/>
  <c r="U162" i="96"/>
  <c r="V162" i="96"/>
  <c r="W162" i="96"/>
  <c r="AM162" i="96"/>
  <c r="AN162" i="96"/>
  <c r="AO162" i="96"/>
  <c r="AP162" i="96"/>
  <c r="AQ162" i="96"/>
  <c r="AR162" i="96"/>
  <c r="AS162" i="96"/>
  <c r="AT162" i="96"/>
  <c r="C163" i="96"/>
  <c r="D163" i="96"/>
  <c r="E163" i="96"/>
  <c r="F163" i="96"/>
  <c r="G163" i="96"/>
  <c r="H163" i="96"/>
  <c r="I163" i="96"/>
  <c r="J163" i="96"/>
  <c r="K163" i="96"/>
  <c r="L163" i="96"/>
  <c r="M163" i="96"/>
  <c r="N163" i="96"/>
  <c r="O163" i="96"/>
  <c r="P163" i="96"/>
  <c r="Q163" i="96"/>
  <c r="R163" i="96"/>
  <c r="S163" i="96"/>
  <c r="T163" i="96"/>
  <c r="U163" i="96"/>
  <c r="V163" i="96"/>
  <c r="W163" i="96"/>
  <c r="X163" i="96"/>
  <c r="Y163" i="96"/>
  <c r="Z163" i="96"/>
  <c r="AA163" i="96"/>
  <c r="AB163" i="96"/>
  <c r="AN163" i="96"/>
  <c r="AO163" i="96"/>
  <c r="AP163" i="96"/>
  <c r="AQ163" i="96"/>
  <c r="AR163" i="96"/>
  <c r="AS163" i="96"/>
  <c r="AT163" i="96"/>
  <c r="C164" i="96"/>
  <c r="D164" i="96"/>
  <c r="E164" i="96"/>
  <c r="F164" i="96"/>
  <c r="G164" i="96"/>
  <c r="H164" i="96"/>
  <c r="I164" i="96"/>
  <c r="J164" i="96"/>
  <c r="K164" i="96"/>
  <c r="L164" i="96"/>
  <c r="M164" i="96"/>
  <c r="N164" i="96"/>
  <c r="O164" i="96"/>
  <c r="P164" i="96"/>
  <c r="Q164" i="96"/>
  <c r="R164" i="96"/>
  <c r="S164" i="96"/>
  <c r="T164" i="96"/>
  <c r="U164" i="96"/>
  <c r="V164" i="96"/>
  <c r="W164" i="96"/>
  <c r="X164" i="96"/>
  <c r="Y164" i="96"/>
  <c r="Z164" i="96"/>
  <c r="AA164" i="96"/>
  <c r="AB164" i="96"/>
  <c r="AN164" i="96"/>
  <c r="AO164" i="96"/>
  <c r="AP164" i="96"/>
  <c r="AQ164" i="96"/>
  <c r="AR164" i="96"/>
  <c r="AS164" i="96"/>
  <c r="AT164" i="96"/>
  <c r="C165" i="96"/>
  <c r="D165" i="96"/>
  <c r="E165" i="96"/>
  <c r="F165" i="96"/>
  <c r="G165" i="96"/>
  <c r="H165" i="96"/>
  <c r="I165" i="96"/>
  <c r="J165" i="96"/>
  <c r="K165" i="96"/>
  <c r="L165" i="96"/>
  <c r="M165" i="96"/>
  <c r="N165" i="96"/>
  <c r="O165" i="96"/>
  <c r="P165" i="96"/>
  <c r="Q165" i="96"/>
  <c r="R165" i="96"/>
  <c r="S165" i="96"/>
  <c r="T165" i="96"/>
  <c r="U165" i="96"/>
  <c r="V165" i="96"/>
  <c r="W165" i="96"/>
  <c r="X165" i="96"/>
  <c r="Y165" i="96"/>
  <c r="Z165" i="96"/>
  <c r="AA165" i="96"/>
  <c r="AB165" i="96"/>
  <c r="AC165" i="96"/>
  <c r="AD165" i="96"/>
  <c r="AE165" i="96"/>
  <c r="AF165" i="96"/>
  <c r="AG165" i="96"/>
  <c r="AH165" i="96"/>
  <c r="AI165" i="96"/>
  <c r="AJ165" i="96"/>
  <c r="AK165" i="96"/>
  <c r="AL165" i="96"/>
  <c r="AM165" i="96"/>
  <c r="AN165" i="96"/>
  <c r="C166" i="96"/>
  <c r="D166" i="96"/>
  <c r="E166" i="96"/>
  <c r="F166" i="96"/>
  <c r="G166" i="96"/>
  <c r="H166" i="96"/>
  <c r="I166" i="96"/>
  <c r="J166" i="96"/>
  <c r="K166" i="96"/>
  <c r="L166" i="96"/>
  <c r="M166" i="96"/>
  <c r="N166" i="96"/>
  <c r="O166" i="96"/>
  <c r="P166" i="96"/>
  <c r="Q166" i="96"/>
  <c r="R166" i="96"/>
  <c r="S166" i="96"/>
  <c r="T166" i="96"/>
  <c r="U166" i="96"/>
  <c r="V166" i="96"/>
  <c r="W166" i="96"/>
  <c r="X166" i="96"/>
  <c r="Y166" i="96"/>
  <c r="Z166" i="96"/>
  <c r="AA166" i="96"/>
  <c r="AB166" i="96"/>
  <c r="AC166" i="96"/>
  <c r="AD166" i="96"/>
  <c r="AE166" i="96"/>
  <c r="AF166" i="96"/>
  <c r="AG166" i="96"/>
  <c r="AH166" i="96"/>
  <c r="AI166" i="96"/>
  <c r="AJ166" i="96"/>
  <c r="AK166" i="96"/>
  <c r="AL166" i="96"/>
  <c r="AM166" i="96"/>
  <c r="AN166" i="96"/>
  <c r="C153" i="52"/>
  <c r="D153" i="52"/>
  <c r="E153" i="52"/>
  <c r="F153" i="52"/>
  <c r="C154" i="52"/>
  <c r="D154" i="52"/>
  <c r="E154" i="52"/>
  <c r="F154" i="52"/>
  <c r="C155" i="52"/>
  <c r="D155" i="52"/>
  <c r="E155" i="52"/>
  <c r="F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T155" i="52"/>
  <c r="C156" i="52"/>
  <c r="D156" i="52"/>
  <c r="E156" i="52"/>
  <c r="F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T156" i="52"/>
  <c r="C157" i="52"/>
  <c r="D157" i="52"/>
  <c r="E157" i="52"/>
  <c r="F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T157" i="52"/>
  <c r="C158" i="52"/>
  <c r="D158" i="52"/>
  <c r="E158" i="52"/>
  <c r="F158" i="52"/>
  <c r="C159" i="52"/>
  <c r="D159" i="52"/>
  <c r="E159" i="52"/>
  <c r="F159" i="52"/>
  <c r="G159" i="52"/>
  <c r="H159" i="52"/>
  <c r="I159" i="52"/>
  <c r="J159" i="52"/>
  <c r="K159" i="52"/>
  <c r="L159" i="52"/>
  <c r="M159" i="52"/>
  <c r="N159" i="52"/>
  <c r="O159" i="52"/>
  <c r="P159" i="52"/>
  <c r="Q159" i="52"/>
  <c r="AC159" i="52"/>
  <c r="AD159" i="52"/>
  <c r="AE159" i="52"/>
  <c r="AF159" i="52"/>
  <c r="AG159" i="52"/>
  <c r="AH159" i="52"/>
  <c r="AI159" i="52"/>
  <c r="AJ159" i="52"/>
  <c r="AK159" i="52"/>
  <c r="AL159" i="52"/>
  <c r="AM159" i="52"/>
  <c r="AN159" i="52"/>
  <c r="AO159" i="52"/>
  <c r="AP159" i="52"/>
  <c r="AQ159" i="52"/>
  <c r="AR159" i="52"/>
  <c r="AS159" i="52"/>
  <c r="AT159" i="52"/>
  <c r="C160" i="52"/>
  <c r="D160" i="52"/>
  <c r="E160" i="52"/>
  <c r="F160" i="52"/>
  <c r="G160" i="52"/>
  <c r="H160" i="52"/>
  <c r="I160" i="52"/>
  <c r="J160" i="52"/>
  <c r="K160" i="52"/>
  <c r="L160" i="52"/>
  <c r="M160" i="52"/>
  <c r="N160" i="52"/>
  <c r="O160" i="52"/>
  <c r="P160" i="52"/>
  <c r="Q160" i="52"/>
  <c r="AC160" i="52"/>
  <c r="AD160" i="52"/>
  <c r="AE160" i="52"/>
  <c r="AF160" i="52"/>
  <c r="AG160" i="52"/>
  <c r="AH160" i="52"/>
  <c r="AI160" i="52"/>
  <c r="AJ160" i="52"/>
  <c r="AK160" i="52"/>
  <c r="AL160" i="52"/>
  <c r="AM160" i="52"/>
  <c r="AN160" i="52"/>
  <c r="AO160" i="52"/>
  <c r="AP160" i="52"/>
  <c r="AQ160" i="52"/>
  <c r="AR160" i="52"/>
  <c r="AS160" i="52"/>
  <c r="AT160" i="52"/>
  <c r="C161" i="52"/>
  <c r="D161" i="52"/>
  <c r="E161" i="52"/>
  <c r="F161" i="52"/>
  <c r="G161" i="52"/>
  <c r="H161" i="52"/>
  <c r="I161" i="52"/>
  <c r="J161" i="52"/>
  <c r="K161" i="52"/>
  <c r="L161" i="52"/>
  <c r="M161" i="52"/>
  <c r="N161" i="52"/>
  <c r="O161" i="52"/>
  <c r="P161" i="52"/>
  <c r="Q161" i="52"/>
  <c r="R161" i="52"/>
  <c r="S161" i="52"/>
  <c r="T161" i="52"/>
  <c r="U161" i="52"/>
  <c r="V161" i="52"/>
  <c r="W161" i="52"/>
  <c r="AM161" i="52"/>
  <c r="AN161" i="52"/>
  <c r="AO161" i="52"/>
  <c r="AP161" i="52"/>
  <c r="AQ161" i="52"/>
  <c r="AR161" i="52"/>
  <c r="AS161" i="52"/>
  <c r="AT161" i="52"/>
  <c r="C162" i="52"/>
  <c r="D162" i="52"/>
  <c r="E162" i="52"/>
  <c r="F162" i="52"/>
  <c r="G162" i="52"/>
  <c r="H162" i="52"/>
  <c r="I162" i="52"/>
  <c r="J162" i="52"/>
  <c r="K162" i="52"/>
  <c r="L162" i="52"/>
  <c r="M162" i="52"/>
  <c r="N162" i="52"/>
  <c r="O162" i="52"/>
  <c r="P162" i="52"/>
  <c r="Q162" i="52"/>
  <c r="R162" i="52"/>
  <c r="S162" i="52"/>
  <c r="T162" i="52"/>
  <c r="U162" i="52"/>
  <c r="V162" i="52"/>
  <c r="W162" i="52"/>
  <c r="AM162" i="52"/>
  <c r="AN162" i="52"/>
  <c r="AO162" i="52"/>
  <c r="AP162" i="52"/>
  <c r="AQ162" i="52"/>
  <c r="AR162" i="52"/>
  <c r="AS162" i="52"/>
  <c r="AT162" i="52"/>
  <c r="C163" i="52"/>
  <c r="D163" i="52"/>
  <c r="E163" i="52"/>
  <c r="F163" i="52"/>
  <c r="G163" i="52"/>
  <c r="H163" i="52"/>
  <c r="I163" i="52"/>
  <c r="J163" i="52"/>
  <c r="K163" i="52"/>
  <c r="L163" i="52"/>
  <c r="M163" i="52"/>
  <c r="N163" i="52"/>
  <c r="O163" i="52"/>
  <c r="P163" i="52"/>
  <c r="Q163" i="52"/>
  <c r="R163" i="52"/>
  <c r="S163" i="52"/>
  <c r="T163" i="52"/>
  <c r="U163" i="52"/>
  <c r="V163" i="52"/>
  <c r="W163" i="52"/>
  <c r="X163" i="52"/>
  <c r="Y163" i="52"/>
  <c r="Z163" i="52"/>
  <c r="AA163" i="52"/>
  <c r="AB163" i="52"/>
  <c r="AN163" i="52"/>
  <c r="AO163" i="52"/>
  <c r="AP163" i="52"/>
  <c r="AQ163" i="52"/>
  <c r="AR163" i="52"/>
  <c r="AS163" i="52"/>
  <c r="AT163" i="52"/>
  <c r="C164" i="52"/>
  <c r="D164" i="52"/>
  <c r="E164" i="52"/>
  <c r="F164" i="52"/>
  <c r="G164" i="52"/>
  <c r="H164" i="52"/>
  <c r="I164" i="52"/>
  <c r="J164" i="52"/>
  <c r="K164" i="52"/>
  <c r="L164" i="52"/>
  <c r="M164" i="52"/>
  <c r="N164" i="52"/>
  <c r="O164" i="52"/>
  <c r="P164" i="52"/>
  <c r="Q164" i="52"/>
  <c r="R164" i="52"/>
  <c r="S164" i="52"/>
  <c r="T164" i="52"/>
  <c r="U164" i="52"/>
  <c r="V164" i="52"/>
  <c r="W164" i="52"/>
  <c r="X164" i="52"/>
  <c r="Y164" i="52"/>
  <c r="Z164" i="52"/>
  <c r="AA164" i="52"/>
  <c r="AB164" i="52"/>
  <c r="AN164" i="52"/>
  <c r="AO164" i="52"/>
  <c r="AP164" i="52"/>
  <c r="AQ164" i="52"/>
  <c r="AR164" i="52"/>
  <c r="AS164" i="52"/>
  <c r="AT164" i="52"/>
  <c r="C165" i="52"/>
  <c r="D165" i="52"/>
  <c r="E165" i="52"/>
  <c r="F165" i="52"/>
  <c r="G165" i="52"/>
  <c r="H165" i="52"/>
  <c r="I165" i="52"/>
  <c r="J165" i="52"/>
  <c r="K165" i="52"/>
  <c r="L165" i="52"/>
  <c r="M165" i="52"/>
  <c r="N165" i="52"/>
  <c r="O165" i="52"/>
  <c r="P165" i="52"/>
  <c r="Q165" i="52"/>
  <c r="R165" i="52"/>
  <c r="S165" i="52"/>
  <c r="T165" i="52"/>
  <c r="U165" i="52"/>
  <c r="V165" i="52"/>
  <c r="W165" i="52"/>
  <c r="X165" i="52"/>
  <c r="Y165" i="52"/>
  <c r="Z165" i="52"/>
  <c r="AA165" i="52"/>
  <c r="AB165" i="52"/>
  <c r="AC165" i="52"/>
  <c r="AD165" i="52"/>
  <c r="AE165" i="52"/>
  <c r="AF165" i="52"/>
  <c r="AG165" i="52"/>
  <c r="AH165" i="52"/>
  <c r="AI165" i="52"/>
  <c r="AJ165" i="52"/>
  <c r="AK165" i="52"/>
  <c r="AL165" i="52"/>
  <c r="AM165" i="52"/>
  <c r="AN165" i="52"/>
  <c r="C166" i="52"/>
  <c r="D166" i="52"/>
  <c r="E166" i="52"/>
  <c r="F166" i="52"/>
  <c r="G166" i="52"/>
  <c r="H166" i="52"/>
  <c r="I166" i="52"/>
  <c r="J166" i="52"/>
  <c r="K166" i="52"/>
  <c r="L166" i="52"/>
  <c r="M166" i="52"/>
  <c r="N166" i="52"/>
  <c r="O166" i="52"/>
  <c r="P166" i="52"/>
  <c r="Q166" i="52"/>
  <c r="R166" i="52"/>
  <c r="S166" i="52"/>
  <c r="T166" i="52"/>
  <c r="U166" i="52"/>
  <c r="V166" i="52"/>
  <c r="W166" i="52"/>
  <c r="X166" i="52"/>
  <c r="Y166" i="52"/>
  <c r="Z166" i="52"/>
  <c r="AA166" i="52"/>
  <c r="AB166" i="52"/>
  <c r="AC166" i="52"/>
  <c r="AD166" i="52"/>
  <c r="AE166" i="52"/>
  <c r="AF166" i="52"/>
  <c r="AG166" i="52"/>
  <c r="AH166" i="52"/>
  <c r="AI166" i="52"/>
  <c r="AJ166" i="52"/>
  <c r="AK166" i="52"/>
  <c r="AL166" i="52"/>
  <c r="AM166" i="52"/>
  <c r="AN166" i="52"/>
  <c r="B154" i="88"/>
  <c r="B155" i="88"/>
  <c r="B156" i="88"/>
  <c r="B157" i="88"/>
  <c r="B158" i="88"/>
  <c r="B159" i="88"/>
  <c r="B160" i="88"/>
  <c r="B161" i="88"/>
  <c r="B162" i="88"/>
  <c r="B163" i="88"/>
  <c r="B164" i="88"/>
  <c r="B165" i="88"/>
  <c r="B166" i="88"/>
  <c r="B154" i="92"/>
  <c r="B155" i="92"/>
  <c r="B156" i="92"/>
  <c r="B157" i="92"/>
  <c r="B158" i="92"/>
  <c r="B159" i="92"/>
  <c r="B160" i="92"/>
  <c r="B161" i="92"/>
  <c r="B162" i="92"/>
  <c r="B163" i="92"/>
  <c r="B164" i="92"/>
  <c r="B165" i="92"/>
  <c r="B166" i="92"/>
  <c r="B154" i="96"/>
  <c r="B155" i="96"/>
  <c r="B156" i="96"/>
  <c r="B157" i="96"/>
  <c r="B158" i="96"/>
  <c r="B159" i="96"/>
  <c r="B160" i="96"/>
  <c r="B161" i="96"/>
  <c r="B162" i="96"/>
  <c r="B163" i="96"/>
  <c r="B164" i="96"/>
  <c r="B165" i="96"/>
  <c r="B166" i="96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53" i="88"/>
  <c r="B153" i="92"/>
  <c r="B153" i="96"/>
  <c r="B153" i="52"/>
  <c r="AO87" i="88"/>
  <c r="AO88" i="88" s="1"/>
  <c r="AP87" i="88" s="1"/>
  <c r="AO87" i="92"/>
  <c r="AO88" i="92"/>
  <c r="AP87" i="92" s="1"/>
  <c r="AO87" i="96"/>
  <c r="AO88" i="96"/>
  <c r="AP87" i="96" s="1"/>
  <c r="AO87" i="52"/>
  <c r="AO88" i="52"/>
  <c r="AP87" i="52" s="1"/>
  <c r="AP88" i="52"/>
  <c r="C90" i="5"/>
  <c r="C13" i="74"/>
  <c r="C14" i="74"/>
  <c r="C15" i="74"/>
  <c r="C16" i="74"/>
  <c r="C17" i="74"/>
  <c r="C18" i="74"/>
  <c r="C19" i="74"/>
  <c r="C20" i="74"/>
  <c r="C23" i="74"/>
  <c r="C24" i="74"/>
  <c r="C25" i="74"/>
  <c r="C26" i="74"/>
  <c r="C27" i="74"/>
  <c r="C28" i="74"/>
  <c r="C29" i="74"/>
  <c r="C30" i="74"/>
  <c r="C33" i="74"/>
  <c r="C34" i="74"/>
  <c r="C35" i="74"/>
  <c r="C38" i="74"/>
  <c r="C39" i="74"/>
  <c r="C40" i="74"/>
  <c r="C41" i="74"/>
  <c r="C42" i="74"/>
  <c r="C45" i="74"/>
  <c r="C46" i="74"/>
  <c r="C47" i="74"/>
  <c r="C48" i="74"/>
  <c r="C49" i="74"/>
  <c r="C50" i="74"/>
  <c r="C53" i="74"/>
  <c r="C54" i="74"/>
  <c r="C57" i="74"/>
  <c r="C58" i="74"/>
  <c r="C61" i="74"/>
  <c r="C62" i="74"/>
  <c r="C63" i="74"/>
  <c r="C64" i="74"/>
  <c r="C65" i="74"/>
  <c r="C66" i="74"/>
  <c r="C67" i="74"/>
  <c r="C70" i="74"/>
  <c r="C71" i="74"/>
  <c r="C72" i="74"/>
  <c r="C73" i="74"/>
  <c r="C74" i="74"/>
  <c r="C75" i="74"/>
  <c r="C76" i="74"/>
  <c r="C77" i="74"/>
  <c r="C78" i="74"/>
  <c r="C79" i="74"/>
  <c r="C80" i="74"/>
  <c r="C81" i="74"/>
  <c r="C82" i="74"/>
  <c r="C86" i="74"/>
  <c r="C87" i="74"/>
  <c r="C88" i="74"/>
  <c r="C89" i="74"/>
  <c r="C90" i="74"/>
  <c r="C91" i="74"/>
  <c r="C92" i="74"/>
  <c r="C93" i="74"/>
  <c r="C94" i="74"/>
  <c r="C95" i="74"/>
  <c r="C97" i="74"/>
  <c r="C98" i="74"/>
  <c r="C99" i="74"/>
  <c r="C100" i="74"/>
  <c r="C101" i="74"/>
  <c r="C102" i="74"/>
  <c r="C103" i="74"/>
  <c r="C104" i="74"/>
  <c r="C105" i="74"/>
  <c r="C106" i="74"/>
  <c r="C108" i="74"/>
  <c r="C109" i="74"/>
  <c r="C110" i="74"/>
  <c r="C111" i="74"/>
  <c r="C112" i="74"/>
  <c r="C113" i="74"/>
  <c r="C114" i="74"/>
  <c r="C115" i="74"/>
  <c r="C116" i="74"/>
  <c r="C117" i="74"/>
  <c r="C119" i="74"/>
  <c r="C120" i="74"/>
  <c r="C121" i="74"/>
  <c r="C122" i="74"/>
  <c r="C123" i="74"/>
  <c r="C124" i="74"/>
  <c r="C125" i="74"/>
  <c r="C126" i="74"/>
  <c r="C127" i="74"/>
  <c r="C128" i="74"/>
  <c r="C130" i="74"/>
  <c r="C131" i="74"/>
  <c r="C132" i="74"/>
  <c r="C133" i="74"/>
  <c r="C134" i="74"/>
  <c r="C135" i="74"/>
  <c r="C136" i="74"/>
  <c r="C137" i="74"/>
  <c r="C138" i="74"/>
  <c r="C139" i="74"/>
  <c r="C141" i="74"/>
  <c r="C142" i="74"/>
  <c r="C143" i="74"/>
  <c r="C144" i="74"/>
  <c r="C145" i="74"/>
  <c r="C146" i="74"/>
  <c r="C147" i="74"/>
  <c r="C148" i="74"/>
  <c r="C149" i="74"/>
  <c r="C150" i="74"/>
  <c r="C152" i="74"/>
  <c r="C153" i="74"/>
  <c r="C154" i="74"/>
  <c r="C155" i="74"/>
  <c r="C156" i="74"/>
  <c r="C157" i="74"/>
  <c r="C158" i="74"/>
  <c r="C159" i="74"/>
  <c r="C160" i="74"/>
  <c r="C161" i="74"/>
  <c r="C163" i="74"/>
  <c r="C164" i="74"/>
  <c r="C165" i="74"/>
  <c r="C166" i="74"/>
  <c r="C167" i="74"/>
  <c r="C168" i="74"/>
  <c r="C169" i="74"/>
  <c r="C170" i="74"/>
  <c r="C171" i="74"/>
  <c r="C172" i="74"/>
  <c r="C175" i="74"/>
  <c r="C176" i="74"/>
  <c r="C177" i="74"/>
  <c r="C178" i="74"/>
  <c r="C179" i="74"/>
  <c r="C180" i="74"/>
  <c r="C181" i="74"/>
  <c r="C184" i="74"/>
  <c r="C185" i="74"/>
  <c r="C186" i="74"/>
  <c r="C187" i="74"/>
  <c r="C188" i="74"/>
  <c r="C189" i="74"/>
  <c r="C190" i="74"/>
  <c r="C193" i="74"/>
  <c r="C195" i="74"/>
  <c r="C196" i="74"/>
  <c r="C197" i="74"/>
  <c r="C13" i="73"/>
  <c r="C14" i="73"/>
  <c r="C15" i="73"/>
  <c r="C16" i="73"/>
  <c r="C17" i="73"/>
  <c r="C18" i="73"/>
  <c r="C19" i="73"/>
  <c r="C20" i="73"/>
  <c r="C23" i="73"/>
  <c r="C24" i="73"/>
  <c r="C25" i="73"/>
  <c r="C26" i="73"/>
  <c r="C27" i="73"/>
  <c r="C28" i="73"/>
  <c r="C29" i="73"/>
  <c r="C30" i="73"/>
  <c r="C33" i="73"/>
  <c r="C34" i="73"/>
  <c r="C35" i="73"/>
  <c r="C38" i="73"/>
  <c r="C39" i="73"/>
  <c r="C40" i="73"/>
  <c r="C41" i="73"/>
  <c r="C42" i="73"/>
  <c r="C45" i="73"/>
  <c r="C46" i="73"/>
  <c r="C47" i="73"/>
  <c r="C48" i="73"/>
  <c r="C49" i="73"/>
  <c r="C50" i="73"/>
  <c r="C53" i="73"/>
  <c r="C54" i="73"/>
  <c r="C57" i="73"/>
  <c r="C58" i="73"/>
  <c r="C61" i="73"/>
  <c r="C62" i="73"/>
  <c r="C63" i="73"/>
  <c r="C64" i="73"/>
  <c r="C65" i="73"/>
  <c r="C66" i="73"/>
  <c r="C67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6" i="73"/>
  <c r="C87" i="73"/>
  <c r="C88" i="73"/>
  <c r="C89" i="73"/>
  <c r="C90" i="73"/>
  <c r="C91" i="73"/>
  <c r="C92" i="73"/>
  <c r="C93" i="73"/>
  <c r="C94" i="73"/>
  <c r="C95" i="73"/>
  <c r="C97" i="73"/>
  <c r="C98" i="73"/>
  <c r="C99" i="73"/>
  <c r="C100" i="73"/>
  <c r="C101" i="73"/>
  <c r="C102" i="73"/>
  <c r="C103" i="73"/>
  <c r="C104" i="73"/>
  <c r="C105" i="73"/>
  <c r="C106" i="73"/>
  <c r="C108" i="73"/>
  <c r="C109" i="73"/>
  <c r="C110" i="73"/>
  <c r="C111" i="73"/>
  <c r="C112" i="73"/>
  <c r="C113" i="73"/>
  <c r="C114" i="73"/>
  <c r="C115" i="73"/>
  <c r="C116" i="73"/>
  <c r="C117" i="73"/>
  <c r="C119" i="73"/>
  <c r="C120" i="73"/>
  <c r="C121" i="73"/>
  <c r="C122" i="73"/>
  <c r="C123" i="73"/>
  <c r="C124" i="73"/>
  <c r="C125" i="73"/>
  <c r="C126" i="73"/>
  <c r="C127" i="73"/>
  <c r="C128" i="73"/>
  <c r="C130" i="73"/>
  <c r="C131" i="73"/>
  <c r="C132" i="73"/>
  <c r="C133" i="73"/>
  <c r="C134" i="73"/>
  <c r="C135" i="73"/>
  <c r="C136" i="73"/>
  <c r="C137" i="73"/>
  <c r="C138" i="73"/>
  <c r="C139" i="73"/>
  <c r="C141" i="73"/>
  <c r="C142" i="73"/>
  <c r="C143" i="73"/>
  <c r="C144" i="73"/>
  <c r="C145" i="73"/>
  <c r="C146" i="73"/>
  <c r="C147" i="73"/>
  <c r="C148" i="73"/>
  <c r="C149" i="73"/>
  <c r="C150" i="73"/>
  <c r="C152" i="73"/>
  <c r="C153" i="73"/>
  <c r="C154" i="73"/>
  <c r="C155" i="73"/>
  <c r="C156" i="73"/>
  <c r="C157" i="73"/>
  <c r="C158" i="73"/>
  <c r="C159" i="73"/>
  <c r="C160" i="73"/>
  <c r="C161" i="73"/>
  <c r="C163" i="73"/>
  <c r="C164" i="73"/>
  <c r="C165" i="73"/>
  <c r="C166" i="73"/>
  <c r="C167" i="73"/>
  <c r="C168" i="73"/>
  <c r="C169" i="73"/>
  <c r="C170" i="73"/>
  <c r="C171" i="73"/>
  <c r="C172" i="73"/>
  <c r="C175" i="73"/>
  <c r="C176" i="73"/>
  <c r="C177" i="73"/>
  <c r="C178" i="73"/>
  <c r="C179" i="73"/>
  <c r="C180" i="73"/>
  <c r="C181" i="73"/>
  <c r="C184" i="73"/>
  <c r="C185" i="73"/>
  <c r="C186" i="73"/>
  <c r="C187" i="73"/>
  <c r="C188" i="73"/>
  <c r="C189" i="73"/>
  <c r="C190" i="73"/>
  <c r="C193" i="73"/>
  <c r="C195" i="73"/>
  <c r="C196" i="73"/>
  <c r="C197" i="73"/>
  <c r="C12" i="74"/>
  <c r="C12" i="73"/>
  <c r="D43" i="62"/>
  <c r="C74" i="62"/>
  <c r="C68" i="62"/>
  <c r="C62" i="62"/>
  <c r="AQ87" i="52" l="1"/>
  <c r="AQ88" i="52" s="1"/>
  <c r="AP88" i="96"/>
  <c r="AP88" i="92"/>
  <c r="AP88" i="88"/>
  <c r="AR87" i="52" l="1"/>
  <c r="AR88" i="52" s="1"/>
  <c r="AQ87" i="96"/>
  <c r="AQ88" i="96"/>
  <c r="AQ87" i="88"/>
  <c r="AQ88" i="88"/>
  <c r="AQ87" i="92"/>
  <c r="AQ88" i="92"/>
  <c r="AS87" i="52" l="1"/>
  <c r="AS88" i="52" s="1"/>
  <c r="AR87" i="96"/>
  <c r="AR88" i="96" s="1"/>
  <c r="AR87" i="92"/>
  <c r="AR88" i="92" s="1"/>
  <c r="AR88" i="88"/>
  <c r="AR87" i="88"/>
  <c r="D68" i="68"/>
  <c r="D67" i="68"/>
  <c r="D66" i="68"/>
  <c r="D65" i="68"/>
  <c r="D64" i="68"/>
  <c r="I68" i="68"/>
  <c r="I67" i="68"/>
  <c r="I66" i="68"/>
  <c r="I65" i="68"/>
  <c r="I64" i="68"/>
  <c r="N68" i="68"/>
  <c r="N67" i="68"/>
  <c r="N66" i="68"/>
  <c r="N65" i="68"/>
  <c r="N64" i="68"/>
  <c r="S68" i="68"/>
  <c r="S67" i="68"/>
  <c r="S66" i="68"/>
  <c r="S65" i="68"/>
  <c r="S64" i="68"/>
  <c r="X68" i="68"/>
  <c r="X67" i="68"/>
  <c r="X66" i="68"/>
  <c r="X65" i="68"/>
  <c r="X64" i="68"/>
  <c r="X43" i="68"/>
  <c r="X42" i="68"/>
  <c r="X41" i="68"/>
  <c r="X40" i="68"/>
  <c r="X39" i="68"/>
  <c r="S43" i="68"/>
  <c r="S42" i="68"/>
  <c r="S41" i="68"/>
  <c r="S40" i="68"/>
  <c r="S39" i="68"/>
  <c r="N43" i="68"/>
  <c r="N42" i="68"/>
  <c r="N41" i="68"/>
  <c r="N40" i="68"/>
  <c r="N39" i="68"/>
  <c r="I43" i="68"/>
  <c r="I42" i="68"/>
  <c r="I41" i="68"/>
  <c r="I40" i="68"/>
  <c r="I39" i="68"/>
  <c r="E39" i="68" s="1"/>
  <c r="D40" i="68"/>
  <c r="D41" i="68"/>
  <c r="D42" i="68"/>
  <c r="D43" i="68"/>
  <c r="AS87" i="92" l="1"/>
  <c r="AS88" i="92"/>
  <c r="AS87" i="96"/>
  <c r="AS88" i="96" s="1"/>
  <c r="AT87" i="52"/>
  <c r="AT88" i="52"/>
  <c r="AS87" i="88"/>
  <c r="AS88" i="88" s="1"/>
  <c r="AT87" i="96" l="1"/>
  <c r="AT88" i="96" s="1"/>
  <c r="AT87" i="88"/>
  <c r="AT88" i="88" s="1"/>
  <c r="AT87" i="92"/>
  <c r="AT88" i="92" s="1"/>
  <c r="F434" i="96" l="1"/>
  <c r="E434" i="96"/>
  <c r="D434" i="96"/>
  <c r="C434" i="96"/>
  <c r="F358" i="96"/>
  <c r="F359" i="96" s="1"/>
  <c r="E358" i="96"/>
  <c r="E359" i="96" s="1"/>
  <c r="D358" i="96"/>
  <c r="D359" i="96" s="1"/>
  <c r="C358" i="96"/>
  <c r="C359" i="96" s="1"/>
  <c r="F282" i="96"/>
  <c r="E282" i="96"/>
  <c r="D282" i="96"/>
  <c r="C282" i="96"/>
  <c r="F206" i="96"/>
  <c r="F207" i="96" s="1"/>
  <c r="E206" i="96"/>
  <c r="E207" i="96" s="1"/>
  <c r="D206" i="96"/>
  <c r="D207" i="96" s="1"/>
  <c r="C206" i="96"/>
  <c r="C207" i="96" s="1"/>
  <c r="F130" i="96"/>
  <c r="F131" i="96" s="1"/>
  <c r="E130" i="96"/>
  <c r="E131" i="96" s="1"/>
  <c r="D130" i="96"/>
  <c r="D131" i="96" s="1"/>
  <c r="C130" i="96"/>
  <c r="C131" i="96" s="1"/>
  <c r="F92" i="96"/>
  <c r="E92" i="96"/>
  <c r="D92" i="96"/>
  <c r="C92" i="96"/>
  <c r="F434" i="92"/>
  <c r="E434" i="92"/>
  <c r="D434" i="92"/>
  <c r="C434" i="92"/>
  <c r="F358" i="92"/>
  <c r="F359" i="92" s="1"/>
  <c r="E358" i="92"/>
  <c r="E359" i="92" s="1"/>
  <c r="D358" i="92"/>
  <c r="D359" i="92" s="1"/>
  <c r="C358" i="92"/>
  <c r="C359" i="92" s="1"/>
  <c r="F282" i="92"/>
  <c r="E282" i="92"/>
  <c r="D282" i="92"/>
  <c r="C282" i="92"/>
  <c r="F206" i="92"/>
  <c r="F207" i="92" s="1"/>
  <c r="E206" i="92"/>
  <c r="E207" i="92" s="1"/>
  <c r="D206" i="92"/>
  <c r="D207" i="92" s="1"/>
  <c r="C206" i="92"/>
  <c r="C207" i="92" s="1"/>
  <c r="F130" i="92"/>
  <c r="F131" i="92" s="1"/>
  <c r="E130" i="92"/>
  <c r="E131" i="92" s="1"/>
  <c r="D130" i="92"/>
  <c r="D131" i="92" s="1"/>
  <c r="C130" i="92"/>
  <c r="C131" i="92" s="1"/>
  <c r="F92" i="92"/>
  <c r="E92" i="92"/>
  <c r="D92" i="92"/>
  <c r="C92" i="92"/>
  <c r="E283" i="92" l="1"/>
  <c r="E435" i="92"/>
  <c r="E435" i="96"/>
  <c r="F435" i="92"/>
  <c r="C283" i="96"/>
  <c r="F283" i="96"/>
  <c r="F435" i="96"/>
  <c r="C283" i="92"/>
  <c r="C435" i="92"/>
  <c r="D283" i="96"/>
  <c r="C435" i="96"/>
  <c r="D283" i="92"/>
  <c r="F283" i="92"/>
  <c r="D435" i="92"/>
  <c r="E283" i="96"/>
  <c r="D435" i="96"/>
  <c r="F434" i="88"/>
  <c r="F435" i="88" s="1"/>
  <c r="E434" i="88"/>
  <c r="E435" i="88" s="1"/>
  <c r="D434" i="88"/>
  <c r="D435" i="88" s="1"/>
  <c r="C434" i="88"/>
  <c r="C435" i="88" s="1"/>
  <c r="F358" i="88"/>
  <c r="F359" i="88" s="1"/>
  <c r="E358" i="88"/>
  <c r="E359" i="88" s="1"/>
  <c r="D358" i="88"/>
  <c r="D359" i="88" s="1"/>
  <c r="C358" i="88"/>
  <c r="C359" i="88" s="1"/>
  <c r="F282" i="88"/>
  <c r="F283" i="88" s="1"/>
  <c r="E282" i="88"/>
  <c r="E283" i="88" s="1"/>
  <c r="D282" i="88"/>
  <c r="D283" i="88" s="1"/>
  <c r="C282" i="88"/>
  <c r="C283" i="88" s="1"/>
  <c r="F206" i="88"/>
  <c r="F207" i="88" s="1"/>
  <c r="E206" i="88"/>
  <c r="E207" i="88" s="1"/>
  <c r="D206" i="88"/>
  <c r="D207" i="88" s="1"/>
  <c r="C206" i="88"/>
  <c r="C207" i="88" s="1"/>
  <c r="F130" i="88"/>
  <c r="F131" i="88" s="1"/>
  <c r="E130" i="88"/>
  <c r="E131" i="88" s="1"/>
  <c r="D130" i="88"/>
  <c r="D131" i="88" s="1"/>
  <c r="C130" i="88"/>
  <c r="C131" i="88" s="1"/>
  <c r="F92" i="88"/>
  <c r="E92" i="88"/>
  <c r="D92" i="88"/>
  <c r="C92" i="88"/>
  <c r="F434" i="52"/>
  <c r="F435" i="52" s="1"/>
  <c r="E434" i="52"/>
  <c r="E435" i="52" s="1"/>
  <c r="D434" i="52"/>
  <c r="D435" i="52" s="1"/>
  <c r="C434" i="52"/>
  <c r="C435" i="52" s="1"/>
  <c r="F358" i="52"/>
  <c r="F359" i="52" s="1"/>
  <c r="E358" i="52"/>
  <c r="E359" i="52" s="1"/>
  <c r="D358" i="52"/>
  <c r="D359" i="52" s="1"/>
  <c r="C358" i="52"/>
  <c r="C359" i="52" s="1"/>
  <c r="F282" i="52"/>
  <c r="F283" i="52" s="1"/>
  <c r="E282" i="52"/>
  <c r="E283" i="52" s="1"/>
  <c r="D282" i="52"/>
  <c r="D283" i="52" s="1"/>
  <c r="C282" i="52"/>
  <c r="C283" i="52" s="1"/>
  <c r="F206" i="52"/>
  <c r="F207" i="52" s="1"/>
  <c r="E206" i="52"/>
  <c r="E207" i="52" s="1"/>
  <c r="D206" i="52"/>
  <c r="D207" i="52" s="1"/>
  <c r="C206" i="52"/>
  <c r="C207" i="52" s="1"/>
  <c r="D130" i="52"/>
  <c r="D131" i="52" s="1"/>
  <c r="E130" i="52"/>
  <c r="E131" i="52" s="1"/>
  <c r="F130" i="52"/>
  <c r="F131" i="52" s="1"/>
  <c r="C130" i="52"/>
  <c r="C131" i="52" s="1"/>
  <c r="D92" i="52"/>
  <c r="E92" i="52"/>
  <c r="F92" i="52"/>
  <c r="C92" i="52"/>
  <c r="AR131" i="14"/>
  <c r="AQ131" i="14"/>
  <c r="AP131" i="14"/>
  <c r="AO131" i="14"/>
  <c r="AN131" i="14"/>
  <c r="AM131" i="14"/>
  <c r="AL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Z131" i="14"/>
  <c r="Y131" i="14"/>
  <c r="X131" i="14"/>
  <c r="W131" i="14"/>
  <c r="V131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AR118" i="14"/>
  <c r="AQ118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W118" i="14"/>
  <c r="V118" i="14"/>
  <c r="U118" i="14"/>
  <c r="T118" i="14"/>
  <c r="S118" i="14"/>
  <c r="R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D68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G49" i="62"/>
  <c r="F49" i="62"/>
  <c r="G52" i="62"/>
  <c r="F51" i="62"/>
  <c r="H104" i="14" s="1"/>
  <c r="AR105" i="14" s="1"/>
  <c r="G48" i="62"/>
  <c r="F48" i="62"/>
  <c r="D95" i="14" s="1"/>
  <c r="D123" i="14" s="1"/>
  <c r="D224" i="74"/>
  <c r="D223" i="74"/>
  <c r="AX287" i="74"/>
  <c r="AX304" i="74" s="1"/>
  <c r="AW287" i="74"/>
  <c r="AW304" i="74" s="1"/>
  <c r="AV287" i="74"/>
  <c r="AV304" i="74" s="1"/>
  <c r="AU287" i="74"/>
  <c r="AU304" i="74" s="1"/>
  <c r="AT287" i="74"/>
  <c r="AT304" i="74" s="1"/>
  <c r="AS287" i="74"/>
  <c r="AS304" i="74" s="1"/>
  <c r="AR287" i="74"/>
  <c r="AR304" i="74" s="1"/>
  <c r="AQ287" i="74"/>
  <c r="AQ304" i="74" s="1"/>
  <c r="AP287" i="74"/>
  <c r="AP304" i="74" s="1"/>
  <c r="AO287" i="74"/>
  <c r="AO304" i="74" s="1"/>
  <c r="AN287" i="74"/>
  <c r="AN304" i="74" s="1"/>
  <c r="AM287" i="74"/>
  <c r="AM304" i="74" s="1"/>
  <c r="AL287" i="74"/>
  <c r="AL304" i="74" s="1"/>
  <c r="AK287" i="74"/>
  <c r="AK304" i="74" s="1"/>
  <c r="AJ287" i="74"/>
  <c r="AJ304" i="74" s="1"/>
  <c r="AI287" i="74"/>
  <c r="AI304" i="74" s="1"/>
  <c r="AH287" i="74"/>
  <c r="AH304" i="74" s="1"/>
  <c r="AG287" i="74"/>
  <c r="AG304" i="74" s="1"/>
  <c r="AF287" i="74"/>
  <c r="AF304" i="74" s="1"/>
  <c r="AE287" i="74"/>
  <c r="AE304" i="74" s="1"/>
  <c r="AD287" i="74"/>
  <c r="AD304" i="74" s="1"/>
  <c r="AC287" i="74"/>
  <c r="AC304" i="74" s="1"/>
  <c r="AB287" i="74"/>
  <c r="AB304" i="74" s="1"/>
  <c r="AA287" i="74"/>
  <c r="AA304" i="74" s="1"/>
  <c r="Z287" i="74"/>
  <c r="Z304" i="74" s="1"/>
  <c r="Y287" i="74"/>
  <c r="Y304" i="74" s="1"/>
  <c r="X287" i="74"/>
  <c r="X304" i="74" s="1"/>
  <c r="W287" i="74"/>
  <c r="W304" i="74" s="1"/>
  <c r="V287" i="74"/>
  <c r="V304" i="74" s="1"/>
  <c r="U287" i="74"/>
  <c r="U304" i="74" s="1"/>
  <c r="T287" i="74"/>
  <c r="T304" i="74" s="1"/>
  <c r="S287" i="74"/>
  <c r="S304" i="74" s="1"/>
  <c r="R287" i="74"/>
  <c r="R304" i="74" s="1"/>
  <c r="Q287" i="74"/>
  <c r="Q304" i="74" s="1"/>
  <c r="P287" i="74"/>
  <c r="P304" i="74" s="1"/>
  <c r="O287" i="74"/>
  <c r="O304" i="74" s="1"/>
  <c r="N287" i="74"/>
  <c r="N304" i="74" s="1"/>
  <c r="M287" i="74"/>
  <c r="M304" i="74" s="1"/>
  <c r="L287" i="74"/>
  <c r="L304" i="74" s="1"/>
  <c r="K287" i="74"/>
  <c r="K304" i="74" s="1"/>
  <c r="J287" i="74"/>
  <c r="J304" i="74" s="1"/>
  <c r="I287" i="74"/>
  <c r="I304" i="74" s="1"/>
  <c r="H287" i="74"/>
  <c r="H304" i="74" s="1"/>
  <c r="G287" i="74"/>
  <c r="G304" i="74" s="1"/>
  <c r="F287" i="74"/>
  <c r="F304" i="74" s="1"/>
  <c r="E287" i="74"/>
  <c r="E304" i="74" s="1"/>
  <c r="D22" i="74"/>
  <c r="D222" i="74" s="1"/>
  <c r="B205" i="74"/>
  <c r="B204" i="74"/>
  <c r="B203" i="74"/>
  <c r="B201" i="74"/>
  <c r="B200" i="74"/>
  <c r="B199" i="74"/>
  <c r="AX192" i="74"/>
  <c r="AW192" i="74"/>
  <c r="AV192" i="74"/>
  <c r="AU192" i="74"/>
  <c r="AT192" i="74"/>
  <c r="AS192" i="74"/>
  <c r="AR192" i="74"/>
  <c r="AQ192" i="74"/>
  <c r="AP192" i="74"/>
  <c r="AO192" i="74"/>
  <c r="AN192" i="74"/>
  <c r="AM192" i="74"/>
  <c r="AL192" i="74"/>
  <c r="AK192" i="74"/>
  <c r="AJ192" i="74"/>
  <c r="AI192" i="74"/>
  <c r="AH192" i="74"/>
  <c r="AG192" i="74"/>
  <c r="AF192" i="74"/>
  <c r="AE192" i="74"/>
  <c r="AD192" i="74"/>
  <c r="AC192" i="74"/>
  <c r="AB192" i="74"/>
  <c r="AA192" i="74"/>
  <c r="Z192" i="74"/>
  <c r="Y192" i="74"/>
  <c r="X192" i="74"/>
  <c r="W192" i="74"/>
  <c r="V192" i="74"/>
  <c r="U192" i="74"/>
  <c r="T192" i="74"/>
  <c r="S192" i="74"/>
  <c r="R192" i="74"/>
  <c r="Q192" i="74"/>
  <c r="P192" i="74"/>
  <c r="O192" i="74"/>
  <c r="N192" i="74"/>
  <c r="M192" i="74"/>
  <c r="L192" i="74"/>
  <c r="K192" i="74"/>
  <c r="J192" i="74"/>
  <c r="I192" i="74"/>
  <c r="AX183" i="74"/>
  <c r="AW183" i="74"/>
  <c r="AV183" i="74"/>
  <c r="AU183" i="74"/>
  <c r="AT183" i="74"/>
  <c r="AS183" i="74"/>
  <c r="AR183" i="74"/>
  <c r="AQ183" i="74"/>
  <c r="AP183" i="74"/>
  <c r="AM183" i="74"/>
  <c r="AL183" i="74"/>
  <c r="AK183" i="74"/>
  <c r="AJ183" i="74"/>
  <c r="AI183" i="74"/>
  <c r="AH183" i="74"/>
  <c r="AG183" i="74"/>
  <c r="AF183" i="74"/>
  <c r="AE183" i="74"/>
  <c r="AB183" i="74"/>
  <c r="AA183" i="74"/>
  <c r="Z183" i="74"/>
  <c r="Y183" i="74"/>
  <c r="X183" i="74"/>
  <c r="W183" i="74"/>
  <c r="V183" i="74"/>
  <c r="U183" i="74"/>
  <c r="T183" i="74"/>
  <c r="Q183" i="74"/>
  <c r="P183" i="74"/>
  <c r="O183" i="74"/>
  <c r="N183" i="74"/>
  <c r="M183" i="74"/>
  <c r="L183" i="74"/>
  <c r="K183" i="74"/>
  <c r="J183" i="74"/>
  <c r="I183" i="74"/>
  <c r="AX174" i="74"/>
  <c r="AW174" i="74"/>
  <c r="AV174" i="74"/>
  <c r="AU174" i="74"/>
  <c r="AT174" i="74"/>
  <c r="AS174" i="74"/>
  <c r="AR174" i="74"/>
  <c r="AQ174" i="74"/>
  <c r="AP174" i="74"/>
  <c r="AO174" i="74"/>
  <c r="AN174" i="74"/>
  <c r="AM174" i="74"/>
  <c r="AL174" i="74"/>
  <c r="AK174" i="74"/>
  <c r="AJ174" i="74"/>
  <c r="AI174" i="74"/>
  <c r="AH174" i="74"/>
  <c r="AG174" i="74"/>
  <c r="AF174" i="74"/>
  <c r="AE174" i="74"/>
  <c r="AD174" i="74"/>
  <c r="AC174" i="74"/>
  <c r="AB174" i="74"/>
  <c r="AA174" i="74"/>
  <c r="Z174" i="74"/>
  <c r="V174" i="74"/>
  <c r="U174" i="74"/>
  <c r="T174" i="74"/>
  <c r="S174" i="74"/>
  <c r="R174" i="74"/>
  <c r="Q174" i="74"/>
  <c r="P174" i="74"/>
  <c r="O174" i="74"/>
  <c r="N174" i="74"/>
  <c r="M174" i="74"/>
  <c r="L174" i="74"/>
  <c r="K174" i="74"/>
  <c r="J174" i="74"/>
  <c r="I174" i="74"/>
  <c r="AX162" i="74"/>
  <c r="AW162" i="74"/>
  <c r="AV162" i="74"/>
  <c r="AU162" i="74"/>
  <c r="AT162" i="74"/>
  <c r="AS162" i="74"/>
  <c r="AR162" i="74"/>
  <c r="AQ162" i="74"/>
  <c r="AM162" i="74"/>
  <c r="AL162" i="74"/>
  <c r="AK162" i="74"/>
  <c r="AJ162" i="74"/>
  <c r="AI162" i="74"/>
  <c r="AH162" i="74"/>
  <c r="AG162" i="74"/>
  <c r="AF162" i="74"/>
  <c r="AE162" i="74"/>
  <c r="AD162" i="74"/>
  <c r="AC162" i="74"/>
  <c r="AB162" i="74"/>
  <c r="AA162" i="74"/>
  <c r="Z162" i="74"/>
  <c r="V162" i="74"/>
  <c r="U162" i="74"/>
  <c r="T162" i="74"/>
  <c r="S162" i="74"/>
  <c r="R162" i="74"/>
  <c r="Q162" i="74"/>
  <c r="P162" i="74"/>
  <c r="O162" i="74"/>
  <c r="N162" i="74"/>
  <c r="M162" i="74"/>
  <c r="L162" i="74"/>
  <c r="K162" i="74"/>
  <c r="J162" i="74"/>
  <c r="I162" i="74"/>
  <c r="AX151" i="74"/>
  <c r="AW151" i="74"/>
  <c r="AV151" i="74"/>
  <c r="AU151" i="74"/>
  <c r="AT151" i="74"/>
  <c r="AS151" i="74"/>
  <c r="AR151" i="74"/>
  <c r="AQ151" i="74"/>
  <c r="AM151" i="74"/>
  <c r="AL151" i="74"/>
  <c r="AK151" i="74"/>
  <c r="AJ151" i="74"/>
  <c r="AI151" i="74"/>
  <c r="AH151" i="74"/>
  <c r="AG151" i="74"/>
  <c r="AF151" i="74"/>
  <c r="AE151" i="74"/>
  <c r="AD151" i="74"/>
  <c r="AC151" i="74"/>
  <c r="AB151" i="74"/>
  <c r="AA151" i="74"/>
  <c r="Z151" i="74"/>
  <c r="V151" i="74"/>
  <c r="U151" i="74"/>
  <c r="T151" i="74"/>
  <c r="S151" i="74"/>
  <c r="R151" i="74"/>
  <c r="Q151" i="74"/>
  <c r="P151" i="74"/>
  <c r="O151" i="74"/>
  <c r="N151" i="74"/>
  <c r="M151" i="74"/>
  <c r="L151" i="74"/>
  <c r="K151" i="74"/>
  <c r="J151" i="74"/>
  <c r="I151" i="74"/>
  <c r="AX140" i="74"/>
  <c r="AW140" i="74"/>
  <c r="AV140" i="74"/>
  <c r="AU140" i="74"/>
  <c r="AT140" i="74"/>
  <c r="AS140" i="74"/>
  <c r="AR140" i="74"/>
  <c r="AQ140" i="74"/>
  <c r="AM140" i="74"/>
  <c r="AL140" i="74"/>
  <c r="AK140" i="74"/>
  <c r="AJ140" i="74"/>
  <c r="AI140" i="74"/>
  <c r="AH140" i="74"/>
  <c r="AG140" i="74"/>
  <c r="AF140" i="74"/>
  <c r="AE140" i="74"/>
  <c r="AD140" i="74"/>
  <c r="AC140" i="74"/>
  <c r="AB140" i="74"/>
  <c r="AA140" i="74"/>
  <c r="Z140" i="74"/>
  <c r="V140" i="74"/>
  <c r="U140" i="74"/>
  <c r="T140" i="74"/>
  <c r="S140" i="74"/>
  <c r="R140" i="74"/>
  <c r="Q140" i="74"/>
  <c r="P140" i="74"/>
  <c r="O140" i="74"/>
  <c r="N140" i="74"/>
  <c r="M140" i="74"/>
  <c r="L140" i="74"/>
  <c r="K140" i="74"/>
  <c r="J140" i="74"/>
  <c r="I140" i="74"/>
  <c r="AX129" i="74"/>
  <c r="AW129" i="74"/>
  <c r="AV129" i="74"/>
  <c r="AU129" i="74"/>
  <c r="AT129" i="74"/>
  <c r="AS129" i="74"/>
  <c r="AR129" i="74"/>
  <c r="AQ129" i="74"/>
  <c r="AM129" i="74"/>
  <c r="AL129" i="74"/>
  <c r="AK129" i="74"/>
  <c r="AJ129" i="74"/>
  <c r="AI129" i="74"/>
  <c r="AH129" i="74"/>
  <c r="AG129" i="74"/>
  <c r="AF129" i="74"/>
  <c r="AE129" i="74"/>
  <c r="AD129" i="74"/>
  <c r="AC129" i="74"/>
  <c r="AB129" i="74"/>
  <c r="AA129" i="74"/>
  <c r="Z129" i="74"/>
  <c r="V129" i="74"/>
  <c r="U129" i="74"/>
  <c r="T129" i="74"/>
  <c r="S129" i="74"/>
  <c r="R129" i="74"/>
  <c r="Q129" i="74"/>
  <c r="P129" i="74"/>
  <c r="O129" i="74"/>
  <c r="N129" i="74"/>
  <c r="M129" i="74"/>
  <c r="L129" i="74"/>
  <c r="K129" i="74"/>
  <c r="J129" i="74"/>
  <c r="I129" i="74"/>
  <c r="AX118" i="74"/>
  <c r="AW118" i="74"/>
  <c r="AV118" i="74"/>
  <c r="AU118" i="74"/>
  <c r="AT118" i="74"/>
  <c r="AS118" i="74"/>
  <c r="AR118" i="74"/>
  <c r="AQ118" i="74"/>
  <c r="AM118" i="74"/>
  <c r="AL118" i="74"/>
  <c r="AK118" i="74"/>
  <c r="AJ118" i="74"/>
  <c r="AI118" i="74"/>
  <c r="AH118" i="74"/>
  <c r="AG118" i="74"/>
  <c r="AF118" i="74"/>
  <c r="AE118" i="74"/>
  <c r="AD118" i="74"/>
  <c r="AC118" i="74"/>
  <c r="AB118" i="74"/>
  <c r="AA118" i="74"/>
  <c r="Z118" i="74"/>
  <c r="V118" i="74"/>
  <c r="U118" i="74"/>
  <c r="T118" i="74"/>
  <c r="S118" i="74"/>
  <c r="R118" i="74"/>
  <c r="Q118" i="74"/>
  <c r="P118" i="74"/>
  <c r="O118" i="74"/>
  <c r="N118" i="74"/>
  <c r="M118" i="74"/>
  <c r="L118" i="74"/>
  <c r="K118" i="74"/>
  <c r="J118" i="74"/>
  <c r="I118" i="74"/>
  <c r="AX107" i="74"/>
  <c r="AW107" i="74"/>
  <c r="AV107" i="74"/>
  <c r="AU107" i="74"/>
  <c r="AT107" i="74"/>
  <c r="AS107" i="74"/>
  <c r="AR107" i="74"/>
  <c r="AQ107" i="74"/>
  <c r="AM107" i="74"/>
  <c r="AL107" i="74"/>
  <c r="AK107" i="74"/>
  <c r="AJ107" i="74"/>
  <c r="AI107" i="74"/>
  <c r="AH107" i="74"/>
  <c r="AG107" i="74"/>
  <c r="AF107" i="74"/>
  <c r="AE107" i="74"/>
  <c r="AD107" i="74"/>
  <c r="AC107" i="74"/>
  <c r="AB107" i="74"/>
  <c r="AA107" i="74"/>
  <c r="Z107" i="74"/>
  <c r="V107" i="74"/>
  <c r="U107" i="74"/>
  <c r="T107" i="74"/>
  <c r="S107" i="74"/>
  <c r="R107" i="74"/>
  <c r="Q107" i="74"/>
  <c r="P107" i="74"/>
  <c r="O107" i="74"/>
  <c r="N107" i="74"/>
  <c r="M107" i="74"/>
  <c r="L107" i="74"/>
  <c r="K107" i="74"/>
  <c r="J107" i="74"/>
  <c r="I107" i="74"/>
  <c r="AX96" i="74"/>
  <c r="AW96" i="74"/>
  <c r="AV96" i="74"/>
  <c r="AU96" i="74"/>
  <c r="AT96" i="74"/>
  <c r="AS96" i="74"/>
  <c r="AR96" i="74"/>
  <c r="AQ96" i="74"/>
  <c r="AM96" i="74"/>
  <c r="AL96" i="74"/>
  <c r="AK96" i="74"/>
  <c r="AJ96" i="74"/>
  <c r="AI96" i="74"/>
  <c r="AH96" i="74"/>
  <c r="AG96" i="74"/>
  <c r="AF96" i="74"/>
  <c r="AE96" i="74"/>
  <c r="AD96" i="74"/>
  <c r="AC96" i="74"/>
  <c r="AB96" i="74"/>
  <c r="AA96" i="74"/>
  <c r="Z96" i="74"/>
  <c r="V96" i="74"/>
  <c r="U96" i="74"/>
  <c r="T96" i="74"/>
  <c r="S96" i="74"/>
  <c r="R96" i="74"/>
  <c r="Q96" i="74"/>
  <c r="P96" i="74"/>
  <c r="O96" i="74"/>
  <c r="N96" i="74"/>
  <c r="M96" i="74"/>
  <c r="L96" i="74"/>
  <c r="K96" i="74"/>
  <c r="J96" i="74"/>
  <c r="I96" i="74"/>
  <c r="AX85" i="74"/>
  <c r="AX84" i="74" s="1"/>
  <c r="AW85" i="74"/>
  <c r="AW84" i="74" s="1"/>
  <c r="AV85" i="74"/>
  <c r="AV84" i="74" s="1"/>
  <c r="AU85" i="74"/>
  <c r="AU84" i="74" s="1"/>
  <c r="AT85" i="74"/>
  <c r="AT84" i="74" s="1"/>
  <c r="AS85" i="74"/>
  <c r="AS84" i="74" s="1"/>
  <c r="AR85" i="74"/>
  <c r="AR84" i="74" s="1"/>
  <c r="AQ85" i="74"/>
  <c r="AQ84" i="74" s="1"/>
  <c r="AM85" i="74"/>
  <c r="AM84" i="74" s="1"/>
  <c r="AL85" i="74"/>
  <c r="AL84" i="74" s="1"/>
  <c r="AK85" i="74"/>
  <c r="AK84" i="74" s="1"/>
  <c r="AJ85" i="74"/>
  <c r="AJ84" i="74" s="1"/>
  <c r="AI85" i="74"/>
  <c r="AI84" i="74" s="1"/>
  <c r="AH85" i="74"/>
  <c r="AH84" i="74" s="1"/>
  <c r="AG85" i="74"/>
  <c r="AG84" i="74" s="1"/>
  <c r="AF85" i="74"/>
  <c r="AF84" i="74" s="1"/>
  <c r="AE85" i="74"/>
  <c r="AE84" i="74" s="1"/>
  <c r="AD85" i="74"/>
  <c r="AD84" i="74" s="1"/>
  <c r="AC85" i="74"/>
  <c r="AC84" i="74" s="1"/>
  <c r="AB85" i="74"/>
  <c r="AB84" i="74" s="1"/>
  <c r="AA85" i="74"/>
  <c r="AA84" i="74" s="1"/>
  <c r="Z85" i="74"/>
  <c r="Z84" i="74" s="1"/>
  <c r="V85" i="74"/>
  <c r="V84" i="74" s="1"/>
  <c r="U85" i="74"/>
  <c r="U84" i="74" s="1"/>
  <c r="T85" i="74"/>
  <c r="T84" i="74" s="1"/>
  <c r="S85" i="74"/>
  <c r="S84" i="74" s="1"/>
  <c r="R85" i="74"/>
  <c r="R84" i="74" s="1"/>
  <c r="Q85" i="74"/>
  <c r="Q84" i="74" s="1"/>
  <c r="P85" i="74"/>
  <c r="P84" i="74" s="1"/>
  <c r="O85" i="74"/>
  <c r="O84" i="74" s="1"/>
  <c r="N85" i="74"/>
  <c r="N84" i="74" s="1"/>
  <c r="M85" i="74"/>
  <c r="M84" i="74" s="1"/>
  <c r="L85" i="74"/>
  <c r="L84" i="74" s="1"/>
  <c r="K85" i="74"/>
  <c r="K84" i="74" s="1"/>
  <c r="J85" i="74"/>
  <c r="J84" i="74" s="1"/>
  <c r="I85" i="74"/>
  <c r="I84" i="74" s="1"/>
  <c r="AX69" i="74"/>
  <c r="AW69" i="74"/>
  <c r="AV69" i="74"/>
  <c r="AU69" i="74"/>
  <c r="AT69" i="74"/>
  <c r="AS69" i="74"/>
  <c r="AR69" i="74"/>
  <c r="AQ69" i="74"/>
  <c r="AM69" i="74"/>
  <c r="AL69" i="74"/>
  <c r="AK69" i="74"/>
  <c r="AJ69" i="74"/>
  <c r="AI69" i="74"/>
  <c r="AH69" i="74"/>
  <c r="AG69" i="74"/>
  <c r="AF69" i="74"/>
  <c r="AE69" i="74"/>
  <c r="AD69" i="74"/>
  <c r="AC69" i="74"/>
  <c r="AB69" i="74"/>
  <c r="AA69" i="74"/>
  <c r="Z69" i="74"/>
  <c r="V69" i="74"/>
  <c r="U69" i="74"/>
  <c r="T69" i="74"/>
  <c r="S69" i="74"/>
  <c r="R69" i="74"/>
  <c r="Q69" i="74"/>
  <c r="P69" i="74"/>
  <c r="O69" i="74"/>
  <c r="N69" i="74"/>
  <c r="M69" i="74"/>
  <c r="L69" i="74"/>
  <c r="K69" i="74"/>
  <c r="J69" i="74"/>
  <c r="I69" i="74"/>
  <c r="AX60" i="74"/>
  <c r="AW60" i="74"/>
  <c r="AV60" i="74"/>
  <c r="AU60" i="74"/>
  <c r="AT60" i="74"/>
  <c r="AS60" i="74"/>
  <c r="AR60" i="74"/>
  <c r="AQ60" i="74"/>
  <c r="AM60" i="74"/>
  <c r="AL60" i="74"/>
  <c r="AK60" i="74"/>
  <c r="AJ60" i="74"/>
  <c r="AI60" i="74"/>
  <c r="AH60" i="74"/>
  <c r="AG60" i="74"/>
  <c r="AF60" i="74"/>
  <c r="AE60" i="74"/>
  <c r="AD60" i="74"/>
  <c r="AC60" i="74"/>
  <c r="AB60" i="74"/>
  <c r="AA60" i="74"/>
  <c r="Z60" i="74"/>
  <c r="V60" i="74"/>
  <c r="U60" i="74"/>
  <c r="T60" i="74"/>
  <c r="S60" i="74"/>
  <c r="R60" i="74"/>
  <c r="Q60" i="74"/>
  <c r="P60" i="74"/>
  <c r="O60" i="74"/>
  <c r="N60" i="74"/>
  <c r="M60" i="74"/>
  <c r="L60" i="74"/>
  <c r="K60" i="74"/>
  <c r="J60" i="74"/>
  <c r="I60" i="74"/>
  <c r="AX56" i="74"/>
  <c r="AW56" i="74"/>
  <c r="AV56" i="74"/>
  <c r="AU56" i="74"/>
  <c r="AT56" i="74"/>
  <c r="AS56" i="74"/>
  <c r="AR56" i="74"/>
  <c r="AQ56" i="74"/>
  <c r="AP56" i="74"/>
  <c r="AO56" i="74"/>
  <c r="AN56" i="74"/>
  <c r="AM56" i="74"/>
  <c r="AL56" i="74"/>
  <c r="AK56" i="74"/>
  <c r="AJ56" i="74"/>
  <c r="AI56" i="74"/>
  <c r="AH56" i="74"/>
  <c r="AG56" i="74"/>
  <c r="AF56" i="74"/>
  <c r="AE56" i="74"/>
  <c r="AD56" i="74"/>
  <c r="AC56" i="74"/>
  <c r="AB56" i="74"/>
  <c r="AA56" i="74"/>
  <c r="Z56" i="74"/>
  <c r="Y56" i="74"/>
  <c r="X56" i="74"/>
  <c r="W56" i="74"/>
  <c r="V56" i="74"/>
  <c r="U56" i="74"/>
  <c r="T56" i="74"/>
  <c r="S56" i="74"/>
  <c r="R56" i="74"/>
  <c r="Q56" i="74"/>
  <c r="P56" i="74"/>
  <c r="O56" i="74"/>
  <c r="N56" i="74"/>
  <c r="M56" i="74"/>
  <c r="L56" i="74"/>
  <c r="K56" i="74"/>
  <c r="J56" i="74"/>
  <c r="I56" i="74"/>
  <c r="AX52" i="74"/>
  <c r="AW52" i="74"/>
  <c r="AV52" i="74"/>
  <c r="AU52" i="74"/>
  <c r="AT52" i="74"/>
  <c r="AS52" i="74"/>
  <c r="AR52" i="74"/>
  <c r="AQ52" i="74"/>
  <c r="AM52" i="74"/>
  <c r="AL52" i="74"/>
  <c r="AK52" i="74"/>
  <c r="AJ52" i="74"/>
  <c r="AI52" i="74"/>
  <c r="AH52" i="74"/>
  <c r="AG52" i="74"/>
  <c r="AF52" i="74"/>
  <c r="AE52" i="74"/>
  <c r="AD52" i="74"/>
  <c r="AC52" i="74"/>
  <c r="AB52" i="74"/>
  <c r="AA52" i="74"/>
  <c r="Z52" i="74"/>
  <c r="V52" i="74"/>
  <c r="U52" i="74"/>
  <c r="T52" i="74"/>
  <c r="S52" i="74"/>
  <c r="R52" i="74"/>
  <c r="Q52" i="74"/>
  <c r="P52" i="74"/>
  <c r="O52" i="74"/>
  <c r="N52" i="74"/>
  <c r="M52" i="74"/>
  <c r="L52" i="74"/>
  <c r="K52" i="74"/>
  <c r="J52" i="74"/>
  <c r="I52" i="74"/>
  <c r="AX44" i="74"/>
  <c r="AW44" i="74"/>
  <c r="AV44" i="74"/>
  <c r="AU44" i="74"/>
  <c r="AT44" i="74"/>
  <c r="AS44" i="74"/>
  <c r="AR44" i="74"/>
  <c r="AQ44" i="74"/>
  <c r="AP44" i="74"/>
  <c r="AO44" i="74"/>
  <c r="AN44" i="74"/>
  <c r="AM44" i="74"/>
  <c r="AL44" i="74"/>
  <c r="AK44" i="74"/>
  <c r="AJ44" i="74"/>
  <c r="AI44" i="74"/>
  <c r="AH44" i="74"/>
  <c r="AG44" i="74"/>
  <c r="AF44" i="74"/>
  <c r="AE44" i="74"/>
  <c r="AD44" i="74"/>
  <c r="AC44" i="74"/>
  <c r="AB44" i="74"/>
  <c r="AA44" i="74"/>
  <c r="Z44" i="74"/>
  <c r="Y44" i="74"/>
  <c r="X44" i="74"/>
  <c r="W44" i="74"/>
  <c r="V44" i="74"/>
  <c r="U44" i="74"/>
  <c r="T44" i="74"/>
  <c r="S44" i="74"/>
  <c r="R44" i="74"/>
  <c r="Q44" i="74"/>
  <c r="P44" i="74"/>
  <c r="O44" i="74"/>
  <c r="N44" i="74"/>
  <c r="M44" i="74"/>
  <c r="L44" i="74"/>
  <c r="K44" i="74"/>
  <c r="J44" i="74"/>
  <c r="I44" i="74"/>
  <c r="AX37" i="74"/>
  <c r="AW37" i="74"/>
  <c r="AV37" i="74"/>
  <c r="AU37" i="74"/>
  <c r="AT37" i="74"/>
  <c r="AS37" i="74"/>
  <c r="AR37" i="74"/>
  <c r="AQ37" i="74"/>
  <c r="AP37" i="74"/>
  <c r="AO37" i="74"/>
  <c r="AN37" i="74"/>
  <c r="AM37" i="74"/>
  <c r="AL37" i="74"/>
  <c r="AK37" i="74"/>
  <c r="AJ37" i="74"/>
  <c r="AI37" i="74"/>
  <c r="AH37" i="74"/>
  <c r="AG37" i="74"/>
  <c r="AF37" i="74"/>
  <c r="AE37" i="74"/>
  <c r="AD37" i="74"/>
  <c r="AC37" i="74"/>
  <c r="AB37" i="74"/>
  <c r="AA37" i="74"/>
  <c r="Z37" i="74"/>
  <c r="Y37" i="74"/>
  <c r="X37" i="74"/>
  <c r="W37" i="74"/>
  <c r="V37" i="74"/>
  <c r="U37" i="74"/>
  <c r="T37" i="74"/>
  <c r="S37" i="74"/>
  <c r="R37" i="74"/>
  <c r="Q37" i="74"/>
  <c r="P37" i="74"/>
  <c r="O37" i="74"/>
  <c r="N37" i="74"/>
  <c r="M37" i="74"/>
  <c r="L37" i="74"/>
  <c r="K37" i="74"/>
  <c r="J37" i="74"/>
  <c r="I37" i="74"/>
  <c r="AX32" i="74"/>
  <c r="AW32" i="74"/>
  <c r="AV32" i="74"/>
  <c r="AU32" i="74"/>
  <c r="AT32" i="74"/>
  <c r="AS32" i="74"/>
  <c r="AR32" i="74"/>
  <c r="AQ32" i="74"/>
  <c r="AP32" i="74"/>
  <c r="AO32" i="74"/>
  <c r="AN32" i="74"/>
  <c r="AM32" i="74"/>
  <c r="AL32" i="74"/>
  <c r="AK32" i="74"/>
  <c r="AJ32" i="74"/>
  <c r="AI32" i="74"/>
  <c r="AH32" i="74"/>
  <c r="AG32" i="74"/>
  <c r="AF32" i="74"/>
  <c r="AE32" i="74"/>
  <c r="AD32" i="74"/>
  <c r="AC32" i="74"/>
  <c r="AB32" i="74"/>
  <c r="AA32" i="74"/>
  <c r="Z32" i="74"/>
  <c r="Y32" i="74"/>
  <c r="X32" i="74"/>
  <c r="W32" i="74"/>
  <c r="V32" i="74"/>
  <c r="U32" i="74"/>
  <c r="T32" i="74"/>
  <c r="S32" i="74"/>
  <c r="R32" i="74"/>
  <c r="Q32" i="74"/>
  <c r="P32" i="74"/>
  <c r="O32" i="74"/>
  <c r="N32" i="74"/>
  <c r="M32" i="74"/>
  <c r="L32" i="74"/>
  <c r="K32" i="74"/>
  <c r="J32" i="74"/>
  <c r="I32" i="74"/>
  <c r="AX22" i="74"/>
  <c r="AW22" i="74"/>
  <c r="AV22" i="74"/>
  <c r="AU22" i="74"/>
  <c r="AT22" i="74"/>
  <c r="AS22" i="74"/>
  <c r="AR22" i="74"/>
  <c r="AQ22" i="74"/>
  <c r="AP22" i="74"/>
  <c r="AO22" i="74"/>
  <c r="AN22" i="74"/>
  <c r="AM22" i="74"/>
  <c r="AL22" i="74"/>
  <c r="AK22" i="74"/>
  <c r="AJ22" i="74"/>
  <c r="AI22" i="74"/>
  <c r="AH22" i="74"/>
  <c r="AG22" i="74"/>
  <c r="AF22" i="74"/>
  <c r="AE22" i="74"/>
  <c r="AD22" i="74"/>
  <c r="AC22" i="74"/>
  <c r="AB22" i="74"/>
  <c r="AA22" i="74"/>
  <c r="Z22" i="74"/>
  <c r="Y22" i="74"/>
  <c r="X22" i="74"/>
  <c r="W22" i="74"/>
  <c r="V22" i="74"/>
  <c r="U22" i="74"/>
  <c r="T22" i="74"/>
  <c r="S22" i="74"/>
  <c r="R22" i="74"/>
  <c r="Q22" i="74"/>
  <c r="P22" i="74"/>
  <c r="O22" i="74"/>
  <c r="N22" i="74"/>
  <c r="M22" i="74"/>
  <c r="L22" i="74"/>
  <c r="K22" i="74"/>
  <c r="J22" i="74"/>
  <c r="I22" i="74"/>
  <c r="AX11" i="74"/>
  <c r="AW11" i="74"/>
  <c r="AV11" i="74"/>
  <c r="AU11" i="74"/>
  <c r="AT11" i="74"/>
  <c r="AS11" i="74"/>
  <c r="AR11" i="74"/>
  <c r="AQ11" i="74"/>
  <c r="AP11" i="74"/>
  <c r="AO11" i="74"/>
  <c r="AN11" i="74"/>
  <c r="AM11" i="74"/>
  <c r="AL11" i="74"/>
  <c r="AK11" i="74"/>
  <c r="AJ11" i="74"/>
  <c r="AI11" i="74"/>
  <c r="AH11" i="74"/>
  <c r="AG11" i="74"/>
  <c r="AF11" i="74"/>
  <c r="AE11" i="74"/>
  <c r="AD11" i="74"/>
  <c r="AC11" i="74"/>
  <c r="AB11" i="74"/>
  <c r="AA11" i="74"/>
  <c r="Z11" i="74"/>
  <c r="Y11" i="74"/>
  <c r="X11" i="74"/>
  <c r="W11" i="74"/>
  <c r="V11" i="74"/>
  <c r="U11" i="74"/>
  <c r="T11" i="74"/>
  <c r="S11" i="74"/>
  <c r="R11" i="74"/>
  <c r="Q11" i="74"/>
  <c r="P11" i="74"/>
  <c r="O11" i="74"/>
  <c r="N11" i="74"/>
  <c r="M11" i="74"/>
  <c r="L11" i="74"/>
  <c r="K11" i="74"/>
  <c r="J11" i="74"/>
  <c r="I11" i="74"/>
  <c r="F287" i="73"/>
  <c r="F304" i="73" s="1"/>
  <c r="G287" i="73"/>
  <c r="G304" i="73" s="1"/>
  <c r="H287" i="73"/>
  <c r="H304" i="73" s="1"/>
  <c r="I287" i="73"/>
  <c r="I304" i="73" s="1"/>
  <c r="J287" i="73"/>
  <c r="J304" i="73" s="1"/>
  <c r="K287" i="73"/>
  <c r="K304" i="73" s="1"/>
  <c r="L287" i="73"/>
  <c r="L304" i="73" s="1"/>
  <c r="M287" i="73"/>
  <c r="M304" i="73" s="1"/>
  <c r="N287" i="73"/>
  <c r="N304" i="73" s="1"/>
  <c r="O287" i="73"/>
  <c r="O304" i="73" s="1"/>
  <c r="P287" i="73"/>
  <c r="P304" i="73" s="1"/>
  <c r="Q287" i="73"/>
  <c r="Q304" i="73" s="1"/>
  <c r="R287" i="73"/>
  <c r="R304" i="73" s="1"/>
  <c r="S287" i="73"/>
  <c r="S304" i="73" s="1"/>
  <c r="T287" i="73"/>
  <c r="T304" i="73" s="1"/>
  <c r="U287" i="73"/>
  <c r="U304" i="73" s="1"/>
  <c r="V287" i="73"/>
  <c r="V304" i="73" s="1"/>
  <c r="W287" i="73"/>
  <c r="W304" i="73" s="1"/>
  <c r="X287" i="73"/>
  <c r="X304" i="73" s="1"/>
  <c r="Y287" i="73"/>
  <c r="Y304" i="73" s="1"/>
  <c r="Z287" i="73"/>
  <c r="Z304" i="73" s="1"/>
  <c r="AA287" i="73"/>
  <c r="AA304" i="73" s="1"/>
  <c r="AB287" i="73"/>
  <c r="AB304" i="73" s="1"/>
  <c r="AC287" i="73"/>
  <c r="AC304" i="73" s="1"/>
  <c r="AD287" i="73"/>
  <c r="AD304" i="73" s="1"/>
  <c r="AE287" i="73"/>
  <c r="AE304" i="73" s="1"/>
  <c r="AF287" i="73"/>
  <c r="AF304" i="73" s="1"/>
  <c r="AG287" i="73"/>
  <c r="AG304" i="73" s="1"/>
  <c r="AH287" i="73"/>
  <c r="AH304" i="73" s="1"/>
  <c r="AI287" i="73"/>
  <c r="AI304" i="73" s="1"/>
  <c r="AJ287" i="73"/>
  <c r="AJ304" i="73" s="1"/>
  <c r="AK287" i="73"/>
  <c r="AK304" i="73" s="1"/>
  <c r="AL287" i="73"/>
  <c r="AL304" i="73" s="1"/>
  <c r="AM287" i="73"/>
  <c r="AM304" i="73" s="1"/>
  <c r="AN287" i="73"/>
  <c r="AN304" i="73" s="1"/>
  <c r="AO287" i="73"/>
  <c r="AO304" i="73" s="1"/>
  <c r="AP287" i="73"/>
  <c r="AP304" i="73" s="1"/>
  <c r="AQ287" i="73"/>
  <c r="AQ304" i="73" s="1"/>
  <c r="AR287" i="73"/>
  <c r="AR304" i="73" s="1"/>
  <c r="AS287" i="73"/>
  <c r="AS304" i="73" s="1"/>
  <c r="AT287" i="73"/>
  <c r="AT304" i="73" s="1"/>
  <c r="AU287" i="73"/>
  <c r="AU304" i="73" s="1"/>
  <c r="AV287" i="73"/>
  <c r="AV304" i="73" s="1"/>
  <c r="AW287" i="73"/>
  <c r="AW304" i="73" s="1"/>
  <c r="AX287" i="73"/>
  <c r="AX304" i="73" s="1"/>
  <c r="E287" i="73"/>
  <c r="E304" i="73" s="1"/>
  <c r="D224" i="73"/>
  <c r="D223" i="73"/>
  <c r="AS199" i="74" l="1"/>
  <c r="AA199" i="74"/>
  <c r="AA203" i="74" s="1"/>
  <c r="AI199" i="74"/>
  <c r="AI203" i="74" s="1"/>
  <c r="N199" i="74"/>
  <c r="N203" i="74" s="1"/>
  <c r="V199" i="74"/>
  <c r="V203" i="74" s="1"/>
  <c r="J199" i="74"/>
  <c r="J203" i="74" s="1"/>
  <c r="R199" i="74"/>
  <c r="T199" i="74"/>
  <c r="T203" i="74" s="1"/>
  <c r="AV199" i="74"/>
  <c r="AV203" i="74" s="1"/>
  <c r="AG199" i="74"/>
  <c r="V224" i="74"/>
  <c r="Z199" i="74"/>
  <c r="Z203" i="74" s="1"/>
  <c r="AF223" i="74"/>
  <c r="AV223" i="74"/>
  <c r="K199" i="74"/>
  <c r="K203" i="74" s="1"/>
  <c r="L199" i="74"/>
  <c r="L203" i="74" s="1"/>
  <c r="P199" i="74"/>
  <c r="P203" i="74" s="1"/>
  <c r="AR199" i="74"/>
  <c r="AR203" i="74" s="1"/>
  <c r="AF199" i="74"/>
  <c r="AF203" i="74" s="1"/>
  <c r="O199" i="74"/>
  <c r="O203" i="74" s="1"/>
  <c r="AE199" i="74"/>
  <c r="AE203" i="74" s="1"/>
  <c r="AM199" i="74"/>
  <c r="AM203" i="74" s="1"/>
  <c r="AQ199" i="74"/>
  <c r="AQ203" i="74" s="1"/>
  <c r="U199" i="74"/>
  <c r="U203" i="74" s="1"/>
  <c r="AC199" i="74"/>
  <c r="AK199" i="74"/>
  <c r="AK203" i="74" s="1"/>
  <c r="AO223" i="74"/>
  <c r="M199" i="74"/>
  <c r="M203" i="74" s="1"/>
  <c r="AB199" i="74"/>
  <c r="AB203" i="74" s="1"/>
  <c r="AJ199" i="74"/>
  <c r="S199" i="74"/>
  <c r="AU199" i="74"/>
  <c r="AU203" i="74" s="1"/>
  <c r="Q199" i="74"/>
  <c r="Q203" i="74" s="1"/>
  <c r="AW199" i="74"/>
  <c r="AW203" i="74" s="1"/>
  <c r="AD199" i="74"/>
  <c r="AH199" i="74"/>
  <c r="AH203" i="74" s="1"/>
  <c r="AL199" i="74"/>
  <c r="AL203" i="74" s="1"/>
  <c r="AT199" i="74"/>
  <c r="AT203" i="74" s="1"/>
  <c r="AX199" i="74"/>
  <c r="AX203" i="74" s="1"/>
  <c r="AU224" i="74"/>
  <c r="P223" i="74"/>
  <c r="AQ224" i="74"/>
  <c r="AA224" i="74"/>
  <c r="AW224" i="74"/>
  <c r="K224" i="74"/>
  <c r="AG224" i="74"/>
  <c r="Q224" i="74"/>
  <c r="AL224" i="74"/>
  <c r="AV224" i="74"/>
  <c r="R224" i="74"/>
  <c r="AC224" i="74"/>
  <c r="AM224" i="74"/>
  <c r="AX224" i="74"/>
  <c r="I224" i="74"/>
  <c r="N224" i="74"/>
  <c r="S224" i="74"/>
  <c r="Y224" i="74"/>
  <c r="AD224" i="74"/>
  <c r="AI224" i="74"/>
  <c r="AO224" i="74"/>
  <c r="AT224" i="74"/>
  <c r="M224" i="74"/>
  <c r="W224" i="74"/>
  <c r="AH224" i="74"/>
  <c r="AS224" i="74"/>
  <c r="J224" i="74"/>
  <c r="O224" i="74"/>
  <c r="U224" i="74"/>
  <c r="Z224" i="74"/>
  <c r="AE224" i="74"/>
  <c r="AK224" i="74"/>
  <c r="AP224" i="74"/>
  <c r="D32" i="14"/>
  <c r="D60" i="14" s="1"/>
  <c r="D136" i="14"/>
  <c r="H33" i="14"/>
  <c r="H96" i="14"/>
  <c r="AR97" i="14" s="1"/>
  <c r="H41" i="14"/>
  <c r="AR42" i="14" s="1"/>
  <c r="Q223" i="74"/>
  <c r="AG223" i="74"/>
  <c r="AW223" i="74"/>
  <c r="X223" i="74"/>
  <c r="AN223" i="74"/>
  <c r="I223" i="74"/>
  <c r="Y223" i="74"/>
  <c r="AU223" i="74"/>
  <c r="AQ223" i="74"/>
  <c r="AM223" i="74"/>
  <c r="AI223" i="74"/>
  <c r="AE223" i="74"/>
  <c r="AA223" i="74"/>
  <c r="W223" i="74"/>
  <c r="S223" i="74"/>
  <c r="O223" i="74"/>
  <c r="K223" i="74"/>
  <c r="AX223" i="74"/>
  <c r="AT223" i="74"/>
  <c r="AP223" i="74"/>
  <c r="AL223" i="74"/>
  <c r="AH223" i="74"/>
  <c r="AD223" i="74"/>
  <c r="Z223" i="74"/>
  <c r="V223" i="74"/>
  <c r="R223" i="74"/>
  <c r="N223" i="74"/>
  <c r="J223" i="74"/>
  <c r="L223" i="74"/>
  <c r="T223" i="74"/>
  <c r="AB223" i="74"/>
  <c r="AJ223" i="74"/>
  <c r="AR223" i="74"/>
  <c r="M223" i="74"/>
  <c r="U223" i="74"/>
  <c r="AC223" i="74"/>
  <c r="AK223" i="74"/>
  <c r="AS223" i="74"/>
  <c r="L224" i="74"/>
  <c r="P224" i="74"/>
  <c r="T224" i="74"/>
  <c r="X224" i="74"/>
  <c r="AB224" i="74"/>
  <c r="AF224" i="74"/>
  <c r="AJ224" i="74"/>
  <c r="AN224" i="74"/>
  <c r="AR224" i="74"/>
  <c r="AG203" i="74"/>
  <c r="AS203" i="74"/>
  <c r="AJ203" i="74"/>
  <c r="I199" i="74"/>
  <c r="I203" i="74" s="1"/>
  <c r="AO11" i="73"/>
  <c r="AP11" i="73"/>
  <c r="AQ11" i="73"/>
  <c r="AR11" i="73"/>
  <c r="AS11" i="73"/>
  <c r="AT11" i="73"/>
  <c r="AU11" i="73"/>
  <c r="AV11" i="73"/>
  <c r="AW11" i="73"/>
  <c r="AX11" i="73"/>
  <c r="AO22" i="73"/>
  <c r="AP22" i="73"/>
  <c r="AP223" i="73" s="1"/>
  <c r="AQ22" i="73"/>
  <c r="AQ223" i="73" s="1"/>
  <c r="AR22" i="73"/>
  <c r="AR223" i="73" s="1"/>
  <c r="AS22" i="73"/>
  <c r="AS223" i="73" s="1"/>
  <c r="AT22" i="73"/>
  <c r="AT223" i="73" s="1"/>
  <c r="AU22" i="73"/>
  <c r="AU223" i="73" s="1"/>
  <c r="AV22" i="73"/>
  <c r="AV223" i="73" s="1"/>
  <c r="AW22" i="73"/>
  <c r="AW223" i="73" s="1"/>
  <c r="AX22" i="73"/>
  <c r="AX223" i="73" s="1"/>
  <c r="AO32" i="73"/>
  <c r="AP32" i="73"/>
  <c r="AQ32" i="73"/>
  <c r="AR32" i="73"/>
  <c r="AS32" i="73"/>
  <c r="AT32" i="73"/>
  <c r="AU32" i="73"/>
  <c r="AV32" i="73"/>
  <c r="AW32" i="73"/>
  <c r="AX32" i="73"/>
  <c r="AO37" i="73"/>
  <c r="AP37" i="73"/>
  <c r="AQ37" i="73"/>
  <c r="AR37" i="73"/>
  <c r="AS37" i="73"/>
  <c r="AT37" i="73"/>
  <c r="AU37" i="73"/>
  <c r="AV37" i="73"/>
  <c r="AW37" i="73"/>
  <c r="AX37" i="73"/>
  <c r="AO44" i="73"/>
  <c r="AP44" i="73"/>
  <c r="AQ44" i="73"/>
  <c r="AR44" i="73"/>
  <c r="AS44" i="73"/>
  <c r="AT44" i="73"/>
  <c r="AU44" i="73"/>
  <c r="AV44" i="73"/>
  <c r="AW44" i="73"/>
  <c r="AX44" i="73"/>
  <c r="AQ52" i="73"/>
  <c r="AR52" i="73"/>
  <c r="AS52" i="73"/>
  <c r="AT52" i="73"/>
  <c r="AU52" i="73"/>
  <c r="AV52" i="73"/>
  <c r="AW52" i="73"/>
  <c r="AX52" i="73"/>
  <c r="AO56" i="73"/>
  <c r="AP56" i="73"/>
  <c r="AQ56" i="73"/>
  <c r="AR56" i="73"/>
  <c r="AS56" i="73"/>
  <c r="AT56" i="73"/>
  <c r="AU56" i="73"/>
  <c r="AV56" i="73"/>
  <c r="AW56" i="73"/>
  <c r="AX56" i="73"/>
  <c r="AQ60" i="73"/>
  <c r="AR60" i="73"/>
  <c r="AS60" i="73"/>
  <c r="AT60" i="73"/>
  <c r="AU60" i="73"/>
  <c r="AV60" i="73"/>
  <c r="AW60" i="73"/>
  <c r="AX60" i="73"/>
  <c r="AQ69" i="73"/>
  <c r="AR69" i="73"/>
  <c r="AS69" i="73"/>
  <c r="AT69" i="73"/>
  <c r="AU69" i="73"/>
  <c r="AV69" i="73"/>
  <c r="AW69" i="73"/>
  <c r="AX69" i="73"/>
  <c r="AQ85" i="73"/>
  <c r="AR85" i="73"/>
  <c r="AS85" i="73"/>
  <c r="AT85" i="73"/>
  <c r="AU85" i="73"/>
  <c r="AV85" i="73"/>
  <c r="AW85" i="73"/>
  <c r="AX85" i="73"/>
  <c r="AQ96" i="73"/>
  <c r="AR96" i="73"/>
  <c r="AS96" i="73"/>
  <c r="AT96" i="73"/>
  <c r="AU96" i="73"/>
  <c r="AV96" i="73"/>
  <c r="AW96" i="73"/>
  <c r="AX96" i="73"/>
  <c r="AQ107" i="73"/>
  <c r="AR107" i="73"/>
  <c r="AS107" i="73"/>
  <c r="AT107" i="73"/>
  <c r="AU107" i="73"/>
  <c r="AV107" i="73"/>
  <c r="AW107" i="73"/>
  <c r="AX107" i="73"/>
  <c r="AQ118" i="73"/>
  <c r="AR118" i="73"/>
  <c r="AS118" i="73"/>
  <c r="AT118" i="73"/>
  <c r="AU118" i="73"/>
  <c r="AV118" i="73"/>
  <c r="AW118" i="73"/>
  <c r="AX118" i="73"/>
  <c r="AQ129" i="73"/>
  <c r="AR129" i="73"/>
  <c r="AS129" i="73"/>
  <c r="AT129" i="73"/>
  <c r="AU129" i="73"/>
  <c r="AV129" i="73"/>
  <c r="AW129" i="73"/>
  <c r="AX129" i="73"/>
  <c r="AQ140" i="73"/>
  <c r="AR140" i="73"/>
  <c r="AS140" i="73"/>
  <c r="AT140" i="73"/>
  <c r="AU140" i="73"/>
  <c r="AV140" i="73"/>
  <c r="AW140" i="73"/>
  <c r="AX140" i="73"/>
  <c r="AQ151" i="73"/>
  <c r="AR151" i="73"/>
  <c r="AS151" i="73"/>
  <c r="AT151" i="73"/>
  <c r="AU151" i="73"/>
  <c r="AV151" i="73"/>
  <c r="AW151" i="73"/>
  <c r="AX151" i="73"/>
  <c r="AQ162" i="73"/>
  <c r="AR162" i="73"/>
  <c r="AS162" i="73"/>
  <c r="AT162" i="73"/>
  <c r="AU162" i="73"/>
  <c r="AV162" i="73"/>
  <c r="AW162" i="73"/>
  <c r="AX162" i="73"/>
  <c r="AO174" i="73"/>
  <c r="AP174" i="73"/>
  <c r="AQ174" i="73"/>
  <c r="AR174" i="73"/>
  <c r="AS174" i="73"/>
  <c r="AT174" i="73"/>
  <c r="AU174" i="73"/>
  <c r="AV174" i="73"/>
  <c r="AW174" i="73"/>
  <c r="AX174" i="73"/>
  <c r="AP183" i="73"/>
  <c r="AQ183" i="73"/>
  <c r="AR183" i="73"/>
  <c r="AS183" i="73"/>
  <c r="AT183" i="73"/>
  <c r="AU183" i="73"/>
  <c r="AV183" i="73"/>
  <c r="AW183" i="73"/>
  <c r="AX183" i="73"/>
  <c r="AO192" i="73"/>
  <c r="AP192" i="73"/>
  <c r="AQ192" i="73"/>
  <c r="AR192" i="73"/>
  <c r="AS192" i="73"/>
  <c r="AT192" i="73"/>
  <c r="AU192" i="73"/>
  <c r="AV192" i="73"/>
  <c r="AW192" i="73"/>
  <c r="AX192" i="73"/>
  <c r="D22" i="73"/>
  <c r="D222" i="73" s="1"/>
  <c r="I22" i="73"/>
  <c r="J22" i="73"/>
  <c r="K22" i="73"/>
  <c r="L22" i="73"/>
  <c r="L223" i="73" s="1"/>
  <c r="M22" i="73"/>
  <c r="M223" i="73" s="1"/>
  <c r="N22" i="73"/>
  <c r="N223" i="73" s="1"/>
  <c r="O22" i="73"/>
  <c r="O223" i="73" s="1"/>
  <c r="P22" i="73"/>
  <c r="P223" i="73" s="1"/>
  <c r="Q22" i="73"/>
  <c r="R22" i="73"/>
  <c r="R223" i="73" s="1"/>
  <c r="S22" i="73"/>
  <c r="T22" i="73"/>
  <c r="T224" i="73" s="1"/>
  <c r="U22" i="73"/>
  <c r="U223" i="73" s="1"/>
  <c r="V22" i="73"/>
  <c r="V223" i="73" s="1"/>
  <c r="W22" i="73"/>
  <c r="W224" i="73" s="1"/>
  <c r="X22" i="73"/>
  <c r="X223" i="73" s="1"/>
  <c r="Y22" i="73"/>
  <c r="Z22" i="73"/>
  <c r="Z223" i="73" s="1"/>
  <c r="AA22" i="73"/>
  <c r="AB22" i="73"/>
  <c r="AB223" i="73" s="1"/>
  <c r="AC22" i="73"/>
  <c r="AC223" i="73" s="1"/>
  <c r="AD22" i="73"/>
  <c r="AD224" i="73" s="1"/>
  <c r="AE22" i="73"/>
  <c r="AE223" i="73" s="1"/>
  <c r="AF22" i="73"/>
  <c r="AF223" i="73" s="1"/>
  <c r="AG22" i="73"/>
  <c r="AG223" i="73" s="1"/>
  <c r="AH22" i="73"/>
  <c r="AH224" i="73" s="1"/>
  <c r="AI22" i="73"/>
  <c r="AJ22" i="73"/>
  <c r="AJ224" i="73" s="1"/>
  <c r="AK22" i="73"/>
  <c r="AL22" i="73"/>
  <c r="AM22" i="73"/>
  <c r="AN22" i="73"/>
  <c r="AN223" i="73" s="1"/>
  <c r="I32" i="73"/>
  <c r="I9" i="64" s="1"/>
  <c r="J32" i="73"/>
  <c r="K32" i="73"/>
  <c r="L32" i="73"/>
  <c r="M32" i="73"/>
  <c r="N32" i="73"/>
  <c r="O32" i="73"/>
  <c r="P32" i="73"/>
  <c r="Q32" i="73"/>
  <c r="R32" i="73"/>
  <c r="S32" i="73"/>
  <c r="T32" i="73"/>
  <c r="U32" i="73"/>
  <c r="V32" i="73"/>
  <c r="W32" i="73"/>
  <c r="X32" i="73"/>
  <c r="Y32" i="73"/>
  <c r="Z32" i="73"/>
  <c r="AA32" i="73"/>
  <c r="AB32" i="73"/>
  <c r="AC32" i="73"/>
  <c r="AD32" i="73"/>
  <c r="AE32" i="73"/>
  <c r="AF32" i="73"/>
  <c r="AG32" i="73"/>
  <c r="AH32" i="73"/>
  <c r="AI32" i="73"/>
  <c r="AJ32" i="73"/>
  <c r="AK32" i="73"/>
  <c r="AL32" i="73"/>
  <c r="AM32" i="73"/>
  <c r="AN32" i="73"/>
  <c r="I37" i="73"/>
  <c r="I10" i="64" s="1"/>
  <c r="J37" i="73"/>
  <c r="K37" i="73"/>
  <c r="L37" i="73"/>
  <c r="M37" i="73"/>
  <c r="N37" i="73"/>
  <c r="O37" i="73"/>
  <c r="P37" i="73"/>
  <c r="Q37" i="73"/>
  <c r="R37" i="73"/>
  <c r="S37" i="73"/>
  <c r="T37" i="73"/>
  <c r="U37" i="73"/>
  <c r="V37" i="73"/>
  <c r="W37" i="73"/>
  <c r="X37" i="73"/>
  <c r="Y37" i="73"/>
  <c r="Z37" i="73"/>
  <c r="AA37" i="73"/>
  <c r="AB37" i="73"/>
  <c r="AC37" i="73"/>
  <c r="AD37" i="73"/>
  <c r="AE37" i="73"/>
  <c r="AF37" i="73"/>
  <c r="AG37" i="73"/>
  <c r="AH37" i="73"/>
  <c r="AI37" i="73"/>
  <c r="AJ37" i="73"/>
  <c r="AK37" i="73"/>
  <c r="AL37" i="73"/>
  <c r="AM37" i="73"/>
  <c r="AN37" i="73"/>
  <c r="I44" i="73"/>
  <c r="I8" i="64" s="1"/>
  <c r="J44" i="73"/>
  <c r="K44" i="73"/>
  <c r="L44" i="73"/>
  <c r="M44" i="73"/>
  <c r="N44" i="73"/>
  <c r="O44" i="73"/>
  <c r="P44" i="73"/>
  <c r="Q44" i="73"/>
  <c r="R44" i="73"/>
  <c r="S44" i="73"/>
  <c r="T44" i="73"/>
  <c r="U44" i="73"/>
  <c r="V44" i="73"/>
  <c r="W44" i="73"/>
  <c r="X44" i="73"/>
  <c r="Y44" i="73"/>
  <c r="Z44" i="73"/>
  <c r="AA44" i="73"/>
  <c r="AB44" i="73"/>
  <c r="AC44" i="73"/>
  <c r="AD44" i="73"/>
  <c r="AE44" i="73"/>
  <c r="AF44" i="73"/>
  <c r="AG44" i="73"/>
  <c r="AH44" i="73"/>
  <c r="AI44" i="73"/>
  <c r="AJ44" i="73"/>
  <c r="AK44" i="73"/>
  <c r="AL44" i="73"/>
  <c r="AM44" i="73"/>
  <c r="AN44" i="73"/>
  <c r="I52" i="73"/>
  <c r="I11" i="64" s="1"/>
  <c r="J52" i="73"/>
  <c r="K52" i="73"/>
  <c r="L52" i="73"/>
  <c r="M52" i="73"/>
  <c r="N52" i="73"/>
  <c r="O52" i="73"/>
  <c r="P52" i="73"/>
  <c r="Q52" i="73"/>
  <c r="R52" i="73"/>
  <c r="S52" i="73"/>
  <c r="T52" i="73"/>
  <c r="U52" i="73"/>
  <c r="V52" i="73"/>
  <c r="Z52" i="73"/>
  <c r="AA52" i="73"/>
  <c r="AB52" i="73"/>
  <c r="AC52" i="73"/>
  <c r="AD52" i="73"/>
  <c r="AE52" i="73"/>
  <c r="AF52" i="73"/>
  <c r="AG52" i="73"/>
  <c r="AH52" i="73"/>
  <c r="AI52" i="73"/>
  <c r="AJ52" i="73"/>
  <c r="AK52" i="73"/>
  <c r="AL52" i="73"/>
  <c r="AM52" i="73"/>
  <c r="I56" i="73"/>
  <c r="J56" i="73"/>
  <c r="K56" i="73"/>
  <c r="L56" i="73"/>
  <c r="M56" i="73"/>
  <c r="N56" i="73"/>
  <c r="O56" i="73"/>
  <c r="P56" i="73"/>
  <c r="Q56" i="73"/>
  <c r="R56" i="73"/>
  <c r="S56" i="73"/>
  <c r="T56" i="73"/>
  <c r="U56" i="73"/>
  <c r="V56" i="73"/>
  <c r="W56" i="73"/>
  <c r="X56" i="73"/>
  <c r="Y56" i="73"/>
  <c r="Z56" i="73"/>
  <c r="AA56" i="73"/>
  <c r="AB56" i="73"/>
  <c r="AC56" i="73"/>
  <c r="AD56" i="73"/>
  <c r="AE56" i="73"/>
  <c r="AF56" i="73"/>
  <c r="AG56" i="73"/>
  <c r="AH56" i="73"/>
  <c r="AI56" i="73"/>
  <c r="AJ56" i="73"/>
  <c r="AK56" i="73"/>
  <c r="AL56" i="73"/>
  <c r="AM56" i="73"/>
  <c r="AN56" i="73"/>
  <c r="I60" i="73"/>
  <c r="I12" i="64" s="1"/>
  <c r="J60" i="73"/>
  <c r="K60" i="73"/>
  <c r="L60" i="73"/>
  <c r="M60" i="73"/>
  <c r="N60" i="73"/>
  <c r="O60" i="73"/>
  <c r="P60" i="73"/>
  <c r="Q60" i="73"/>
  <c r="R60" i="73"/>
  <c r="S60" i="73"/>
  <c r="T60" i="73"/>
  <c r="U60" i="73"/>
  <c r="V60" i="73"/>
  <c r="Z60" i="73"/>
  <c r="AA60" i="73"/>
  <c r="AB60" i="73"/>
  <c r="AC60" i="73"/>
  <c r="AD60" i="73"/>
  <c r="AE60" i="73"/>
  <c r="AF60" i="73"/>
  <c r="AG60" i="73"/>
  <c r="AH60" i="73"/>
  <c r="AI60" i="73"/>
  <c r="AJ60" i="73"/>
  <c r="AK60" i="73"/>
  <c r="AL60" i="73"/>
  <c r="AM60" i="73"/>
  <c r="I69" i="73"/>
  <c r="I13" i="64" s="1"/>
  <c r="J69" i="73"/>
  <c r="K69" i="73"/>
  <c r="L69" i="73"/>
  <c r="M69" i="73"/>
  <c r="N69" i="73"/>
  <c r="O69" i="73"/>
  <c r="P69" i="73"/>
  <c r="Q69" i="73"/>
  <c r="R69" i="73"/>
  <c r="S69" i="73"/>
  <c r="T69" i="73"/>
  <c r="U69" i="73"/>
  <c r="V69" i="73"/>
  <c r="Z69" i="73"/>
  <c r="AA69" i="73"/>
  <c r="AB69" i="73"/>
  <c r="AC69" i="73"/>
  <c r="AD69" i="73"/>
  <c r="AE69" i="73"/>
  <c r="AF69" i="73"/>
  <c r="AG69" i="73"/>
  <c r="AH69" i="73"/>
  <c r="AI69" i="73"/>
  <c r="AJ69" i="73"/>
  <c r="AK69" i="73"/>
  <c r="AL69" i="73"/>
  <c r="AM69" i="73"/>
  <c r="I85" i="73"/>
  <c r="J85" i="73"/>
  <c r="K85" i="73"/>
  <c r="L85" i="73"/>
  <c r="M85" i="73"/>
  <c r="N85" i="73"/>
  <c r="O85" i="73"/>
  <c r="P85" i="73"/>
  <c r="Q85" i="73"/>
  <c r="R85" i="73"/>
  <c r="S85" i="73"/>
  <c r="T85" i="73"/>
  <c r="U85" i="73"/>
  <c r="V85" i="73"/>
  <c r="Z85" i="73"/>
  <c r="AA85" i="73"/>
  <c r="AB85" i="73"/>
  <c r="AC85" i="73"/>
  <c r="AD85" i="73"/>
  <c r="AE85" i="73"/>
  <c r="AF85" i="73"/>
  <c r="AG85" i="73"/>
  <c r="AH85" i="73"/>
  <c r="AI85" i="73"/>
  <c r="AJ85" i="73"/>
  <c r="AK85" i="73"/>
  <c r="AL85" i="73"/>
  <c r="AM85" i="73"/>
  <c r="I96" i="73"/>
  <c r="J96" i="73"/>
  <c r="K96" i="73"/>
  <c r="L96" i="73"/>
  <c r="M96" i="73"/>
  <c r="N96" i="73"/>
  <c r="O96" i="73"/>
  <c r="P96" i="73"/>
  <c r="Q96" i="73"/>
  <c r="R96" i="73"/>
  <c r="S96" i="73"/>
  <c r="T96" i="73"/>
  <c r="U96" i="73"/>
  <c r="V96" i="73"/>
  <c r="Z96" i="73"/>
  <c r="AA96" i="73"/>
  <c r="AB96" i="73"/>
  <c r="AC96" i="73"/>
  <c r="AD96" i="73"/>
  <c r="AE96" i="73"/>
  <c r="AF96" i="73"/>
  <c r="AG96" i="73"/>
  <c r="AH96" i="73"/>
  <c r="AI96" i="73"/>
  <c r="AJ96" i="73"/>
  <c r="AK96" i="73"/>
  <c r="AL96" i="73"/>
  <c r="AM96" i="73"/>
  <c r="I107" i="73"/>
  <c r="J107" i="73"/>
  <c r="K107" i="73"/>
  <c r="L107" i="73"/>
  <c r="M107" i="73"/>
  <c r="N107" i="73"/>
  <c r="O107" i="73"/>
  <c r="P107" i="73"/>
  <c r="Q107" i="73"/>
  <c r="R107" i="73"/>
  <c r="S107" i="73"/>
  <c r="T107" i="73"/>
  <c r="U107" i="73"/>
  <c r="V107" i="73"/>
  <c r="Z107" i="73"/>
  <c r="AA107" i="73"/>
  <c r="AB107" i="73"/>
  <c r="AC107" i="73"/>
  <c r="AD107" i="73"/>
  <c r="AE107" i="73"/>
  <c r="AF107" i="73"/>
  <c r="AG107" i="73"/>
  <c r="AH107" i="73"/>
  <c r="AI107" i="73"/>
  <c r="AJ107" i="73"/>
  <c r="AK107" i="73"/>
  <c r="AL107" i="73"/>
  <c r="AM107" i="73"/>
  <c r="I118" i="73"/>
  <c r="J118" i="73"/>
  <c r="K118" i="73"/>
  <c r="L118" i="73"/>
  <c r="M118" i="73"/>
  <c r="N118" i="73"/>
  <c r="O118" i="73"/>
  <c r="P118" i="73"/>
  <c r="Q118" i="73"/>
  <c r="R118" i="73"/>
  <c r="S118" i="73"/>
  <c r="T118" i="73"/>
  <c r="U118" i="73"/>
  <c r="V118" i="73"/>
  <c r="Z118" i="73"/>
  <c r="AA118" i="73"/>
  <c r="AB118" i="73"/>
  <c r="AC118" i="73"/>
  <c r="AD118" i="73"/>
  <c r="AE118" i="73"/>
  <c r="AF118" i="73"/>
  <c r="AG118" i="73"/>
  <c r="AH118" i="73"/>
  <c r="AI118" i="73"/>
  <c r="AJ118" i="73"/>
  <c r="AK118" i="73"/>
  <c r="AL118" i="73"/>
  <c r="AM118" i="73"/>
  <c r="I129" i="73"/>
  <c r="J129" i="73"/>
  <c r="K129" i="73"/>
  <c r="L129" i="73"/>
  <c r="M129" i="73"/>
  <c r="N129" i="73"/>
  <c r="O129" i="73"/>
  <c r="P129" i="73"/>
  <c r="Q129" i="73"/>
  <c r="R129" i="73"/>
  <c r="S129" i="73"/>
  <c r="T129" i="73"/>
  <c r="U129" i="73"/>
  <c r="V129" i="73"/>
  <c r="Z129" i="73"/>
  <c r="AA129" i="73"/>
  <c r="AB129" i="73"/>
  <c r="AC129" i="73"/>
  <c r="AD129" i="73"/>
  <c r="AE129" i="73"/>
  <c r="AF129" i="73"/>
  <c r="AG129" i="73"/>
  <c r="AH129" i="73"/>
  <c r="AI129" i="73"/>
  <c r="AJ129" i="73"/>
  <c r="AK129" i="73"/>
  <c r="AL129" i="73"/>
  <c r="AM129" i="73"/>
  <c r="I140" i="73"/>
  <c r="J140" i="73"/>
  <c r="K140" i="73"/>
  <c r="L140" i="73"/>
  <c r="M140" i="73"/>
  <c r="N140" i="73"/>
  <c r="O140" i="73"/>
  <c r="P140" i="73"/>
  <c r="Q140" i="73"/>
  <c r="R140" i="73"/>
  <c r="S140" i="73"/>
  <c r="T140" i="73"/>
  <c r="U140" i="73"/>
  <c r="V140" i="73"/>
  <c r="Z140" i="73"/>
  <c r="AA140" i="73"/>
  <c r="AB140" i="73"/>
  <c r="AC140" i="73"/>
  <c r="AD140" i="73"/>
  <c r="AE140" i="73"/>
  <c r="AF140" i="73"/>
  <c r="AG140" i="73"/>
  <c r="AH140" i="73"/>
  <c r="AI140" i="73"/>
  <c r="AJ140" i="73"/>
  <c r="AK140" i="73"/>
  <c r="AL140" i="73"/>
  <c r="AM140" i="73"/>
  <c r="I151" i="73"/>
  <c r="J151" i="73"/>
  <c r="K151" i="73"/>
  <c r="L151" i="73"/>
  <c r="M151" i="73"/>
  <c r="N151" i="73"/>
  <c r="O151" i="73"/>
  <c r="P151" i="73"/>
  <c r="Q151" i="73"/>
  <c r="R151" i="73"/>
  <c r="S151" i="73"/>
  <c r="T151" i="73"/>
  <c r="U151" i="73"/>
  <c r="V151" i="73"/>
  <c r="Z151" i="73"/>
  <c r="AA151" i="73"/>
  <c r="AB151" i="73"/>
  <c r="AC151" i="73"/>
  <c r="AD151" i="73"/>
  <c r="AE151" i="73"/>
  <c r="AF151" i="73"/>
  <c r="AG151" i="73"/>
  <c r="AH151" i="73"/>
  <c r="AI151" i="73"/>
  <c r="AJ151" i="73"/>
  <c r="AK151" i="73"/>
  <c r="AL151" i="73"/>
  <c r="AM151" i="73"/>
  <c r="I162" i="73"/>
  <c r="J162" i="73"/>
  <c r="K162" i="73"/>
  <c r="L162" i="73"/>
  <c r="M162" i="73"/>
  <c r="N162" i="73"/>
  <c r="O162" i="73"/>
  <c r="P162" i="73"/>
  <c r="Q162" i="73"/>
  <c r="R162" i="73"/>
  <c r="S162" i="73"/>
  <c r="T162" i="73"/>
  <c r="U162" i="73"/>
  <c r="V162" i="73"/>
  <c r="Z162" i="73"/>
  <c r="AA162" i="73"/>
  <c r="AB162" i="73"/>
  <c r="AC162" i="73"/>
  <c r="AD162" i="73"/>
  <c r="AE162" i="73"/>
  <c r="AF162" i="73"/>
  <c r="AG162" i="73"/>
  <c r="AH162" i="73"/>
  <c r="AI162" i="73"/>
  <c r="AJ162" i="73"/>
  <c r="AK162" i="73"/>
  <c r="AL162" i="73"/>
  <c r="AM162" i="73"/>
  <c r="I174" i="73"/>
  <c r="J174" i="73"/>
  <c r="K174" i="73"/>
  <c r="L174" i="73"/>
  <c r="M174" i="73"/>
  <c r="N174" i="73"/>
  <c r="O174" i="73"/>
  <c r="P174" i="73"/>
  <c r="Q174" i="73"/>
  <c r="R174" i="73"/>
  <c r="S174" i="73"/>
  <c r="T174" i="73"/>
  <c r="U174" i="73"/>
  <c r="V174" i="73"/>
  <c r="Z174" i="73"/>
  <c r="AA174" i="73"/>
  <c r="AB174" i="73"/>
  <c r="AC174" i="73"/>
  <c r="AD174" i="73"/>
  <c r="AE174" i="73"/>
  <c r="AF174" i="73"/>
  <c r="AG174" i="73"/>
  <c r="AH174" i="73"/>
  <c r="AI174" i="73"/>
  <c r="AJ174" i="73"/>
  <c r="AK174" i="73"/>
  <c r="AL174" i="73"/>
  <c r="AM174" i="73"/>
  <c r="AN174" i="73"/>
  <c r="I183" i="73"/>
  <c r="J183" i="73"/>
  <c r="K183" i="73"/>
  <c r="L183" i="73"/>
  <c r="M183" i="73"/>
  <c r="N183" i="73"/>
  <c r="O183" i="73"/>
  <c r="P183" i="73"/>
  <c r="Q183" i="73"/>
  <c r="T183" i="73"/>
  <c r="U183" i="73"/>
  <c r="V183" i="73"/>
  <c r="W183" i="73"/>
  <c r="X183" i="73"/>
  <c r="Y183" i="73"/>
  <c r="Z183" i="73"/>
  <c r="AA183" i="73"/>
  <c r="AB183" i="73"/>
  <c r="AE183" i="73"/>
  <c r="AF183" i="73"/>
  <c r="AG183" i="73"/>
  <c r="AH183" i="73"/>
  <c r="AI183" i="73"/>
  <c r="AJ183" i="73"/>
  <c r="AK183" i="73"/>
  <c r="AL183" i="73"/>
  <c r="AM183" i="73"/>
  <c r="I192" i="73"/>
  <c r="J192" i="73"/>
  <c r="K192" i="73"/>
  <c r="L192" i="73"/>
  <c r="M192" i="73"/>
  <c r="N192" i="73"/>
  <c r="O192" i="73"/>
  <c r="P192" i="73"/>
  <c r="Q192" i="73"/>
  <c r="R192" i="73"/>
  <c r="S192" i="73"/>
  <c r="T192" i="73"/>
  <c r="U192" i="73"/>
  <c r="V192" i="73"/>
  <c r="W192" i="73"/>
  <c r="X192" i="73"/>
  <c r="Y192" i="73"/>
  <c r="Z192" i="73"/>
  <c r="AA192" i="73"/>
  <c r="AB192" i="73"/>
  <c r="AC192" i="73"/>
  <c r="AD192" i="73"/>
  <c r="AE192" i="73"/>
  <c r="AF192" i="73"/>
  <c r="AG192" i="73"/>
  <c r="AH192" i="73"/>
  <c r="AI192" i="73"/>
  <c r="AJ192" i="73"/>
  <c r="AK192" i="73"/>
  <c r="AL192" i="73"/>
  <c r="AM192" i="73"/>
  <c r="AN192" i="73"/>
  <c r="I11" i="73"/>
  <c r="J11" i="73"/>
  <c r="K11" i="73"/>
  <c r="L11" i="73"/>
  <c r="M11" i="73"/>
  <c r="N11" i="73"/>
  <c r="O11" i="73"/>
  <c r="P11" i="73"/>
  <c r="Q11" i="73"/>
  <c r="R11" i="73"/>
  <c r="S11" i="73"/>
  <c r="T11" i="73"/>
  <c r="U11" i="73"/>
  <c r="V11" i="73"/>
  <c r="W11" i="73"/>
  <c r="X11" i="73"/>
  <c r="Y11" i="73"/>
  <c r="Z11" i="73"/>
  <c r="AA11" i="73"/>
  <c r="AB11" i="73"/>
  <c r="AC11" i="73"/>
  <c r="AD11" i="73"/>
  <c r="AE11" i="73"/>
  <c r="AF11" i="73"/>
  <c r="AG11" i="73"/>
  <c r="AH11" i="73"/>
  <c r="AI11" i="73"/>
  <c r="AJ11" i="73"/>
  <c r="AK11" i="73"/>
  <c r="AL11" i="73"/>
  <c r="AM11" i="73"/>
  <c r="AN11" i="73"/>
  <c r="B192" i="74"/>
  <c r="B266" i="74" s="1"/>
  <c r="B183" i="74"/>
  <c r="B262" i="74" s="1"/>
  <c r="B174" i="74"/>
  <c r="B258" i="74" s="1"/>
  <c r="B162" i="74"/>
  <c r="B151" i="74"/>
  <c r="B140" i="74"/>
  <c r="B129" i="74"/>
  <c r="B118" i="74"/>
  <c r="B107" i="74"/>
  <c r="B96" i="74"/>
  <c r="B85" i="74"/>
  <c r="B84" i="74"/>
  <c r="B254" i="74" s="1"/>
  <c r="B69" i="74"/>
  <c r="B250" i="74" s="1"/>
  <c r="B60" i="74"/>
  <c r="B246" i="74" s="1"/>
  <c r="B56" i="74"/>
  <c r="B242" i="74" s="1"/>
  <c r="B52" i="74"/>
  <c r="B238" i="74" s="1"/>
  <c r="B44" i="74"/>
  <c r="B234" i="74" s="1"/>
  <c r="B37" i="74"/>
  <c r="B230" i="74" s="1"/>
  <c r="B32" i="74"/>
  <c r="B226" i="74" s="1"/>
  <c r="B30" i="74"/>
  <c r="B29" i="74"/>
  <c r="B28" i="74"/>
  <c r="B27" i="74"/>
  <c r="B26" i="74"/>
  <c r="B25" i="74"/>
  <c r="B24" i="74"/>
  <c r="B23" i="74"/>
  <c r="B22" i="74"/>
  <c r="B222" i="74" s="1"/>
  <c r="B20" i="74"/>
  <c r="B19" i="74"/>
  <c r="B18" i="74"/>
  <c r="B17" i="74"/>
  <c r="B16" i="74"/>
  <c r="B15" i="74"/>
  <c r="B14" i="74"/>
  <c r="B13" i="74"/>
  <c r="B12" i="74"/>
  <c r="B11" i="74"/>
  <c r="B218" i="74" s="1"/>
  <c r="B205" i="73"/>
  <c r="B204" i="73"/>
  <c r="B203" i="73"/>
  <c r="B201" i="73"/>
  <c r="B200" i="73"/>
  <c r="B199" i="73"/>
  <c r="B192" i="73"/>
  <c r="B266" i="73" s="1"/>
  <c r="B183" i="73"/>
  <c r="B262" i="73" s="1"/>
  <c r="B174" i="73"/>
  <c r="B258" i="73" s="1"/>
  <c r="B162" i="73"/>
  <c r="B151" i="73"/>
  <c r="B140" i="73"/>
  <c r="B129" i="73"/>
  <c r="B118" i="73"/>
  <c r="B107" i="73"/>
  <c r="B96" i="73"/>
  <c r="B85" i="73"/>
  <c r="B84" i="73"/>
  <c r="B254" i="73" s="1"/>
  <c r="B69" i="73"/>
  <c r="B250" i="73" s="1"/>
  <c r="B60" i="73"/>
  <c r="B246" i="73" s="1"/>
  <c r="B56" i="73"/>
  <c r="B242" i="73" s="1"/>
  <c r="B52" i="73"/>
  <c r="B238" i="73" s="1"/>
  <c r="B44" i="73"/>
  <c r="B234" i="73" s="1"/>
  <c r="B37" i="73"/>
  <c r="B230" i="73" s="1"/>
  <c r="B32" i="73"/>
  <c r="B226" i="73" s="1"/>
  <c r="B30" i="73"/>
  <c r="B29" i="73"/>
  <c r="B28" i="73"/>
  <c r="B27" i="73"/>
  <c r="B26" i="73"/>
  <c r="B25" i="73"/>
  <c r="B24" i="73"/>
  <c r="B23" i="73"/>
  <c r="B22" i="73"/>
  <c r="B222" i="73" s="1"/>
  <c r="B20" i="73"/>
  <c r="B19" i="73"/>
  <c r="B18" i="73"/>
  <c r="B17" i="73"/>
  <c r="B16" i="73"/>
  <c r="B15" i="73"/>
  <c r="B14" i="73"/>
  <c r="B13" i="73"/>
  <c r="B12" i="73"/>
  <c r="B11" i="73"/>
  <c r="B218" i="73" s="1"/>
  <c r="AH39" i="68"/>
  <c r="AH47" i="68" s="1"/>
  <c r="AI39" i="68"/>
  <c r="AI47" i="68" s="1"/>
  <c r="AJ39" i="68"/>
  <c r="AJ47" i="68" s="1"/>
  <c r="AK39" i="68"/>
  <c r="AK47" i="68" s="1"/>
  <c r="AL39" i="68"/>
  <c r="AL47" i="68" s="1"/>
  <c r="AM39" i="68"/>
  <c r="AM47" i="68" s="1"/>
  <c r="AN39" i="68"/>
  <c r="AN47" i="68" s="1"/>
  <c r="AO39" i="68"/>
  <c r="AO47" i="68" s="1"/>
  <c r="AP39" i="68"/>
  <c r="AP47" i="68" s="1"/>
  <c r="AQ39" i="68"/>
  <c r="AQ47" i="68" s="1"/>
  <c r="AH40" i="68"/>
  <c r="AH48" i="68" s="1"/>
  <c r="AI40" i="68"/>
  <c r="AI48" i="68" s="1"/>
  <c r="AJ40" i="68"/>
  <c r="AJ48" i="68" s="1"/>
  <c r="AK40" i="68"/>
  <c r="AK48" i="68" s="1"/>
  <c r="AL40" i="68"/>
  <c r="AL48" i="68" s="1"/>
  <c r="AM40" i="68"/>
  <c r="AM48" i="68" s="1"/>
  <c r="AN40" i="68"/>
  <c r="AN48" i="68" s="1"/>
  <c r="AO40" i="68"/>
  <c r="AO48" i="68" s="1"/>
  <c r="AP40" i="68"/>
  <c r="AP48" i="68" s="1"/>
  <c r="AQ40" i="68"/>
  <c r="AQ48" i="68" s="1"/>
  <c r="AH41" i="68"/>
  <c r="AH49" i="68" s="1"/>
  <c r="AI41" i="68"/>
  <c r="AI49" i="68" s="1"/>
  <c r="AJ41" i="68"/>
  <c r="AJ49" i="68" s="1"/>
  <c r="AK41" i="68"/>
  <c r="AK49" i="68" s="1"/>
  <c r="AL41" i="68"/>
  <c r="AL49" i="68" s="1"/>
  <c r="AM41" i="68"/>
  <c r="AM49" i="68" s="1"/>
  <c r="AN41" i="68"/>
  <c r="AN49" i="68" s="1"/>
  <c r="AO41" i="68"/>
  <c r="AO49" i="68" s="1"/>
  <c r="AP41" i="68"/>
  <c r="AP49" i="68" s="1"/>
  <c r="AQ41" i="68"/>
  <c r="AQ49" i="68" s="1"/>
  <c r="AH42" i="68"/>
  <c r="AH50" i="68" s="1"/>
  <c r="AI42" i="68"/>
  <c r="AI50" i="68" s="1"/>
  <c r="AJ42" i="68"/>
  <c r="AJ50" i="68" s="1"/>
  <c r="AK42" i="68"/>
  <c r="AK50" i="68" s="1"/>
  <c r="AL42" i="68"/>
  <c r="AL50" i="68" s="1"/>
  <c r="AM42" i="68"/>
  <c r="AM50" i="68" s="1"/>
  <c r="AN42" i="68"/>
  <c r="AN50" i="68" s="1"/>
  <c r="AO42" i="68"/>
  <c r="AO50" i="68" s="1"/>
  <c r="AP42" i="68"/>
  <c r="AP50" i="68" s="1"/>
  <c r="AQ42" i="68"/>
  <c r="AQ50" i="68" s="1"/>
  <c r="AH43" i="68"/>
  <c r="AH51" i="68" s="1"/>
  <c r="AI43" i="68"/>
  <c r="AI51" i="68" s="1"/>
  <c r="AJ43" i="68"/>
  <c r="AJ51" i="68" s="1"/>
  <c r="AK43" i="68"/>
  <c r="AK51" i="68" s="1"/>
  <c r="AL43" i="68"/>
  <c r="AL51" i="68" s="1"/>
  <c r="AM43" i="68"/>
  <c r="AM51" i="68" s="1"/>
  <c r="AN43" i="68"/>
  <c r="AN51" i="68" s="1"/>
  <c r="AO43" i="68"/>
  <c r="AO51" i="68" s="1"/>
  <c r="AP43" i="68"/>
  <c r="AP51" i="68" s="1"/>
  <c r="AQ43" i="68"/>
  <c r="AQ51" i="68" s="1"/>
  <c r="AH64" i="68"/>
  <c r="AH72" i="68" s="1"/>
  <c r="AI64" i="68"/>
  <c r="AI72" i="68" s="1"/>
  <c r="AJ64" i="68"/>
  <c r="AJ72" i="68" s="1"/>
  <c r="AK64" i="68"/>
  <c r="AK72" i="68" s="1"/>
  <c r="AL64" i="68"/>
  <c r="AL72" i="68" s="1"/>
  <c r="AM64" i="68"/>
  <c r="AM72" i="68" s="1"/>
  <c r="AN64" i="68"/>
  <c r="AN72" i="68" s="1"/>
  <c r="AO64" i="68"/>
  <c r="AO72" i="68" s="1"/>
  <c r="AP64" i="68"/>
  <c r="AP72" i="68" s="1"/>
  <c r="AQ64" i="68"/>
  <c r="AQ72" i="68" s="1"/>
  <c r="AH65" i="68"/>
  <c r="AH73" i="68" s="1"/>
  <c r="AI65" i="68"/>
  <c r="AI73" i="68" s="1"/>
  <c r="AJ65" i="68"/>
  <c r="AJ73" i="68" s="1"/>
  <c r="AK65" i="68"/>
  <c r="AK73" i="68" s="1"/>
  <c r="AL65" i="68"/>
  <c r="AL73" i="68" s="1"/>
  <c r="AM65" i="68"/>
  <c r="AM73" i="68" s="1"/>
  <c r="AN65" i="68"/>
  <c r="AN73" i="68" s="1"/>
  <c r="AO65" i="68"/>
  <c r="AO73" i="68" s="1"/>
  <c r="AP65" i="68"/>
  <c r="AP73" i="68" s="1"/>
  <c r="AQ65" i="68"/>
  <c r="AQ73" i="68" s="1"/>
  <c r="AH66" i="68"/>
  <c r="AH74" i="68" s="1"/>
  <c r="AI66" i="68"/>
  <c r="AI74" i="68" s="1"/>
  <c r="AJ66" i="68"/>
  <c r="AJ74" i="68" s="1"/>
  <c r="AK66" i="68"/>
  <c r="AK74" i="68" s="1"/>
  <c r="AL66" i="68"/>
  <c r="AL74" i="68" s="1"/>
  <c r="AM66" i="68"/>
  <c r="AM74" i="68" s="1"/>
  <c r="AN66" i="68"/>
  <c r="AN74" i="68" s="1"/>
  <c r="AO66" i="68"/>
  <c r="AO74" i="68" s="1"/>
  <c r="AP66" i="68"/>
  <c r="AP74" i="68" s="1"/>
  <c r="AQ66" i="68"/>
  <c r="AQ74" i="68" s="1"/>
  <c r="AH67" i="68"/>
  <c r="AH75" i="68" s="1"/>
  <c r="AI67" i="68"/>
  <c r="AI75" i="68" s="1"/>
  <c r="AJ67" i="68"/>
  <c r="AJ75" i="68" s="1"/>
  <c r="AK67" i="68"/>
  <c r="AK75" i="68" s="1"/>
  <c r="AL67" i="68"/>
  <c r="AL75" i="68" s="1"/>
  <c r="AM67" i="68"/>
  <c r="AM75" i="68" s="1"/>
  <c r="AN67" i="68"/>
  <c r="AN75" i="68" s="1"/>
  <c r="AO67" i="68"/>
  <c r="AO75" i="68" s="1"/>
  <c r="AP67" i="68"/>
  <c r="AP75" i="68" s="1"/>
  <c r="AQ67" i="68"/>
  <c r="AQ75" i="68" s="1"/>
  <c r="AH68" i="68"/>
  <c r="AH76" i="68" s="1"/>
  <c r="AI68" i="68"/>
  <c r="AI76" i="68" s="1"/>
  <c r="AJ68" i="68"/>
  <c r="AJ76" i="68" s="1"/>
  <c r="AK68" i="68"/>
  <c r="AK76" i="68" s="1"/>
  <c r="AL68" i="68"/>
  <c r="AL76" i="68" s="1"/>
  <c r="AM68" i="68"/>
  <c r="AM76" i="68" s="1"/>
  <c r="AN68" i="68"/>
  <c r="AN76" i="68" s="1"/>
  <c r="AO68" i="68"/>
  <c r="AO76" i="68" s="1"/>
  <c r="AP68" i="68"/>
  <c r="AP76" i="68" s="1"/>
  <c r="AQ68" i="68"/>
  <c r="AQ76" i="68" s="1"/>
  <c r="H89" i="62"/>
  <c r="D12" i="68"/>
  <c r="E33" i="72"/>
  <c r="E34" i="72"/>
  <c r="E35" i="72"/>
  <c r="E36" i="72"/>
  <c r="E32" i="72"/>
  <c r="E89" i="62"/>
  <c r="F89" i="62"/>
  <c r="G89" i="62"/>
  <c r="D89" i="62"/>
  <c r="D28" i="72"/>
  <c r="D27" i="72"/>
  <c r="C25" i="72"/>
  <c r="F22" i="72"/>
  <c r="F23" i="72"/>
  <c r="E23" i="72"/>
  <c r="E22" i="72"/>
  <c r="C19" i="72"/>
  <c r="E17" i="72"/>
  <c r="E16" i="72"/>
  <c r="C15" i="72"/>
  <c r="D13" i="72"/>
  <c r="D12" i="72" s="1"/>
  <c r="C10" i="72"/>
  <c r="AF84" i="73" l="1"/>
  <c r="Q84" i="73"/>
  <c r="AS84" i="73"/>
  <c r="AM84" i="73"/>
  <c r="AI84" i="73"/>
  <c r="AE84" i="73"/>
  <c r="AA84" i="73"/>
  <c r="T84" i="73"/>
  <c r="P84" i="73"/>
  <c r="L84" i="73"/>
  <c r="AV84" i="73"/>
  <c r="AR84" i="73"/>
  <c r="AB84" i="73"/>
  <c r="M84" i="73"/>
  <c r="AL84" i="73"/>
  <c r="AH84" i="73"/>
  <c r="AD84" i="73"/>
  <c r="Z84" i="73"/>
  <c r="S84" i="73"/>
  <c r="O84" i="73"/>
  <c r="K84" i="73"/>
  <c r="AU84" i="73"/>
  <c r="AQ84" i="73"/>
  <c r="AJ84" i="73"/>
  <c r="U84" i="73"/>
  <c r="I84" i="73"/>
  <c r="AW84" i="73"/>
  <c r="AK84" i="73"/>
  <c r="AG84" i="73"/>
  <c r="AC84" i="73"/>
  <c r="V84" i="73"/>
  <c r="R84" i="73"/>
  <c r="N84" i="73"/>
  <c r="J84" i="73"/>
  <c r="AX84" i="73"/>
  <c r="AT84" i="73"/>
  <c r="X224" i="73"/>
  <c r="AE224" i="73"/>
  <c r="T223" i="73"/>
  <c r="AV224" i="73"/>
  <c r="W223" i="73"/>
  <c r="AR224" i="73"/>
  <c r="L224" i="73"/>
  <c r="AS224" i="73"/>
  <c r="AF224" i="73"/>
  <c r="AW224" i="73"/>
  <c r="AT224" i="73"/>
  <c r="AG224" i="73"/>
  <c r="AB224" i="73"/>
  <c r="AJ223" i="73"/>
  <c r="AR377" i="96"/>
  <c r="AR377" i="92"/>
  <c r="AN377" i="96"/>
  <c r="AN377" i="92"/>
  <c r="AT301" i="92"/>
  <c r="AT301" i="96"/>
  <c r="AP301" i="96"/>
  <c r="AP301" i="92"/>
  <c r="AL301" i="92"/>
  <c r="AL301" i="96"/>
  <c r="AR225" i="96"/>
  <c r="AR225" i="92"/>
  <c r="AN225" i="96"/>
  <c r="AN225" i="92"/>
  <c r="AT149" i="96"/>
  <c r="AT149" i="92"/>
  <c r="AP149" i="96"/>
  <c r="AP149" i="92"/>
  <c r="AL149" i="96"/>
  <c r="AL149" i="92"/>
  <c r="AR73" i="96"/>
  <c r="AR73" i="92"/>
  <c r="AN73" i="96"/>
  <c r="AN73" i="92"/>
  <c r="AT377" i="88"/>
  <c r="AT377" i="52"/>
  <c r="AP377" i="52"/>
  <c r="AP377" i="88"/>
  <c r="AL377" i="88"/>
  <c r="AL377" i="52"/>
  <c r="AR301" i="52"/>
  <c r="AR301" i="88"/>
  <c r="AN301" i="88"/>
  <c r="AN301" i="52"/>
  <c r="AT225" i="88"/>
  <c r="AT225" i="52"/>
  <c r="AP225" i="52"/>
  <c r="AP225" i="88"/>
  <c r="AL225" i="88"/>
  <c r="AL225" i="52"/>
  <c r="AR149" i="52"/>
  <c r="AR149" i="88"/>
  <c r="AN149" i="88"/>
  <c r="AN149" i="52"/>
  <c r="AT73" i="52"/>
  <c r="AT73" i="88"/>
  <c r="AP73" i="88"/>
  <c r="AP73" i="52"/>
  <c r="AL73" i="88"/>
  <c r="AL73" i="52"/>
  <c r="AQ377" i="96"/>
  <c r="AQ377" i="92"/>
  <c r="AS301" i="92"/>
  <c r="AS301" i="96"/>
  <c r="AM225" i="96"/>
  <c r="AM225" i="92"/>
  <c r="AO149" i="96"/>
  <c r="AO149" i="92"/>
  <c r="AQ73" i="92"/>
  <c r="AQ73" i="96"/>
  <c r="AS377" i="88"/>
  <c r="AS377" i="52"/>
  <c r="AM301" i="88"/>
  <c r="AM301" i="52"/>
  <c r="AO225" i="88"/>
  <c r="AO225" i="52"/>
  <c r="AQ149" i="88"/>
  <c r="AQ149" i="52"/>
  <c r="AO73" i="52"/>
  <c r="AO73" i="88"/>
  <c r="AT377" i="96"/>
  <c r="AT377" i="92"/>
  <c r="AL377" i="96"/>
  <c r="AL377" i="92"/>
  <c r="AT225" i="96"/>
  <c r="AT225" i="92"/>
  <c r="AR149" i="96"/>
  <c r="AR149" i="92"/>
  <c r="AT73" i="92"/>
  <c r="AT73" i="96"/>
  <c r="AL73" i="96"/>
  <c r="AL73" i="92"/>
  <c r="AT301" i="88"/>
  <c r="AT301" i="52"/>
  <c r="AR225" i="52"/>
  <c r="AR225" i="88"/>
  <c r="AP149" i="88"/>
  <c r="AP149" i="52"/>
  <c r="AL149" i="52"/>
  <c r="AL149" i="88"/>
  <c r="AN73" i="88"/>
  <c r="AN73" i="52"/>
  <c r="AM377" i="96"/>
  <c r="AM377" i="92"/>
  <c r="AO301" i="92"/>
  <c r="AO301" i="96"/>
  <c r="AQ225" i="96"/>
  <c r="AQ225" i="92"/>
  <c r="AS149" i="96"/>
  <c r="AS149" i="92"/>
  <c r="AM73" i="92"/>
  <c r="AM73" i="96"/>
  <c r="AO377" i="88"/>
  <c r="AO377" i="52"/>
  <c r="AQ301" i="88"/>
  <c r="AQ301" i="52"/>
  <c r="AS225" i="88"/>
  <c r="AS225" i="52"/>
  <c r="AM149" i="88"/>
  <c r="AM149" i="52"/>
  <c r="AS73" i="88"/>
  <c r="AS73" i="52"/>
  <c r="AP377" i="96"/>
  <c r="AP377" i="92"/>
  <c r="AR301" i="92"/>
  <c r="AR301" i="96"/>
  <c r="AN301" i="96"/>
  <c r="AN301" i="92"/>
  <c r="AP225" i="96"/>
  <c r="AP225" i="92"/>
  <c r="AL225" i="96"/>
  <c r="AL225" i="92"/>
  <c r="AN149" i="96"/>
  <c r="AN149" i="92"/>
  <c r="AP73" i="96"/>
  <c r="AP73" i="92"/>
  <c r="AR377" i="52"/>
  <c r="AR377" i="88"/>
  <c r="AN377" i="88"/>
  <c r="AN377" i="52"/>
  <c r="AP301" i="88"/>
  <c r="AP301" i="52"/>
  <c r="AL301" i="52"/>
  <c r="AL301" i="88"/>
  <c r="AN225" i="88"/>
  <c r="AN225" i="52"/>
  <c r="AT149" i="88"/>
  <c r="AT149" i="52"/>
  <c r="AR73" i="88"/>
  <c r="AR73" i="52"/>
  <c r="AS377" i="96"/>
  <c r="AS377" i="92"/>
  <c r="AO377" i="96"/>
  <c r="AO377" i="92"/>
  <c r="AQ301" i="96"/>
  <c r="AQ301" i="92"/>
  <c r="AM301" i="96"/>
  <c r="AM301" i="92"/>
  <c r="AS225" i="96"/>
  <c r="AS225" i="92"/>
  <c r="AO225" i="96"/>
  <c r="AO225" i="92"/>
  <c r="AQ149" i="96"/>
  <c r="AQ149" i="92"/>
  <c r="AM149" i="96"/>
  <c r="AM149" i="92"/>
  <c r="AS73" i="96"/>
  <c r="AS73" i="92"/>
  <c r="AO73" i="92"/>
  <c r="AO73" i="96"/>
  <c r="AQ377" i="88"/>
  <c r="AQ377" i="52"/>
  <c r="AM377" i="88"/>
  <c r="AM377" i="52"/>
  <c r="AS301" i="88"/>
  <c r="AS301" i="52"/>
  <c r="AO301" i="88"/>
  <c r="AO301" i="52"/>
  <c r="AQ225" i="88"/>
  <c r="AQ225" i="52"/>
  <c r="AM225" i="88"/>
  <c r="AM225" i="52"/>
  <c r="AS149" i="88"/>
  <c r="AS149" i="52"/>
  <c r="AO149" i="88"/>
  <c r="AO149" i="52"/>
  <c r="AQ73" i="52"/>
  <c r="AQ73" i="88"/>
  <c r="AM73" i="52"/>
  <c r="AM73" i="88"/>
  <c r="D73" i="14"/>
  <c r="E32" i="14"/>
  <c r="F32" i="14" s="1"/>
  <c r="F73" i="14" s="1"/>
  <c r="AN45" i="72"/>
  <c r="AI48" i="72"/>
  <c r="AK48" i="72"/>
  <c r="AM46" i="72"/>
  <c r="AK77" i="72"/>
  <c r="AQ80" i="72"/>
  <c r="AO49" i="72"/>
  <c r="AN76" i="72"/>
  <c r="AH80" i="72"/>
  <c r="AP79" i="72"/>
  <c r="AP80" i="72"/>
  <c r="AL80" i="72"/>
  <c r="AN79" i="72"/>
  <c r="AJ79" i="72"/>
  <c r="AK79" i="72"/>
  <c r="AP49" i="72"/>
  <c r="AJ46" i="72"/>
  <c r="AI45" i="72"/>
  <c r="AK46" i="72"/>
  <c r="AP46" i="72"/>
  <c r="AR34" i="14"/>
  <c r="AL223" i="73"/>
  <c r="AL224" i="73"/>
  <c r="J223" i="73"/>
  <c r="J224" i="73"/>
  <c r="Z224" i="73"/>
  <c r="AD223" i="73"/>
  <c r="AK223" i="73"/>
  <c r="AK224" i="73"/>
  <c r="Y223" i="73"/>
  <c r="Y224" i="73"/>
  <c r="Q223" i="73"/>
  <c r="Q224" i="73"/>
  <c r="I223" i="73"/>
  <c r="I224" i="73"/>
  <c r="AU224" i="73"/>
  <c r="V224" i="73"/>
  <c r="AC224" i="73"/>
  <c r="R224" i="73"/>
  <c r="AQ224" i="73"/>
  <c r="N224" i="73"/>
  <c r="U224" i="73"/>
  <c r="AH223" i="73"/>
  <c r="AM223" i="73"/>
  <c r="AM224" i="73"/>
  <c r="AI224" i="73"/>
  <c r="AI223" i="73"/>
  <c r="AA223" i="73"/>
  <c r="AA224" i="73"/>
  <c r="S223" i="73"/>
  <c r="S224" i="73"/>
  <c r="K223" i="73"/>
  <c r="K224" i="73"/>
  <c r="AX224" i="73"/>
  <c r="AP224" i="73"/>
  <c r="O224" i="73"/>
  <c r="M224" i="73"/>
  <c r="AO223" i="73"/>
  <c r="AO224" i="73"/>
  <c r="AN224" i="73"/>
  <c r="P224" i="73"/>
  <c r="AI199" i="73"/>
  <c r="AI203" i="73" s="1"/>
  <c r="AA199" i="73"/>
  <c r="AJ78" i="72"/>
  <c r="AQ78" i="72"/>
  <c r="AP78" i="72"/>
  <c r="AH78" i="72"/>
  <c r="AP76" i="72"/>
  <c r="AO46" i="72"/>
  <c r="AH46" i="72"/>
  <c r="AL46" i="72"/>
  <c r="AM80" i="72"/>
  <c r="AM78" i="72"/>
  <c r="AM76" i="72"/>
  <c r="AJ49" i="72"/>
  <c r="AL47" i="72"/>
  <c r="AO47" i="72"/>
  <c r="AK47" i="72"/>
  <c r="AH77" i="72"/>
  <c r="AJ77" i="72"/>
  <c r="AL78" i="72"/>
  <c r="AN77" i="72"/>
  <c r="AL76" i="72"/>
  <c r="AM45" i="72"/>
  <c r="AH45" i="72"/>
  <c r="AO45" i="72"/>
  <c r="AN46" i="72"/>
  <c r="AM47" i="72"/>
  <c r="AM48" i="72"/>
  <c r="AK49" i="72"/>
  <c r="AO76" i="72"/>
  <c r="AO77" i="72"/>
  <c r="AN78" i="72"/>
  <c r="AO79" i="72"/>
  <c r="AN80" i="72"/>
  <c r="AK45" i="72"/>
  <c r="AI46" i="72"/>
  <c r="AQ46" i="72"/>
  <c r="AH48" i="72"/>
  <c r="AO48" i="72"/>
  <c r="AN49" i="72"/>
  <c r="AH76" i="72"/>
  <c r="AQ76" i="72"/>
  <c r="AP77" i="72"/>
  <c r="AI79" i="72"/>
  <c r="AI80" i="72"/>
  <c r="AJ80" i="72"/>
  <c r="AI78" i="72"/>
  <c r="AI76" i="72"/>
  <c r="AH49" i="72"/>
  <c r="AH47" i="72"/>
  <c r="AL45" i="72"/>
  <c r="AJ76" i="72"/>
  <c r="AO80" i="72"/>
  <c r="AK80" i="72"/>
  <c r="AQ79" i="72"/>
  <c r="AM79" i="72"/>
  <c r="AO78" i="72"/>
  <c r="AK78" i="72"/>
  <c r="AQ77" i="72"/>
  <c r="AM77" i="72"/>
  <c r="AI77" i="72"/>
  <c r="AK76" i="72"/>
  <c r="AN48" i="72"/>
  <c r="AI49" i="72"/>
  <c r="AQ45" i="72"/>
  <c r="AL79" i="72"/>
  <c r="AH79" i="72"/>
  <c r="AL77" i="72"/>
  <c r="AM49" i="72"/>
  <c r="AP45" i="72"/>
  <c r="AJ45" i="72"/>
  <c r="AQ49" i="72"/>
  <c r="AQ48" i="72"/>
  <c r="AL49" i="72"/>
  <c r="AL48" i="72"/>
  <c r="AP48" i="72"/>
  <c r="AP47" i="72"/>
  <c r="AJ48" i="72"/>
  <c r="AJ47" i="72"/>
  <c r="AQ47" i="72"/>
  <c r="AN47" i="72"/>
  <c r="AI47" i="72"/>
  <c r="D91" i="14"/>
  <c r="D28" i="14"/>
  <c r="C89" i="62"/>
  <c r="C99" i="62" s="1"/>
  <c r="D99" i="62"/>
  <c r="E99" i="62"/>
  <c r="F99" i="62"/>
  <c r="G99" i="62"/>
  <c r="H99" i="62"/>
  <c r="D104" i="62"/>
  <c r="E104" i="62"/>
  <c r="F104" i="62"/>
  <c r="G104" i="62"/>
  <c r="H104" i="62"/>
  <c r="B46" i="70"/>
  <c r="E33" i="70"/>
  <c r="E32" i="70"/>
  <c r="D27" i="70"/>
  <c r="C27" i="70" s="1"/>
  <c r="C33" i="70" s="1"/>
  <c r="E27" i="70"/>
  <c r="H27" i="70" s="1"/>
  <c r="F27" i="70" s="1"/>
  <c r="B43" i="70"/>
  <c r="B40" i="70"/>
  <c r="C41" i="70" s="1"/>
  <c r="D41" i="70" s="1"/>
  <c r="G41" i="70" s="1"/>
  <c r="E31" i="70"/>
  <c r="D26" i="70"/>
  <c r="C26" i="70" s="1"/>
  <c r="C32" i="70" s="1"/>
  <c r="D25" i="70"/>
  <c r="C25" i="70" s="1"/>
  <c r="C31" i="70" s="1"/>
  <c r="E26" i="70"/>
  <c r="E25" i="70"/>
  <c r="AO55" i="72" l="1"/>
  <c r="AS74" i="52" s="1"/>
  <c r="AS100" i="52" s="1"/>
  <c r="AO65" i="72"/>
  <c r="AK86" i="72"/>
  <c r="AK96" i="72"/>
  <c r="AI96" i="72"/>
  <c r="AI86" i="72"/>
  <c r="AK55" i="72"/>
  <c r="AK65" i="72"/>
  <c r="AH55" i="72"/>
  <c r="AH65" i="72"/>
  <c r="AN86" i="72"/>
  <c r="AN96" i="72"/>
  <c r="AQ65" i="72"/>
  <c r="AQ55" i="72"/>
  <c r="AL55" i="72"/>
  <c r="AP74" i="52" s="1"/>
  <c r="AP100" i="52" s="1"/>
  <c r="AL65" i="72"/>
  <c r="AQ96" i="72"/>
  <c r="AQ86" i="72"/>
  <c r="AM65" i="72"/>
  <c r="AM55" i="72"/>
  <c r="AN55" i="72"/>
  <c r="AN65" i="72"/>
  <c r="AJ55" i="72"/>
  <c r="AJ65" i="72"/>
  <c r="AJ86" i="72"/>
  <c r="AJ96" i="72"/>
  <c r="AH86" i="72"/>
  <c r="AH96" i="72"/>
  <c r="AO86" i="72"/>
  <c r="AO96" i="72"/>
  <c r="AL86" i="72"/>
  <c r="AL96" i="72"/>
  <c r="AM96" i="72"/>
  <c r="AM86" i="72"/>
  <c r="AP86" i="72"/>
  <c r="AT74" i="96" s="1"/>
  <c r="AT100" i="96" s="1"/>
  <c r="AP96" i="72"/>
  <c r="AI65" i="72"/>
  <c r="AI55" i="72"/>
  <c r="AP55" i="72"/>
  <c r="AP65" i="72"/>
  <c r="AP68" i="72"/>
  <c r="AP58" i="72"/>
  <c r="AT302" i="52" s="1"/>
  <c r="AT328" i="52" s="1"/>
  <c r="AQ59" i="72"/>
  <c r="AQ69" i="72"/>
  <c r="AL97" i="72"/>
  <c r="AL87" i="72"/>
  <c r="AI97" i="72"/>
  <c r="AI87" i="72"/>
  <c r="AO98" i="72"/>
  <c r="AO88" i="72"/>
  <c r="AO90" i="72"/>
  <c r="AO100" i="72"/>
  <c r="AI98" i="72"/>
  <c r="AI88" i="72"/>
  <c r="AH68" i="72"/>
  <c r="AH58" i="72"/>
  <c r="AL302" i="88" s="1"/>
  <c r="AL328" i="88" s="1"/>
  <c r="AO87" i="72"/>
  <c r="AO97" i="72"/>
  <c r="AM67" i="72"/>
  <c r="AM57" i="72"/>
  <c r="AQ226" i="88" s="1"/>
  <c r="AQ252" i="88" s="1"/>
  <c r="AJ87" i="72"/>
  <c r="AN150" i="96" s="1"/>
  <c r="AN176" i="96" s="1"/>
  <c r="AJ97" i="72"/>
  <c r="AJ59" i="72"/>
  <c r="AJ69" i="72"/>
  <c r="AO66" i="72"/>
  <c r="AO56" i="72"/>
  <c r="AQ88" i="72"/>
  <c r="AQ98" i="72"/>
  <c r="AK56" i="72"/>
  <c r="AO150" i="52" s="1"/>
  <c r="AO176" i="52" s="1"/>
  <c r="AK66" i="72"/>
  <c r="AK99" i="72"/>
  <c r="AK89" i="72"/>
  <c r="AO302" i="96" s="1"/>
  <c r="AO328" i="96" s="1"/>
  <c r="AP90" i="72"/>
  <c r="AP100" i="72"/>
  <c r="AM66" i="72"/>
  <c r="AM56" i="72"/>
  <c r="AQ150" i="88" s="1"/>
  <c r="AQ176" i="88" s="1"/>
  <c r="AJ57" i="72"/>
  <c r="AJ67" i="72"/>
  <c r="AL68" i="72"/>
  <c r="AL58" i="72"/>
  <c r="AP302" i="52" s="1"/>
  <c r="AP328" i="52" s="1"/>
  <c r="AH89" i="72"/>
  <c r="AH99" i="72"/>
  <c r="AI69" i="72"/>
  <c r="AI59" i="72"/>
  <c r="AM97" i="72"/>
  <c r="AM87" i="72"/>
  <c r="AQ150" i="96" s="1"/>
  <c r="AQ176" i="96" s="1"/>
  <c r="AM89" i="72"/>
  <c r="AM99" i="72"/>
  <c r="AH67" i="72"/>
  <c r="AH57" i="72"/>
  <c r="AJ90" i="72"/>
  <c r="AN378" i="92" s="1"/>
  <c r="AN404" i="92" s="1"/>
  <c r="AJ100" i="72"/>
  <c r="AI100" i="72"/>
  <c r="AI90" i="72"/>
  <c r="AQ66" i="72"/>
  <c r="AQ56" i="72"/>
  <c r="AN100" i="72"/>
  <c r="AN90" i="72"/>
  <c r="AR378" i="96" s="1"/>
  <c r="AR404" i="96" s="1"/>
  <c r="AN66" i="72"/>
  <c r="AN56" i="72"/>
  <c r="AR150" i="88" s="1"/>
  <c r="AR176" i="88" s="1"/>
  <c r="AH97" i="72"/>
  <c r="AH87" i="72"/>
  <c r="AJ99" i="72"/>
  <c r="AJ89" i="72"/>
  <c r="AN302" i="96" s="1"/>
  <c r="AN328" i="96" s="1"/>
  <c r="AP99" i="72"/>
  <c r="AP89" i="72"/>
  <c r="AT302" i="92" s="1"/>
  <c r="AT328" i="92" s="1"/>
  <c r="AK58" i="72"/>
  <c r="AK68" i="72"/>
  <c r="AQ67" i="72"/>
  <c r="AQ57" i="72"/>
  <c r="AI67" i="72"/>
  <c r="AI57" i="72"/>
  <c r="AJ68" i="72"/>
  <c r="AJ58" i="72"/>
  <c r="AL69" i="72"/>
  <c r="AL59" i="72"/>
  <c r="AL99" i="72"/>
  <c r="AL89" i="72"/>
  <c r="AN68" i="72"/>
  <c r="AN58" i="72"/>
  <c r="AR302" i="52" s="1"/>
  <c r="AR328" i="52" s="1"/>
  <c r="AQ97" i="72"/>
  <c r="AQ87" i="72"/>
  <c r="AQ89" i="72"/>
  <c r="AQ99" i="72"/>
  <c r="AH69" i="72"/>
  <c r="AH59" i="72"/>
  <c r="AI89" i="72"/>
  <c r="AI99" i="72"/>
  <c r="AN59" i="72"/>
  <c r="AN69" i="72"/>
  <c r="AI66" i="72"/>
  <c r="AI56" i="72"/>
  <c r="AO89" i="72"/>
  <c r="AO99" i="72"/>
  <c r="AK69" i="72"/>
  <c r="AK59" i="72"/>
  <c r="AN87" i="72"/>
  <c r="AN97" i="72"/>
  <c r="AK57" i="72"/>
  <c r="AK67" i="72"/>
  <c r="AM98" i="72"/>
  <c r="AM88" i="72"/>
  <c r="AL66" i="72"/>
  <c r="AL56" i="72"/>
  <c r="AH88" i="72"/>
  <c r="AL226" i="92" s="1"/>
  <c r="AL252" i="92" s="1"/>
  <c r="AH98" i="72"/>
  <c r="AJ88" i="72"/>
  <c r="AJ98" i="72"/>
  <c r="AJ66" i="72"/>
  <c r="AJ56" i="72"/>
  <c r="AN150" i="88" s="1"/>
  <c r="AN176" i="88" s="1"/>
  <c r="AN99" i="72"/>
  <c r="AN89" i="72"/>
  <c r="AR302" i="92" s="1"/>
  <c r="AR328" i="92" s="1"/>
  <c r="AH90" i="72"/>
  <c r="AL378" i="92" s="1"/>
  <c r="AL404" i="92" s="1"/>
  <c r="AH100" i="72"/>
  <c r="AQ100" i="72"/>
  <c r="AQ90" i="72"/>
  <c r="AK87" i="72"/>
  <c r="AK97" i="72"/>
  <c r="AN57" i="72"/>
  <c r="AN67" i="72"/>
  <c r="AP67" i="72"/>
  <c r="AP57" i="72"/>
  <c r="AQ68" i="72"/>
  <c r="AQ58" i="72"/>
  <c r="AM69" i="72"/>
  <c r="AM59" i="72"/>
  <c r="AK98" i="72"/>
  <c r="AK88" i="72"/>
  <c r="AK90" i="72"/>
  <c r="AK100" i="72"/>
  <c r="AP97" i="72"/>
  <c r="AP87" i="72"/>
  <c r="AT150" i="96" s="1"/>
  <c r="AT176" i="96" s="1"/>
  <c r="AO68" i="72"/>
  <c r="AO58" i="72"/>
  <c r="AN88" i="72"/>
  <c r="AN98" i="72"/>
  <c r="AM58" i="72"/>
  <c r="AM68" i="72"/>
  <c r="AL88" i="72"/>
  <c r="AL98" i="72"/>
  <c r="AO67" i="72"/>
  <c r="AO57" i="72"/>
  <c r="AL67" i="72"/>
  <c r="AL57" i="72"/>
  <c r="AM100" i="72"/>
  <c r="AM90" i="72"/>
  <c r="AH66" i="72"/>
  <c r="AH56" i="72"/>
  <c r="AP88" i="72"/>
  <c r="AT226" i="92" s="1"/>
  <c r="AT252" i="92" s="1"/>
  <c r="AP98" i="72"/>
  <c r="AP56" i="72"/>
  <c r="AP66" i="72"/>
  <c r="AP59" i="72"/>
  <c r="AT378" i="52" s="1"/>
  <c r="AP69" i="72"/>
  <c r="AL90" i="72"/>
  <c r="AP378" i="96" s="1"/>
  <c r="AP404" i="96" s="1"/>
  <c r="AL100" i="72"/>
  <c r="AO69" i="72"/>
  <c r="AO59" i="72"/>
  <c r="AS378" i="88" s="1"/>
  <c r="AS404" i="88" s="1"/>
  <c r="AI68" i="72"/>
  <c r="AI58" i="72"/>
  <c r="AM302" i="88" s="1"/>
  <c r="AM328" i="88" s="1"/>
  <c r="C44" i="70"/>
  <c r="D44" i="70" s="1"/>
  <c r="G44" i="70" s="1"/>
  <c r="D33" i="70"/>
  <c r="AR226" i="96"/>
  <c r="AR252" i="96" s="1"/>
  <c r="AR226" i="92"/>
  <c r="AR252" i="92" s="1"/>
  <c r="AP74" i="88"/>
  <c r="AP100" i="88" s="1"/>
  <c r="AN378" i="96"/>
  <c r="AN404" i="96" s="1"/>
  <c r="AT74" i="92"/>
  <c r="AT100" i="92" s="1"/>
  <c r="AS74" i="88"/>
  <c r="AS100" i="88" s="1"/>
  <c r="AT150" i="88"/>
  <c r="AT176" i="88" s="1"/>
  <c r="AT150" i="52"/>
  <c r="AT176" i="52" s="1"/>
  <c r="AR74" i="92"/>
  <c r="AR100" i="92" s="1"/>
  <c r="AR74" i="96"/>
  <c r="AR100" i="96" s="1"/>
  <c r="E73" i="14"/>
  <c r="F60" i="14"/>
  <c r="G32" i="14"/>
  <c r="G73" i="14" s="1"/>
  <c r="E60" i="14"/>
  <c r="E123" i="14"/>
  <c r="C104" i="62"/>
  <c r="AM199" i="73"/>
  <c r="AM203" i="73" s="1"/>
  <c r="AS199" i="73"/>
  <c r="AS203" i="73" s="1"/>
  <c r="AF199" i="73"/>
  <c r="L199" i="73"/>
  <c r="L203" i="73" s="1"/>
  <c r="Q199" i="73"/>
  <c r="Q203" i="73" s="1"/>
  <c r="AQ199" i="73"/>
  <c r="AQ203" i="73" s="1"/>
  <c r="AJ199" i="73"/>
  <c r="AK199" i="73"/>
  <c r="AK203" i="73" s="1"/>
  <c r="K199" i="73"/>
  <c r="K203" i="73" s="1"/>
  <c r="AE199" i="73"/>
  <c r="AE203" i="73" s="1"/>
  <c r="M199" i="73"/>
  <c r="M203" i="73" s="1"/>
  <c r="S199" i="73"/>
  <c r="T199" i="73"/>
  <c r="AU199" i="73"/>
  <c r="AU203" i="73" s="1"/>
  <c r="AC199" i="73"/>
  <c r="I199" i="73"/>
  <c r="AF203" i="73"/>
  <c r="AW199" i="73"/>
  <c r="P199" i="73"/>
  <c r="AR199" i="73"/>
  <c r="O199" i="73"/>
  <c r="O203" i="73" s="1"/>
  <c r="U199" i="73"/>
  <c r="AJ203" i="73"/>
  <c r="AL199" i="73"/>
  <c r="J199" i="73"/>
  <c r="Z199" i="73"/>
  <c r="R199" i="73"/>
  <c r="AH199" i="73"/>
  <c r="V199" i="73"/>
  <c r="AV199" i="73"/>
  <c r="AB199" i="73"/>
  <c r="AG199" i="73"/>
  <c r="N199" i="73"/>
  <c r="AD199" i="73"/>
  <c r="AT199" i="73"/>
  <c r="AX199" i="73"/>
  <c r="AA203" i="73"/>
  <c r="C47" i="70"/>
  <c r="D47" i="70" s="1"/>
  <c r="G47" i="70" s="1"/>
  <c r="I27" i="70"/>
  <c r="N27" i="70" s="1"/>
  <c r="H26" i="70"/>
  <c r="F26" i="70" s="1"/>
  <c r="D32" i="70"/>
  <c r="H25" i="70"/>
  <c r="F25" i="70" s="1"/>
  <c r="D31" i="70"/>
  <c r="AN302" i="92" l="1"/>
  <c r="AN328" i="92" s="1"/>
  <c r="AQ150" i="92"/>
  <c r="AQ176" i="92" s="1"/>
  <c r="AR378" i="92"/>
  <c r="AR404" i="92" s="1"/>
  <c r="AS378" i="52"/>
  <c r="AS404" i="52" s="1"/>
  <c r="AN150" i="52"/>
  <c r="AN176" i="52" s="1"/>
  <c r="AT302" i="96"/>
  <c r="AT328" i="96" s="1"/>
  <c r="AT302" i="88"/>
  <c r="AT328" i="88" s="1"/>
  <c r="AM302" i="52"/>
  <c r="AM328" i="52" s="1"/>
  <c r="AP302" i="88"/>
  <c r="AP328" i="88" s="1"/>
  <c r="AQ226" i="52"/>
  <c r="AQ252" i="52" s="1"/>
  <c r="AO302" i="92"/>
  <c r="AO328" i="92" s="1"/>
  <c r="AP378" i="92"/>
  <c r="AP404" i="92" s="1"/>
  <c r="AL302" i="52"/>
  <c r="AL328" i="52" s="1"/>
  <c r="AT150" i="92"/>
  <c r="AT176" i="92" s="1"/>
  <c r="AR302" i="88"/>
  <c r="AR328" i="88" s="1"/>
  <c r="AR302" i="96"/>
  <c r="AR328" i="96" s="1"/>
  <c r="AQ150" i="52"/>
  <c r="AQ176" i="52" s="1"/>
  <c r="AT378" i="88"/>
  <c r="AT404" i="88" s="1"/>
  <c r="AL226" i="96"/>
  <c r="AL252" i="96" s="1"/>
  <c r="AL378" i="96"/>
  <c r="AL404" i="96" s="1"/>
  <c r="AR150" i="52"/>
  <c r="AR176" i="52" s="1"/>
  <c r="AN150" i="92"/>
  <c r="AN176" i="92" s="1"/>
  <c r="AO150" i="88"/>
  <c r="AO176" i="88" s="1"/>
  <c r="AT226" i="96"/>
  <c r="AT252" i="96" s="1"/>
  <c r="J27" i="70"/>
  <c r="K27" i="70" s="1"/>
  <c r="L27" i="70" s="1"/>
  <c r="F33" i="70" s="1"/>
  <c r="O27" i="70"/>
  <c r="AR226" i="88"/>
  <c r="AR252" i="88" s="1"/>
  <c r="AR226" i="52"/>
  <c r="AR252" i="52" s="1"/>
  <c r="AQ302" i="92"/>
  <c r="AQ328" i="92" s="1"/>
  <c r="AQ302" i="96"/>
  <c r="AQ328" i="96" s="1"/>
  <c r="AQ74" i="96"/>
  <c r="AQ100" i="96" s="1"/>
  <c r="AQ74" i="92"/>
  <c r="AQ100" i="92" s="1"/>
  <c r="AL150" i="88"/>
  <c r="AL176" i="88" s="1"/>
  <c r="AL150" i="52"/>
  <c r="AL176" i="52" s="1"/>
  <c r="AM150" i="88"/>
  <c r="AM176" i="88" s="1"/>
  <c r="AM150" i="52"/>
  <c r="AM176" i="52" s="1"/>
  <c r="AN74" i="92"/>
  <c r="AN100" i="92" s="1"/>
  <c r="AN74" i="96"/>
  <c r="AN100" i="96" s="1"/>
  <c r="AP150" i="96"/>
  <c r="AP176" i="96" s="1"/>
  <c r="AP150" i="92"/>
  <c r="AP176" i="92" s="1"/>
  <c r="AQ302" i="88"/>
  <c r="AQ328" i="88" s="1"/>
  <c r="AQ302" i="52"/>
  <c r="AQ328" i="52" s="1"/>
  <c r="AQ378" i="88"/>
  <c r="AQ404" i="88" s="1"/>
  <c r="AQ378" i="52"/>
  <c r="AQ404" i="52" s="1"/>
  <c r="AO378" i="52"/>
  <c r="AO404" i="52" s="1"/>
  <c r="AO378" i="88"/>
  <c r="AO404" i="88" s="1"/>
  <c r="AT378" i="96"/>
  <c r="AT404" i="96" s="1"/>
  <c r="AT378" i="92"/>
  <c r="AT404" i="92" s="1"/>
  <c r="AS150" i="96"/>
  <c r="AS176" i="96" s="1"/>
  <c r="AS150" i="92"/>
  <c r="AS176" i="92" s="1"/>
  <c r="AN226" i="88"/>
  <c r="AN252" i="88" s="1"/>
  <c r="AN226" i="52"/>
  <c r="AN252" i="52" s="1"/>
  <c r="AS226" i="52"/>
  <c r="AS252" i="52" s="1"/>
  <c r="AS226" i="88"/>
  <c r="AS252" i="88" s="1"/>
  <c r="AL74" i="96"/>
  <c r="AL100" i="96" s="1"/>
  <c r="AL74" i="92"/>
  <c r="AL100" i="92" s="1"/>
  <c r="AQ74" i="88"/>
  <c r="AQ100" i="88" s="1"/>
  <c r="AQ74" i="52"/>
  <c r="AQ100" i="52" s="1"/>
  <c r="AS226" i="96"/>
  <c r="AS252" i="96" s="1"/>
  <c r="AS226" i="92"/>
  <c r="AS252" i="92" s="1"/>
  <c r="AO378" i="96"/>
  <c r="AO404" i="96" s="1"/>
  <c r="AO378" i="92"/>
  <c r="AO404" i="92" s="1"/>
  <c r="AP150" i="52"/>
  <c r="AP176" i="52" s="1"/>
  <c r="AP150" i="88"/>
  <c r="AP176" i="88" s="1"/>
  <c r="AN74" i="52"/>
  <c r="AN100" i="52" s="1"/>
  <c r="AN74" i="88"/>
  <c r="AN100" i="88" s="1"/>
  <c r="AL226" i="88"/>
  <c r="AL252" i="88" s="1"/>
  <c r="AL226" i="52"/>
  <c r="AL252" i="52" s="1"/>
  <c r="AO302" i="52"/>
  <c r="AO328" i="52" s="1"/>
  <c r="AO302" i="88"/>
  <c r="AO328" i="88" s="1"/>
  <c r="AT226" i="52"/>
  <c r="AT252" i="52" s="1"/>
  <c r="AT226" i="88"/>
  <c r="AT252" i="88" s="1"/>
  <c r="AP74" i="96"/>
  <c r="AP100" i="96" s="1"/>
  <c r="AP74" i="92"/>
  <c r="AP100" i="92" s="1"/>
  <c r="AM150" i="96"/>
  <c r="AM176" i="96" s="1"/>
  <c r="AM150" i="92"/>
  <c r="AM176" i="92" s="1"/>
  <c r="AN302" i="88"/>
  <c r="AN328" i="88" s="1"/>
  <c r="AN302" i="52"/>
  <c r="AN328" i="52" s="1"/>
  <c r="AS74" i="96"/>
  <c r="AS100" i="96" s="1"/>
  <c r="AS74" i="92"/>
  <c r="AS100" i="92" s="1"/>
  <c r="AL302" i="96"/>
  <c r="AL328" i="96" s="1"/>
  <c r="AL302" i="92"/>
  <c r="AL328" i="92" s="1"/>
  <c r="AO74" i="88"/>
  <c r="AO100" i="88" s="1"/>
  <c r="AO74" i="52"/>
  <c r="AO100" i="52" s="1"/>
  <c r="AN378" i="88"/>
  <c r="AN404" i="88" s="1"/>
  <c r="AN378" i="52"/>
  <c r="AN404" i="52" s="1"/>
  <c r="AL378" i="88"/>
  <c r="AL404" i="88" s="1"/>
  <c r="AL378" i="52"/>
  <c r="AL404" i="52" s="1"/>
  <c r="AP226" i="96"/>
  <c r="AP252" i="96" s="1"/>
  <c r="AP226" i="92"/>
  <c r="AP252" i="92" s="1"/>
  <c r="AM74" i="92"/>
  <c r="AM100" i="92" s="1"/>
  <c r="AM74" i="96"/>
  <c r="AM100" i="96" s="1"/>
  <c r="AS302" i="96"/>
  <c r="AS328" i="96" s="1"/>
  <c r="AS302" i="92"/>
  <c r="AS328" i="92" s="1"/>
  <c r="AP302" i="92"/>
  <c r="AP328" i="92" s="1"/>
  <c r="AP302" i="96"/>
  <c r="AP328" i="96" s="1"/>
  <c r="AQ226" i="96"/>
  <c r="AQ252" i="96" s="1"/>
  <c r="AQ226" i="92"/>
  <c r="AQ252" i="92" s="1"/>
  <c r="AP226" i="88"/>
  <c r="AP252" i="88" s="1"/>
  <c r="AP226" i="52"/>
  <c r="AP252" i="52" s="1"/>
  <c r="AR378" i="88"/>
  <c r="AR404" i="88" s="1"/>
  <c r="AR378" i="52"/>
  <c r="AR404" i="52" s="1"/>
  <c r="AS150" i="52"/>
  <c r="AS176" i="52" s="1"/>
  <c r="AS150" i="88"/>
  <c r="AS176" i="88" s="1"/>
  <c r="AM74" i="52"/>
  <c r="AM100" i="52" s="1"/>
  <c r="AM74" i="88"/>
  <c r="AM100" i="88" s="1"/>
  <c r="AR74" i="52"/>
  <c r="AR100" i="52" s="1"/>
  <c r="AR74" i="88"/>
  <c r="AR100" i="88" s="1"/>
  <c r="AP378" i="88"/>
  <c r="AP404" i="88" s="1"/>
  <c r="AP378" i="52"/>
  <c r="AP404" i="52" s="1"/>
  <c r="AM226" i="88"/>
  <c r="AM252" i="88" s="1"/>
  <c r="AM226" i="52"/>
  <c r="AM252" i="52" s="1"/>
  <c r="AM378" i="96"/>
  <c r="AM404" i="96" s="1"/>
  <c r="AM378" i="92"/>
  <c r="AM404" i="92" s="1"/>
  <c r="AM378" i="88"/>
  <c r="AM404" i="88" s="1"/>
  <c r="AM378" i="52"/>
  <c r="AM404" i="52" s="1"/>
  <c r="AO226" i="52"/>
  <c r="AO252" i="52" s="1"/>
  <c r="AO226" i="88"/>
  <c r="AO252" i="88" s="1"/>
  <c r="AM302" i="92"/>
  <c r="AM328" i="92" s="1"/>
  <c r="AM302" i="96"/>
  <c r="AM328" i="96" s="1"/>
  <c r="AN226" i="96"/>
  <c r="AN252" i="96" s="1"/>
  <c r="AN226" i="92"/>
  <c r="AN252" i="92" s="1"/>
  <c r="AL74" i="88"/>
  <c r="AL100" i="88" s="1"/>
  <c r="AL74" i="52"/>
  <c r="AL100" i="52" s="1"/>
  <c r="AL150" i="96"/>
  <c r="AL176" i="96" s="1"/>
  <c r="AL150" i="92"/>
  <c r="AL176" i="92" s="1"/>
  <c r="AS302" i="52"/>
  <c r="AS328" i="52" s="1"/>
  <c r="AS302" i="88"/>
  <c r="AS328" i="88" s="1"/>
  <c r="AO226" i="96"/>
  <c r="AO252" i="96" s="1"/>
  <c r="AO226" i="92"/>
  <c r="AO252" i="92" s="1"/>
  <c r="AQ378" i="96"/>
  <c r="AQ404" i="96" s="1"/>
  <c r="AQ378" i="92"/>
  <c r="AQ404" i="92" s="1"/>
  <c r="AT74" i="88"/>
  <c r="AT100" i="88" s="1"/>
  <c r="AT74" i="52"/>
  <c r="AT100" i="52" s="1"/>
  <c r="AO74" i="96"/>
  <c r="AO100" i="96" s="1"/>
  <c r="AO74" i="92"/>
  <c r="AO100" i="92" s="1"/>
  <c r="AR150" i="96"/>
  <c r="AR176" i="96" s="1"/>
  <c r="AR150" i="92"/>
  <c r="AR176" i="92" s="1"/>
  <c r="AO150" i="96"/>
  <c r="AO176" i="96" s="1"/>
  <c r="AO150" i="92"/>
  <c r="AO176" i="92" s="1"/>
  <c r="AM226" i="96"/>
  <c r="AM252" i="96" s="1"/>
  <c r="AM226" i="92"/>
  <c r="AM252" i="92" s="1"/>
  <c r="AS378" i="96"/>
  <c r="AS404" i="96" s="1"/>
  <c r="AS378" i="92"/>
  <c r="AS404" i="92" s="1"/>
  <c r="H32" i="14"/>
  <c r="H60" i="14" s="1"/>
  <c r="G60" i="14"/>
  <c r="D134" i="14"/>
  <c r="D71" i="14"/>
  <c r="AT404" i="52"/>
  <c r="I203" i="73"/>
  <c r="T203" i="73"/>
  <c r="AW203" i="73"/>
  <c r="P203" i="73"/>
  <c r="AR203" i="73"/>
  <c r="U203" i="73"/>
  <c r="AB203" i="73"/>
  <c r="J203" i="73"/>
  <c r="AX203" i="73"/>
  <c r="V203" i="73"/>
  <c r="AT203" i="73"/>
  <c r="AV203" i="73"/>
  <c r="AL203" i="73"/>
  <c r="N203" i="73"/>
  <c r="AG203" i="73"/>
  <c r="AH203" i="73"/>
  <c r="Z203" i="73"/>
  <c r="I25" i="70"/>
  <c r="N25" i="70" s="1"/>
  <c r="I26" i="70"/>
  <c r="N26" i="70" s="1"/>
  <c r="P27" i="70" l="1"/>
  <c r="J26" i="70"/>
  <c r="K26" i="70" s="1"/>
  <c r="L26" i="70" s="1"/>
  <c r="O26" i="70"/>
  <c r="J25" i="70"/>
  <c r="O25" i="70"/>
  <c r="H73" i="14"/>
  <c r="I32" i="14"/>
  <c r="J32" i="14" s="1"/>
  <c r="F198" i="5"/>
  <c r="F197" i="5"/>
  <c r="F196" i="5"/>
  <c r="F194" i="5"/>
  <c r="B198" i="5"/>
  <c r="B197" i="5"/>
  <c r="B20" i="64" s="1"/>
  <c r="B47" i="64" s="1"/>
  <c r="B196" i="5"/>
  <c r="B194" i="5"/>
  <c r="K25" i="70" l="1"/>
  <c r="L25" i="70" s="1"/>
  <c r="F32" i="70"/>
  <c r="P26" i="70"/>
  <c r="I60" i="14"/>
  <c r="I73" i="14"/>
  <c r="J73" i="14"/>
  <c r="J60" i="14"/>
  <c r="K32" i="14"/>
  <c r="B196" i="74"/>
  <c r="B196" i="73"/>
  <c r="B197" i="73"/>
  <c r="B197" i="74"/>
  <c r="B193" i="73"/>
  <c r="B193" i="74"/>
  <c r="B195" i="74"/>
  <c r="B195" i="73"/>
  <c r="X76" i="68"/>
  <c r="S76" i="68"/>
  <c r="N76" i="68"/>
  <c r="I76" i="68"/>
  <c r="D76" i="68"/>
  <c r="X75" i="68"/>
  <c r="S75" i="68"/>
  <c r="N75" i="68"/>
  <c r="I75" i="68"/>
  <c r="D75" i="68"/>
  <c r="X74" i="68"/>
  <c r="S74" i="68"/>
  <c r="N74" i="68"/>
  <c r="I74" i="68"/>
  <c r="D74" i="68"/>
  <c r="X73" i="68"/>
  <c r="S73" i="68"/>
  <c r="N73" i="68"/>
  <c r="I73" i="68"/>
  <c r="D73" i="68"/>
  <c r="X72" i="68"/>
  <c r="S72" i="68"/>
  <c r="N72" i="68"/>
  <c r="I72" i="68"/>
  <c r="D72" i="68"/>
  <c r="AG68" i="68"/>
  <c r="AG76" i="68" s="1"/>
  <c r="AF68" i="68"/>
  <c r="AF76" i="68" s="1"/>
  <c r="AE68" i="68"/>
  <c r="AE76" i="68" s="1"/>
  <c r="AD68" i="68"/>
  <c r="AD76" i="68" s="1"/>
  <c r="AC68" i="68"/>
  <c r="AC76" i="68" s="1"/>
  <c r="AB68" i="68"/>
  <c r="AB76" i="68" s="1"/>
  <c r="AA68" i="68"/>
  <c r="AA76" i="68" s="1"/>
  <c r="Z68" i="68"/>
  <c r="Z76" i="68" s="1"/>
  <c r="Y68" i="68"/>
  <c r="Y76" i="68" s="1"/>
  <c r="T68" i="68"/>
  <c r="T76" i="68" s="1"/>
  <c r="O68" i="68"/>
  <c r="O76" i="68" s="1"/>
  <c r="J68" i="68"/>
  <c r="J76" i="68" s="1"/>
  <c r="E68" i="68"/>
  <c r="E76" i="68" s="1"/>
  <c r="C68" i="68"/>
  <c r="C76" i="68" s="1"/>
  <c r="AG67" i="68"/>
  <c r="AG75" i="68" s="1"/>
  <c r="AF67" i="68"/>
  <c r="AF75" i="68" s="1"/>
  <c r="AE67" i="68"/>
  <c r="AE75" i="68" s="1"/>
  <c r="AD67" i="68"/>
  <c r="AD75" i="68" s="1"/>
  <c r="AC67" i="68"/>
  <c r="AC75" i="68" s="1"/>
  <c r="AB67" i="68"/>
  <c r="AB75" i="68" s="1"/>
  <c r="AA67" i="68"/>
  <c r="AA75" i="68" s="1"/>
  <c r="Z67" i="68"/>
  <c r="Z75" i="68" s="1"/>
  <c r="Y67" i="68"/>
  <c r="Y75" i="68" s="1"/>
  <c r="T67" i="68"/>
  <c r="T75" i="68" s="1"/>
  <c r="O67" i="68"/>
  <c r="P67" i="68" s="1"/>
  <c r="J67" i="68"/>
  <c r="K67" i="68" s="1"/>
  <c r="E67" i="68"/>
  <c r="F67" i="68" s="1"/>
  <c r="G67" i="68" s="1"/>
  <c r="G75" i="68" s="1"/>
  <c r="C67" i="68"/>
  <c r="C75" i="68" s="1"/>
  <c r="AG66" i="68"/>
  <c r="AG74" i="68" s="1"/>
  <c r="AF66" i="68"/>
  <c r="AF74" i="68" s="1"/>
  <c r="AE66" i="68"/>
  <c r="AE74" i="68" s="1"/>
  <c r="AD66" i="68"/>
  <c r="AD74" i="68" s="1"/>
  <c r="AC66" i="68"/>
  <c r="AC74" i="68" s="1"/>
  <c r="AB66" i="68"/>
  <c r="AB74" i="68" s="1"/>
  <c r="AA66" i="68"/>
  <c r="AA74" i="68" s="1"/>
  <c r="Z66" i="68"/>
  <c r="Z74" i="68" s="1"/>
  <c r="Y66" i="68"/>
  <c r="Y74" i="68" s="1"/>
  <c r="T66" i="68"/>
  <c r="T74" i="68" s="1"/>
  <c r="O66" i="68"/>
  <c r="O74" i="68" s="1"/>
  <c r="J66" i="68"/>
  <c r="J74" i="68" s="1"/>
  <c r="E66" i="68"/>
  <c r="E74" i="68" s="1"/>
  <c r="C66" i="68"/>
  <c r="C74" i="68" s="1"/>
  <c r="AG65" i="68"/>
  <c r="AG73" i="68" s="1"/>
  <c r="AF65" i="68"/>
  <c r="AF73" i="68" s="1"/>
  <c r="AE65" i="68"/>
  <c r="AE73" i="68" s="1"/>
  <c r="AD65" i="68"/>
  <c r="AD73" i="68" s="1"/>
  <c r="AC65" i="68"/>
  <c r="AC73" i="68" s="1"/>
  <c r="AB65" i="68"/>
  <c r="AB73" i="68" s="1"/>
  <c r="AA65" i="68"/>
  <c r="AA73" i="68" s="1"/>
  <c r="Z65" i="68"/>
  <c r="Z73" i="68" s="1"/>
  <c r="Y65" i="68"/>
  <c r="Y73" i="68" s="1"/>
  <c r="T65" i="68"/>
  <c r="U65" i="68" s="1"/>
  <c r="O65" i="68"/>
  <c r="J65" i="68"/>
  <c r="E65" i="68"/>
  <c r="C65" i="68"/>
  <c r="C73" i="68" s="1"/>
  <c r="AG64" i="68"/>
  <c r="AG72" i="68" s="1"/>
  <c r="AF64" i="68"/>
  <c r="AF72" i="68" s="1"/>
  <c r="AE64" i="68"/>
  <c r="AE72" i="68" s="1"/>
  <c r="AD64" i="68"/>
  <c r="AD72" i="68" s="1"/>
  <c r="AC64" i="68"/>
  <c r="AC72" i="68" s="1"/>
  <c r="AB64" i="68"/>
  <c r="AB72" i="68" s="1"/>
  <c r="AA64" i="68"/>
  <c r="AA72" i="68" s="1"/>
  <c r="Z64" i="68"/>
  <c r="Z72" i="68" s="1"/>
  <c r="Y64" i="68"/>
  <c r="Y72" i="68" s="1"/>
  <c r="T64" i="68"/>
  <c r="U64" i="68" s="1"/>
  <c r="U72" i="68" s="1"/>
  <c r="O64" i="68"/>
  <c r="O72" i="68" s="1"/>
  <c r="J64" i="68"/>
  <c r="J72" i="68" s="1"/>
  <c r="E64" i="68"/>
  <c r="E72" i="68" s="1"/>
  <c r="C64" i="68"/>
  <c r="C72" i="68" s="1"/>
  <c r="D47" i="68"/>
  <c r="I47" i="68"/>
  <c r="N47" i="68"/>
  <c r="S47" i="68"/>
  <c r="X47" i="68"/>
  <c r="D48" i="68"/>
  <c r="I48" i="68"/>
  <c r="N48" i="68"/>
  <c r="S48" i="68"/>
  <c r="X48" i="68"/>
  <c r="D49" i="68"/>
  <c r="I49" i="68"/>
  <c r="N49" i="68"/>
  <c r="S49" i="68"/>
  <c r="X49" i="68"/>
  <c r="D50" i="68"/>
  <c r="I50" i="68"/>
  <c r="N50" i="68"/>
  <c r="S50" i="68"/>
  <c r="X50" i="68"/>
  <c r="D51" i="68"/>
  <c r="I51" i="68"/>
  <c r="N51" i="68"/>
  <c r="S51" i="68"/>
  <c r="X51" i="68"/>
  <c r="O40" i="68"/>
  <c r="P40" i="68" s="1"/>
  <c r="Q40" i="68" s="1"/>
  <c r="R40" i="68" s="1"/>
  <c r="R48" i="68" s="1"/>
  <c r="O41" i="68"/>
  <c r="P41" i="68" s="1"/>
  <c r="Q41" i="68" s="1"/>
  <c r="R41" i="68" s="1"/>
  <c r="R49" i="68" s="1"/>
  <c r="O42" i="68"/>
  <c r="P42" i="68" s="1"/>
  <c r="Q42" i="68" s="1"/>
  <c r="R42" i="68" s="1"/>
  <c r="R50" i="68" s="1"/>
  <c r="O43" i="68"/>
  <c r="P43" i="68" s="1"/>
  <c r="Q43" i="68" s="1"/>
  <c r="R43" i="68" s="1"/>
  <c r="R51" i="68" s="1"/>
  <c r="O39" i="68"/>
  <c r="P39" i="68" s="1"/>
  <c r="Q39" i="68" s="1"/>
  <c r="R39" i="68" s="1"/>
  <c r="R47" i="68" s="1"/>
  <c r="J40" i="68"/>
  <c r="K40" i="68" s="1"/>
  <c r="L40" i="68" s="1"/>
  <c r="M40" i="68" s="1"/>
  <c r="M48" i="68" s="1"/>
  <c r="J41" i="68"/>
  <c r="K41" i="68" s="1"/>
  <c r="L41" i="68" s="1"/>
  <c r="M41" i="68" s="1"/>
  <c r="M49" i="68" s="1"/>
  <c r="J42" i="68"/>
  <c r="K42" i="68" s="1"/>
  <c r="L42" i="68" s="1"/>
  <c r="M42" i="68" s="1"/>
  <c r="M50" i="68" s="1"/>
  <c r="J43" i="68"/>
  <c r="K43" i="68" s="1"/>
  <c r="L43" i="68" s="1"/>
  <c r="M43" i="68" s="1"/>
  <c r="M51" i="68" s="1"/>
  <c r="J39" i="68"/>
  <c r="K39" i="68" s="1"/>
  <c r="L39" i="68" s="1"/>
  <c r="M39" i="68" s="1"/>
  <c r="M47" i="68" s="1"/>
  <c r="E40" i="68"/>
  <c r="F40" i="68" s="1"/>
  <c r="G40" i="68" s="1"/>
  <c r="H40" i="68" s="1"/>
  <c r="H48" i="68" s="1"/>
  <c r="E41" i="68"/>
  <c r="F41" i="68" s="1"/>
  <c r="G41" i="68" s="1"/>
  <c r="H41" i="68" s="1"/>
  <c r="H49" i="68" s="1"/>
  <c r="E42" i="68"/>
  <c r="F42" i="68" s="1"/>
  <c r="G42" i="68" s="1"/>
  <c r="H42" i="68" s="1"/>
  <c r="H50" i="68" s="1"/>
  <c r="E43" i="68"/>
  <c r="F43" i="68" s="1"/>
  <c r="G43" i="68" s="1"/>
  <c r="H43" i="68" s="1"/>
  <c r="H51" i="68" s="1"/>
  <c r="F39" i="68"/>
  <c r="G39" i="68" s="1"/>
  <c r="H39" i="68" s="1"/>
  <c r="H47" i="68" s="1"/>
  <c r="T39" i="68"/>
  <c r="U39" i="68" s="1"/>
  <c r="V39" i="68" s="1"/>
  <c r="W39" i="68" s="1"/>
  <c r="W47" i="68" s="1"/>
  <c r="C40" i="68"/>
  <c r="C48" i="68" s="1"/>
  <c r="C41" i="68"/>
  <c r="C49" i="68" s="1"/>
  <c r="C42" i="68"/>
  <c r="C50" i="68" s="1"/>
  <c r="C43" i="68"/>
  <c r="C51" i="68" s="1"/>
  <c r="C39" i="68"/>
  <c r="C47" i="68" s="1"/>
  <c r="C45" i="72" s="1"/>
  <c r="T40" i="68"/>
  <c r="U40" i="68" s="1"/>
  <c r="V40" i="68" s="1"/>
  <c r="W40" i="68" s="1"/>
  <c r="W48" i="68" s="1"/>
  <c r="T41" i="68"/>
  <c r="U41" i="68" s="1"/>
  <c r="V41" i="68" s="1"/>
  <c r="W41" i="68" s="1"/>
  <c r="W49" i="68" s="1"/>
  <c r="T42" i="68"/>
  <c r="U42" i="68" s="1"/>
  <c r="V42" i="68" s="1"/>
  <c r="W42" i="68" s="1"/>
  <c r="W50" i="68" s="1"/>
  <c r="T43" i="68"/>
  <c r="U43" i="68" s="1"/>
  <c r="V43" i="68" s="1"/>
  <c r="W43" i="68" s="1"/>
  <c r="W51" i="68" s="1"/>
  <c r="Z39" i="68"/>
  <c r="Z47" i="68" s="1"/>
  <c r="AA39" i="68"/>
  <c r="AA47" i="68" s="1"/>
  <c r="AB39" i="68"/>
  <c r="AB47" i="68" s="1"/>
  <c r="AC39" i="68"/>
  <c r="AC47" i="68" s="1"/>
  <c r="AD39" i="68"/>
  <c r="AD47" i="68" s="1"/>
  <c r="AE39" i="68"/>
  <c r="AE47" i="68" s="1"/>
  <c r="AF39" i="68"/>
  <c r="AF47" i="68" s="1"/>
  <c r="AG39" i="68"/>
  <c r="AG47" i="68" s="1"/>
  <c r="Z40" i="68"/>
  <c r="Z48" i="68" s="1"/>
  <c r="AA40" i="68"/>
  <c r="AA48" i="68" s="1"/>
  <c r="AB40" i="68"/>
  <c r="AB48" i="68" s="1"/>
  <c r="AC40" i="68"/>
  <c r="AC48" i="68" s="1"/>
  <c r="AD40" i="68"/>
  <c r="AD48" i="68" s="1"/>
  <c r="AE40" i="68"/>
  <c r="AE48" i="68" s="1"/>
  <c r="AF40" i="68"/>
  <c r="AF48" i="68" s="1"/>
  <c r="AG40" i="68"/>
  <c r="AG48" i="68" s="1"/>
  <c r="Z41" i="68"/>
  <c r="Z49" i="68" s="1"/>
  <c r="AA41" i="68"/>
  <c r="AA49" i="68" s="1"/>
  <c r="AB41" i="68"/>
  <c r="AB49" i="68" s="1"/>
  <c r="AC41" i="68"/>
  <c r="AC49" i="68" s="1"/>
  <c r="AD41" i="68"/>
  <c r="AD49" i="68" s="1"/>
  <c r="AE41" i="68"/>
  <c r="AE49" i="68" s="1"/>
  <c r="AF41" i="68"/>
  <c r="AF49" i="68" s="1"/>
  <c r="AG41" i="68"/>
  <c r="AG49" i="68" s="1"/>
  <c r="Z42" i="68"/>
  <c r="Z50" i="68" s="1"/>
  <c r="AA42" i="68"/>
  <c r="AA50" i="68" s="1"/>
  <c r="AB42" i="68"/>
  <c r="AB50" i="68" s="1"/>
  <c r="AC42" i="68"/>
  <c r="AC50" i="68" s="1"/>
  <c r="AD42" i="68"/>
  <c r="AD50" i="68" s="1"/>
  <c r="AE42" i="68"/>
  <c r="AE50" i="68" s="1"/>
  <c r="AF42" i="68"/>
  <c r="AF50" i="68" s="1"/>
  <c r="AG42" i="68"/>
  <c r="AG50" i="68" s="1"/>
  <c r="Z43" i="68"/>
  <c r="Z51" i="68" s="1"/>
  <c r="AA43" i="68"/>
  <c r="AA51" i="68" s="1"/>
  <c r="AB43" i="68"/>
  <c r="AB51" i="68" s="1"/>
  <c r="AC43" i="68"/>
  <c r="AC51" i="68" s="1"/>
  <c r="AD43" i="68"/>
  <c r="AD51" i="68" s="1"/>
  <c r="AE43" i="68"/>
  <c r="AE51" i="68" s="1"/>
  <c r="AF43" i="68"/>
  <c r="AF51" i="68" s="1"/>
  <c r="AG43" i="68"/>
  <c r="AG51" i="68" s="1"/>
  <c r="Y40" i="68"/>
  <c r="Y48" i="68" s="1"/>
  <c r="Y41" i="68"/>
  <c r="Y49" i="68" s="1"/>
  <c r="Y42" i="68"/>
  <c r="Y50" i="68" s="1"/>
  <c r="Y43" i="68"/>
  <c r="Y51" i="68" s="1"/>
  <c r="Y39" i="68"/>
  <c r="Y47" i="68" s="1"/>
  <c r="F31" i="70" l="1"/>
  <c r="P25" i="70"/>
  <c r="AC225" i="88"/>
  <c r="AC225" i="52"/>
  <c r="AI377" i="88"/>
  <c r="AI377" i="52"/>
  <c r="AE377" i="88"/>
  <c r="AE377" i="52"/>
  <c r="AI301" i="88"/>
  <c r="AI301" i="52"/>
  <c r="AE301" i="88"/>
  <c r="AE301" i="52"/>
  <c r="AI225" i="88"/>
  <c r="AI225" i="52"/>
  <c r="AE225" i="88"/>
  <c r="AE225" i="52"/>
  <c r="AI149" i="88"/>
  <c r="AI149" i="52"/>
  <c r="AE149" i="88"/>
  <c r="AE149" i="52"/>
  <c r="AI73" i="52"/>
  <c r="AI73" i="88"/>
  <c r="AE73" i="52"/>
  <c r="AE73" i="88"/>
  <c r="AA225" i="88"/>
  <c r="AA225" i="52"/>
  <c r="G301" i="88"/>
  <c r="G301" i="52"/>
  <c r="L73" i="88"/>
  <c r="L73" i="52"/>
  <c r="L149" i="52"/>
  <c r="L149" i="88"/>
  <c r="Q225" i="88"/>
  <c r="Q225" i="52"/>
  <c r="V301" i="88"/>
  <c r="V301" i="52"/>
  <c r="W377" i="88"/>
  <c r="W377" i="52"/>
  <c r="AB301" i="52"/>
  <c r="AB301" i="88"/>
  <c r="H301" i="88"/>
  <c r="H301" i="52"/>
  <c r="M225" i="88"/>
  <c r="M225" i="52"/>
  <c r="R149" i="88"/>
  <c r="R149" i="52"/>
  <c r="W73" i="52"/>
  <c r="W73" i="88"/>
  <c r="G73" i="92"/>
  <c r="G73" i="96"/>
  <c r="Y73" i="92"/>
  <c r="Y73" i="96"/>
  <c r="AF73" i="96"/>
  <c r="AF73" i="92"/>
  <c r="AJ73" i="96"/>
  <c r="AJ73" i="92"/>
  <c r="AD149" i="96"/>
  <c r="AD149" i="92"/>
  <c r="AH149" i="96"/>
  <c r="AH149" i="92"/>
  <c r="G225" i="96"/>
  <c r="G225" i="92"/>
  <c r="X225" i="96"/>
  <c r="X225" i="92"/>
  <c r="AF225" i="96"/>
  <c r="AF225" i="92"/>
  <c r="AJ225" i="96"/>
  <c r="AJ225" i="92"/>
  <c r="AD301" i="96"/>
  <c r="AD301" i="92"/>
  <c r="AH301" i="96"/>
  <c r="AH301" i="92"/>
  <c r="G377" i="96"/>
  <c r="G377" i="92"/>
  <c r="X377" i="96"/>
  <c r="X377" i="92"/>
  <c r="AF377" i="96"/>
  <c r="AF377" i="92"/>
  <c r="AJ377" i="96"/>
  <c r="AJ377" i="92"/>
  <c r="R73" i="96"/>
  <c r="R73" i="92"/>
  <c r="M149" i="96"/>
  <c r="M149" i="92"/>
  <c r="H225" i="96"/>
  <c r="H225" i="92"/>
  <c r="AB225" i="96"/>
  <c r="AB225" i="92"/>
  <c r="W301" i="96"/>
  <c r="W301" i="92"/>
  <c r="R377" i="96"/>
  <c r="R377" i="92"/>
  <c r="AC73" i="88"/>
  <c r="AC73" i="52"/>
  <c r="AC149" i="88"/>
  <c r="AC149" i="52"/>
  <c r="AH377" i="88"/>
  <c r="AH377" i="52"/>
  <c r="AD377" i="88"/>
  <c r="AD377" i="52"/>
  <c r="AH301" i="88"/>
  <c r="AH301" i="52"/>
  <c r="AD301" i="88"/>
  <c r="AD301" i="52"/>
  <c r="AH225" i="88"/>
  <c r="AH225" i="52"/>
  <c r="AD225" i="88"/>
  <c r="AD225" i="52"/>
  <c r="AH149" i="88"/>
  <c r="AH149" i="52"/>
  <c r="AD149" i="88"/>
  <c r="AD149" i="52"/>
  <c r="AH73" i="88"/>
  <c r="AH73" i="52"/>
  <c r="AD73" i="52"/>
  <c r="AD73" i="88"/>
  <c r="AA149" i="88"/>
  <c r="AA149" i="52"/>
  <c r="G225" i="88"/>
  <c r="G225" i="52"/>
  <c r="L377" i="52"/>
  <c r="L377" i="88"/>
  <c r="Q73" i="88"/>
  <c r="Q73" i="52"/>
  <c r="Q149" i="52"/>
  <c r="Q149" i="88"/>
  <c r="V225" i="52"/>
  <c r="V225" i="88"/>
  <c r="R377" i="88"/>
  <c r="R377" i="52"/>
  <c r="W301" i="88"/>
  <c r="W301" i="52"/>
  <c r="AB225" i="52"/>
  <c r="AB225" i="88"/>
  <c r="H225" i="88"/>
  <c r="H225" i="52"/>
  <c r="M149" i="88"/>
  <c r="M149" i="52"/>
  <c r="R73" i="88"/>
  <c r="R73" i="52"/>
  <c r="I73" i="92"/>
  <c r="I73" i="96"/>
  <c r="AC73" i="96"/>
  <c r="AC73" i="92"/>
  <c r="AG73" i="96"/>
  <c r="AG73" i="92"/>
  <c r="AK73" i="96"/>
  <c r="AK73" i="92"/>
  <c r="AE149" i="96"/>
  <c r="AE149" i="92"/>
  <c r="AI149" i="96"/>
  <c r="AI149" i="92"/>
  <c r="I225" i="96"/>
  <c r="I225" i="92"/>
  <c r="AC225" i="96"/>
  <c r="AC225" i="92"/>
  <c r="AG225" i="96"/>
  <c r="AG225" i="92"/>
  <c r="AK225" i="96"/>
  <c r="AK225" i="92"/>
  <c r="AE301" i="96"/>
  <c r="AE301" i="92"/>
  <c r="AI301" i="96"/>
  <c r="AI301" i="92"/>
  <c r="I377" i="96"/>
  <c r="I377" i="92"/>
  <c r="AC377" i="96"/>
  <c r="AC377" i="92"/>
  <c r="AG377" i="96"/>
  <c r="AG377" i="92"/>
  <c r="AK377" i="96"/>
  <c r="AK377" i="92"/>
  <c r="W73" i="92"/>
  <c r="W73" i="96"/>
  <c r="R149" i="96"/>
  <c r="R149" i="92"/>
  <c r="M225" i="96"/>
  <c r="M225" i="92"/>
  <c r="H301" i="96"/>
  <c r="H301" i="92"/>
  <c r="AB301" i="92"/>
  <c r="AB301" i="96"/>
  <c r="W377" i="96"/>
  <c r="W377" i="92"/>
  <c r="AC377" i="88"/>
  <c r="AC377" i="52"/>
  <c r="AK377" i="88"/>
  <c r="AK377" i="52"/>
  <c r="AG377" i="52"/>
  <c r="AG377" i="88"/>
  <c r="AK301" i="52"/>
  <c r="AK301" i="88"/>
  <c r="AG301" i="88"/>
  <c r="AG301" i="52"/>
  <c r="AK225" i="88"/>
  <c r="AK225" i="52"/>
  <c r="AG225" i="52"/>
  <c r="AG225" i="88"/>
  <c r="AK149" i="52"/>
  <c r="AK149" i="88"/>
  <c r="AG149" i="88"/>
  <c r="AG149" i="52"/>
  <c r="AK73" i="88"/>
  <c r="AK73" i="52"/>
  <c r="AG73" i="88"/>
  <c r="AG73" i="52"/>
  <c r="AA377" i="88"/>
  <c r="AA377" i="52"/>
  <c r="G73" i="52"/>
  <c r="G73" i="88"/>
  <c r="G149" i="88"/>
  <c r="G149" i="52"/>
  <c r="L301" i="52"/>
  <c r="L301" i="88"/>
  <c r="Q377" i="88"/>
  <c r="Q377" i="52"/>
  <c r="V73" i="88"/>
  <c r="V73" i="52"/>
  <c r="V149" i="88"/>
  <c r="V149" i="52"/>
  <c r="M377" i="88"/>
  <c r="M377" i="52"/>
  <c r="R301" i="88"/>
  <c r="R301" i="52"/>
  <c r="W225" i="88"/>
  <c r="W225" i="52"/>
  <c r="AB149" i="52"/>
  <c r="AB149" i="88"/>
  <c r="H149" i="88"/>
  <c r="H149" i="52"/>
  <c r="M73" i="88"/>
  <c r="M73" i="52"/>
  <c r="N73" i="92"/>
  <c r="N73" i="96"/>
  <c r="AD73" i="92"/>
  <c r="AD73" i="96"/>
  <c r="AH73" i="96"/>
  <c r="AH73" i="92"/>
  <c r="G149" i="96"/>
  <c r="G149" i="92"/>
  <c r="AF149" i="96"/>
  <c r="AF149" i="92"/>
  <c r="AJ149" i="96"/>
  <c r="AJ149" i="92"/>
  <c r="N225" i="96"/>
  <c r="N225" i="92"/>
  <c r="AD225" i="96"/>
  <c r="AD225" i="92"/>
  <c r="AH225" i="96"/>
  <c r="AH225" i="92"/>
  <c r="G301" i="96"/>
  <c r="G301" i="92"/>
  <c r="X301" i="96"/>
  <c r="X301" i="92"/>
  <c r="AF301" i="92"/>
  <c r="AF301" i="96"/>
  <c r="AJ301" i="96"/>
  <c r="AJ301" i="92"/>
  <c r="N377" i="96"/>
  <c r="N377" i="92"/>
  <c r="AD377" i="96"/>
  <c r="AD377" i="92"/>
  <c r="AH377" i="96"/>
  <c r="AH377" i="92"/>
  <c r="H73" i="96"/>
  <c r="H73" i="92"/>
  <c r="AB73" i="96"/>
  <c r="AB73" i="92"/>
  <c r="W149" i="96"/>
  <c r="W149" i="92"/>
  <c r="R225" i="96"/>
  <c r="R225" i="92"/>
  <c r="M301" i="92"/>
  <c r="M301" i="96"/>
  <c r="H377" i="96"/>
  <c r="H377" i="92"/>
  <c r="AB377" i="96"/>
  <c r="AB377" i="92"/>
  <c r="AC301" i="88"/>
  <c r="AC301" i="52"/>
  <c r="AJ377" i="52"/>
  <c r="AJ377" i="88"/>
  <c r="AF377" i="52"/>
  <c r="AF377" i="88"/>
  <c r="AJ301" i="52"/>
  <c r="AJ301" i="88"/>
  <c r="AF301" i="52"/>
  <c r="AF301" i="88"/>
  <c r="AJ225" i="52"/>
  <c r="AJ225" i="88"/>
  <c r="AF225" i="52"/>
  <c r="AF225" i="88"/>
  <c r="AJ149" i="52"/>
  <c r="AJ149" i="88"/>
  <c r="AF149" i="52"/>
  <c r="AF149" i="88"/>
  <c r="AJ73" i="88"/>
  <c r="AJ73" i="52"/>
  <c r="AF73" i="88"/>
  <c r="AF73" i="52"/>
  <c r="AA301" i="88"/>
  <c r="AA301" i="52"/>
  <c r="G377" i="88"/>
  <c r="G377" i="52"/>
  <c r="AA73" i="52"/>
  <c r="AA73" i="88"/>
  <c r="L225" i="52"/>
  <c r="L225" i="88"/>
  <c r="Q301" i="52"/>
  <c r="Q301" i="88"/>
  <c r="V377" i="52"/>
  <c r="V377" i="88"/>
  <c r="AB377" i="52"/>
  <c r="AB377" i="88"/>
  <c r="H377" i="88"/>
  <c r="H377" i="52"/>
  <c r="M301" i="88"/>
  <c r="M301" i="52"/>
  <c r="R225" i="88"/>
  <c r="R225" i="52"/>
  <c r="W149" i="88"/>
  <c r="W149" i="52"/>
  <c r="AB73" i="88"/>
  <c r="AB73" i="52"/>
  <c r="H73" i="88"/>
  <c r="H73" i="52"/>
  <c r="S73" i="92"/>
  <c r="S73" i="96"/>
  <c r="AE73" i="92"/>
  <c r="AE73" i="96"/>
  <c r="AI73" i="92"/>
  <c r="AI73" i="96"/>
  <c r="AC149" i="96"/>
  <c r="AC149" i="92"/>
  <c r="AG149" i="96"/>
  <c r="AG149" i="92"/>
  <c r="AK149" i="96"/>
  <c r="AK149" i="92"/>
  <c r="S225" i="96"/>
  <c r="S225" i="92"/>
  <c r="AE225" i="96"/>
  <c r="AE225" i="92"/>
  <c r="AI225" i="96"/>
  <c r="AI225" i="92"/>
  <c r="K301" i="96"/>
  <c r="K301" i="92"/>
  <c r="AC301" i="92"/>
  <c r="AC301" i="96"/>
  <c r="AG301" i="92"/>
  <c r="AG301" i="96"/>
  <c r="AK301" i="92"/>
  <c r="AK301" i="96"/>
  <c r="S377" i="96"/>
  <c r="S377" i="92"/>
  <c r="AE377" i="96"/>
  <c r="AE377" i="92"/>
  <c r="AI377" i="96"/>
  <c r="AI377" i="92"/>
  <c r="M73" i="96"/>
  <c r="M73" i="92"/>
  <c r="H149" i="96"/>
  <c r="H149" i="92"/>
  <c r="AB149" i="96"/>
  <c r="AB149" i="92"/>
  <c r="W225" i="96"/>
  <c r="W225" i="92"/>
  <c r="R301" i="96"/>
  <c r="R301" i="92"/>
  <c r="M377" i="96"/>
  <c r="M377" i="92"/>
  <c r="P64" i="68"/>
  <c r="P72" i="68" s="1"/>
  <c r="AF80" i="72"/>
  <c r="AE80" i="72"/>
  <c r="AC78" i="72"/>
  <c r="AG78" i="72"/>
  <c r="Z76" i="72"/>
  <c r="AF77" i="72"/>
  <c r="Z78" i="72"/>
  <c r="AD78" i="72"/>
  <c r="AB79" i="72"/>
  <c r="Z80" i="72"/>
  <c r="X76" i="72"/>
  <c r="Y78" i="72"/>
  <c r="AA76" i="72"/>
  <c r="Y77" i="72"/>
  <c r="AG77" i="72"/>
  <c r="AA78" i="72"/>
  <c r="AC79" i="72"/>
  <c r="AA80" i="72"/>
  <c r="AB76" i="72"/>
  <c r="AB78" i="72"/>
  <c r="AF76" i="72"/>
  <c r="Z77" i="72"/>
  <c r="AD77" i="72"/>
  <c r="AF78" i="72"/>
  <c r="Z79" i="72"/>
  <c r="AD79" i="72"/>
  <c r="AB80" i="72"/>
  <c r="X77" i="72"/>
  <c r="AD76" i="72"/>
  <c r="AB77" i="72"/>
  <c r="AF79" i="72"/>
  <c r="AD80" i="72"/>
  <c r="X79" i="72"/>
  <c r="AE76" i="72"/>
  <c r="AC77" i="72"/>
  <c r="AE78" i="72"/>
  <c r="Y79" i="72"/>
  <c r="AG79" i="72"/>
  <c r="X80" i="72"/>
  <c r="Y76" i="72"/>
  <c r="AC76" i="72"/>
  <c r="AG76" i="72"/>
  <c r="AA77" i="72"/>
  <c r="AE77" i="72"/>
  <c r="AA79" i="72"/>
  <c r="AE79" i="72"/>
  <c r="Y80" i="72"/>
  <c r="AC80" i="72"/>
  <c r="AG80" i="72"/>
  <c r="X78" i="72"/>
  <c r="S76" i="72"/>
  <c r="S79" i="72"/>
  <c r="T79" i="72"/>
  <c r="S80" i="72"/>
  <c r="S77" i="72"/>
  <c r="U76" i="72"/>
  <c r="T78" i="72"/>
  <c r="T80" i="72"/>
  <c r="S78" i="72"/>
  <c r="O80" i="72"/>
  <c r="N76" i="72"/>
  <c r="O76" i="72"/>
  <c r="N77" i="72"/>
  <c r="O78" i="72"/>
  <c r="N78" i="72"/>
  <c r="N79" i="72"/>
  <c r="N80" i="72"/>
  <c r="J78" i="72"/>
  <c r="I78" i="72"/>
  <c r="I79" i="72"/>
  <c r="I80" i="72"/>
  <c r="J80" i="72"/>
  <c r="I76" i="72"/>
  <c r="J76" i="72"/>
  <c r="I77" i="72"/>
  <c r="C76" i="72"/>
  <c r="C80" i="72"/>
  <c r="E76" i="72"/>
  <c r="C78" i="72"/>
  <c r="E78" i="72"/>
  <c r="D80" i="72"/>
  <c r="C77" i="72"/>
  <c r="C79" i="72"/>
  <c r="D78" i="72"/>
  <c r="E80" i="72"/>
  <c r="D77" i="72"/>
  <c r="G79" i="72"/>
  <c r="D76" i="72"/>
  <c r="D79" i="72"/>
  <c r="Y46" i="72"/>
  <c r="AD47" i="72"/>
  <c r="AD49" i="72"/>
  <c r="AD48" i="72"/>
  <c r="AD45" i="72"/>
  <c r="Y45" i="72"/>
  <c r="Z47" i="72"/>
  <c r="Z48" i="72"/>
  <c r="Z49" i="72"/>
  <c r="AE48" i="72"/>
  <c r="AE49" i="72"/>
  <c r="AE47" i="72"/>
  <c r="AA49" i="72"/>
  <c r="AA48" i="72"/>
  <c r="AA47" i="72"/>
  <c r="AE45" i="72"/>
  <c r="AA45" i="72"/>
  <c r="Y48" i="72"/>
  <c r="Y47" i="72"/>
  <c r="Y49" i="72"/>
  <c r="AE46" i="72"/>
  <c r="AA46" i="72"/>
  <c r="Z45" i="72"/>
  <c r="AG47" i="72"/>
  <c r="AG49" i="72"/>
  <c r="AG48" i="72"/>
  <c r="AC49" i="72"/>
  <c r="AC48" i="72"/>
  <c r="AC47" i="72"/>
  <c r="AG46" i="72"/>
  <c r="AC46" i="72"/>
  <c r="AG45" i="72"/>
  <c r="AC45" i="72"/>
  <c r="X47" i="72"/>
  <c r="X49" i="72"/>
  <c r="X48" i="72"/>
  <c r="X45" i="72"/>
  <c r="X46" i="72"/>
  <c r="AD46" i="72"/>
  <c r="Z46" i="72"/>
  <c r="AF47" i="72"/>
  <c r="AF48" i="72"/>
  <c r="AF49" i="72"/>
  <c r="AB48" i="72"/>
  <c r="AB47" i="72"/>
  <c r="AB49" i="72"/>
  <c r="AF46" i="72"/>
  <c r="AB46" i="72"/>
  <c r="AF45" i="72"/>
  <c r="AB45" i="72"/>
  <c r="W46" i="72"/>
  <c r="W47" i="72"/>
  <c r="W48" i="72"/>
  <c r="W49" i="72"/>
  <c r="W45" i="72"/>
  <c r="Q50" i="68"/>
  <c r="S46" i="72"/>
  <c r="T49" i="68"/>
  <c r="T47" i="68"/>
  <c r="S47" i="72"/>
  <c r="S48" i="72"/>
  <c r="S49" i="72"/>
  <c r="T48" i="68"/>
  <c r="S45" i="72"/>
  <c r="R45" i="72"/>
  <c r="R46" i="72"/>
  <c r="K48" i="68"/>
  <c r="O49" i="68"/>
  <c r="R48" i="72"/>
  <c r="R47" i="72"/>
  <c r="R49" i="72"/>
  <c r="N48" i="72"/>
  <c r="N47" i="72"/>
  <c r="N49" i="72"/>
  <c r="N46" i="72"/>
  <c r="N45" i="72"/>
  <c r="I45" i="72"/>
  <c r="M46" i="72"/>
  <c r="I47" i="72"/>
  <c r="I48" i="72"/>
  <c r="I49" i="72"/>
  <c r="M45" i="72"/>
  <c r="M47" i="72"/>
  <c r="M48" i="72"/>
  <c r="M49" i="72"/>
  <c r="I46" i="72"/>
  <c r="G50" i="68"/>
  <c r="C48" i="72"/>
  <c r="C49" i="72"/>
  <c r="C47" i="72"/>
  <c r="H47" i="72"/>
  <c r="H48" i="72"/>
  <c r="H49" i="72"/>
  <c r="C46" i="72"/>
  <c r="H45" i="72"/>
  <c r="H46" i="72"/>
  <c r="D48" i="72"/>
  <c r="D49" i="72"/>
  <c r="D47" i="72"/>
  <c r="D46" i="72"/>
  <c r="D45" i="72"/>
  <c r="K73" i="14"/>
  <c r="K60" i="14"/>
  <c r="L32" i="14"/>
  <c r="T72" i="68"/>
  <c r="U66" i="68"/>
  <c r="V66" i="68" s="1"/>
  <c r="W66" i="68" s="1"/>
  <c r="W74" i="68" s="1"/>
  <c r="U68" i="68"/>
  <c r="V68" i="68" s="1"/>
  <c r="T73" i="68"/>
  <c r="P66" i="68"/>
  <c r="P74" i="68" s="1"/>
  <c r="K68" i="68"/>
  <c r="K66" i="68"/>
  <c r="L66" i="68" s="1"/>
  <c r="P68" i="68"/>
  <c r="P76" i="68" s="1"/>
  <c r="K64" i="68"/>
  <c r="L64" i="68" s="1"/>
  <c r="M64" i="68" s="1"/>
  <c r="M72" i="68" s="1"/>
  <c r="F66" i="68"/>
  <c r="G66" i="68" s="1"/>
  <c r="F68" i="68"/>
  <c r="G68" i="68" s="1"/>
  <c r="J75" i="68"/>
  <c r="F64" i="68"/>
  <c r="F72" i="68" s="1"/>
  <c r="U48" i="68"/>
  <c r="T51" i="68"/>
  <c r="V50" i="68"/>
  <c r="V51" i="68"/>
  <c r="P51" i="68"/>
  <c r="U50" i="68"/>
  <c r="P50" i="68"/>
  <c r="V49" i="68"/>
  <c r="V47" i="68"/>
  <c r="U51" i="68"/>
  <c r="T50" i="68"/>
  <c r="U49" i="68"/>
  <c r="P49" i="68"/>
  <c r="V48" i="68"/>
  <c r="U47" i="68"/>
  <c r="K51" i="68"/>
  <c r="O48" i="68"/>
  <c r="O47" i="68"/>
  <c r="O51" i="68"/>
  <c r="J51" i="68"/>
  <c r="O50" i="68"/>
  <c r="Q48" i="68"/>
  <c r="Q47" i="68"/>
  <c r="Q51" i="68"/>
  <c r="Q49" i="68"/>
  <c r="J49" i="68"/>
  <c r="P48" i="68"/>
  <c r="J48" i="68"/>
  <c r="P47" i="68"/>
  <c r="L47" i="68"/>
  <c r="J50" i="68"/>
  <c r="E49" i="68"/>
  <c r="L50" i="68"/>
  <c r="L49" i="68"/>
  <c r="K47" i="68"/>
  <c r="L51" i="68"/>
  <c r="E51" i="68"/>
  <c r="K50" i="68"/>
  <c r="F50" i="68"/>
  <c r="K49" i="68"/>
  <c r="G49" i="68"/>
  <c r="L48" i="68"/>
  <c r="J47" i="68"/>
  <c r="G48" i="68"/>
  <c r="E47" i="68"/>
  <c r="F48" i="68"/>
  <c r="G51" i="68"/>
  <c r="E50" i="68"/>
  <c r="E48" i="68"/>
  <c r="G47" i="68"/>
  <c r="F51" i="68"/>
  <c r="F49" i="68"/>
  <c r="F47" i="68"/>
  <c r="U73" i="68"/>
  <c r="V65" i="68"/>
  <c r="F65" i="68"/>
  <c r="E73" i="68"/>
  <c r="V64" i="68"/>
  <c r="H67" i="68"/>
  <c r="H75" i="68" s="1"/>
  <c r="F75" i="68"/>
  <c r="J73" i="68"/>
  <c r="K65" i="68"/>
  <c r="K75" i="68"/>
  <c r="L67" i="68"/>
  <c r="P65" i="68"/>
  <c r="O73" i="68"/>
  <c r="P75" i="68"/>
  <c r="Q67" i="68"/>
  <c r="E75" i="68"/>
  <c r="O75" i="68"/>
  <c r="U67" i="68"/>
  <c r="W65" i="72" l="1"/>
  <c r="W55" i="72"/>
  <c r="Z55" i="72"/>
  <c r="Z65" i="72"/>
  <c r="U86" i="72"/>
  <c r="U96" i="72"/>
  <c r="Y86" i="72"/>
  <c r="Y96" i="72"/>
  <c r="M55" i="72"/>
  <c r="M65" i="72"/>
  <c r="AB55" i="72"/>
  <c r="AB65" i="72"/>
  <c r="Y55" i="72"/>
  <c r="Y65" i="72"/>
  <c r="S96" i="72"/>
  <c r="S86" i="72"/>
  <c r="AB86" i="72"/>
  <c r="AB96" i="72"/>
  <c r="X86" i="72"/>
  <c r="X96" i="72"/>
  <c r="I55" i="72"/>
  <c r="I65" i="72"/>
  <c r="R55" i="72"/>
  <c r="R65" i="72"/>
  <c r="AF55" i="72"/>
  <c r="AF65" i="72"/>
  <c r="X55" i="72"/>
  <c r="X65" i="72"/>
  <c r="AC55" i="72"/>
  <c r="AC65" i="72"/>
  <c r="AA65" i="72"/>
  <c r="AA55" i="72"/>
  <c r="AD55" i="72"/>
  <c r="AD65" i="72"/>
  <c r="J86" i="72"/>
  <c r="J96" i="72"/>
  <c r="O96" i="72"/>
  <c r="O86" i="72"/>
  <c r="AG86" i="72"/>
  <c r="AG96" i="72"/>
  <c r="AE96" i="72"/>
  <c r="AE86" i="72"/>
  <c r="N55" i="72"/>
  <c r="N65" i="72"/>
  <c r="S65" i="72"/>
  <c r="S55" i="72"/>
  <c r="AG55" i="72"/>
  <c r="AG65" i="72"/>
  <c r="AE65" i="72"/>
  <c r="AE55" i="72"/>
  <c r="I86" i="72"/>
  <c r="I96" i="72"/>
  <c r="N86" i="72"/>
  <c r="N96" i="72"/>
  <c r="AC86" i="72"/>
  <c r="AC96" i="72"/>
  <c r="AD86" i="72"/>
  <c r="AD96" i="72"/>
  <c r="AF86" i="72"/>
  <c r="AF96" i="72"/>
  <c r="AA96" i="72"/>
  <c r="AA86" i="72"/>
  <c r="Z86" i="72"/>
  <c r="Z96" i="72"/>
  <c r="D57" i="72"/>
  <c r="D67" i="72"/>
  <c r="H57" i="72"/>
  <c r="H67" i="72"/>
  <c r="M67" i="72"/>
  <c r="M57" i="72"/>
  <c r="I67" i="72"/>
  <c r="I57" i="72"/>
  <c r="N66" i="72"/>
  <c r="N56" i="72"/>
  <c r="R59" i="72"/>
  <c r="R69" i="72"/>
  <c r="W66" i="72"/>
  <c r="W56" i="72"/>
  <c r="AF66" i="72"/>
  <c r="AF56" i="72"/>
  <c r="AF59" i="72"/>
  <c r="AF69" i="72"/>
  <c r="AD66" i="72"/>
  <c r="AD56" i="72"/>
  <c r="X59" i="72"/>
  <c r="X69" i="72"/>
  <c r="AC56" i="72"/>
  <c r="AC66" i="72"/>
  <c r="AC69" i="72"/>
  <c r="AC59" i="72"/>
  <c r="Y67" i="72"/>
  <c r="Y57" i="72"/>
  <c r="AA67" i="72"/>
  <c r="AA57" i="72"/>
  <c r="AE69" i="72"/>
  <c r="AE59" i="72"/>
  <c r="Z67" i="72"/>
  <c r="Z57" i="72"/>
  <c r="AD69" i="72"/>
  <c r="AD59" i="72"/>
  <c r="AH378" i="88" s="1"/>
  <c r="AH404" i="88" s="1"/>
  <c r="D88" i="72"/>
  <c r="H226" i="92" s="1"/>
  <c r="H252" i="92" s="1"/>
  <c r="D98" i="72"/>
  <c r="E98" i="72"/>
  <c r="E88" i="72"/>
  <c r="J90" i="72"/>
  <c r="J100" i="72"/>
  <c r="J88" i="72"/>
  <c r="J98" i="72"/>
  <c r="O98" i="72"/>
  <c r="O88" i="72"/>
  <c r="O100" i="72"/>
  <c r="O90" i="72"/>
  <c r="S89" i="72"/>
  <c r="S99" i="72"/>
  <c r="AC100" i="72"/>
  <c r="AC90" i="72"/>
  <c r="AE87" i="72"/>
  <c r="AE97" i="72"/>
  <c r="AE98" i="72"/>
  <c r="AE88" i="72"/>
  <c r="AD90" i="72"/>
  <c r="AD100" i="72"/>
  <c r="X97" i="72"/>
  <c r="X87" i="72"/>
  <c r="AF88" i="72"/>
  <c r="AF98" i="72"/>
  <c r="AB88" i="72"/>
  <c r="AB98" i="72"/>
  <c r="AA88" i="72"/>
  <c r="AA98" i="72"/>
  <c r="Y98" i="72"/>
  <c r="Y88" i="72"/>
  <c r="AD98" i="72"/>
  <c r="AD88" i="72"/>
  <c r="AG98" i="72"/>
  <c r="AG88" i="72"/>
  <c r="D69" i="72"/>
  <c r="D59" i="72"/>
  <c r="C66" i="72"/>
  <c r="C56" i="72"/>
  <c r="C67" i="72"/>
  <c r="C57" i="72"/>
  <c r="I66" i="72"/>
  <c r="I56" i="72"/>
  <c r="M56" i="72"/>
  <c r="M66" i="72"/>
  <c r="N59" i="72"/>
  <c r="N69" i="72"/>
  <c r="R67" i="72"/>
  <c r="R57" i="72"/>
  <c r="R66" i="72"/>
  <c r="R56" i="72"/>
  <c r="S69" i="72"/>
  <c r="S59" i="72"/>
  <c r="W69" i="72"/>
  <c r="W59" i="72"/>
  <c r="AB59" i="72"/>
  <c r="AB69" i="72"/>
  <c r="AF68" i="72"/>
  <c r="AF58" i="72"/>
  <c r="X66" i="72"/>
  <c r="X56" i="72"/>
  <c r="X57" i="72"/>
  <c r="X67" i="72"/>
  <c r="AG56" i="72"/>
  <c r="AG66" i="72"/>
  <c r="AG68" i="72"/>
  <c r="AG58" i="72"/>
  <c r="AA66" i="72"/>
  <c r="AA56" i="72"/>
  <c r="Y68" i="72"/>
  <c r="Y58" i="72"/>
  <c r="AA58" i="72"/>
  <c r="AA68" i="72"/>
  <c r="AE58" i="72"/>
  <c r="AE68" i="72"/>
  <c r="AD67" i="72"/>
  <c r="AD57" i="72"/>
  <c r="G89" i="72"/>
  <c r="G99" i="72"/>
  <c r="C89" i="72"/>
  <c r="G302" i="96" s="1"/>
  <c r="G328" i="96" s="1"/>
  <c r="C99" i="72"/>
  <c r="C98" i="72"/>
  <c r="C88" i="72"/>
  <c r="G226" i="96" s="1"/>
  <c r="G252" i="96" s="1"/>
  <c r="I87" i="72"/>
  <c r="I97" i="72"/>
  <c r="I90" i="72"/>
  <c r="I100" i="72"/>
  <c r="N90" i="72"/>
  <c r="N100" i="72"/>
  <c r="N97" i="72"/>
  <c r="N87" i="72"/>
  <c r="S98" i="72"/>
  <c r="S88" i="72"/>
  <c r="S87" i="72"/>
  <c r="S97" i="72"/>
  <c r="Y90" i="72"/>
  <c r="Y100" i="72"/>
  <c r="AA97" i="72"/>
  <c r="AA87" i="72"/>
  <c r="X90" i="72"/>
  <c r="X100" i="72"/>
  <c r="AC87" i="72"/>
  <c r="AC97" i="72"/>
  <c r="AF99" i="72"/>
  <c r="AF89" i="72"/>
  <c r="AB100" i="72"/>
  <c r="AB90" i="72"/>
  <c r="AD97" i="72"/>
  <c r="AD87" i="72"/>
  <c r="AG87" i="72"/>
  <c r="AG97" i="72"/>
  <c r="Z88" i="72"/>
  <c r="Z98" i="72"/>
  <c r="AC98" i="72"/>
  <c r="AC88" i="72"/>
  <c r="D68" i="72"/>
  <c r="D58" i="72"/>
  <c r="H69" i="72"/>
  <c r="H59" i="72"/>
  <c r="C69" i="72"/>
  <c r="C59" i="72"/>
  <c r="M69" i="72"/>
  <c r="M59" i="72"/>
  <c r="I69" i="72"/>
  <c r="I59" i="72"/>
  <c r="N67" i="72"/>
  <c r="N57" i="72"/>
  <c r="R68" i="72"/>
  <c r="R58" i="72"/>
  <c r="S68" i="72"/>
  <c r="S58" i="72"/>
  <c r="S66" i="72"/>
  <c r="S56" i="72"/>
  <c r="W58" i="72"/>
  <c r="W68" i="72"/>
  <c r="AB67" i="72"/>
  <c r="AB57" i="72"/>
  <c r="AF57" i="72"/>
  <c r="AF67" i="72"/>
  <c r="AC67" i="72"/>
  <c r="AC57" i="72"/>
  <c r="AG69" i="72"/>
  <c r="AG59" i="72"/>
  <c r="AE56" i="72"/>
  <c r="AE66" i="72"/>
  <c r="AA59" i="72"/>
  <c r="AA69" i="72"/>
  <c r="Z69" i="72"/>
  <c r="Z59" i="72"/>
  <c r="Y66" i="72"/>
  <c r="Y56" i="72"/>
  <c r="D87" i="72"/>
  <c r="H150" i="96" s="1"/>
  <c r="H176" i="96" s="1"/>
  <c r="D97" i="72"/>
  <c r="C97" i="72"/>
  <c r="C87" i="72"/>
  <c r="G150" i="92" s="1"/>
  <c r="G176" i="92" s="1"/>
  <c r="I99" i="72"/>
  <c r="I89" i="72"/>
  <c r="N99" i="72"/>
  <c r="N89" i="72"/>
  <c r="T90" i="72"/>
  <c r="T100" i="72"/>
  <c r="S100" i="72"/>
  <c r="S90" i="72"/>
  <c r="X88" i="72"/>
  <c r="X98" i="72"/>
  <c r="AE89" i="72"/>
  <c r="AE99" i="72"/>
  <c r="AG99" i="72"/>
  <c r="AG89" i="72"/>
  <c r="AB97" i="72"/>
  <c r="AB87" i="72"/>
  <c r="AD99" i="72"/>
  <c r="AD89" i="72"/>
  <c r="Z97" i="72"/>
  <c r="Z87" i="72"/>
  <c r="AA100" i="72"/>
  <c r="AA90" i="72"/>
  <c r="Y87" i="72"/>
  <c r="Y97" i="72"/>
  <c r="Z90" i="72"/>
  <c r="Z100" i="72"/>
  <c r="AF97" i="72"/>
  <c r="AF87" i="72"/>
  <c r="AE100" i="72"/>
  <c r="AE90" i="72"/>
  <c r="D66" i="72"/>
  <c r="D56" i="72"/>
  <c r="H66" i="72"/>
  <c r="H56" i="72"/>
  <c r="H68" i="72"/>
  <c r="H58" i="72"/>
  <c r="C68" i="72"/>
  <c r="C58" i="72"/>
  <c r="M68" i="72"/>
  <c r="M58" i="72"/>
  <c r="I68" i="72"/>
  <c r="I58" i="72"/>
  <c r="N68" i="72"/>
  <c r="N58" i="72"/>
  <c r="S67" i="72"/>
  <c r="S57" i="72"/>
  <c r="W67" i="72"/>
  <c r="W57" i="72"/>
  <c r="AB66" i="72"/>
  <c r="AB56" i="72"/>
  <c r="AB68" i="72"/>
  <c r="AB58" i="72"/>
  <c r="Z56" i="72"/>
  <c r="Z66" i="72"/>
  <c r="X68" i="72"/>
  <c r="X58" i="72"/>
  <c r="AC68" i="72"/>
  <c r="AC58" i="72"/>
  <c r="AG67" i="72"/>
  <c r="AG57" i="72"/>
  <c r="Y69" i="72"/>
  <c r="Y59" i="72"/>
  <c r="AE67" i="72"/>
  <c r="AE57" i="72"/>
  <c r="Z68" i="72"/>
  <c r="Z58" i="72"/>
  <c r="AD68" i="72"/>
  <c r="AD58" i="72"/>
  <c r="AH302" i="52" s="1"/>
  <c r="AH328" i="52" s="1"/>
  <c r="D99" i="72"/>
  <c r="D89" i="72"/>
  <c r="H302" i="92" s="1"/>
  <c r="H328" i="92" s="1"/>
  <c r="E100" i="72"/>
  <c r="E90" i="72"/>
  <c r="D90" i="72"/>
  <c r="H378" i="92" s="1"/>
  <c r="H404" i="92" s="1"/>
  <c r="D100" i="72"/>
  <c r="C100" i="72"/>
  <c r="C90" i="72"/>
  <c r="G378" i="92" s="1"/>
  <c r="G404" i="92" s="1"/>
  <c r="I98" i="72"/>
  <c r="I88" i="72"/>
  <c r="N98" i="72"/>
  <c r="N88" i="72"/>
  <c r="T88" i="72"/>
  <c r="T98" i="72"/>
  <c r="T99" i="72"/>
  <c r="T89" i="72"/>
  <c r="AG100" i="72"/>
  <c r="AG90" i="72"/>
  <c r="AA89" i="72"/>
  <c r="AA99" i="72"/>
  <c r="Y89" i="72"/>
  <c r="Y99" i="72"/>
  <c r="X99" i="72"/>
  <c r="X89" i="72"/>
  <c r="Z99" i="72"/>
  <c r="Z89" i="72"/>
  <c r="AC89" i="72"/>
  <c r="AC99" i="72"/>
  <c r="AB99" i="72"/>
  <c r="AB89" i="72"/>
  <c r="AF100" i="72"/>
  <c r="AF90" i="72"/>
  <c r="H65" i="72"/>
  <c r="H55" i="72"/>
  <c r="D86" i="72"/>
  <c r="D96" i="72"/>
  <c r="C96" i="72"/>
  <c r="C86" i="72"/>
  <c r="D65" i="72"/>
  <c r="D55" i="72"/>
  <c r="E96" i="72"/>
  <c r="E86" i="72"/>
  <c r="D46" i="14"/>
  <c r="D74" i="14" s="1"/>
  <c r="S301" i="96"/>
  <c r="S301" i="92"/>
  <c r="S149" i="96"/>
  <c r="S149" i="92"/>
  <c r="K73" i="52"/>
  <c r="K73" i="88"/>
  <c r="J149" i="88"/>
  <c r="J149" i="52"/>
  <c r="P149" i="52"/>
  <c r="P149" i="88"/>
  <c r="O301" i="88"/>
  <c r="O301" i="52"/>
  <c r="P225" i="52"/>
  <c r="P225" i="88"/>
  <c r="P73" i="88"/>
  <c r="P73" i="52"/>
  <c r="N225" i="88"/>
  <c r="N225" i="52"/>
  <c r="U149" i="88"/>
  <c r="U149" i="52"/>
  <c r="S73" i="52"/>
  <c r="S73" i="88"/>
  <c r="Z149" i="52"/>
  <c r="Z149" i="88"/>
  <c r="Y377" i="88"/>
  <c r="Y377" i="52"/>
  <c r="Y301" i="88"/>
  <c r="Y301" i="52"/>
  <c r="X377" i="88"/>
  <c r="X377" i="52"/>
  <c r="X225" i="88"/>
  <c r="X225" i="52"/>
  <c r="H378" i="96"/>
  <c r="H404" i="96" s="1"/>
  <c r="G378" i="96"/>
  <c r="G404" i="96" s="1"/>
  <c r="I301" i="92"/>
  <c r="I301" i="96"/>
  <c r="N149" i="96"/>
  <c r="N149" i="92"/>
  <c r="I149" i="96"/>
  <c r="I149" i="92"/>
  <c r="Y149" i="96"/>
  <c r="Y149" i="92"/>
  <c r="J73" i="88"/>
  <c r="J73" i="52"/>
  <c r="I149" i="88"/>
  <c r="I149" i="52"/>
  <c r="I73" i="52"/>
  <c r="I73" i="88"/>
  <c r="K225" i="88"/>
  <c r="K225" i="52"/>
  <c r="I377" i="88"/>
  <c r="I377" i="52"/>
  <c r="P301" i="52"/>
  <c r="P301" i="88"/>
  <c r="T73" i="88"/>
  <c r="T73" i="52"/>
  <c r="U225" i="52"/>
  <c r="U225" i="88"/>
  <c r="S301" i="88"/>
  <c r="S301" i="52"/>
  <c r="S149" i="88"/>
  <c r="S149" i="52"/>
  <c r="T225" i="52"/>
  <c r="T225" i="88"/>
  <c r="Z73" i="88"/>
  <c r="Z73" i="52"/>
  <c r="T377" i="52"/>
  <c r="T377" i="88"/>
  <c r="Y149" i="88"/>
  <c r="Y149" i="52"/>
  <c r="AA225" i="96"/>
  <c r="AA225" i="92"/>
  <c r="T73" i="96"/>
  <c r="T73" i="92"/>
  <c r="J301" i="96"/>
  <c r="J301" i="92"/>
  <c r="J225" i="52"/>
  <c r="J225" i="88"/>
  <c r="I301" i="88"/>
  <c r="I301" i="52"/>
  <c r="K149" i="88"/>
  <c r="K149" i="52"/>
  <c r="O225" i="88"/>
  <c r="O225" i="52"/>
  <c r="P377" i="52"/>
  <c r="P377" i="88"/>
  <c r="I225" i="88"/>
  <c r="I225" i="52"/>
  <c r="N149" i="88"/>
  <c r="N149" i="52"/>
  <c r="U377" i="52"/>
  <c r="U377" i="88"/>
  <c r="N377" i="88"/>
  <c r="N377" i="52"/>
  <c r="O377" i="88"/>
  <c r="O377" i="52"/>
  <c r="Y225" i="88"/>
  <c r="Y225" i="52"/>
  <c r="Z225" i="88"/>
  <c r="Z225" i="52"/>
  <c r="Z377" i="88"/>
  <c r="Z377" i="52"/>
  <c r="J73" i="96"/>
  <c r="J73" i="92"/>
  <c r="Q73" i="96"/>
  <c r="Q73" i="92"/>
  <c r="T225" i="96"/>
  <c r="T225" i="92"/>
  <c r="X73" i="96"/>
  <c r="X73" i="92"/>
  <c r="S225" i="88"/>
  <c r="S225" i="52"/>
  <c r="U301" i="88"/>
  <c r="U301" i="52"/>
  <c r="T301" i="96"/>
  <c r="T301" i="92"/>
  <c r="O301" i="96"/>
  <c r="O301" i="92"/>
  <c r="L301" i="92"/>
  <c r="L301" i="96"/>
  <c r="G64" i="68"/>
  <c r="H64" i="68" s="1"/>
  <c r="H72" i="68" s="1"/>
  <c r="J377" i="52"/>
  <c r="J377" i="88"/>
  <c r="K377" i="88"/>
  <c r="K377" i="52"/>
  <c r="N73" i="52"/>
  <c r="N73" i="88"/>
  <c r="J301" i="88"/>
  <c r="J301" i="52"/>
  <c r="O73" i="52"/>
  <c r="O73" i="88"/>
  <c r="N301" i="88"/>
  <c r="N301" i="52"/>
  <c r="T149" i="52"/>
  <c r="T149" i="88"/>
  <c r="U73" i="88"/>
  <c r="U73" i="52"/>
  <c r="S377" i="88"/>
  <c r="S377" i="52"/>
  <c r="Y73" i="52"/>
  <c r="Y73" i="88"/>
  <c r="X301" i="88"/>
  <c r="X301" i="52"/>
  <c r="T301" i="52"/>
  <c r="T301" i="88"/>
  <c r="Z301" i="52"/>
  <c r="Z301" i="88"/>
  <c r="N301" i="96"/>
  <c r="N301" i="92"/>
  <c r="T377" i="96"/>
  <c r="T377" i="92"/>
  <c r="X149" i="96"/>
  <c r="X149" i="92"/>
  <c r="K301" i="88"/>
  <c r="K301" i="52"/>
  <c r="O149" i="88"/>
  <c r="O149" i="52"/>
  <c r="X149" i="88"/>
  <c r="X149" i="52"/>
  <c r="X73" i="88"/>
  <c r="X73" i="52"/>
  <c r="L72" i="68"/>
  <c r="P76" i="72"/>
  <c r="V74" i="68"/>
  <c r="U74" i="68"/>
  <c r="F74" i="68"/>
  <c r="Q64" i="68"/>
  <c r="Q72" i="68" s="1"/>
  <c r="W78" i="72"/>
  <c r="U76" i="68"/>
  <c r="T76" i="72"/>
  <c r="U77" i="72"/>
  <c r="T77" i="72"/>
  <c r="P78" i="72"/>
  <c r="Q66" i="68"/>
  <c r="R66" i="68" s="1"/>
  <c r="R74" i="68" s="1"/>
  <c r="O79" i="72"/>
  <c r="O77" i="72"/>
  <c r="P80" i="72"/>
  <c r="P79" i="72"/>
  <c r="K74" i="68"/>
  <c r="M76" i="72"/>
  <c r="J79" i="72"/>
  <c r="K79" i="72"/>
  <c r="J77" i="72"/>
  <c r="E77" i="72"/>
  <c r="E79" i="72"/>
  <c r="H79" i="72"/>
  <c r="F79" i="72"/>
  <c r="F76" i="68"/>
  <c r="F76" i="72"/>
  <c r="T46" i="72"/>
  <c r="T48" i="72"/>
  <c r="T47" i="72"/>
  <c r="T49" i="72"/>
  <c r="V45" i="72"/>
  <c r="U46" i="72"/>
  <c r="T45" i="72"/>
  <c r="V49" i="72"/>
  <c r="V48" i="72"/>
  <c r="V47" i="72"/>
  <c r="U45" i="72"/>
  <c r="U48" i="72"/>
  <c r="U47" i="72"/>
  <c r="U49" i="72"/>
  <c r="V46" i="72"/>
  <c r="Q48" i="72"/>
  <c r="Q47" i="72"/>
  <c r="Q49" i="72"/>
  <c r="Q45" i="72"/>
  <c r="Q46" i="72"/>
  <c r="O45" i="72"/>
  <c r="O49" i="72"/>
  <c r="O48" i="72"/>
  <c r="O47" i="72"/>
  <c r="P47" i="72"/>
  <c r="P48" i="72"/>
  <c r="P49" i="72"/>
  <c r="P45" i="72"/>
  <c r="O46" i="72"/>
  <c r="P46" i="72"/>
  <c r="K46" i="72"/>
  <c r="K48" i="72"/>
  <c r="K47" i="72"/>
  <c r="K49" i="72"/>
  <c r="J45" i="72"/>
  <c r="K45" i="72"/>
  <c r="J46" i="72"/>
  <c r="L46" i="72"/>
  <c r="L49" i="72"/>
  <c r="L48" i="72"/>
  <c r="L47" i="72"/>
  <c r="L45" i="72"/>
  <c r="J48" i="72"/>
  <c r="J47" i="72"/>
  <c r="J49" i="72"/>
  <c r="F46" i="72"/>
  <c r="C65" i="72"/>
  <c r="C55" i="72"/>
  <c r="E46" i="72"/>
  <c r="F47" i="72"/>
  <c r="F49" i="72"/>
  <c r="F48" i="72"/>
  <c r="G46" i="72"/>
  <c r="E49" i="72"/>
  <c r="E48" i="72"/>
  <c r="E47" i="72"/>
  <c r="G45" i="72"/>
  <c r="F45" i="72"/>
  <c r="E45" i="72"/>
  <c r="G48" i="72"/>
  <c r="G49" i="72"/>
  <c r="G47" i="72"/>
  <c r="L60" i="14"/>
  <c r="L73" i="14"/>
  <c r="M32" i="14"/>
  <c r="Q68" i="68"/>
  <c r="Q76" i="68" s="1"/>
  <c r="K72" i="68"/>
  <c r="L68" i="68"/>
  <c r="K76" i="68"/>
  <c r="M66" i="68"/>
  <c r="M74" i="68" s="1"/>
  <c r="L74" i="68"/>
  <c r="F73" i="68"/>
  <c r="G65" i="68"/>
  <c r="Q75" i="68"/>
  <c r="R67" i="68"/>
  <c r="R75" i="68" s="1"/>
  <c r="L75" i="68"/>
  <c r="M67" i="68"/>
  <c r="M75" i="68" s="1"/>
  <c r="K73" i="68"/>
  <c r="L65" i="68"/>
  <c r="V73" i="68"/>
  <c r="W65" i="68"/>
  <c r="W73" i="68" s="1"/>
  <c r="Q65" i="68"/>
  <c r="P73" i="68"/>
  <c r="H68" i="68"/>
  <c r="H76" i="68" s="1"/>
  <c r="G76" i="68"/>
  <c r="W68" i="68"/>
  <c r="W76" i="68" s="1"/>
  <c r="V76" i="68"/>
  <c r="G74" i="68"/>
  <c r="H66" i="68"/>
  <c r="H74" i="68" s="1"/>
  <c r="U75" i="68"/>
  <c r="V67" i="68"/>
  <c r="W64" i="68"/>
  <c r="W72" i="68" s="1"/>
  <c r="V72" i="68"/>
  <c r="G302" i="92" l="1"/>
  <c r="G328" i="92" s="1"/>
  <c r="D109" i="14"/>
  <c r="D137" i="14" s="1"/>
  <c r="G226" i="92"/>
  <c r="G252" i="92" s="1"/>
  <c r="G150" i="96"/>
  <c r="G176" i="96" s="1"/>
  <c r="H302" i="96"/>
  <c r="H328" i="96" s="1"/>
  <c r="H150" i="92"/>
  <c r="H176" i="92" s="1"/>
  <c r="L55" i="72"/>
  <c r="L65" i="72"/>
  <c r="T86" i="72"/>
  <c r="T96" i="72"/>
  <c r="K65" i="72"/>
  <c r="K55" i="72"/>
  <c r="P55" i="72"/>
  <c r="P65" i="72"/>
  <c r="P86" i="72"/>
  <c r="T74" i="92" s="1"/>
  <c r="T100" i="92" s="1"/>
  <c r="P96" i="72"/>
  <c r="O65" i="72"/>
  <c r="O55" i="72"/>
  <c r="V55" i="72"/>
  <c r="V65" i="72"/>
  <c r="J55" i="72"/>
  <c r="J65" i="72"/>
  <c r="Q55" i="72"/>
  <c r="Q65" i="72"/>
  <c r="U55" i="72"/>
  <c r="U65" i="72"/>
  <c r="T55" i="72"/>
  <c r="T65" i="72"/>
  <c r="M86" i="72"/>
  <c r="M96" i="72"/>
  <c r="F57" i="72"/>
  <c r="F67" i="72"/>
  <c r="L66" i="72"/>
  <c r="L56" i="72"/>
  <c r="P68" i="72"/>
  <c r="P58" i="72"/>
  <c r="U69" i="72"/>
  <c r="U59" i="72"/>
  <c r="U56" i="72"/>
  <c r="U66" i="72"/>
  <c r="F89" i="72"/>
  <c r="F99" i="72"/>
  <c r="U87" i="72"/>
  <c r="U97" i="72"/>
  <c r="G69" i="72"/>
  <c r="G59" i="72"/>
  <c r="G66" i="72"/>
  <c r="G56" i="72"/>
  <c r="E56" i="72"/>
  <c r="E66" i="72"/>
  <c r="J69" i="72"/>
  <c r="J59" i="72"/>
  <c r="L57" i="72"/>
  <c r="L67" i="72"/>
  <c r="J56" i="72"/>
  <c r="J66" i="72"/>
  <c r="K67" i="72"/>
  <c r="K57" i="72"/>
  <c r="O56" i="72"/>
  <c r="O66" i="72"/>
  <c r="P67" i="72"/>
  <c r="P57" i="72"/>
  <c r="Q57" i="72"/>
  <c r="Q67" i="72"/>
  <c r="U67" i="72"/>
  <c r="U57" i="72"/>
  <c r="V68" i="72"/>
  <c r="V58" i="72"/>
  <c r="T66" i="72"/>
  <c r="T56" i="72"/>
  <c r="H99" i="72"/>
  <c r="H89" i="72"/>
  <c r="K89" i="72"/>
  <c r="K99" i="72"/>
  <c r="P99" i="72"/>
  <c r="P89" i="72"/>
  <c r="G67" i="72"/>
  <c r="G57" i="72"/>
  <c r="E69" i="72"/>
  <c r="E59" i="72"/>
  <c r="F66" i="72"/>
  <c r="F56" i="72"/>
  <c r="K59" i="72"/>
  <c r="K69" i="72"/>
  <c r="P66" i="72"/>
  <c r="P56" i="72"/>
  <c r="O69" i="72"/>
  <c r="O59" i="72"/>
  <c r="Q69" i="72"/>
  <c r="Q59" i="72"/>
  <c r="V57" i="72"/>
  <c r="V67" i="72"/>
  <c r="T68" i="72"/>
  <c r="T58" i="72"/>
  <c r="J97" i="72"/>
  <c r="J87" i="72"/>
  <c r="O89" i="72"/>
  <c r="O99" i="72"/>
  <c r="G68" i="72"/>
  <c r="G58" i="72"/>
  <c r="E67" i="72"/>
  <c r="E57" i="72"/>
  <c r="F68" i="72"/>
  <c r="F58" i="72"/>
  <c r="J67" i="72"/>
  <c r="J57" i="72"/>
  <c r="L68" i="72"/>
  <c r="L58" i="72"/>
  <c r="K58" i="72"/>
  <c r="K68" i="72"/>
  <c r="O67" i="72"/>
  <c r="O57" i="72"/>
  <c r="Q56" i="72"/>
  <c r="Q66" i="72"/>
  <c r="Q68" i="72"/>
  <c r="Q58" i="72"/>
  <c r="U68" i="72"/>
  <c r="U58" i="72"/>
  <c r="V59" i="72"/>
  <c r="V69" i="72"/>
  <c r="T69" i="72"/>
  <c r="T59" i="72"/>
  <c r="E99" i="72"/>
  <c r="E89" i="72"/>
  <c r="J99" i="72"/>
  <c r="J89" i="72"/>
  <c r="P100" i="72"/>
  <c r="P90" i="72"/>
  <c r="P88" i="72"/>
  <c r="P98" i="72"/>
  <c r="E68" i="72"/>
  <c r="E58" i="72"/>
  <c r="F59" i="72"/>
  <c r="F69" i="72"/>
  <c r="J68" i="72"/>
  <c r="J58" i="72"/>
  <c r="L59" i="72"/>
  <c r="L69" i="72"/>
  <c r="K66" i="72"/>
  <c r="K56" i="72"/>
  <c r="P69" i="72"/>
  <c r="P59" i="72"/>
  <c r="O68" i="72"/>
  <c r="O58" i="72"/>
  <c r="V66" i="72"/>
  <c r="V56" i="72"/>
  <c r="T57" i="72"/>
  <c r="T67" i="72"/>
  <c r="E87" i="72"/>
  <c r="E97" i="72"/>
  <c r="O87" i="72"/>
  <c r="O97" i="72"/>
  <c r="T87" i="72"/>
  <c r="T97" i="72"/>
  <c r="W98" i="72"/>
  <c r="W88" i="72"/>
  <c r="F96" i="72"/>
  <c r="F86" i="72"/>
  <c r="F65" i="72"/>
  <c r="F55" i="72"/>
  <c r="G55" i="72"/>
  <c r="G65" i="72"/>
  <c r="H226" i="96"/>
  <c r="H252" i="96" s="1"/>
  <c r="G72" i="68"/>
  <c r="K73" i="92" s="1"/>
  <c r="E46" i="14"/>
  <c r="E74" i="14" s="1"/>
  <c r="AH302" i="88"/>
  <c r="AH328" i="88" s="1"/>
  <c r="AH378" i="52"/>
  <c r="AH404" i="52" s="1"/>
  <c r="L73" i="96"/>
  <c r="L73" i="92"/>
  <c r="Y301" i="92"/>
  <c r="Y301" i="96"/>
  <c r="AA377" i="96"/>
  <c r="AA377" i="92"/>
  <c r="O149" i="96"/>
  <c r="O149" i="92"/>
  <c r="P301" i="92"/>
  <c r="P301" i="96"/>
  <c r="J149" i="96"/>
  <c r="J149" i="92"/>
  <c r="L74" i="52"/>
  <c r="L100" i="52" s="1"/>
  <c r="L74" i="88"/>
  <c r="L100" i="88" s="1"/>
  <c r="L378" i="88"/>
  <c r="L404" i="88" s="1"/>
  <c r="L378" i="52"/>
  <c r="G150" i="88"/>
  <c r="G176" i="88" s="1"/>
  <c r="G150" i="52"/>
  <c r="G176" i="52" s="1"/>
  <c r="H378" i="88"/>
  <c r="H404" i="88" s="1"/>
  <c r="H378" i="52"/>
  <c r="H404" i="52" s="1"/>
  <c r="Q74" i="88"/>
  <c r="Q100" i="88" s="1"/>
  <c r="Q74" i="52"/>
  <c r="Q100" i="52" s="1"/>
  <c r="M378" i="52"/>
  <c r="M404" i="52" s="1"/>
  <c r="M378" i="88"/>
  <c r="M404" i="88" s="1"/>
  <c r="V74" i="88"/>
  <c r="V100" i="88" s="1"/>
  <c r="V74" i="52"/>
  <c r="V100" i="52" s="1"/>
  <c r="R226" i="88"/>
  <c r="R252" i="88" s="1"/>
  <c r="R226" i="52"/>
  <c r="R252" i="52" s="1"/>
  <c r="AA74" i="88"/>
  <c r="AA100" i="88" s="1"/>
  <c r="AA74" i="52"/>
  <c r="AA100" i="52" s="1"/>
  <c r="V150" i="88"/>
  <c r="V176" i="88" s="1"/>
  <c r="V150" i="52"/>
  <c r="V176" i="52" s="1"/>
  <c r="AD378" i="88"/>
  <c r="AD404" i="88" s="1"/>
  <c r="AD378" i="52"/>
  <c r="AD404" i="52" s="1"/>
  <c r="AE226" i="88"/>
  <c r="AE252" i="88" s="1"/>
  <c r="AE226" i="52"/>
  <c r="AE252" i="52" s="1"/>
  <c r="AI74" i="88"/>
  <c r="AI100" i="88" s="1"/>
  <c r="AI74" i="52"/>
  <c r="AI100" i="52" s="1"/>
  <c r="AB226" i="88"/>
  <c r="AB252" i="88" s="1"/>
  <c r="AB226" i="52"/>
  <c r="AB252" i="52" s="1"/>
  <c r="AB302" i="88"/>
  <c r="AB328" i="88" s="1"/>
  <c r="AB302" i="52"/>
  <c r="AB328" i="52" s="1"/>
  <c r="AJ150" i="88"/>
  <c r="AJ176" i="88" s="1"/>
  <c r="AJ150" i="52"/>
  <c r="AJ176" i="52" s="1"/>
  <c r="AJ74" i="52"/>
  <c r="AJ100" i="52" s="1"/>
  <c r="AJ74" i="88"/>
  <c r="AJ100" i="88" s="1"/>
  <c r="AH226" i="88"/>
  <c r="AH252" i="88" s="1"/>
  <c r="AH226" i="52"/>
  <c r="AH252" i="52" s="1"/>
  <c r="AH74" i="52"/>
  <c r="AH100" i="52" s="1"/>
  <c r="AH74" i="88"/>
  <c r="AH100" i="88" s="1"/>
  <c r="AJ378" i="88"/>
  <c r="AJ404" i="88" s="1"/>
  <c r="AJ378" i="52"/>
  <c r="AJ404" i="52" s="1"/>
  <c r="AF226" i="88"/>
  <c r="AF252" i="88" s="1"/>
  <c r="AF226" i="52"/>
  <c r="AF252" i="52" s="1"/>
  <c r="J377" i="96"/>
  <c r="J377" i="92"/>
  <c r="G74" i="96"/>
  <c r="G100" i="96" s="1"/>
  <c r="G74" i="92"/>
  <c r="G100" i="92" s="1"/>
  <c r="N74" i="96"/>
  <c r="N100" i="96" s="1"/>
  <c r="N74" i="92"/>
  <c r="N100" i="92" s="1"/>
  <c r="M226" i="96"/>
  <c r="M252" i="96" s="1"/>
  <c r="M226" i="92"/>
  <c r="M252" i="92" s="1"/>
  <c r="N378" i="96"/>
  <c r="N404" i="96" s="1"/>
  <c r="N378" i="92"/>
  <c r="N404" i="92" s="1"/>
  <c r="M150" i="96"/>
  <c r="M176" i="96" s="1"/>
  <c r="M150" i="92"/>
  <c r="M176" i="92" s="1"/>
  <c r="O225" i="96"/>
  <c r="O225" i="92"/>
  <c r="R150" i="96"/>
  <c r="R176" i="96" s="1"/>
  <c r="R150" i="92"/>
  <c r="R176" i="92" s="1"/>
  <c r="X226" i="96"/>
  <c r="X252" i="96" s="1"/>
  <c r="X226" i="92"/>
  <c r="X252" i="92" s="1"/>
  <c r="Y74" i="96"/>
  <c r="Y100" i="96" s="1"/>
  <c r="Y74" i="92"/>
  <c r="Y100" i="92" s="1"/>
  <c r="W74" i="92"/>
  <c r="W100" i="92" s="1"/>
  <c r="W74" i="96"/>
  <c r="W100" i="96" s="1"/>
  <c r="AG150" i="96"/>
  <c r="AG176" i="96" s="1"/>
  <c r="AG150" i="92"/>
  <c r="AG176" i="92" s="1"/>
  <c r="AE150" i="96"/>
  <c r="AE176" i="96" s="1"/>
  <c r="AE150" i="92"/>
  <c r="AE176" i="92" s="1"/>
  <c r="AE226" i="96"/>
  <c r="AE252" i="96" s="1"/>
  <c r="AE226" i="92"/>
  <c r="AE252" i="92" s="1"/>
  <c r="AD378" i="96"/>
  <c r="AD404" i="96" s="1"/>
  <c r="AD378" i="92"/>
  <c r="AD404" i="92" s="1"/>
  <c r="AA226" i="88"/>
  <c r="AA252" i="88" s="1"/>
  <c r="AA226" i="52"/>
  <c r="AA252" i="52" s="1"/>
  <c r="AD302" i="52"/>
  <c r="AD328" i="52" s="1"/>
  <c r="AD302" i="88"/>
  <c r="AD328" i="88" s="1"/>
  <c r="AJ302" i="88"/>
  <c r="AJ328" i="88" s="1"/>
  <c r="AJ302" i="52"/>
  <c r="AJ328" i="52" s="1"/>
  <c r="M150" i="52"/>
  <c r="M176" i="52" s="1"/>
  <c r="M150" i="88"/>
  <c r="M176" i="88" s="1"/>
  <c r="AC302" i="52"/>
  <c r="AC328" i="52" s="1"/>
  <c r="AC302" i="88"/>
  <c r="AC328" i="88" s="1"/>
  <c r="M226" i="52"/>
  <c r="M252" i="52" s="1"/>
  <c r="M226" i="88"/>
  <c r="M252" i="88" s="1"/>
  <c r="AG226" i="88"/>
  <c r="AG252" i="88" s="1"/>
  <c r="AG226" i="52"/>
  <c r="AG252" i="52" s="1"/>
  <c r="L150" i="88"/>
  <c r="L176" i="88" s="1"/>
  <c r="L150" i="52"/>
  <c r="L176" i="52" s="1"/>
  <c r="AD226" i="88"/>
  <c r="AD252" i="88" s="1"/>
  <c r="AD226" i="52"/>
  <c r="AD252" i="52" s="1"/>
  <c r="Y225" i="96"/>
  <c r="Y225" i="92"/>
  <c r="P73" i="96"/>
  <c r="P73" i="92"/>
  <c r="Z73" i="96"/>
  <c r="Z73" i="92"/>
  <c r="L225" i="96"/>
  <c r="L225" i="92"/>
  <c r="K377" i="96"/>
  <c r="K377" i="92"/>
  <c r="AA149" i="96"/>
  <c r="AA149" i="92"/>
  <c r="V301" i="92"/>
  <c r="V301" i="96"/>
  <c r="P225" i="96"/>
  <c r="P225" i="92"/>
  <c r="O73" i="92"/>
  <c r="O73" i="96"/>
  <c r="G226" i="52"/>
  <c r="G252" i="52" s="1"/>
  <c r="G226" i="88"/>
  <c r="G252" i="88" s="1"/>
  <c r="L226" i="88"/>
  <c r="L252" i="88" s="1"/>
  <c r="L226" i="52"/>
  <c r="L252" i="52" s="1"/>
  <c r="M74" i="88"/>
  <c r="M100" i="88" s="1"/>
  <c r="M74" i="52"/>
  <c r="M100" i="52" s="1"/>
  <c r="AC226" i="52"/>
  <c r="AC252" i="52" s="1"/>
  <c r="AC226" i="88"/>
  <c r="AC252" i="88" s="1"/>
  <c r="AB150" i="88"/>
  <c r="AB176" i="88" s="1"/>
  <c r="AB150" i="52"/>
  <c r="AB176" i="52" s="1"/>
  <c r="AJ226" i="88"/>
  <c r="AJ252" i="88" s="1"/>
  <c r="AJ226" i="52"/>
  <c r="AJ252" i="52" s="1"/>
  <c r="AF150" i="88"/>
  <c r="AF176" i="88" s="1"/>
  <c r="AF150" i="52"/>
  <c r="AF176" i="52" s="1"/>
  <c r="AC74" i="88"/>
  <c r="AC100" i="88" s="1"/>
  <c r="AC74" i="52"/>
  <c r="AC100" i="52" s="1"/>
  <c r="AE378" i="88"/>
  <c r="AE404" i="88" s="1"/>
  <c r="AE378" i="52"/>
  <c r="AE404" i="52" s="1"/>
  <c r="AK378" i="52"/>
  <c r="AK404" i="52" s="1"/>
  <c r="AK378" i="88"/>
  <c r="AK404" i="88" s="1"/>
  <c r="AF378" i="88"/>
  <c r="AF404" i="88" s="1"/>
  <c r="AF378" i="52"/>
  <c r="AF404" i="52" s="1"/>
  <c r="AA378" i="88"/>
  <c r="AA404" i="88" s="1"/>
  <c r="AA378" i="52"/>
  <c r="AE74" i="88"/>
  <c r="AE100" i="88" s="1"/>
  <c r="AE74" i="52"/>
  <c r="AE100" i="52" s="1"/>
  <c r="I378" i="96"/>
  <c r="I404" i="96" s="1"/>
  <c r="I378" i="92"/>
  <c r="I404" i="92" s="1"/>
  <c r="H74" i="92"/>
  <c r="H100" i="92" s="1"/>
  <c r="H74" i="96"/>
  <c r="H100" i="96" s="1"/>
  <c r="R226" i="96"/>
  <c r="R252" i="96" s="1"/>
  <c r="R226" i="92"/>
  <c r="R252" i="92" s="1"/>
  <c r="S226" i="96"/>
  <c r="S252" i="96" s="1"/>
  <c r="S226" i="92"/>
  <c r="S252" i="92" s="1"/>
  <c r="R378" i="96"/>
  <c r="R404" i="96" s="1"/>
  <c r="R378" i="92"/>
  <c r="R404" i="92" s="1"/>
  <c r="R302" i="96"/>
  <c r="R328" i="96" s="1"/>
  <c r="R302" i="92"/>
  <c r="R328" i="92" s="1"/>
  <c r="W226" i="96"/>
  <c r="W252" i="96" s="1"/>
  <c r="W226" i="92"/>
  <c r="W252" i="92" s="1"/>
  <c r="AG226" i="96"/>
  <c r="AG252" i="96" s="1"/>
  <c r="AG226" i="92"/>
  <c r="AG252" i="92" s="1"/>
  <c r="AB74" i="92"/>
  <c r="AB100" i="92" s="1"/>
  <c r="AB74" i="96"/>
  <c r="AB100" i="96" s="1"/>
  <c r="AF74" i="92"/>
  <c r="AF100" i="92" s="1"/>
  <c r="AF74" i="96"/>
  <c r="AF100" i="96" s="1"/>
  <c r="AF378" i="96"/>
  <c r="AF404" i="96" s="1"/>
  <c r="AF378" i="92"/>
  <c r="AF404" i="92" s="1"/>
  <c r="AG302" i="96"/>
  <c r="AG328" i="96" s="1"/>
  <c r="AG302" i="92"/>
  <c r="AG328" i="92" s="1"/>
  <c r="AD302" i="96"/>
  <c r="AD328" i="96" s="1"/>
  <c r="AD302" i="92"/>
  <c r="AD328" i="92" s="1"/>
  <c r="AB302" i="96"/>
  <c r="AB328" i="96" s="1"/>
  <c r="AB302" i="92"/>
  <c r="AB328" i="92" s="1"/>
  <c r="AG74" i="96"/>
  <c r="AG100" i="96" s="1"/>
  <c r="AG74" i="92"/>
  <c r="AG100" i="92" s="1"/>
  <c r="AK226" i="96"/>
  <c r="AK252" i="96" s="1"/>
  <c r="AK226" i="92"/>
  <c r="AK252" i="92" s="1"/>
  <c r="AJ226" i="96"/>
  <c r="AJ252" i="96" s="1"/>
  <c r="AJ226" i="92"/>
  <c r="AJ252" i="92" s="1"/>
  <c r="AC74" i="96"/>
  <c r="AC100" i="96" s="1"/>
  <c r="AC74" i="92"/>
  <c r="AC100" i="92" s="1"/>
  <c r="AI378" i="96"/>
  <c r="AI404" i="96" s="1"/>
  <c r="AI378" i="92"/>
  <c r="AI404" i="92" s="1"/>
  <c r="AE378" i="96"/>
  <c r="AE404" i="96" s="1"/>
  <c r="AE378" i="92"/>
  <c r="AE404" i="92" s="1"/>
  <c r="AH302" i="96"/>
  <c r="AH328" i="96" s="1"/>
  <c r="AH302" i="92"/>
  <c r="AH328" i="92" s="1"/>
  <c r="AI74" i="96"/>
  <c r="AI100" i="96" s="1"/>
  <c r="AI74" i="92"/>
  <c r="AI100" i="92" s="1"/>
  <c r="AK74" i="96"/>
  <c r="AK100" i="96" s="1"/>
  <c r="AK74" i="92"/>
  <c r="AK100" i="92" s="1"/>
  <c r="AB226" i="96"/>
  <c r="AB252" i="96" s="1"/>
  <c r="AB226" i="92"/>
  <c r="AB252" i="92" s="1"/>
  <c r="AD74" i="96"/>
  <c r="AD100" i="96" s="1"/>
  <c r="AD74" i="92"/>
  <c r="AD100" i="92" s="1"/>
  <c r="AE74" i="96"/>
  <c r="AE100" i="96" s="1"/>
  <c r="AE74" i="92"/>
  <c r="AE100" i="92" s="1"/>
  <c r="AC226" i="96"/>
  <c r="AC252" i="96" s="1"/>
  <c r="AC226" i="92"/>
  <c r="AC252" i="92" s="1"/>
  <c r="AI226" i="96"/>
  <c r="AI252" i="96" s="1"/>
  <c r="AI226" i="92"/>
  <c r="AI252" i="92" s="1"/>
  <c r="AK302" i="52"/>
  <c r="AK328" i="52" s="1"/>
  <c r="AK302" i="88"/>
  <c r="AK328" i="88" s="1"/>
  <c r="G302" i="88"/>
  <c r="G328" i="88" s="1"/>
  <c r="G302" i="52"/>
  <c r="G328" i="52" s="1"/>
  <c r="AK226" i="52"/>
  <c r="AK252" i="52" s="1"/>
  <c r="AK226" i="88"/>
  <c r="AK252" i="88" s="1"/>
  <c r="W150" i="88"/>
  <c r="W176" i="88" s="1"/>
  <c r="W150" i="52"/>
  <c r="W176" i="52" s="1"/>
  <c r="Q378" i="88"/>
  <c r="Q404" i="88" s="1"/>
  <c r="Q378" i="52"/>
  <c r="AB378" i="88"/>
  <c r="AB404" i="88" s="1"/>
  <c r="AB378" i="52"/>
  <c r="AB404" i="52" s="1"/>
  <c r="Q150" i="88"/>
  <c r="Q176" i="88" s="1"/>
  <c r="Q150" i="52"/>
  <c r="Q176" i="52" s="1"/>
  <c r="W378" i="88"/>
  <c r="W404" i="88" s="1"/>
  <c r="W378" i="52"/>
  <c r="W404" i="52" s="1"/>
  <c r="H302" i="88"/>
  <c r="H328" i="88" s="1"/>
  <c r="H302" i="52"/>
  <c r="H328" i="52" s="1"/>
  <c r="AE302" i="52"/>
  <c r="AE328" i="52" s="1"/>
  <c r="AE302" i="88"/>
  <c r="AE328" i="88" s="1"/>
  <c r="Z225" i="96"/>
  <c r="Z225" i="92"/>
  <c r="AA73" i="92"/>
  <c r="AA73" i="96"/>
  <c r="K225" i="96"/>
  <c r="K225" i="92"/>
  <c r="L377" i="96"/>
  <c r="L377" i="92"/>
  <c r="Z149" i="96"/>
  <c r="Z149" i="92"/>
  <c r="U301" i="92"/>
  <c r="U301" i="96"/>
  <c r="Q225" i="96"/>
  <c r="Q225" i="92"/>
  <c r="U377" i="96"/>
  <c r="U377" i="92"/>
  <c r="H74" i="52"/>
  <c r="H100" i="52" s="1"/>
  <c r="H74" i="88"/>
  <c r="H100" i="88" s="1"/>
  <c r="Q302" i="88"/>
  <c r="Q328" i="88" s="1"/>
  <c r="Q302" i="52"/>
  <c r="Q328" i="52" s="1"/>
  <c r="V226" i="88"/>
  <c r="V252" i="88" s="1"/>
  <c r="V226" i="52"/>
  <c r="V252" i="52" s="1"/>
  <c r="V378" i="88"/>
  <c r="V404" i="88" s="1"/>
  <c r="V378" i="52"/>
  <c r="R74" i="52"/>
  <c r="R100" i="52" s="1"/>
  <c r="R74" i="88"/>
  <c r="R100" i="88" s="1"/>
  <c r="W302" i="88"/>
  <c r="W328" i="88" s="1"/>
  <c r="W302" i="52"/>
  <c r="W328" i="52" s="1"/>
  <c r="W74" i="52"/>
  <c r="W100" i="52" s="1"/>
  <c r="W74" i="88"/>
  <c r="W100" i="88" s="1"/>
  <c r="AH150" i="88"/>
  <c r="AH176" i="88" s="1"/>
  <c r="AH150" i="52"/>
  <c r="AH176" i="52" s="1"/>
  <c r="AA302" i="88"/>
  <c r="AA328" i="88" s="1"/>
  <c r="AA302" i="52"/>
  <c r="AA328" i="52" s="1"/>
  <c r="AK74" i="88"/>
  <c r="AK100" i="88" s="1"/>
  <c r="AK74" i="52"/>
  <c r="AK100" i="52" s="1"/>
  <c r="AF302" i="88"/>
  <c r="AF328" i="88" s="1"/>
  <c r="AF302" i="52"/>
  <c r="AF328" i="52" s="1"/>
  <c r="AG378" i="88"/>
  <c r="AG404" i="88" s="1"/>
  <c r="AG378" i="52"/>
  <c r="AG404" i="52" s="1"/>
  <c r="AG74" i="88"/>
  <c r="AG100" i="88" s="1"/>
  <c r="AG74" i="52"/>
  <c r="AG100" i="52" s="1"/>
  <c r="I226" i="96"/>
  <c r="I252" i="96" s="1"/>
  <c r="I226" i="92"/>
  <c r="I252" i="92" s="1"/>
  <c r="K302" i="92"/>
  <c r="K328" i="92" s="1"/>
  <c r="K302" i="96"/>
  <c r="K328" i="96" s="1"/>
  <c r="M302" i="96"/>
  <c r="M328" i="96" s="1"/>
  <c r="M302" i="92"/>
  <c r="M328" i="92" s="1"/>
  <c r="M74" i="96"/>
  <c r="M100" i="96" s="1"/>
  <c r="M74" i="92"/>
  <c r="M100" i="92" s="1"/>
  <c r="M378" i="96"/>
  <c r="M404" i="96" s="1"/>
  <c r="M378" i="92"/>
  <c r="M404" i="92" s="1"/>
  <c r="N226" i="96"/>
  <c r="N252" i="96" s="1"/>
  <c r="N226" i="92"/>
  <c r="N252" i="92" s="1"/>
  <c r="R74" i="92"/>
  <c r="R100" i="92" s="1"/>
  <c r="R74" i="96"/>
  <c r="R100" i="96" s="1"/>
  <c r="X302" i="96"/>
  <c r="X328" i="96" s="1"/>
  <c r="X302" i="92"/>
  <c r="X328" i="92" s="1"/>
  <c r="W302" i="92"/>
  <c r="W328" i="92" s="1"/>
  <c r="W302" i="96"/>
  <c r="W328" i="96" s="1"/>
  <c r="Y377" i="96"/>
  <c r="Y377" i="92"/>
  <c r="AH74" i="92"/>
  <c r="AH100" i="92" s="1"/>
  <c r="AH74" i="96"/>
  <c r="AH100" i="96" s="1"/>
  <c r="AJ150" i="96"/>
  <c r="AJ176" i="96" s="1"/>
  <c r="AJ150" i="92"/>
  <c r="AJ176" i="92" s="1"/>
  <c r="AI302" i="92"/>
  <c r="AI328" i="92" s="1"/>
  <c r="AI302" i="96"/>
  <c r="AI328" i="96" s="1"/>
  <c r="AE302" i="92"/>
  <c r="AE328" i="92" s="1"/>
  <c r="AE302" i="96"/>
  <c r="AE328" i="96" s="1"/>
  <c r="AI302" i="88"/>
  <c r="AI328" i="88" s="1"/>
  <c r="AI302" i="52"/>
  <c r="AI328" i="52" s="1"/>
  <c r="AI150" i="88"/>
  <c r="AI176" i="88" s="1"/>
  <c r="AI150" i="52"/>
  <c r="AI176" i="52" s="1"/>
  <c r="AK150" i="52"/>
  <c r="AK176" i="52" s="1"/>
  <c r="AK150" i="88"/>
  <c r="AK176" i="88" s="1"/>
  <c r="W226" i="88"/>
  <c r="W252" i="88" s="1"/>
  <c r="W226" i="52"/>
  <c r="W252" i="52" s="1"/>
  <c r="H226" i="88"/>
  <c r="H252" i="88" s="1"/>
  <c r="H226" i="52"/>
  <c r="H252" i="52" s="1"/>
  <c r="G378" i="52"/>
  <c r="G404" i="52" s="1"/>
  <c r="G378" i="88"/>
  <c r="G404" i="88" s="1"/>
  <c r="M302" i="52"/>
  <c r="M328" i="52" s="1"/>
  <c r="M302" i="88"/>
  <c r="M328" i="88" s="1"/>
  <c r="L302" i="88"/>
  <c r="L328" i="88" s="1"/>
  <c r="L302" i="52"/>
  <c r="L328" i="52" s="1"/>
  <c r="U73" i="96"/>
  <c r="U73" i="92"/>
  <c r="Z377" i="96"/>
  <c r="Z377" i="92"/>
  <c r="T149" i="96"/>
  <c r="T149" i="92"/>
  <c r="Q301" i="92"/>
  <c r="Q301" i="96"/>
  <c r="O377" i="96"/>
  <c r="O377" i="92"/>
  <c r="G74" i="88"/>
  <c r="G100" i="88" s="1"/>
  <c r="G74" i="52"/>
  <c r="R378" i="88"/>
  <c r="R404" i="88" s="1"/>
  <c r="R378" i="52"/>
  <c r="R404" i="52" s="1"/>
  <c r="AC150" i="52"/>
  <c r="AC176" i="52" s="1"/>
  <c r="AC150" i="88"/>
  <c r="AC176" i="88" s="1"/>
  <c r="AI378" i="52"/>
  <c r="AI404" i="52" s="1"/>
  <c r="AI378" i="88"/>
  <c r="AI404" i="88" s="1"/>
  <c r="AB74" i="52"/>
  <c r="AB100" i="52" s="1"/>
  <c r="AB74" i="88"/>
  <c r="AB100" i="88" s="1"/>
  <c r="AD150" i="52"/>
  <c r="AD176" i="52" s="1"/>
  <c r="AD150" i="88"/>
  <c r="AD176" i="88" s="1"/>
  <c r="AI226" i="52"/>
  <c r="AI252" i="52" s="1"/>
  <c r="AI226" i="88"/>
  <c r="AI252" i="88" s="1"/>
  <c r="AD74" i="88"/>
  <c r="AD100" i="88" s="1"/>
  <c r="AD74" i="52"/>
  <c r="AD100" i="52" s="1"/>
  <c r="AF74" i="52"/>
  <c r="AF100" i="52" s="1"/>
  <c r="AF74" i="88"/>
  <c r="AF100" i="88" s="1"/>
  <c r="AG302" i="88"/>
  <c r="AG328" i="88" s="1"/>
  <c r="AG302" i="52"/>
  <c r="AG328" i="52" s="1"/>
  <c r="I74" i="96"/>
  <c r="I100" i="96" s="1"/>
  <c r="I74" i="92"/>
  <c r="I100" i="92" s="1"/>
  <c r="L76" i="72"/>
  <c r="S74" i="96"/>
  <c r="S100" i="96" s="1"/>
  <c r="S74" i="92"/>
  <c r="S100" i="92" s="1"/>
  <c r="S378" i="96"/>
  <c r="S404" i="96" s="1"/>
  <c r="S378" i="92"/>
  <c r="S404" i="92" s="1"/>
  <c r="V225" i="96"/>
  <c r="V225" i="92"/>
  <c r="W150" i="96"/>
  <c r="W176" i="96" s="1"/>
  <c r="W150" i="92"/>
  <c r="W176" i="92" s="1"/>
  <c r="X378" i="96"/>
  <c r="X404" i="96" s="1"/>
  <c r="X378" i="92"/>
  <c r="X404" i="92" s="1"/>
  <c r="W378" i="96"/>
  <c r="W404" i="96" s="1"/>
  <c r="W378" i="92"/>
  <c r="W404" i="92" s="1"/>
  <c r="AD226" i="96"/>
  <c r="AD252" i="96" s="1"/>
  <c r="AD226" i="92"/>
  <c r="AD252" i="92" s="1"/>
  <c r="AK150" i="96"/>
  <c r="AK176" i="96" s="1"/>
  <c r="AK150" i="92"/>
  <c r="AK176" i="92" s="1"/>
  <c r="AH150" i="96"/>
  <c r="AH176" i="96" s="1"/>
  <c r="AH150" i="92"/>
  <c r="AH176" i="92" s="1"/>
  <c r="AJ302" i="96"/>
  <c r="AJ328" i="96" s="1"/>
  <c r="AJ302" i="92"/>
  <c r="AJ328" i="92" s="1"/>
  <c r="AB378" i="96"/>
  <c r="AB404" i="96" s="1"/>
  <c r="AB378" i="92"/>
  <c r="AB404" i="92" s="1"/>
  <c r="AC378" i="96"/>
  <c r="AC404" i="96" s="1"/>
  <c r="AC378" i="92"/>
  <c r="AC404" i="92" s="1"/>
  <c r="AJ74" i="92"/>
  <c r="AJ100" i="92" s="1"/>
  <c r="AJ74" i="96"/>
  <c r="AJ100" i="96" s="1"/>
  <c r="AC302" i="96"/>
  <c r="AC328" i="96" s="1"/>
  <c r="AC302" i="92"/>
  <c r="AC328" i="92" s="1"/>
  <c r="AK378" i="96"/>
  <c r="AK404" i="96" s="1"/>
  <c r="AK378" i="92"/>
  <c r="AK404" i="92" s="1"/>
  <c r="AH226" i="96"/>
  <c r="AH252" i="96" s="1"/>
  <c r="AH226" i="92"/>
  <c r="AH252" i="92" s="1"/>
  <c r="AF226" i="96"/>
  <c r="AF252" i="96" s="1"/>
  <c r="AF226" i="92"/>
  <c r="AF252" i="92" s="1"/>
  <c r="AB150" i="96"/>
  <c r="AB176" i="96" s="1"/>
  <c r="AB150" i="92"/>
  <c r="AB176" i="92" s="1"/>
  <c r="AI150" i="96"/>
  <c r="AI176" i="96" s="1"/>
  <c r="AI150" i="92"/>
  <c r="AI176" i="92" s="1"/>
  <c r="AC150" i="96"/>
  <c r="AC176" i="96" s="1"/>
  <c r="AC150" i="92"/>
  <c r="AC176" i="92" s="1"/>
  <c r="AD150" i="96"/>
  <c r="AD176" i="96" s="1"/>
  <c r="AD150" i="92"/>
  <c r="AD176" i="92" s="1"/>
  <c r="AF150" i="96"/>
  <c r="AF176" i="96" s="1"/>
  <c r="AF150" i="92"/>
  <c r="AF176" i="92" s="1"/>
  <c r="AK302" i="92"/>
  <c r="AK328" i="92" s="1"/>
  <c r="AK302" i="96"/>
  <c r="AK328" i="96" s="1"/>
  <c r="AJ378" i="96"/>
  <c r="AJ404" i="96" s="1"/>
  <c r="AJ378" i="92"/>
  <c r="AJ404" i="92" s="1"/>
  <c r="AF302" i="96"/>
  <c r="AF328" i="96" s="1"/>
  <c r="AF302" i="92"/>
  <c r="AF328" i="92" s="1"/>
  <c r="AH378" i="96"/>
  <c r="AH404" i="96" s="1"/>
  <c r="AH378" i="92"/>
  <c r="AH404" i="92" s="1"/>
  <c r="AG378" i="96"/>
  <c r="AG404" i="96" s="1"/>
  <c r="AG378" i="92"/>
  <c r="AG404" i="92" s="1"/>
  <c r="AA150" i="88"/>
  <c r="AA176" i="88" s="1"/>
  <c r="AA150" i="52"/>
  <c r="AA176" i="52" s="1"/>
  <c r="AE150" i="52"/>
  <c r="AE176" i="52" s="1"/>
  <c r="AE150" i="88"/>
  <c r="AE176" i="88" s="1"/>
  <c r="AG150" i="88"/>
  <c r="AG176" i="88" s="1"/>
  <c r="AG150" i="52"/>
  <c r="AG176" i="52" s="1"/>
  <c r="R150" i="88"/>
  <c r="R176" i="88" s="1"/>
  <c r="R150" i="52"/>
  <c r="R176" i="52" s="1"/>
  <c r="H150" i="88"/>
  <c r="H176" i="88" s="1"/>
  <c r="H150" i="52"/>
  <c r="H176" i="52" s="1"/>
  <c r="V302" i="88"/>
  <c r="V328" i="88" s="1"/>
  <c r="V302" i="52"/>
  <c r="V328" i="52" s="1"/>
  <c r="Q226" i="88"/>
  <c r="Q252" i="88" s="1"/>
  <c r="Q226" i="52"/>
  <c r="Q252" i="52" s="1"/>
  <c r="R302" i="88"/>
  <c r="R328" i="88" s="1"/>
  <c r="R302" i="52"/>
  <c r="R328" i="52" s="1"/>
  <c r="AC378" i="52"/>
  <c r="AC404" i="52" s="1"/>
  <c r="AC378" i="88"/>
  <c r="AC404" i="88" s="1"/>
  <c r="J225" i="96"/>
  <c r="J225" i="92"/>
  <c r="T74" i="96"/>
  <c r="T100" i="96" s="1"/>
  <c r="U78" i="72"/>
  <c r="R64" i="68"/>
  <c r="R72" i="68" s="1"/>
  <c r="V78" i="72"/>
  <c r="Q76" i="72"/>
  <c r="F78" i="72"/>
  <c r="U79" i="72"/>
  <c r="V76" i="72"/>
  <c r="W77" i="72"/>
  <c r="V80" i="72"/>
  <c r="U80" i="72"/>
  <c r="W80" i="72"/>
  <c r="W76" i="72"/>
  <c r="V77" i="72"/>
  <c r="R78" i="72"/>
  <c r="R79" i="72"/>
  <c r="Q79" i="72"/>
  <c r="P77" i="72"/>
  <c r="Q74" i="68"/>
  <c r="Q80" i="72"/>
  <c r="L79" i="72"/>
  <c r="K78" i="72"/>
  <c r="M79" i="72"/>
  <c r="K80" i="72"/>
  <c r="L78" i="72"/>
  <c r="K77" i="72"/>
  <c r="M78" i="72"/>
  <c r="K76" i="72"/>
  <c r="F80" i="72"/>
  <c r="F77" i="72"/>
  <c r="H78" i="72"/>
  <c r="G80" i="72"/>
  <c r="G78" i="72"/>
  <c r="H80" i="72"/>
  <c r="H76" i="72"/>
  <c r="E65" i="72"/>
  <c r="E55" i="72"/>
  <c r="N32" i="14"/>
  <c r="M68" i="68"/>
  <c r="M76" i="68" s="1"/>
  <c r="L76" i="68"/>
  <c r="R68" i="68"/>
  <c r="R76" i="68" s="1"/>
  <c r="G73" i="68"/>
  <c r="H65" i="68"/>
  <c r="H73" i="68" s="1"/>
  <c r="V75" i="68"/>
  <c r="W67" i="68"/>
  <c r="W75" i="68" s="1"/>
  <c r="M65" i="68"/>
  <c r="M73" i="68" s="1"/>
  <c r="L73" i="68"/>
  <c r="Q73" i="68"/>
  <c r="R65" i="68"/>
  <c r="R73" i="68" s="1"/>
  <c r="K96" i="72" l="1"/>
  <c r="K86" i="72"/>
  <c r="V86" i="72"/>
  <c r="V96" i="72"/>
  <c r="W96" i="72"/>
  <c r="W86" i="72"/>
  <c r="Q86" i="72"/>
  <c r="Q96" i="72"/>
  <c r="L86" i="72"/>
  <c r="P74" i="92" s="1"/>
  <c r="P100" i="92" s="1"/>
  <c r="L96" i="72"/>
  <c r="R89" i="72"/>
  <c r="R99" i="72"/>
  <c r="H88" i="72"/>
  <c r="H98" i="72"/>
  <c r="M98" i="72"/>
  <c r="M88" i="72"/>
  <c r="M89" i="72"/>
  <c r="M99" i="72"/>
  <c r="R98" i="72"/>
  <c r="R88" i="72"/>
  <c r="U90" i="72"/>
  <c r="U100" i="72"/>
  <c r="U99" i="72"/>
  <c r="U89" i="72"/>
  <c r="F88" i="72"/>
  <c r="F98" i="72"/>
  <c r="G100" i="72"/>
  <c r="G90" i="72"/>
  <c r="K100" i="72"/>
  <c r="K90" i="72"/>
  <c r="Q100" i="72"/>
  <c r="Q90" i="72"/>
  <c r="W100" i="72"/>
  <c r="W90" i="72"/>
  <c r="H100" i="72"/>
  <c r="H90" i="72"/>
  <c r="F97" i="72"/>
  <c r="F87" i="72"/>
  <c r="K87" i="72"/>
  <c r="K97" i="72"/>
  <c r="K88" i="72"/>
  <c r="K98" i="72"/>
  <c r="P97" i="72"/>
  <c r="P87" i="72"/>
  <c r="V97" i="72"/>
  <c r="V87" i="72"/>
  <c r="V90" i="72"/>
  <c r="V100" i="72"/>
  <c r="V88" i="72"/>
  <c r="V98" i="72"/>
  <c r="U98" i="72"/>
  <c r="U88" i="72"/>
  <c r="Y226" i="92" s="1"/>
  <c r="Y252" i="92" s="1"/>
  <c r="G98" i="72"/>
  <c r="G88" i="72"/>
  <c r="F90" i="72"/>
  <c r="F100" i="72"/>
  <c r="L88" i="72"/>
  <c r="L98" i="72"/>
  <c r="L99" i="72"/>
  <c r="L89" i="72"/>
  <c r="Q99" i="72"/>
  <c r="Q89" i="72"/>
  <c r="W97" i="72"/>
  <c r="W87" i="72"/>
  <c r="G76" i="72"/>
  <c r="H86" i="72"/>
  <c r="H96" i="72"/>
  <c r="F46" i="14"/>
  <c r="F74" i="14" s="1"/>
  <c r="K73" i="96"/>
  <c r="E109" i="14"/>
  <c r="E137" i="14" s="1"/>
  <c r="V149" i="96"/>
  <c r="V149" i="92"/>
  <c r="AA301" i="96"/>
  <c r="AA301" i="92"/>
  <c r="V377" i="96"/>
  <c r="V377" i="92"/>
  <c r="I378" i="52"/>
  <c r="I404" i="52" s="1"/>
  <c r="I378" i="88"/>
  <c r="I404" i="88" s="1"/>
  <c r="I226" i="52"/>
  <c r="I252" i="52" s="1"/>
  <c r="I226" i="88"/>
  <c r="I252" i="88" s="1"/>
  <c r="T74" i="52"/>
  <c r="T100" i="52" s="1"/>
  <c r="T74" i="88"/>
  <c r="T100" i="88" s="1"/>
  <c r="U150" i="52"/>
  <c r="U176" i="52" s="1"/>
  <c r="U150" i="88"/>
  <c r="U176" i="88" s="1"/>
  <c r="N150" i="88"/>
  <c r="N176" i="88" s="1"/>
  <c r="N150" i="52"/>
  <c r="N176" i="52" s="1"/>
  <c r="U302" i="52"/>
  <c r="U328" i="52" s="1"/>
  <c r="U302" i="88"/>
  <c r="U328" i="88" s="1"/>
  <c r="S378" i="88"/>
  <c r="S404" i="88" s="1"/>
  <c r="S378" i="52"/>
  <c r="S404" i="52" s="1"/>
  <c r="Z226" i="52"/>
  <c r="Z252" i="52" s="1"/>
  <c r="Z226" i="88"/>
  <c r="Z252" i="88" s="1"/>
  <c r="Y74" i="88"/>
  <c r="Y100" i="88" s="1"/>
  <c r="Y74" i="52"/>
  <c r="Y100" i="52" s="1"/>
  <c r="X150" i="88"/>
  <c r="X176" i="88" s="1"/>
  <c r="X150" i="52"/>
  <c r="X176" i="52" s="1"/>
  <c r="Z378" i="52"/>
  <c r="Z378" i="88"/>
  <c r="Z404" i="88" s="1"/>
  <c r="I302" i="96"/>
  <c r="I328" i="96" s="1"/>
  <c r="I302" i="92"/>
  <c r="I328" i="92" s="1"/>
  <c r="N150" i="96"/>
  <c r="N176" i="96" s="1"/>
  <c r="N150" i="92"/>
  <c r="N176" i="92" s="1"/>
  <c r="X74" i="92"/>
  <c r="X100" i="92" s="1"/>
  <c r="X74" i="96"/>
  <c r="X100" i="96" s="1"/>
  <c r="Y302" i="52"/>
  <c r="Y328" i="52" s="1"/>
  <c r="Y302" i="88"/>
  <c r="Y328" i="88" s="1"/>
  <c r="J150" i="52"/>
  <c r="J176" i="52" s="1"/>
  <c r="J150" i="88"/>
  <c r="J176" i="88" s="1"/>
  <c r="J302" i="52"/>
  <c r="J328" i="52" s="1"/>
  <c r="J302" i="88"/>
  <c r="J328" i="88" s="1"/>
  <c r="N302" i="88"/>
  <c r="N328" i="88" s="1"/>
  <c r="N302" i="52"/>
  <c r="N328" i="52" s="1"/>
  <c r="V73" i="96"/>
  <c r="V73" i="92"/>
  <c r="U149" i="96"/>
  <c r="U149" i="92"/>
  <c r="Z301" i="96"/>
  <c r="Z301" i="92"/>
  <c r="P377" i="96"/>
  <c r="P377" i="92"/>
  <c r="I74" i="88"/>
  <c r="I100" i="88" s="1"/>
  <c r="I74" i="52"/>
  <c r="I100" i="52" s="1"/>
  <c r="K226" i="88"/>
  <c r="K252" i="88" s="1"/>
  <c r="K226" i="52"/>
  <c r="K252" i="52" s="1"/>
  <c r="I302" i="52"/>
  <c r="I328" i="52" s="1"/>
  <c r="I302" i="88"/>
  <c r="I328" i="88" s="1"/>
  <c r="T226" i="88"/>
  <c r="T252" i="88" s="1"/>
  <c r="T226" i="52"/>
  <c r="T252" i="52" s="1"/>
  <c r="S302" i="52"/>
  <c r="S328" i="52" s="1"/>
  <c r="S302" i="88"/>
  <c r="S328" i="88" s="1"/>
  <c r="O150" i="88"/>
  <c r="O176" i="88" s="1"/>
  <c r="O150" i="52"/>
  <c r="O176" i="52" s="1"/>
  <c r="X378" i="88"/>
  <c r="X404" i="88" s="1"/>
  <c r="X378" i="52"/>
  <c r="X404" i="52" s="1"/>
  <c r="X226" i="88"/>
  <c r="X252" i="88" s="1"/>
  <c r="X226" i="52"/>
  <c r="X252" i="52" s="1"/>
  <c r="Z74" i="88"/>
  <c r="Z100" i="88" s="1"/>
  <c r="Z74" i="52"/>
  <c r="Z100" i="52" s="1"/>
  <c r="X74" i="52"/>
  <c r="X100" i="52" s="1"/>
  <c r="X74" i="88"/>
  <c r="X100" i="88" s="1"/>
  <c r="Y150" i="52"/>
  <c r="Y176" i="52" s="1"/>
  <c r="Y150" i="88"/>
  <c r="Y176" i="88" s="1"/>
  <c r="J302" i="92"/>
  <c r="J328" i="92" s="1"/>
  <c r="J302" i="96"/>
  <c r="J328" i="96" s="1"/>
  <c r="Q74" i="96"/>
  <c r="Q100" i="96" s="1"/>
  <c r="Q74" i="92"/>
  <c r="Q100" i="92" s="1"/>
  <c r="T378" i="96"/>
  <c r="T404" i="96" s="1"/>
  <c r="T378" i="92"/>
  <c r="T404" i="92" s="1"/>
  <c r="U225" i="96"/>
  <c r="U225" i="92"/>
  <c r="S302" i="92"/>
  <c r="S328" i="92" s="1"/>
  <c r="S302" i="96"/>
  <c r="S328" i="96" s="1"/>
  <c r="AA226" i="96"/>
  <c r="AA252" i="96" s="1"/>
  <c r="AA226" i="92"/>
  <c r="AA252" i="92" s="1"/>
  <c r="Y150" i="96"/>
  <c r="Y176" i="96" s="1"/>
  <c r="Y150" i="92"/>
  <c r="Y176" i="92" s="1"/>
  <c r="J378" i="88"/>
  <c r="J404" i="88" s="1"/>
  <c r="J378" i="52"/>
  <c r="Z302" i="88"/>
  <c r="Z328" i="88" s="1"/>
  <c r="Z302" i="52"/>
  <c r="Z328" i="52" s="1"/>
  <c r="P149" i="96"/>
  <c r="P149" i="92"/>
  <c r="L149" i="96"/>
  <c r="L149" i="92"/>
  <c r="Q377" i="96"/>
  <c r="Q377" i="92"/>
  <c r="O226" i="52"/>
  <c r="O252" i="52" s="1"/>
  <c r="O226" i="88"/>
  <c r="O252" i="88" s="1"/>
  <c r="O74" i="88"/>
  <c r="O100" i="88" s="1"/>
  <c r="O74" i="52"/>
  <c r="O100" i="52" s="1"/>
  <c r="P226" i="88"/>
  <c r="P252" i="88" s="1"/>
  <c r="P226" i="52"/>
  <c r="P252" i="52" s="1"/>
  <c r="P74" i="52"/>
  <c r="P100" i="52" s="1"/>
  <c r="P74" i="88"/>
  <c r="P100" i="88" s="1"/>
  <c r="N226" i="52"/>
  <c r="N252" i="52" s="1"/>
  <c r="N226" i="88"/>
  <c r="N252" i="88" s="1"/>
  <c r="N74" i="88"/>
  <c r="N100" i="88" s="1"/>
  <c r="N74" i="52"/>
  <c r="N100" i="52" s="1"/>
  <c r="U226" i="52"/>
  <c r="U252" i="52" s="1"/>
  <c r="U226" i="88"/>
  <c r="U252" i="88" s="1"/>
  <c r="S150" i="52"/>
  <c r="S176" i="52" s="1"/>
  <c r="S150" i="88"/>
  <c r="S176" i="88" s="1"/>
  <c r="U378" i="52"/>
  <c r="U378" i="88"/>
  <c r="U404" i="88" s="1"/>
  <c r="S226" i="88"/>
  <c r="S252" i="88" s="1"/>
  <c r="S226" i="52"/>
  <c r="S252" i="52" s="1"/>
  <c r="Z150" i="88"/>
  <c r="Z176" i="88" s="1"/>
  <c r="Z150" i="52"/>
  <c r="Z176" i="52" s="1"/>
  <c r="I150" i="96"/>
  <c r="I176" i="96" s="1"/>
  <c r="I150" i="92"/>
  <c r="I176" i="92" s="1"/>
  <c r="L302" i="96"/>
  <c r="L328" i="96" s="1"/>
  <c r="L302" i="92"/>
  <c r="L328" i="92" s="1"/>
  <c r="N302" i="96"/>
  <c r="N328" i="96" s="1"/>
  <c r="N302" i="92"/>
  <c r="N328" i="92" s="1"/>
  <c r="T302" i="88"/>
  <c r="T328" i="88" s="1"/>
  <c r="T302" i="52"/>
  <c r="T328" i="52" s="1"/>
  <c r="X302" i="88"/>
  <c r="X328" i="88" s="1"/>
  <c r="X302" i="52"/>
  <c r="X328" i="52" s="1"/>
  <c r="I150" i="52"/>
  <c r="I176" i="52" s="1"/>
  <c r="I150" i="88"/>
  <c r="I176" i="88" s="1"/>
  <c r="Q149" i="96"/>
  <c r="Q149" i="92"/>
  <c r="K149" i="96"/>
  <c r="K149" i="92"/>
  <c r="K378" i="88"/>
  <c r="K404" i="88" s="1"/>
  <c r="K378" i="52"/>
  <c r="K74" i="88"/>
  <c r="K100" i="88" s="1"/>
  <c r="K74" i="52"/>
  <c r="K100" i="52" s="1"/>
  <c r="K302" i="88"/>
  <c r="K328" i="88" s="1"/>
  <c r="K302" i="52"/>
  <c r="K328" i="52" s="1"/>
  <c r="K150" i="88"/>
  <c r="K176" i="88" s="1"/>
  <c r="K150" i="52"/>
  <c r="K176" i="52" s="1"/>
  <c r="J74" i="88"/>
  <c r="J100" i="88" s="1"/>
  <c r="J74" i="52"/>
  <c r="J100" i="52" s="1"/>
  <c r="O302" i="88"/>
  <c r="O328" i="88" s="1"/>
  <c r="O302" i="52"/>
  <c r="O328" i="52" s="1"/>
  <c r="N378" i="52"/>
  <c r="N404" i="52" s="1"/>
  <c r="N378" i="88"/>
  <c r="N404" i="88" s="1"/>
  <c r="U74" i="88"/>
  <c r="U100" i="88" s="1"/>
  <c r="U74" i="52"/>
  <c r="U100" i="52" s="1"/>
  <c r="T378" i="88"/>
  <c r="T404" i="88" s="1"/>
  <c r="T378" i="52"/>
  <c r="T404" i="52" s="1"/>
  <c r="P302" i="88"/>
  <c r="P328" i="88" s="1"/>
  <c r="P302" i="52"/>
  <c r="P328" i="52" s="1"/>
  <c r="S74" i="88"/>
  <c r="S100" i="88" s="1"/>
  <c r="S74" i="52"/>
  <c r="S100" i="52" s="1"/>
  <c r="T150" i="88"/>
  <c r="T176" i="88" s="1"/>
  <c r="T150" i="52"/>
  <c r="T176" i="52" s="1"/>
  <c r="P150" i="88"/>
  <c r="P176" i="88" s="1"/>
  <c r="P150" i="52"/>
  <c r="P176" i="52" s="1"/>
  <c r="Y226" i="52"/>
  <c r="Y252" i="52" s="1"/>
  <c r="Y226" i="88"/>
  <c r="Y252" i="88" s="1"/>
  <c r="Y378" i="52"/>
  <c r="Y404" i="52" s="1"/>
  <c r="Y378" i="88"/>
  <c r="Y404" i="88" s="1"/>
  <c r="J74" i="96"/>
  <c r="J100" i="96" s="1"/>
  <c r="J74" i="92"/>
  <c r="J100" i="92" s="1"/>
  <c r="O302" i="92"/>
  <c r="O328" i="92" s="1"/>
  <c r="O302" i="96"/>
  <c r="O328" i="96" s="1"/>
  <c r="T302" i="96"/>
  <c r="T328" i="96" s="1"/>
  <c r="T302" i="92"/>
  <c r="T328" i="92" s="1"/>
  <c r="S150" i="96"/>
  <c r="S176" i="96" s="1"/>
  <c r="S150" i="92"/>
  <c r="S176" i="92" s="1"/>
  <c r="T226" i="96"/>
  <c r="T252" i="96" s="1"/>
  <c r="T226" i="92"/>
  <c r="T252" i="92" s="1"/>
  <c r="X150" i="96"/>
  <c r="X176" i="96" s="1"/>
  <c r="X150" i="92"/>
  <c r="X176" i="92" s="1"/>
  <c r="O378" i="52"/>
  <c r="O404" i="52" s="1"/>
  <c r="O378" i="88"/>
  <c r="O404" i="88" s="1"/>
  <c r="P378" i="88"/>
  <c r="P404" i="88" s="1"/>
  <c r="P378" i="52"/>
  <c r="P404" i="52" s="1"/>
  <c r="J226" i="88"/>
  <c r="J252" i="88" s="1"/>
  <c r="J226" i="52"/>
  <c r="J252" i="52" s="1"/>
  <c r="Z226" i="96"/>
  <c r="Z252" i="96" s="1"/>
  <c r="Z226" i="92"/>
  <c r="Z252" i="92" s="1"/>
  <c r="R76" i="72"/>
  <c r="Q404" i="52"/>
  <c r="W79" i="72"/>
  <c r="V79" i="72"/>
  <c r="Q77" i="72"/>
  <c r="Q78" i="72"/>
  <c r="R77" i="72"/>
  <c r="R80" i="72"/>
  <c r="M77" i="72"/>
  <c r="L80" i="72"/>
  <c r="L77" i="72"/>
  <c r="M80" i="72"/>
  <c r="H77" i="72"/>
  <c r="G77" i="72"/>
  <c r="N73" i="14"/>
  <c r="N60" i="14"/>
  <c r="O32" i="14"/>
  <c r="E185" i="5"/>
  <c r="E186" i="5"/>
  <c r="E187" i="5"/>
  <c r="E188" i="5"/>
  <c r="E189" i="5"/>
  <c r="E190" i="5"/>
  <c r="E191" i="5"/>
  <c r="B185" i="5"/>
  <c r="B186" i="5"/>
  <c r="B187" i="5"/>
  <c r="B188" i="5"/>
  <c r="B189" i="5"/>
  <c r="B190" i="5"/>
  <c r="B191" i="5"/>
  <c r="C187" i="5"/>
  <c r="C188" i="5"/>
  <c r="C189" i="5"/>
  <c r="C190" i="5"/>
  <c r="C191" i="5"/>
  <c r="C186" i="5"/>
  <c r="C185" i="5"/>
  <c r="E176" i="5"/>
  <c r="E177" i="5"/>
  <c r="E178" i="5"/>
  <c r="E179" i="5"/>
  <c r="E180" i="5"/>
  <c r="E181" i="5"/>
  <c r="E182" i="5"/>
  <c r="B176" i="5"/>
  <c r="B177" i="5"/>
  <c r="B178" i="5"/>
  <c r="B179" i="5"/>
  <c r="B180" i="5"/>
  <c r="B181" i="5"/>
  <c r="B182" i="5"/>
  <c r="C178" i="5"/>
  <c r="C179" i="5"/>
  <c r="C180" i="5"/>
  <c r="C181" i="5"/>
  <c r="C182" i="5"/>
  <c r="C177" i="5"/>
  <c r="C176" i="5"/>
  <c r="B87" i="5"/>
  <c r="B88" i="5"/>
  <c r="B89" i="5"/>
  <c r="B90" i="5"/>
  <c r="B91" i="5"/>
  <c r="B92" i="5"/>
  <c r="B93" i="5"/>
  <c r="B94" i="5"/>
  <c r="B95" i="5"/>
  <c r="B96" i="5"/>
  <c r="B98" i="5"/>
  <c r="B99" i="5"/>
  <c r="B100" i="5"/>
  <c r="B101" i="5"/>
  <c r="B102" i="5"/>
  <c r="B103" i="5"/>
  <c r="B104" i="5"/>
  <c r="B105" i="5"/>
  <c r="B106" i="5"/>
  <c r="B107" i="5"/>
  <c r="E98" i="5"/>
  <c r="E99" i="5"/>
  <c r="E100" i="5"/>
  <c r="E101" i="5"/>
  <c r="E102" i="5"/>
  <c r="E103" i="5"/>
  <c r="E104" i="5"/>
  <c r="E105" i="5"/>
  <c r="E106" i="5"/>
  <c r="E107" i="5"/>
  <c r="E87" i="5"/>
  <c r="E88" i="5"/>
  <c r="E89" i="5"/>
  <c r="E90" i="5"/>
  <c r="E91" i="5"/>
  <c r="E92" i="5"/>
  <c r="E93" i="5"/>
  <c r="E94" i="5"/>
  <c r="E95" i="5"/>
  <c r="E96" i="5"/>
  <c r="C88" i="5"/>
  <c r="C89" i="5"/>
  <c r="C91" i="5"/>
  <c r="C92" i="5"/>
  <c r="C93" i="5"/>
  <c r="C94" i="5"/>
  <c r="C95" i="5"/>
  <c r="C96" i="5"/>
  <c r="C99" i="5"/>
  <c r="C100" i="5"/>
  <c r="C101" i="5"/>
  <c r="C102" i="5"/>
  <c r="C103" i="5"/>
  <c r="C104" i="5"/>
  <c r="C105" i="5"/>
  <c r="C106" i="5"/>
  <c r="C107" i="5"/>
  <c r="C98" i="5"/>
  <c r="C87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C73" i="5"/>
  <c r="C74" i="5"/>
  <c r="C75" i="5"/>
  <c r="C76" i="5"/>
  <c r="C77" i="5"/>
  <c r="C78" i="5"/>
  <c r="C79" i="5"/>
  <c r="C80" i="5"/>
  <c r="C81" i="5"/>
  <c r="C82" i="5"/>
  <c r="C83" i="5"/>
  <c r="C72" i="5"/>
  <c r="C71" i="5"/>
  <c r="E62" i="5"/>
  <c r="E63" i="5"/>
  <c r="E64" i="5"/>
  <c r="E65" i="5"/>
  <c r="E66" i="5"/>
  <c r="E67" i="5"/>
  <c r="E68" i="5"/>
  <c r="B62" i="5"/>
  <c r="B63" i="5"/>
  <c r="B64" i="5"/>
  <c r="B65" i="5"/>
  <c r="B66" i="5"/>
  <c r="B67" i="5"/>
  <c r="B68" i="5"/>
  <c r="C64" i="5"/>
  <c r="C65" i="5"/>
  <c r="C66" i="5"/>
  <c r="C67" i="5"/>
  <c r="C68" i="5"/>
  <c r="C63" i="5"/>
  <c r="C62" i="5"/>
  <c r="E58" i="5"/>
  <c r="E59" i="5"/>
  <c r="B58" i="5"/>
  <c r="B59" i="5"/>
  <c r="C59" i="5"/>
  <c r="C58" i="5"/>
  <c r="E54" i="5"/>
  <c r="E55" i="5"/>
  <c r="B54" i="5"/>
  <c r="B55" i="5"/>
  <c r="C55" i="5"/>
  <c r="C54" i="5"/>
  <c r="E46" i="5"/>
  <c r="E47" i="5"/>
  <c r="E48" i="5"/>
  <c r="E49" i="5"/>
  <c r="E50" i="5"/>
  <c r="E51" i="5"/>
  <c r="B46" i="5"/>
  <c r="B47" i="5"/>
  <c r="B48" i="5"/>
  <c r="B49" i="5"/>
  <c r="B50" i="5"/>
  <c r="B51" i="5"/>
  <c r="C48" i="5"/>
  <c r="C49" i="5"/>
  <c r="C50" i="5"/>
  <c r="C51" i="5"/>
  <c r="C47" i="5"/>
  <c r="C46" i="5"/>
  <c r="E39" i="5"/>
  <c r="E40" i="5"/>
  <c r="E41" i="5"/>
  <c r="E42" i="5"/>
  <c r="E43" i="5"/>
  <c r="B39" i="5"/>
  <c r="B40" i="5"/>
  <c r="B41" i="5"/>
  <c r="B42" i="5"/>
  <c r="B43" i="5"/>
  <c r="C41" i="5"/>
  <c r="C42" i="5"/>
  <c r="C43" i="5"/>
  <c r="C40" i="5"/>
  <c r="C39" i="5"/>
  <c r="E34" i="5"/>
  <c r="E35" i="5"/>
  <c r="E36" i="5"/>
  <c r="B34" i="5"/>
  <c r="B35" i="5"/>
  <c r="B36" i="5"/>
  <c r="C36" i="5"/>
  <c r="C35" i="5"/>
  <c r="C34" i="5"/>
  <c r="C30" i="5"/>
  <c r="E30" i="5"/>
  <c r="C31" i="5"/>
  <c r="E31" i="5"/>
  <c r="E29" i="5"/>
  <c r="C29" i="5"/>
  <c r="E28" i="5"/>
  <c r="C28" i="5"/>
  <c r="E27" i="5"/>
  <c r="C27" i="5"/>
  <c r="E26" i="5"/>
  <c r="C26" i="5"/>
  <c r="E25" i="5"/>
  <c r="C25" i="5"/>
  <c r="E24" i="5"/>
  <c r="C24" i="5"/>
  <c r="E13" i="5"/>
  <c r="E14" i="5"/>
  <c r="E15" i="5"/>
  <c r="E16" i="5"/>
  <c r="E17" i="5"/>
  <c r="E18" i="5"/>
  <c r="E19" i="5"/>
  <c r="E20" i="5"/>
  <c r="E21" i="5"/>
  <c r="C15" i="5"/>
  <c r="C16" i="5"/>
  <c r="C17" i="5"/>
  <c r="C18" i="5"/>
  <c r="C19" i="5"/>
  <c r="C20" i="5"/>
  <c r="C21" i="5"/>
  <c r="C14" i="5"/>
  <c r="C13" i="5"/>
  <c r="F109" i="14" l="1"/>
  <c r="F137" i="14" s="1"/>
  <c r="Y226" i="96"/>
  <c r="Y252" i="96" s="1"/>
  <c r="P74" i="96"/>
  <c r="P100" i="96" s="1"/>
  <c r="R86" i="72"/>
  <c r="R96" i="72"/>
  <c r="H97" i="72"/>
  <c r="H87" i="72"/>
  <c r="M87" i="72"/>
  <c r="M97" i="72"/>
  <c r="Q87" i="72"/>
  <c r="Q97" i="72"/>
  <c r="M100" i="72"/>
  <c r="M90" i="72"/>
  <c r="R90" i="72"/>
  <c r="R100" i="72"/>
  <c r="V89" i="72"/>
  <c r="V99" i="72"/>
  <c r="L97" i="72"/>
  <c r="L87" i="72"/>
  <c r="R97" i="72"/>
  <c r="R87" i="72"/>
  <c r="W89" i="72"/>
  <c r="W99" i="72"/>
  <c r="G97" i="72"/>
  <c r="G87" i="72"/>
  <c r="L100" i="72"/>
  <c r="L90" i="72"/>
  <c r="Q98" i="72"/>
  <c r="Q88" i="72"/>
  <c r="G96" i="72"/>
  <c r="G86" i="72"/>
  <c r="K74" i="96" s="1"/>
  <c r="K100" i="96" s="1"/>
  <c r="G46" i="14"/>
  <c r="G74" i="14" s="1"/>
  <c r="L226" i="96"/>
  <c r="L252" i="96" s="1"/>
  <c r="L226" i="92"/>
  <c r="L252" i="92" s="1"/>
  <c r="J378" i="96"/>
  <c r="J404" i="96" s="1"/>
  <c r="J378" i="92"/>
  <c r="J404" i="92" s="1"/>
  <c r="O378" i="96"/>
  <c r="O404" i="96" s="1"/>
  <c r="O378" i="92"/>
  <c r="O404" i="92" s="1"/>
  <c r="U74" i="96"/>
  <c r="U100" i="96" s="1"/>
  <c r="U74" i="92"/>
  <c r="U100" i="92" s="1"/>
  <c r="K226" i="96"/>
  <c r="K252" i="96" s="1"/>
  <c r="K226" i="92"/>
  <c r="K252" i="92" s="1"/>
  <c r="V302" i="96"/>
  <c r="V328" i="96" s="1"/>
  <c r="V302" i="92"/>
  <c r="V328" i="92" s="1"/>
  <c r="V226" i="96"/>
  <c r="V252" i="96" s="1"/>
  <c r="V226" i="92"/>
  <c r="V252" i="92" s="1"/>
  <c r="J150" i="96"/>
  <c r="J176" i="96" s="1"/>
  <c r="J150" i="92"/>
  <c r="J176" i="92" s="1"/>
  <c r="K378" i="96"/>
  <c r="K404" i="96" s="1"/>
  <c r="K378" i="92"/>
  <c r="K404" i="92" s="1"/>
  <c r="O150" i="96"/>
  <c r="O176" i="96" s="1"/>
  <c r="O150" i="92"/>
  <c r="O176" i="92" s="1"/>
  <c r="U378" i="96"/>
  <c r="U404" i="96" s="1"/>
  <c r="U378" i="92"/>
  <c r="U404" i="92" s="1"/>
  <c r="T150" i="96"/>
  <c r="T176" i="96" s="1"/>
  <c r="T150" i="92"/>
  <c r="T176" i="92" s="1"/>
  <c r="Z378" i="96"/>
  <c r="Z404" i="96" s="1"/>
  <c r="Z378" i="92"/>
  <c r="Z404" i="92" s="1"/>
  <c r="Z74" i="96"/>
  <c r="Z100" i="96" s="1"/>
  <c r="Z74" i="92"/>
  <c r="Z100" i="92" s="1"/>
  <c r="L378" i="96"/>
  <c r="L404" i="96" s="1"/>
  <c r="L378" i="92"/>
  <c r="L404" i="92" s="1"/>
  <c r="AA150" i="96"/>
  <c r="AA176" i="96" s="1"/>
  <c r="AA150" i="92"/>
  <c r="AA176" i="92" s="1"/>
  <c r="L74" i="92"/>
  <c r="L100" i="92" s="1"/>
  <c r="L74" i="96"/>
  <c r="L100" i="96" s="1"/>
  <c r="Z150" i="96"/>
  <c r="Z176" i="96" s="1"/>
  <c r="Z150" i="92"/>
  <c r="Z176" i="92" s="1"/>
  <c r="J226" i="96"/>
  <c r="J252" i="96" s="1"/>
  <c r="J226" i="92"/>
  <c r="J252" i="92" s="1"/>
  <c r="AA74" i="96"/>
  <c r="AA100" i="96" s="1"/>
  <c r="AA74" i="92"/>
  <c r="AA100" i="92" s="1"/>
  <c r="AA378" i="96"/>
  <c r="AA404" i="96" s="1"/>
  <c r="AA378" i="92"/>
  <c r="AA404" i="92" s="1"/>
  <c r="Q226" i="96"/>
  <c r="Q252" i="96" s="1"/>
  <c r="Q226" i="92"/>
  <c r="Q252" i="92" s="1"/>
  <c r="Q302" i="96"/>
  <c r="Q328" i="96" s="1"/>
  <c r="Q302" i="92"/>
  <c r="Q328" i="92" s="1"/>
  <c r="P226" i="96"/>
  <c r="P252" i="96" s="1"/>
  <c r="P226" i="92"/>
  <c r="P252" i="92" s="1"/>
  <c r="P302" i="96"/>
  <c r="P328" i="96" s="1"/>
  <c r="P302" i="92"/>
  <c r="P328" i="92" s="1"/>
  <c r="O226" i="96"/>
  <c r="O252" i="96" s="1"/>
  <c r="O226" i="92"/>
  <c r="O252" i="92" s="1"/>
  <c r="O74" i="96"/>
  <c r="O100" i="96" s="1"/>
  <c r="O74" i="92"/>
  <c r="O100" i="92" s="1"/>
  <c r="U302" i="92"/>
  <c r="U328" i="92" s="1"/>
  <c r="U302" i="96"/>
  <c r="U328" i="96" s="1"/>
  <c r="Y378" i="96"/>
  <c r="Y404" i="96" s="1"/>
  <c r="Y378" i="92"/>
  <c r="Y404" i="92" s="1"/>
  <c r="Y302" i="96"/>
  <c r="Y328" i="96" s="1"/>
  <c r="Y302" i="92"/>
  <c r="Y328" i="92" s="1"/>
  <c r="B40" i="74"/>
  <c r="B40" i="73"/>
  <c r="B54" i="74"/>
  <c r="B54" i="73"/>
  <c r="B82" i="74"/>
  <c r="B82" i="73"/>
  <c r="B74" i="74"/>
  <c r="B74" i="73"/>
  <c r="E125" i="5"/>
  <c r="E143" i="5"/>
  <c r="B112" i="5"/>
  <c r="B100" i="74"/>
  <c r="B100" i="73"/>
  <c r="B91" i="74"/>
  <c r="B91" i="73"/>
  <c r="B178" i="74"/>
  <c r="B178" i="73"/>
  <c r="B184" i="74"/>
  <c r="B184" i="73"/>
  <c r="B33" i="74"/>
  <c r="B33" i="73"/>
  <c r="B39" i="74"/>
  <c r="B39" i="73"/>
  <c r="B73" i="74"/>
  <c r="B73" i="73"/>
  <c r="E135" i="5"/>
  <c r="B148" i="5"/>
  <c r="B103" i="74"/>
  <c r="B103" i="73"/>
  <c r="B94" i="74"/>
  <c r="B94" i="73"/>
  <c r="B86" i="74"/>
  <c r="B86" i="73"/>
  <c r="B177" i="73"/>
  <c r="B177" i="74"/>
  <c r="B42" i="74"/>
  <c r="B42" i="73"/>
  <c r="B38" i="73"/>
  <c r="B38" i="74"/>
  <c r="B50" i="74"/>
  <c r="B50" i="73"/>
  <c r="B46" i="73"/>
  <c r="B46" i="74"/>
  <c r="B58" i="74"/>
  <c r="B58" i="73"/>
  <c r="B66" i="74"/>
  <c r="B66" i="73"/>
  <c r="B62" i="73"/>
  <c r="B62" i="74"/>
  <c r="B80" i="74"/>
  <c r="B80" i="73"/>
  <c r="B76" i="74"/>
  <c r="B76" i="73"/>
  <c r="B72" i="74"/>
  <c r="B72" i="73"/>
  <c r="E160" i="5"/>
  <c r="E145" i="5"/>
  <c r="B106" i="74"/>
  <c r="B106" i="73"/>
  <c r="B102" i="74"/>
  <c r="B102" i="73"/>
  <c r="B98" i="74"/>
  <c r="B98" i="73"/>
  <c r="B93" i="74"/>
  <c r="B93" i="73"/>
  <c r="B89" i="74"/>
  <c r="B89" i="73"/>
  <c r="B180" i="74"/>
  <c r="B180" i="73"/>
  <c r="B176" i="74"/>
  <c r="B176" i="73"/>
  <c r="B190" i="73"/>
  <c r="B190" i="74"/>
  <c r="B186" i="73"/>
  <c r="B186" i="74"/>
  <c r="B34" i="74"/>
  <c r="B34" i="73"/>
  <c r="B48" i="74"/>
  <c r="B48" i="73"/>
  <c r="B64" i="74"/>
  <c r="B64" i="73"/>
  <c r="B78" i="73"/>
  <c r="B78" i="74"/>
  <c r="B70" i="74"/>
  <c r="B70" i="73"/>
  <c r="B104" i="73"/>
  <c r="B104" i="74"/>
  <c r="B95" i="74"/>
  <c r="B95" i="73"/>
  <c r="B87" i="74"/>
  <c r="B87" i="73"/>
  <c r="B188" i="74"/>
  <c r="B188" i="73"/>
  <c r="B47" i="73"/>
  <c r="B47" i="74"/>
  <c r="B53" i="74"/>
  <c r="B53" i="73"/>
  <c r="B67" i="74"/>
  <c r="B67" i="73"/>
  <c r="B63" i="74"/>
  <c r="B63" i="73"/>
  <c r="B81" i="74"/>
  <c r="B81" i="73"/>
  <c r="B77" i="74"/>
  <c r="B77" i="73"/>
  <c r="E139" i="5"/>
  <c r="E131" i="5"/>
  <c r="B99" i="74"/>
  <c r="B99" i="73"/>
  <c r="B90" i="74"/>
  <c r="B90" i="73"/>
  <c r="B181" i="73"/>
  <c r="B181" i="74"/>
  <c r="B187" i="74"/>
  <c r="B187" i="73"/>
  <c r="B35" i="74"/>
  <c r="B35" i="73"/>
  <c r="B41" i="74"/>
  <c r="B41" i="73"/>
  <c r="B49" i="74"/>
  <c r="B49" i="73"/>
  <c r="B45" i="74"/>
  <c r="B45" i="73"/>
  <c r="B57" i="73"/>
  <c r="B57" i="74"/>
  <c r="B65" i="74"/>
  <c r="B65" i="73"/>
  <c r="B61" i="74"/>
  <c r="B61" i="73"/>
  <c r="B79" i="73"/>
  <c r="B79" i="74"/>
  <c r="B75" i="73"/>
  <c r="B75" i="74"/>
  <c r="B71" i="73"/>
  <c r="B71" i="74"/>
  <c r="B128" i="5"/>
  <c r="B105" i="74"/>
  <c r="B105" i="73"/>
  <c r="B101" i="74"/>
  <c r="B101" i="73"/>
  <c r="B109" i="5"/>
  <c r="B97" i="74"/>
  <c r="B97" i="73"/>
  <c r="B170" i="5"/>
  <c r="B92" i="74"/>
  <c r="B92" i="73"/>
  <c r="B166" i="5"/>
  <c r="B88" i="73"/>
  <c r="B88" i="74"/>
  <c r="B179" i="74"/>
  <c r="B179" i="73"/>
  <c r="B175" i="74"/>
  <c r="B175" i="73"/>
  <c r="B189" i="74"/>
  <c r="B189" i="73"/>
  <c r="B185" i="74"/>
  <c r="B185" i="73"/>
  <c r="AA404" i="52"/>
  <c r="Z404" i="52"/>
  <c r="U404" i="52"/>
  <c r="V404" i="52"/>
  <c r="J404" i="52"/>
  <c r="O73" i="14"/>
  <c r="O60" i="14"/>
  <c r="P32" i="14"/>
  <c r="C133" i="5"/>
  <c r="C132" i="5"/>
  <c r="C161" i="5"/>
  <c r="C157" i="5"/>
  <c r="C165" i="5"/>
  <c r="E156" i="5"/>
  <c r="E168" i="5"/>
  <c r="C115" i="5"/>
  <c r="E134" i="5"/>
  <c r="C137" i="5"/>
  <c r="E120" i="5"/>
  <c r="E149" i="5"/>
  <c r="E173" i="5"/>
  <c r="C145" i="5"/>
  <c r="E123" i="5"/>
  <c r="E150" i="5"/>
  <c r="C112" i="5"/>
  <c r="B123" i="5"/>
  <c r="E117" i="5"/>
  <c r="E113" i="5"/>
  <c r="E128" i="5"/>
  <c r="E165" i="5"/>
  <c r="C123" i="5"/>
  <c r="E109" i="5"/>
  <c r="E146" i="5"/>
  <c r="E157" i="5"/>
  <c r="C116" i="5"/>
  <c r="C164" i="5"/>
  <c r="E116" i="5"/>
  <c r="E127" i="5"/>
  <c r="E138" i="5"/>
  <c r="E164" i="5"/>
  <c r="C159" i="5"/>
  <c r="B159" i="5"/>
  <c r="C131" i="5"/>
  <c r="C120" i="5"/>
  <c r="C148" i="5"/>
  <c r="C144" i="5"/>
  <c r="C155" i="5"/>
  <c r="C111" i="5"/>
  <c r="C171" i="5"/>
  <c r="C167" i="5"/>
  <c r="E172" i="5"/>
  <c r="E112" i="5"/>
  <c r="B150" i="5"/>
  <c r="C173" i="5"/>
  <c r="B157" i="5"/>
  <c r="E132" i="5"/>
  <c r="C162" i="5"/>
  <c r="C129" i="5"/>
  <c r="C151" i="5"/>
  <c r="C140" i="5"/>
  <c r="C118" i="5"/>
  <c r="C136" i="5"/>
  <c r="C158" i="5"/>
  <c r="C147" i="5"/>
  <c r="C125" i="5"/>
  <c r="C114" i="5"/>
  <c r="C110" i="5"/>
  <c r="C154" i="5"/>
  <c r="C170" i="5"/>
  <c r="C166" i="5"/>
  <c r="E171" i="5"/>
  <c r="E167" i="5"/>
  <c r="E148" i="5"/>
  <c r="E144" i="5"/>
  <c r="B162" i="5"/>
  <c r="B151" i="5"/>
  <c r="B129" i="5"/>
  <c r="B140" i="5"/>
  <c r="B158" i="5"/>
  <c r="B125" i="5"/>
  <c r="B147" i="5"/>
  <c r="B154" i="5"/>
  <c r="B143" i="5"/>
  <c r="B132" i="5"/>
  <c r="B121" i="5"/>
  <c r="B172" i="5"/>
  <c r="B164" i="5"/>
  <c r="B136" i="5"/>
  <c r="C121" i="5"/>
  <c r="C143" i="5"/>
  <c r="B168" i="5"/>
  <c r="C169" i="5"/>
  <c r="E151" i="5"/>
  <c r="E129" i="5"/>
  <c r="E147" i="5"/>
  <c r="E136" i="5"/>
  <c r="B139" i="5"/>
  <c r="B117" i="5"/>
  <c r="B161" i="5"/>
  <c r="B146" i="5"/>
  <c r="B124" i="5"/>
  <c r="B135" i="5"/>
  <c r="B113" i="5"/>
  <c r="B131" i="5"/>
  <c r="B171" i="5"/>
  <c r="B167" i="5"/>
  <c r="E121" i="5"/>
  <c r="B120" i="5"/>
  <c r="B142" i="5"/>
  <c r="E140" i="5"/>
  <c r="B153" i="5"/>
  <c r="E124" i="5"/>
  <c r="E142" i="5"/>
  <c r="E153" i="5"/>
  <c r="E161" i="5"/>
  <c r="E169" i="5"/>
  <c r="C127" i="5"/>
  <c r="C149" i="5"/>
  <c r="B165" i="5"/>
  <c r="B169" i="5"/>
  <c r="B173" i="5"/>
  <c r="B138" i="5"/>
  <c r="B149" i="5"/>
  <c r="B134" i="5"/>
  <c r="B145" i="5"/>
  <c r="B126" i="5"/>
  <c r="B137" i="5"/>
  <c r="B122" i="5"/>
  <c r="B133" i="5"/>
  <c r="B115" i="5"/>
  <c r="B144" i="5"/>
  <c r="B155" i="5"/>
  <c r="B160" i="5"/>
  <c r="B111" i="5"/>
  <c r="B116" i="5"/>
  <c r="B127" i="5"/>
  <c r="B156" i="5"/>
  <c r="B110" i="5"/>
  <c r="B114" i="5"/>
  <c r="B118" i="5"/>
  <c r="E159" i="5"/>
  <c r="E115" i="5"/>
  <c r="E126" i="5"/>
  <c r="E137" i="5"/>
  <c r="E155" i="5"/>
  <c r="E111" i="5"/>
  <c r="E122" i="5"/>
  <c r="E133" i="5"/>
  <c r="E110" i="5"/>
  <c r="E114" i="5"/>
  <c r="E118" i="5"/>
  <c r="E154" i="5"/>
  <c r="E158" i="5"/>
  <c r="E162" i="5"/>
  <c r="E166" i="5"/>
  <c r="E170" i="5"/>
  <c r="C168" i="5"/>
  <c r="C172" i="5"/>
  <c r="C124" i="5"/>
  <c r="C128" i="5"/>
  <c r="C146" i="5"/>
  <c r="C150" i="5"/>
  <c r="C113" i="5"/>
  <c r="C117" i="5"/>
  <c r="C134" i="5"/>
  <c r="C138" i="5"/>
  <c r="C156" i="5"/>
  <c r="C160" i="5"/>
  <c r="C122" i="5"/>
  <c r="C126" i="5"/>
  <c r="C135" i="5"/>
  <c r="C139" i="5"/>
  <c r="C109" i="5"/>
  <c r="C153" i="5"/>
  <c r="C142" i="5"/>
  <c r="G109" i="14" l="1"/>
  <c r="G137" i="14" s="1"/>
  <c r="K74" i="92"/>
  <c r="K100" i="92" s="1"/>
  <c r="H46" i="14"/>
  <c r="H74" i="14" s="1"/>
  <c r="AA302" i="92"/>
  <c r="AA328" i="92" s="1"/>
  <c r="AA302" i="96"/>
  <c r="AA328" i="96" s="1"/>
  <c r="U150" i="96"/>
  <c r="U176" i="96" s="1"/>
  <c r="U150" i="92"/>
  <c r="U176" i="92" s="1"/>
  <c r="P150" i="96"/>
  <c r="P176" i="96" s="1"/>
  <c r="P150" i="92"/>
  <c r="P176" i="92" s="1"/>
  <c r="P378" i="96"/>
  <c r="P404" i="96" s="1"/>
  <c r="P378" i="92"/>
  <c r="P404" i="92" s="1"/>
  <c r="Q378" i="96"/>
  <c r="Q404" i="96" s="1"/>
  <c r="Q378" i="92"/>
  <c r="Q404" i="92" s="1"/>
  <c r="V150" i="96"/>
  <c r="V176" i="96" s="1"/>
  <c r="V150" i="92"/>
  <c r="V176" i="92" s="1"/>
  <c r="Q150" i="96"/>
  <c r="Q176" i="96" s="1"/>
  <c r="Q150" i="92"/>
  <c r="Q176" i="92" s="1"/>
  <c r="V378" i="96"/>
  <c r="V404" i="96" s="1"/>
  <c r="V378" i="92"/>
  <c r="V404" i="92" s="1"/>
  <c r="Z302" i="92"/>
  <c r="Z328" i="92" s="1"/>
  <c r="Z302" i="96"/>
  <c r="Z328" i="96" s="1"/>
  <c r="U226" i="96"/>
  <c r="U252" i="96" s="1"/>
  <c r="U226" i="92"/>
  <c r="U252" i="92" s="1"/>
  <c r="L150" i="96"/>
  <c r="L176" i="96" s="1"/>
  <c r="L150" i="92"/>
  <c r="L176" i="92" s="1"/>
  <c r="K150" i="96"/>
  <c r="K176" i="96" s="1"/>
  <c r="K150" i="92"/>
  <c r="K176" i="92" s="1"/>
  <c r="V74" i="96"/>
  <c r="V100" i="96" s="1"/>
  <c r="V74" i="92"/>
  <c r="V100" i="92" s="1"/>
  <c r="B113" i="74"/>
  <c r="B113" i="73"/>
  <c r="B115" i="73"/>
  <c r="B115" i="74"/>
  <c r="B114" i="74"/>
  <c r="B114" i="73"/>
  <c r="B125" i="74"/>
  <c r="B125" i="73"/>
  <c r="B144" i="73"/>
  <c r="B144" i="74"/>
  <c r="B172" i="73"/>
  <c r="B172" i="74"/>
  <c r="B170" i="74"/>
  <c r="B170" i="73"/>
  <c r="B112" i="73"/>
  <c r="B112" i="74"/>
  <c r="B116" i="74"/>
  <c r="B116" i="73"/>
  <c r="B146" i="74"/>
  <c r="B146" i="73"/>
  <c r="B150" i="74"/>
  <c r="B150" i="73"/>
  <c r="B149" i="74"/>
  <c r="B149" i="73"/>
  <c r="B108" i="74"/>
  <c r="B108" i="73"/>
  <c r="B110" i="74"/>
  <c r="B110" i="73"/>
  <c r="B121" i="74"/>
  <c r="B121" i="73"/>
  <c r="B137" i="74"/>
  <c r="B137" i="73"/>
  <c r="B135" i="73"/>
  <c r="B135" i="74"/>
  <c r="B163" i="73"/>
  <c r="B163" i="74"/>
  <c r="B142" i="74"/>
  <c r="B142" i="73"/>
  <c r="B169" i="74"/>
  <c r="B169" i="73"/>
  <c r="B111" i="74"/>
  <c r="B111" i="73"/>
  <c r="B155" i="73"/>
  <c r="B155" i="74"/>
  <c r="B154" i="74"/>
  <c r="B154" i="73"/>
  <c r="B136" i="74"/>
  <c r="B136" i="73"/>
  <c r="B133" i="74"/>
  <c r="B133" i="73"/>
  <c r="B164" i="74"/>
  <c r="B164" i="73"/>
  <c r="B119" i="74"/>
  <c r="B119" i="73"/>
  <c r="B166" i="74"/>
  <c r="B166" i="73"/>
  <c r="B130" i="74"/>
  <c r="B130" i="73"/>
  <c r="B123" i="74"/>
  <c r="B123" i="73"/>
  <c r="B167" i="73"/>
  <c r="B167" i="74"/>
  <c r="B120" i="73"/>
  <c r="B120" i="74"/>
  <c r="B153" i="74"/>
  <c r="B153" i="73"/>
  <c r="B157" i="74"/>
  <c r="B157" i="73"/>
  <c r="B128" i="73"/>
  <c r="B128" i="74"/>
  <c r="B156" i="73"/>
  <c r="B156" i="74"/>
  <c r="B165" i="74"/>
  <c r="B165" i="73"/>
  <c r="B127" i="73"/>
  <c r="B127" i="74"/>
  <c r="B147" i="73"/>
  <c r="B147" i="74"/>
  <c r="B109" i="74"/>
  <c r="B109" i="73"/>
  <c r="B159" i="73"/>
  <c r="B159" i="74"/>
  <c r="B168" i="73"/>
  <c r="B168" i="74"/>
  <c r="B141" i="74"/>
  <c r="B141" i="73"/>
  <c r="B134" i="74"/>
  <c r="B134" i="73"/>
  <c r="B138" i="74"/>
  <c r="B138" i="73"/>
  <c r="B124" i="73"/>
  <c r="B124" i="74"/>
  <c r="B161" i="74"/>
  <c r="B161" i="73"/>
  <c r="B158" i="74"/>
  <c r="B158" i="73"/>
  <c r="B117" i="74"/>
  <c r="B117" i="73"/>
  <c r="B126" i="74"/>
  <c r="B126" i="73"/>
  <c r="B143" i="73"/>
  <c r="B143" i="74"/>
  <c r="B132" i="73"/>
  <c r="B132" i="74"/>
  <c r="B148" i="74"/>
  <c r="B148" i="73"/>
  <c r="B152" i="74"/>
  <c r="B152" i="73"/>
  <c r="B145" i="74"/>
  <c r="B145" i="73"/>
  <c r="B160" i="74"/>
  <c r="B160" i="73"/>
  <c r="B171" i="73"/>
  <c r="B171" i="74"/>
  <c r="B131" i="74"/>
  <c r="B131" i="73"/>
  <c r="B139" i="73"/>
  <c r="B139" i="74"/>
  <c r="B122" i="74"/>
  <c r="B122" i="73"/>
  <c r="L404" i="52"/>
  <c r="K404" i="52"/>
  <c r="P60" i="14"/>
  <c r="P73" i="14"/>
  <c r="Q32" i="14"/>
  <c r="I46" i="14" l="1"/>
  <c r="I74" i="14" s="1"/>
  <c r="H109" i="14"/>
  <c r="H137" i="14" s="1"/>
  <c r="Q73" i="14"/>
  <c r="Q60" i="14"/>
  <c r="R32" i="14"/>
  <c r="D103" i="62"/>
  <c r="E103" i="62"/>
  <c r="F103" i="62"/>
  <c r="G103" i="62"/>
  <c r="H103" i="62"/>
  <c r="C103" i="62"/>
  <c r="D98" i="62"/>
  <c r="E98" i="62"/>
  <c r="F98" i="62"/>
  <c r="G98" i="62"/>
  <c r="H98" i="62"/>
  <c r="C98" i="62"/>
  <c r="C80" i="62"/>
  <c r="I109" i="14" l="1"/>
  <c r="I137" i="14" s="1"/>
  <c r="J46" i="14"/>
  <c r="J74" i="14" s="1"/>
  <c r="D61" i="14"/>
  <c r="E124" i="14"/>
  <c r="D124" i="14"/>
  <c r="E61" i="14"/>
  <c r="D58" i="14"/>
  <c r="D121" i="14"/>
  <c r="G124" i="14"/>
  <c r="G61" i="14"/>
  <c r="F124" i="14"/>
  <c r="F61" i="14"/>
  <c r="H124" i="14"/>
  <c r="H61" i="14"/>
  <c r="I61" i="14"/>
  <c r="S32" i="14"/>
  <c r="I124" i="14" l="1"/>
  <c r="J109" i="14"/>
  <c r="J137" i="14" s="1"/>
  <c r="J61" i="14"/>
  <c r="K46" i="14"/>
  <c r="K74" i="14" s="1"/>
  <c r="S73" i="14"/>
  <c r="S60" i="14"/>
  <c r="T32" i="14"/>
  <c r="C15" i="62"/>
  <c r="C18" i="62" s="1"/>
  <c r="K61" i="14" l="1"/>
  <c r="K109" i="14"/>
  <c r="K137" i="14" s="1"/>
  <c r="J124" i="14"/>
  <c r="L46" i="14"/>
  <c r="L74" i="14" s="1"/>
  <c r="T60" i="14"/>
  <c r="T73" i="14"/>
  <c r="U32" i="14"/>
  <c r="K124" i="14" l="1"/>
  <c r="L109" i="14"/>
  <c r="L137" i="14" s="1"/>
  <c r="L61" i="14"/>
  <c r="M46" i="14"/>
  <c r="M74" i="14" s="1"/>
  <c r="U73" i="14"/>
  <c r="U60" i="14"/>
  <c r="V32" i="14"/>
  <c r="L124" i="14" l="1"/>
  <c r="M109" i="14"/>
  <c r="M137" i="14" s="1"/>
  <c r="M61" i="14"/>
  <c r="N46" i="14"/>
  <c r="N74" i="14" s="1"/>
  <c r="V73" i="14"/>
  <c r="V60" i="14"/>
  <c r="W32" i="14"/>
  <c r="M124" i="14" l="1"/>
  <c r="N109" i="14"/>
  <c r="N137" i="14" s="1"/>
  <c r="N61" i="14"/>
  <c r="O46" i="14"/>
  <c r="O74" i="14" s="1"/>
  <c r="X32" i="14"/>
  <c r="N124" i="14" l="1"/>
  <c r="O109" i="14"/>
  <c r="O137" i="14" s="1"/>
  <c r="O61" i="14"/>
  <c r="P46" i="14"/>
  <c r="P74" i="14" s="1"/>
  <c r="X60" i="14"/>
  <c r="X73" i="14"/>
  <c r="Y32" i="14"/>
  <c r="O124" i="14" l="1"/>
  <c r="P61" i="14"/>
  <c r="Q46" i="14"/>
  <c r="Q74" i="14" s="1"/>
  <c r="P109" i="14"/>
  <c r="P137" i="14" s="1"/>
  <c r="Y73" i="14"/>
  <c r="Y60" i="14"/>
  <c r="Z32" i="14"/>
  <c r="E95" i="14"/>
  <c r="E136" i="14" s="1"/>
  <c r="M104" i="14"/>
  <c r="R104" i="14" s="1"/>
  <c r="W104" i="14" s="1"/>
  <c r="AB104" i="14" s="1"/>
  <c r="AG104" i="14" s="1"/>
  <c r="AL104" i="14" s="1"/>
  <c r="AQ104" i="14" s="1"/>
  <c r="Q109" i="14" l="1"/>
  <c r="Q137" i="14" s="1"/>
  <c r="P124" i="14"/>
  <c r="Q61" i="14"/>
  <c r="R46" i="14"/>
  <c r="R74" i="14" s="1"/>
  <c r="Q124" i="14"/>
  <c r="Z73" i="14"/>
  <c r="Z60" i="14"/>
  <c r="F95" i="14"/>
  <c r="AA32" i="14"/>
  <c r="F105" i="14"/>
  <c r="J105" i="14"/>
  <c r="N105" i="14"/>
  <c r="R105" i="14"/>
  <c r="G105" i="14"/>
  <c r="K105" i="14"/>
  <c r="O105" i="14"/>
  <c r="S105" i="14"/>
  <c r="L105" i="14"/>
  <c r="T105" i="14"/>
  <c r="X105" i="14"/>
  <c r="AB105" i="14"/>
  <c r="AF105" i="14"/>
  <c r="AJ105" i="14"/>
  <c r="AN105" i="14"/>
  <c r="D105" i="14"/>
  <c r="P105" i="14"/>
  <c r="Z105" i="14"/>
  <c r="AH105" i="14"/>
  <c r="AP105" i="14"/>
  <c r="I105" i="14"/>
  <c r="Q105" i="14"/>
  <c r="W105" i="14"/>
  <c r="AA105" i="14"/>
  <c r="AI105" i="14"/>
  <c r="AM105" i="14"/>
  <c r="E105" i="14"/>
  <c r="M105" i="14"/>
  <c r="U105" i="14"/>
  <c r="Y105" i="14"/>
  <c r="AC105" i="14"/>
  <c r="AG105" i="14"/>
  <c r="AK105" i="14"/>
  <c r="AO105" i="14"/>
  <c r="H105" i="14"/>
  <c r="V105" i="14"/>
  <c r="AD105" i="14"/>
  <c r="AL105" i="14"/>
  <c r="AE105" i="14"/>
  <c r="AQ105" i="14"/>
  <c r="M96" i="14"/>
  <c r="R96" i="14" s="1"/>
  <c r="W96" i="14" s="1"/>
  <c r="AB96" i="14" s="1"/>
  <c r="AG96" i="14" s="1"/>
  <c r="AL96" i="14" s="1"/>
  <c r="AQ96" i="14" s="1"/>
  <c r="H97" i="14"/>
  <c r="L97" i="14"/>
  <c r="P97" i="14"/>
  <c r="T97" i="14"/>
  <c r="X97" i="14"/>
  <c r="AB97" i="14"/>
  <c r="AF97" i="14"/>
  <c r="AJ97" i="14"/>
  <c r="AN97" i="14"/>
  <c r="D97" i="14"/>
  <c r="E97" i="14"/>
  <c r="M97" i="14"/>
  <c r="Q97" i="14"/>
  <c r="U97" i="14"/>
  <c r="AC97" i="14"/>
  <c r="AK97" i="14"/>
  <c r="AO97" i="14"/>
  <c r="J97" i="14"/>
  <c r="R97" i="14"/>
  <c r="Z97" i="14"/>
  <c r="AH97" i="14"/>
  <c r="AP97" i="14"/>
  <c r="I97" i="14"/>
  <c r="Y97" i="14"/>
  <c r="AG97" i="14"/>
  <c r="F97" i="14"/>
  <c r="N97" i="14"/>
  <c r="V97" i="14"/>
  <c r="AD97" i="14"/>
  <c r="AL97" i="14"/>
  <c r="K97" i="14"/>
  <c r="AA97" i="14"/>
  <c r="AQ97" i="14"/>
  <c r="AI97" i="14"/>
  <c r="W97" i="14"/>
  <c r="O97" i="14"/>
  <c r="AE97" i="14"/>
  <c r="S97" i="14"/>
  <c r="G97" i="14"/>
  <c r="AM97" i="14"/>
  <c r="R109" i="14" l="1"/>
  <c r="R137" i="14" s="1"/>
  <c r="S46" i="14"/>
  <c r="S74" i="14" s="1"/>
  <c r="R61" i="14"/>
  <c r="AA73" i="14"/>
  <c r="AA60" i="14"/>
  <c r="F123" i="14"/>
  <c r="F136" i="14"/>
  <c r="G95" i="14"/>
  <c r="AB32" i="14"/>
  <c r="F187" i="5"/>
  <c r="F188" i="5"/>
  <c r="R124" i="14" l="1"/>
  <c r="T46" i="14"/>
  <c r="T74" i="14" s="1"/>
  <c r="S61" i="14"/>
  <c r="S109" i="14"/>
  <c r="S137" i="14" s="1"/>
  <c r="T61" i="14"/>
  <c r="C14" i="96"/>
  <c r="C14" i="92"/>
  <c r="C14" i="88"/>
  <c r="C14" i="52"/>
  <c r="G227" i="52" s="1"/>
  <c r="G136" i="14"/>
  <c r="G123" i="14"/>
  <c r="H95" i="14"/>
  <c r="AC32" i="14"/>
  <c r="L188" i="5"/>
  <c r="M188" i="5"/>
  <c r="L187" i="5"/>
  <c r="M187" i="5"/>
  <c r="T109" i="14" l="1"/>
  <c r="T137" i="14" s="1"/>
  <c r="U46" i="14"/>
  <c r="U74" i="14" s="1"/>
  <c r="S124" i="14"/>
  <c r="T124" i="14"/>
  <c r="U109" i="14"/>
  <c r="U137" i="14" s="1"/>
  <c r="G187" i="73"/>
  <c r="F187" i="73"/>
  <c r="E187" i="73"/>
  <c r="H187" i="73"/>
  <c r="H186" i="73"/>
  <c r="G186" i="73"/>
  <c r="F186" i="73"/>
  <c r="E186" i="73"/>
  <c r="G186" i="74"/>
  <c r="F186" i="74"/>
  <c r="E186" i="74"/>
  <c r="H186" i="74"/>
  <c r="F187" i="74"/>
  <c r="E187" i="74"/>
  <c r="H187" i="74"/>
  <c r="G187" i="74"/>
  <c r="G151" i="92"/>
  <c r="G177" i="92" s="1"/>
  <c r="G178" i="92" s="1"/>
  <c r="G303" i="92"/>
  <c r="G329" i="92" s="1"/>
  <c r="G330" i="92" s="1"/>
  <c r="G75" i="92"/>
  <c r="G379" i="92"/>
  <c r="G405" i="92" s="1"/>
  <c r="G406" i="92" s="1"/>
  <c r="G227" i="92"/>
  <c r="G253" i="92" s="1"/>
  <c r="G254" i="92" s="1"/>
  <c r="G75" i="96"/>
  <c r="G227" i="96"/>
  <c r="G253" i="96" s="1"/>
  <c r="G254" i="96" s="1"/>
  <c r="G303" i="96"/>
  <c r="G329" i="96" s="1"/>
  <c r="G330" i="96" s="1"/>
  <c r="G151" i="96"/>
  <c r="G177" i="96" s="1"/>
  <c r="G178" i="96" s="1"/>
  <c r="G379" i="96"/>
  <c r="G405" i="96" s="1"/>
  <c r="G406" i="96" s="1"/>
  <c r="G151" i="88"/>
  <c r="G177" i="88" s="1"/>
  <c r="G178" i="88" s="1"/>
  <c r="G303" i="88"/>
  <c r="G329" i="88" s="1"/>
  <c r="G330" i="88" s="1"/>
  <c r="G75" i="88"/>
  <c r="G379" i="88"/>
  <c r="G405" i="88" s="1"/>
  <c r="G406" i="88" s="1"/>
  <c r="G227" i="88"/>
  <c r="G253" i="88" s="1"/>
  <c r="G254" i="88" s="1"/>
  <c r="G379" i="52"/>
  <c r="G405" i="52" s="1"/>
  <c r="G406" i="52" s="1"/>
  <c r="G303" i="52"/>
  <c r="G329" i="52" s="1"/>
  <c r="G330" i="52" s="1"/>
  <c r="G75" i="52"/>
  <c r="G151" i="52"/>
  <c r="G177" i="52" s="1"/>
  <c r="G178" i="52" s="1"/>
  <c r="G253" i="52"/>
  <c r="G254" i="52" s="1"/>
  <c r="AC73" i="14"/>
  <c r="AC60" i="14"/>
  <c r="H136" i="14"/>
  <c r="H123" i="14"/>
  <c r="I95" i="14"/>
  <c r="AD32" i="14"/>
  <c r="K188" i="5"/>
  <c r="Q188" i="5"/>
  <c r="R188" i="5"/>
  <c r="J188" i="5"/>
  <c r="O188" i="5"/>
  <c r="P188" i="5"/>
  <c r="K187" i="5"/>
  <c r="Q187" i="5"/>
  <c r="R187" i="5"/>
  <c r="J187" i="5"/>
  <c r="O187" i="5"/>
  <c r="P187" i="5"/>
  <c r="V46" i="14" l="1"/>
  <c r="V74" i="14" s="1"/>
  <c r="U61" i="14"/>
  <c r="AN187" i="74"/>
  <c r="AC187" i="74"/>
  <c r="R187" i="74"/>
  <c r="AO187" i="73"/>
  <c r="AD187" i="73"/>
  <c r="S187" i="73"/>
  <c r="AO187" i="74"/>
  <c r="AD187" i="74"/>
  <c r="S187" i="74"/>
  <c r="AN187" i="73"/>
  <c r="AC187" i="73"/>
  <c r="R187" i="73"/>
  <c r="AN186" i="73"/>
  <c r="AC186" i="73"/>
  <c r="R186" i="73"/>
  <c r="AO186" i="74"/>
  <c r="AD186" i="74"/>
  <c r="S186" i="74"/>
  <c r="AN186" i="74"/>
  <c r="AC186" i="74"/>
  <c r="R186" i="74"/>
  <c r="AO186" i="73"/>
  <c r="AD186" i="73"/>
  <c r="S186" i="73"/>
  <c r="U124" i="14"/>
  <c r="W46" i="14"/>
  <c r="W74" i="14" s="1"/>
  <c r="V109" i="14"/>
  <c r="V137" i="14" s="1"/>
  <c r="V61" i="14"/>
  <c r="AK379" i="52"/>
  <c r="AK405" i="52" s="1"/>
  <c r="AK406" i="52" s="1"/>
  <c r="AP379" i="52"/>
  <c r="AP405" i="52" s="1"/>
  <c r="AP406" i="52" s="1"/>
  <c r="AA379" i="52"/>
  <c r="AA405" i="52" s="1"/>
  <c r="AA406" i="52" s="1"/>
  <c r="S379" i="52"/>
  <c r="S405" i="52" s="1"/>
  <c r="S406" i="52" s="1"/>
  <c r="V379" i="52"/>
  <c r="V405" i="52" s="1"/>
  <c r="V406" i="52" s="1"/>
  <c r="M379" i="52"/>
  <c r="M405" i="52" s="1"/>
  <c r="M406" i="52" s="1"/>
  <c r="AS379" i="52"/>
  <c r="AS405" i="52" s="1"/>
  <c r="AS406" i="52" s="1"/>
  <c r="H379" i="52"/>
  <c r="H405" i="52" s="1"/>
  <c r="H406" i="52" s="1"/>
  <c r="AR379" i="52"/>
  <c r="AR405" i="52" s="1"/>
  <c r="AR406" i="52" s="1"/>
  <c r="K379" i="52"/>
  <c r="K405" i="52" s="1"/>
  <c r="K406" i="52" s="1"/>
  <c r="U379" i="52"/>
  <c r="U405" i="52" s="1"/>
  <c r="U406" i="52" s="1"/>
  <c r="AF303" i="52"/>
  <c r="AF329" i="52" s="1"/>
  <c r="AF330" i="52" s="1"/>
  <c r="P303" i="52"/>
  <c r="P329" i="52" s="1"/>
  <c r="P330" i="52" s="1"/>
  <c r="AM303" i="52"/>
  <c r="AM329" i="52" s="1"/>
  <c r="AM330" i="52" s="1"/>
  <c r="W303" i="52"/>
  <c r="W329" i="52" s="1"/>
  <c r="W330" i="52" s="1"/>
  <c r="AS303" i="52"/>
  <c r="AS329" i="52" s="1"/>
  <c r="AS330" i="52" s="1"/>
  <c r="M303" i="52"/>
  <c r="M329" i="52" s="1"/>
  <c r="M330" i="52" s="1"/>
  <c r="R303" i="52"/>
  <c r="R329" i="52" s="1"/>
  <c r="R330" i="52" s="1"/>
  <c r="Y303" i="52"/>
  <c r="Y329" i="52" s="1"/>
  <c r="Y330" i="52" s="1"/>
  <c r="AL303" i="52"/>
  <c r="AL329" i="52" s="1"/>
  <c r="AL330" i="52" s="1"/>
  <c r="AR227" i="52"/>
  <c r="AR253" i="52" s="1"/>
  <c r="AR254" i="52" s="1"/>
  <c r="AB227" i="52"/>
  <c r="AB253" i="52" s="1"/>
  <c r="AB254" i="52" s="1"/>
  <c r="L227" i="52"/>
  <c r="L253" i="52" s="1"/>
  <c r="L254" i="52" s="1"/>
  <c r="AI227" i="52"/>
  <c r="AI253" i="52" s="1"/>
  <c r="AI254" i="52" s="1"/>
  <c r="S227" i="52"/>
  <c r="S253" i="52" s="1"/>
  <c r="S254" i="52" s="1"/>
  <c r="AG227" i="52"/>
  <c r="AG253" i="52" s="1"/>
  <c r="AG254" i="52" s="1"/>
  <c r="AT227" i="52"/>
  <c r="AT253" i="52" s="1"/>
  <c r="AT254" i="52" s="1"/>
  <c r="N227" i="52"/>
  <c r="N253" i="52" s="1"/>
  <c r="N254" i="52" s="1"/>
  <c r="U227" i="52"/>
  <c r="U253" i="52" s="1"/>
  <c r="U254" i="52" s="1"/>
  <c r="Z227" i="52"/>
  <c r="Z253" i="52" s="1"/>
  <c r="Z254" i="52" s="1"/>
  <c r="AM151" i="52"/>
  <c r="AM177" i="52" s="1"/>
  <c r="AM178" i="52" s="1"/>
  <c r="W151" i="52"/>
  <c r="W177" i="52" s="1"/>
  <c r="W178" i="52" s="1"/>
  <c r="AT151" i="52"/>
  <c r="AT177" i="52" s="1"/>
  <c r="AT178" i="52" s="1"/>
  <c r="AD151" i="52"/>
  <c r="AD177" i="52" s="1"/>
  <c r="AD178" i="52" s="1"/>
  <c r="N151" i="52"/>
  <c r="N177" i="52" s="1"/>
  <c r="N178" i="52" s="1"/>
  <c r="AB151" i="52"/>
  <c r="AB177" i="52" s="1"/>
  <c r="AB178" i="52" s="1"/>
  <c r="AG151" i="52"/>
  <c r="AG177" i="52" s="1"/>
  <c r="AG178" i="52" s="1"/>
  <c r="AN151" i="52"/>
  <c r="AN177" i="52" s="1"/>
  <c r="AN178" i="52" s="1"/>
  <c r="H151" i="52"/>
  <c r="H177" i="52" s="1"/>
  <c r="H178" i="52" s="1"/>
  <c r="U151" i="52"/>
  <c r="U177" i="52" s="1"/>
  <c r="U178" i="52" s="1"/>
  <c r="N379" i="52"/>
  <c r="N405" i="52" s="1"/>
  <c r="N406" i="52" s="1"/>
  <c r="AJ379" i="52"/>
  <c r="AJ405" i="52" s="1"/>
  <c r="AJ406" i="52" s="1"/>
  <c r="I379" i="52"/>
  <c r="I405" i="52" s="1"/>
  <c r="I406" i="52" s="1"/>
  <c r="AB379" i="52"/>
  <c r="AB405" i="52" s="1"/>
  <c r="AB406" i="52" s="1"/>
  <c r="AG379" i="52"/>
  <c r="AG405" i="52" s="1"/>
  <c r="AG406" i="52" s="1"/>
  <c r="AH379" i="52"/>
  <c r="AH405" i="52" s="1"/>
  <c r="AH406" i="52" s="1"/>
  <c r="AI379" i="52"/>
  <c r="AI405" i="52" s="1"/>
  <c r="AI406" i="52" s="1"/>
  <c r="O379" i="52"/>
  <c r="O405" i="52" s="1"/>
  <c r="O406" i="52" s="1"/>
  <c r="AM379" i="52"/>
  <c r="AM405" i="52" s="1"/>
  <c r="AM406" i="52" s="1"/>
  <c r="AR303" i="52"/>
  <c r="AR329" i="52" s="1"/>
  <c r="AR330" i="52" s="1"/>
  <c r="AB303" i="52"/>
  <c r="AB329" i="52" s="1"/>
  <c r="AB330" i="52" s="1"/>
  <c r="L303" i="52"/>
  <c r="L329" i="52" s="1"/>
  <c r="L330" i="52" s="1"/>
  <c r="AI303" i="52"/>
  <c r="AI329" i="52" s="1"/>
  <c r="AI330" i="52" s="1"/>
  <c r="S303" i="52"/>
  <c r="S329" i="52" s="1"/>
  <c r="S330" i="52" s="1"/>
  <c r="AK303" i="52"/>
  <c r="AK329" i="52" s="1"/>
  <c r="AK330" i="52" s="1"/>
  <c r="AP303" i="52"/>
  <c r="AP329" i="52" s="1"/>
  <c r="AP330" i="52" s="1"/>
  <c r="J303" i="52"/>
  <c r="J329" i="52" s="1"/>
  <c r="J330" i="52" s="1"/>
  <c r="Q303" i="52"/>
  <c r="Q329" i="52" s="1"/>
  <c r="Q330" i="52" s="1"/>
  <c r="AD303" i="52"/>
  <c r="AD329" i="52" s="1"/>
  <c r="AD330" i="52" s="1"/>
  <c r="AN227" i="52"/>
  <c r="AN253" i="52" s="1"/>
  <c r="AN254" i="52" s="1"/>
  <c r="X227" i="52"/>
  <c r="X253" i="52" s="1"/>
  <c r="X254" i="52" s="1"/>
  <c r="H227" i="52"/>
  <c r="H253" i="52" s="1"/>
  <c r="H254" i="52" s="1"/>
  <c r="AE227" i="52"/>
  <c r="AE253" i="52" s="1"/>
  <c r="AE254" i="52" s="1"/>
  <c r="O227" i="52"/>
  <c r="O253" i="52" s="1"/>
  <c r="O254" i="52" s="1"/>
  <c r="Y227" i="52"/>
  <c r="Y253" i="52" s="1"/>
  <c r="Y254" i="52" s="1"/>
  <c r="AL227" i="52"/>
  <c r="AL253" i="52" s="1"/>
  <c r="AL254" i="52" s="1"/>
  <c r="AS227" i="52"/>
  <c r="AS253" i="52" s="1"/>
  <c r="AS254" i="52" s="1"/>
  <c r="M227" i="52"/>
  <c r="M253" i="52" s="1"/>
  <c r="M254" i="52" s="1"/>
  <c r="R227" i="52"/>
  <c r="R253" i="52" s="1"/>
  <c r="R254" i="52" s="1"/>
  <c r="AI151" i="52"/>
  <c r="AI177" i="52" s="1"/>
  <c r="AI178" i="52" s="1"/>
  <c r="S151" i="52"/>
  <c r="S177" i="52" s="1"/>
  <c r="S178" i="52" s="1"/>
  <c r="AP151" i="52"/>
  <c r="AP177" i="52" s="1"/>
  <c r="AP178" i="52" s="1"/>
  <c r="Z151" i="52"/>
  <c r="Z177" i="52" s="1"/>
  <c r="Z178" i="52" s="1"/>
  <c r="J151" i="52"/>
  <c r="J177" i="52" s="1"/>
  <c r="J178" i="52" s="1"/>
  <c r="T151" i="52"/>
  <c r="T177" i="52" s="1"/>
  <c r="T178" i="52" s="1"/>
  <c r="Y151" i="52"/>
  <c r="Y177" i="52" s="1"/>
  <c r="Y178" i="52" s="1"/>
  <c r="AF151" i="52"/>
  <c r="AF177" i="52" s="1"/>
  <c r="AF178" i="52" s="1"/>
  <c r="AS151" i="52"/>
  <c r="AS177" i="52" s="1"/>
  <c r="AS178" i="52" s="1"/>
  <c r="M151" i="52"/>
  <c r="M177" i="52" s="1"/>
  <c r="M178" i="52" s="1"/>
  <c r="AN379" i="52"/>
  <c r="AN405" i="52" s="1"/>
  <c r="AN406" i="52" s="1"/>
  <c r="T379" i="52"/>
  <c r="T405" i="52" s="1"/>
  <c r="T406" i="52" s="1"/>
  <c r="AC379" i="52"/>
  <c r="AC405" i="52" s="1"/>
  <c r="AC406" i="52" s="1"/>
  <c r="AF379" i="52"/>
  <c r="AF405" i="52" s="1"/>
  <c r="AF406" i="52" s="1"/>
  <c r="W379" i="52"/>
  <c r="W405" i="52" s="1"/>
  <c r="W406" i="52" s="1"/>
  <c r="AE379" i="52"/>
  <c r="AE405" i="52" s="1"/>
  <c r="AE406" i="52" s="1"/>
  <c r="Q379" i="52"/>
  <c r="Q405" i="52" s="1"/>
  <c r="Q406" i="52" s="1"/>
  <c r="L379" i="52"/>
  <c r="L405" i="52" s="1"/>
  <c r="L406" i="52" s="1"/>
  <c r="X379" i="52"/>
  <c r="X405" i="52" s="1"/>
  <c r="X406" i="52" s="1"/>
  <c r="AN303" i="52"/>
  <c r="AN329" i="52" s="1"/>
  <c r="AN330" i="52" s="1"/>
  <c r="X303" i="52"/>
  <c r="X329" i="52" s="1"/>
  <c r="X330" i="52" s="1"/>
  <c r="H303" i="52"/>
  <c r="H329" i="52" s="1"/>
  <c r="H330" i="52" s="1"/>
  <c r="AE303" i="52"/>
  <c r="AE329" i="52" s="1"/>
  <c r="AE330" i="52" s="1"/>
  <c r="O303" i="52"/>
  <c r="O329" i="52" s="1"/>
  <c r="O330" i="52" s="1"/>
  <c r="AC303" i="52"/>
  <c r="AC329" i="52" s="1"/>
  <c r="AC330" i="52" s="1"/>
  <c r="AH303" i="52"/>
  <c r="AH329" i="52" s="1"/>
  <c r="AH330" i="52" s="1"/>
  <c r="AO303" i="52"/>
  <c r="AO329" i="52" s="1"/>
  <c r="AO330" i="52" s="1"/>
  <c r="I303" i="52"/>
  <c r="I329" i="52" s="1"/>
  <c r="I330" i="52" s="1"/>
  <c r="V303" i="52"/>
  <c r="V329" i="52" s="1"/>
  <c r="V330" i="52" s="1"/>
  <c r="AJ227" i="52"/>
  <c r="AJ253" i="52" s="1"/>
  <c r="AJ254" i="52" s="1"/>
  <c r="T227" i="52"/>
  <c r="T253" i="52" s="1"/>
  <c r="T254" i="52" s="1"/>
  <c r="AQ227" i="52"/>
  <c r="AQ253" i="52" s="1"/>
  <c r="AQ254" i="52" s="1"/>
  <c r="AA227" i="52"/>
  <c r="AA253" i="52" s="1"/>
  <c r="AA254" i="52" s="1"/>
  <c r="K227" i="52"/>
  <c r="K253" i="52" s="1"/>
  <c r="K254" i="52" s="1"/>
  <c r="Q227" i="52"/>
  <c r="Q253" i="52" s="1"/>
  <c r="Q254" i="52" s="1"/>
  <c r="AD227" i="52"/>
  <c r="AD253" i="52" s="1"/>
  <c r="AD254" i="52" s="1"/>
  <c r="AK227" i="52"/>
  <c r="AK253" i="52" s="1"/>
  <c r="AK254" i="52" s="1"/>
  <c r="AP227" i="52"/>
  <c r="AP253" i="52" s="1"/>
  <c r="AP254" i="52" s="1"/>
  <c r="J227" i="52"/>
  <c r="J253" i="52" s="1"/>
  <c r="J254" i="52" s="1"/>
  <c r="AE151" i="52"/>
  <c r="AE177" i="52" s="1"/>
  <c r="AE178" i="52" s="1"/>
  <c r="O151" i="52"/>
  <c r="O177" i="52" s="1"/>
  <c r="O178" i="52" s="1"/>
  <c r="AL151" i="52"/>
  <c r="AL177" i="52" s="1"/>
  <c r="AL178" i="52" s="1"/>
  <c r="V151" i="52"/>
  <c r="V177" i="52" s="1"/>
  <c r="V178" i="52" s="1"/>
  <c r="AR151" i="52"/>
  <c r="AR177" i="52" s="1"/>
  <c r="AR178" i="52" s="1"/>
  <c r="L151" i="52"/>
  <c r="L177" i="52" s="1"/>
  <c r="L178" i="52" s="1"/>
  <c r="Q151" i="52"/>
  <c r="Q177" i="52" s="1"/>
  <c r="Q178" i="52" s="1"/>
  <c r="X151" i="52"/>
  <c r="X177" i="52" s="1"/>
  <c r="X178" i="52" s="1"/>
  <c r="AK151" i="52"/>
  <c r="AK177" i="52" s="1"/>
  <c r="AK178" i="52" s="1"/>
  <c r="P379" i="52"/>
  <c r="P405" i="52" s="1"/>
  <c r="P406" i="52" s="1"/>
  <c r="Y379" i="52"/>
  <c r="Y405" i="52" s="1"/>
  <c r="Y406" i="52" s="1"/>
  <c r="Z379" i="52"/>
  <c r="Z405" i="52" s="1"/>
  <c r="Z406" i="52" s="1"/>
  <c r="AQ379" i="52"/>
  <c r="AQ405" i="52" s="1"/>
  <c r="AQ406" i="52" s="1"/>
  <c r="AD379" i="52"/>
  <c r="AD405" i="52" s="1"/>
  <c r="AD406" i="52" s="1"/>
  <c r="R379" i="52"/>
  <c r="R405" i="52" s="1"/>
  <c r="R406" i="52" s="1"/>
  <c r="AL379" i="52"/>
  <c r="AL405" i="52" s="1"/>
  <c r="AL406" i="52" s="1"/>
  <c r="AO379" i="52"/>
  <c r="AO405" i="52" s="1"/>
  <c r="AO406" i="52" s="1"/>
  <c r="J379" i="52"/>
  <c r="J405" i="52" s="1"/>
  <c r="J406" i="52" s="1"/>
  <c r="AT379" i="52"/>
  <c r="AT405" i="52" s="1"/>
  <c r="AT406" i="52" s="1"/>
  <c r="AJ303" i="52"/>
  <c r="AJ329" i="52" s="1"/>
  <c r="AJ330" i="52" s="1"/>
  <c r="T303" i="52"/>
  <c r="T329" i="52" s="1"/>
  <c r="T330" i="52" s="1"/>
  <c r="AQ303" i="52"/>
  <c r="AQ329" i="52" s="1"/>
  <c r="AQ330" i="52" s="1"/>
  <c r="AA303" i="52"/>
  <c r="AA329" i="52" s="1"/>
  <c r="AA330" i="52" s="1"/>
  <c r="K303" i="52"/>
  <c r="K329" i="52" s="1"/>
  <c r="K330" i="52" s="1"/>
  <c r="U303" i="52"/>
  <c r="U329" i="52" s="1"/>
  <c r="U330" i="52" s="1"/>
  <c r="Z303" i="52"/>
  <c r="Z329" i="52" s="1"/>
  <c r="Z330" i="52" s="1"/>
  <c r="AG303" i="52"/>
  <c r="AG329" i="52" s="1"/>
  <c r="AG330" i="52" s="1"/>
  <c r="AT303" i="52"/>
  <c r="AT329" i="52" s="1"/>
  <c r="AT330" i="52" s="1"/>
  <c r="N303" i="52"/>
  <c r="N329" i="52" s="1"/>
  <c r="N330" i="52" s="1"/>
  <c r="AF227" i="52"/>
  <c r="AF253" i="52" s="1"/>
  <c r="AF254" i="52" s="1"/>
  <c r="P227" i="52"/>
  <c r="P253" i="52" s="1"/>
  <c r="P254" i="52" s="1"/>
  <c r="AM227" i="52"/>
  <c r="AM253" i="52" s="1"/>
  <c r="AM254" i="52" s="1"/>
  <c r="W227" i="52"/>
  <c r="W253" i="52" s="1"/>
  <c r="W254" i="52" s="1"/>
  <c r="AO227" i="52"/>
  <c r="AO253" i="52" s="1"/>
  <c r="AO254" i="52" s="1"/>
  <c r="I227" i="52"/>
  <c r="I253" i="52" s="1"/>
  <c r="I254" i="52" s="1"/>
  <c r="V227" i="52"/>
  <c r="V253" i="52" s="1"/>
  <c r="V254" i="52" s="1"/>
  <c r="AC227" i="52"/>
  <c r="AC253" i="52" s="1"/>
  <c r="AC254" i="52" s="1"/>
  <c r="AH227" i="52"/>
  <c r="AH253" i="52" s="1"/>
  <c r="AH254" i="52" s="1"/>
  <c r="AQ151" i="52"/>
  <c r="AQ177" i="52" s="1"/>
  <c r="AQ178" i="52" s="1"/>
  <c r="AA151" i="52"/>
  <c r="AA177" i="52" s="1"/>
  <c r="AA178" i="52" s="1"/>
  <c r="K151" i="52"/>
  <c r="K177" i="52" s="1"/>
  <c r="K178" i="52" s="1"/>
  <c r="AH151" i="52"/>
  <c r="AH177" i="52" s="1"/>
  <c r="AH178" i="52" s="1"/>
  <c r="R151" i="52"/>
  <c r="R177" i="52" s="1"/>
  <c r="R178" i="52" s="1"/>
  <c r="AJ151" i="52"/>
  <c r="AJ177" i="52" s="1"/>
  <c r="AJ178" i="52" s="1"/>
  <c r="AO151" i="52"/>
  <c r="AO177" i="52" s="1"/>
  <c r="AO178" i="52" s="1"/>
  <c r="I151" i="52"/>
  <c r="I177" i="52" s="1"/>
  <c r="I178" i="52" s="1"/>
  <c r="P151" i="52"/>
  <c r="P177" i="52" s="1"/>
  <c r="P178" i="52" s="1"/>
  <c r="AC151" i="52"/>
  <c r="AC177" i="52" s="1"/>
  <c r="AC178" i="52" s="1"/>
  <c r="AJ379" i="96"/>
  <c r="AJ405" i="96" s="1"/>
  <c r="AJ406" i="96" s="1"/>
  <c r="T379" i="96"/>
  <c r="T405" i="96" s="1"/>
  <c r="T406" i="96" s="1"/>
  <c r="AQ379" i="96"/>
  <c r="AQ405" i="96" s="1"/>
  <c r="AQ406" i="96" s="1"/>
  <c r="AA379" i="96"/>
  <c r="AA405" i="96" s="1"/>
  <c r="AA406" i="96" s="1"/>
  <c r="K379" i="96"/>
  <c r="K405" i="96" s="1"/>
  <c r="K406" i="96" s="1"/>
  <c r="AH379" i="96"/>
  <c r="AH405" i="96" s="1"/>
  <c r="AH406" i="96" s="1"/>
  <c r="R379" i="96"/>
  <c r="R405" i="96" s="1"/>
  <c r="R406" i="96" s="1"/>
  <c r="AC379" i="96"/>
  <c r="AC405" i="96" s="1"/>
  <c r="AC406" i="96" s="1"/>
  <c r="AF379" i="96"/>
  <c r="AF405" i="96" s="1"/>
  <c r="AF406" i="96" s="1"/>
  <c r="P379" i="96"/>
  <c r="P405" i="96" s="1"/>
  <c r="P406" i="96" s="1"/>
  <c r="AM379" i="96"/>
  <c r="AM405" i="96" s="1"/>
  <c r="AM406" i="96" s="1"/>
  <c r="W379" i="96"/>
  <c r="W405" i="96" s="1"/>
  <c r="W406" i="96" s="1"/>
  <c r="AT379" i="96"/>
  <c r="AT405" i="96" s="1"/>
  <c r="AT406" i="96" s="1"/>
  <c r="AD379" i="96"/>
  <c r="AD405" i="96" s="1"/>
  <c r="AD406" i="96" s="1"/>
  <c r="N379" i="96"/>
  <c r="N405" i="96" s="1"/>
  <c r="N406" i="96" s="1"/>
  <c r="AB379" i="96"/>
  <c r="AB405" i="96" s="1"/>
  <c r="AB406" i="96" s="1"/>
  <c r="AI379" i="96"/>
  <c r="AI405" i="96" s="1"/>
  <c r="AI406" i="96" s="1"/>
  <c r="AP379" i="96"/>
  <c r="AP405" i="96" s="1"/>
  <c r="AP406" i="96" s="1"/>
  <c r="J379" i="96"/>
  <c r="J405" i="96" s="1"/>
  <c r="J406" i="96" s="1"/>
  <c r="Y379" i="96"/>
  <c r="Y405" i="96" s="1"/>
  <c r="Y406" i="96" s="1"/>
  <c r="AK379" i="96"/>
  <c r="AK405" i="96" s="1"/>
  <c r="AK406" i="96" s="1"/>
  <c r="AE303" i="96"/>
  <c r="AE329" i="96" s="1"/>
  <c r="AE330" i="96" s="1"/>
  <c r="O303" i="96"/>
  <c r="O329" i="96" s="1"/>
  <c r="O330" i="96" s="1"/>
  <c r="AP303" i="96"/>
  <c r="AP329" i="96" s="1"/>
  <c r="AP330" i="96" s="1"/>
  <c r="Z303" i="96"/>
  <c r="Z329" i="96" s="1"/>
  <c r="Z330" i="96" s="1"/>
  <c r="J303" i="96"/>
  <c r="J329" i="96" s="1"/>
  <c r="J330" i="96" s="1"/>
  <c r="AG303" i="96"/>
  <c r="AG329" i="96" s="1"/>
  <c r="AG330" i="96" s="1"/>
  <c r="Q303" i="96"/>
  <c r="Q329" i="96" s="1"/>
  <c r="Q330" i="96" s="1"/>
  <c r="T303" i="96"/>
  <c r="T329" i="96" s="1"/>
  <c r="T330" i="96" s="1"/>
  <c r="X303" i="96"/>
  <c r="X329" i="96" s="1"/>
  <c r="X330" i="96" s="1"/>
  <c r="AO227" i="96"/>
  <c r="AO253" i="96" s="1"/>
  <c r="AO254" i="96" s="1"/>
  <c r="Y227" i="96"/>
  <c r="Y253" i="96" s="1"/>
  <c r="Y254" i="96" s="1"/>
  <c r="I227" i="96"/>
  <c r="I253" i="96" s="1"/>
  <c r="I254" i="96" s="1"/>
  <c r="AJ227" i="96"/>
  <c r="AJ253" i="96" s="1"/>
  <c r="AJ254" i="96" s="1"/>
  <c r="T227" i="96"/>
  <c r="T253" i="96" s="1"/>
  <c r="T254" i="96" s="1"/>
  <c r="AQ227" i="96"/>
  <c r="AQ253" i="96" s="1"/>
  <c r="AQ254" i="96" s="1"/>
  <c r="AA227" i="96"/>
  <c r="AA253" i="96" s="1"/>
  <c r="AA254" i="96" s="1"/>
  <c r="K227" i="96"/>
  <c r="K253" i="96" s="1"/>
  <c r="K254" i="96" s="1"/>
  <c r="AT151" i="96"/>
  <c r="AT177" i="96" s="1"/>
  <c r="AT178" i="96" s="1"/>
  <c r="AD151" i="96"/>
  <c r="AD177" i="96" s="1"/>
  <c r="AD178" i="96" s="1"/>
  <c r="N151" i="96"/>
  <c r="N177" i="96" s="1"/>
  <c r="N178" i="96" s="1"/>
  <c r="AS151" i="96"/>
  <c r="AS177" i="96" s="1"/>
  <c r="AS178" i="96" s="1"/>
  <c r="AC151" i="96"/>
  <c r="AC177" i="96" s="1"/>
  <c r="AC178" i="96" s="1"/>
  <c r="M151" i="96"/>
  <c r="M177" i="96" s="1"/>
  <c r="M178" i="96" s="1"/>
  <c r="J227" i="96"/>
  <c r="J253" i="96" s="1"/>
  <c r="J254" i="96" s="1"/>
  <c r="AE151" i="96"/>
  <c r="AE177" i="96" s="1"/>
  <c r="AE178" i="96" s="1"/>
  <c r="O151" i="96"/>
  <c r="O177" i="96" s="1"/>
  <c r="O178" i="96" s="1"/>
  <c r="S75" i="96"/>
  <c r="S101" i="96" s="1"/>
  <c r="S102" i="96" s="1"/>
  <c r="AI75" i="96"/>
  <c r="AI101" i="96" s="1"/>
  <c r="AI102" i="96" s="1"/>
  <c r="AF151" i="96"/>
  <c r="AF177" i="96" s="1"/>
  <c r="AF178" i="96" s="1"/>
  <c r="P75" i="96"/>
  <c r="P101" i="96" s="1"/>
  <c r="P102" i="96" s="1"/>
  <c r="AF75" i="96"/>
  <c r="AF101" i="96" s="1"/>
  <c r="AF102" i="96" s="1"/>
  <c r="T151" i="96"/>
  <c r="T177" i="96" s="1"/>
  <c r="T178" i="96" s="1"/>
  <c r="Q75" i="96"/>
  <c r="Q101" i="96" s="1"/>
  <c r="Q102" i="96" s="1"/>
  <c r="AG75" i="96"/>
  <c r="AG101" i="96" s="1"/>
  <c r="AG102" i="96" s="1"/>
  <c r="G101" i="96"/>
  <c r="G102" i="96" s="1"/>
  <c r="N227" i="96"/>
  <c r="N253" i="96" s="1"/>
  <c r="N254" i="96" s="1"/>
  <c r="V75" i="96"/>
  <c r="V101" i="96" s="1"/>
  <c r="V102" i="96" s="1"/>
  <c r="AL75" i="96"/>
  <c r="AL101" i="96" s="1"/>
  <c r="AL102" i="96" s="1"/>
  <c r="AB151" i="96"/>
  <c r="AB177" i="96" s="1"/>
  <c r="AB178" i="96" s="1"/>
  <c r="AN379" i="96"/>
  <c r="AN405" i="96" s="1"/>
  <c r="AN406" i="96" s="1"/>
  <c r="H379" i="96"/>
  <c r="H405" i="96" s="1"/>
  <c r="H406" i="96" s="1"/>
  <c r="O379" i="96"/>
  <c r="O405" i="96" s="1"/>
  <c r="O406" i="96" s="1"/>
  <c r="V379" i="96"/>
  <c r="V405" i="96" s="1"/>
  <c r="V406" i="96" s="1"/>
  <c r="AO379" i="96"/>
  <c r="AO405" i="96" s="1"/>
  <c r="AO406" i="96" s="1"/>
  <c r="Q379" i="96"/>
  <c r="Q405" i="96" s="1"/>
  <c r="Q406" i="96" s="1"/>
  <c r="AI303" i="96"/>
  <c r="AI329" i="96" s="1"/>
  <c r="AI330" i="96" s="1"/>
  <c r="S303" i="96"/>
  <c r="S329" i="96" s="1"/>
  <c r="S330" i="96" s="1"/>
  <c r="AT303" i="96"/>
  <c r="AT329" i="96" s="1"/>
  <c r="AT330" i="96" s="1"/>
  <c r="AD303" i="96"/>
  <c r="AD329" i="96" s="1"/>
  <c r="AD330" i="96" s="1"/>
  <c r="N303" i="96"/>
  <c r="N329" i="96" s="1"/>
  <c r="N330" i="96" s="1"/>
  <c r="AK303" i="96"/>
  <c r="AK329" i="96" s="1"/>
  <c r="AK330" i="96" s="1"/>
  <c r="U303" i="96"/>
  <c r="U329" i="96" s="1"/>
  <c r="U330" i="96" s="1"/>
  <c r="AJ303" i="96"/>
  <c r="AJ329" i="96" s="1"/>
  <c r="AJ330" i="96" s="1"/>
  <c r="AN303" i="96"/>
  <c r="AN329" i="96" s="1"/>
  <c r="AN330" i="96" s="1"/>
  <c r="AS227" i="96"/>
  <c r="AS253" i="96" s="1"/>
  <c r="AS254" i="96" s="1"/>
  <c r="AC227" i="96"/>
  <c r="AC253" i="96" s="1"/>
  <c r="AC254" i="96" s="1"/>
  <c r="M227" i="96"/>
  <c r="M253" i="96" s="1"/>
  <c r="M254" i="96" s="1"/>
  <c r="AN227" i="96"/>
  <c r="AN253" i="96" s="1"/>
  <c r="AN254" i="96" s="1"/>
  <c r="X227" i="96"/>
  <c r="X253" i="96" s="1"/>
  <c r="X254" i="96" s="1"/>
  <c r="H227" i="96"/>
  <c r="H253" i="96" s="1"/>
  <c r="H254" i="96" s="1"/>
  <c r="AE227" i="96"/>
  <c r="AE253" i="96" s="1"/>
  <c r="AE254" i="96" s="1"/>
  <c r="O227" i="96"/>
  <c r="O253" i="96" s="1"/>
  <c r="O254" i="96" s="1"/>
  <c r="V227" i="96"/>
  <c r="V253" i="96" s="1"/>
  <c r="V254" i="96" s="1"/>
  <c r="AH151" i="96"/>
  <c r="AH177" i="96" s="1"/>
  <c r="AH178" i="96" s="1"/>
  <c r="R151" i="96"/>
  <c r="R177" i="96" s="1"/>
  <c r="R178" i="96" s="1"/>
  <c r="R227" i="96"/>
  <c r="R253" i="96" s="1"/>
  <c r="R254" i="96" s="1"/>
  <c r="AG151" i="96"/>
  <c r="AG177" i="96" s="1"/>
  <c r="AG178" i="96" s="1"/>
  <c r="Q151" i="96"/>
  <c r="Q177" i="96" s="1"/>
  <c r="Q178" i="96" s="1"/>
  <c r="Z227" i="96"/>
  <c r="Z253" i="96" s="1"/>
  <c r="Z254" i="96" s="1"/>
  <c r="AI151" i="96"/>
  <c r="AI177" i="96" s="1"/>
  <c r="AI178" i="96" s="1"/>
  <c r="S151" i="96"/>
  <c r="S177" i="96" s="1"/>
  <c r="S178" i="96" s="1"/>
  <c r="O75" i="96"/>
  <c r="O101" i="96" s="1"/>
  <c r="O102" i="96" s="1"/>
  <c r="AE75" i="96"/>
  <c r="AE101" i="96" s="1"/>
  <c r="AE102" i="96" s="1"/>
  <c r="P151" i="96"/>
  <c r="P177" i="96" s="1"/>
  <c r="P178" i="96" s="1"/>
  <c r="L75" i="96"/>
  <c r="L101" i="96" s="1"/>
  <c r="L102" i="96" s="1"/>
  <c r="AB75" i="96"/>
  <c r="AB101" i="96" s="1"/>
  <c r="AB102" i="96" s="1"/>
  <c r="AR75" i="96"/>
  <c r="AR101" i="96" s="1"/>
  <c r="AR102" i="96" s="1"/>
  <c r="M75" i="96"/>
  <c r="M101" i="96" s="1"/>
  <c r="M102" i="96" s="1"/>
  <c r="AC75" i="96"/>
  <c r="AC101" i="96" s="1"/>
  <c r="AC102" i="96" s="1"/>
  <c r="AS75" i="96"/>
  <c r="AS101" i="96" s="1"/>
  <c r="AS102" i="96" s="1"/>
  <c r="AN151" i="96"/>
  <c r="AN177" i="96" s="1"/>
  <c r="AN178" i="96" s="1"/>
  <c r="R75" i="96"/>
  <c r="R101" i="96" s="1"/>
  <c r="R102" i="96" s="1"/>
  <c r="AH75" i="96"/>
  <c r="AH101" i="96" s="1"/>
  <c r="AH102" i="96" s="1"/>
  <c r="L151" i="96"/>
  <c r="L177" i="96" s="1"/>
  <c r="L178" i="96" s="1"/>
  <c r="AE379" i="96"/>
  <c r="AE405" i="96" s="1"/>
  <c r="AE406" i="96" s="1"/>
  <c r="AS379" i="96"/>
  <c r="AS405" i="96" s="1"/>
  <c r="AS406" i="96" s="1"/>
  <c r="AQ303" i="96"/>
  <c r="AQ329" i="96" s="1"/>
  <c r="AQ330" i="96" s="1"/>
  <c r="K303" i="96"/>
  <c r="K329" i="96" s="1"/>
  <c r="K330" i="96" s="1"/>
  <c r="V303" i="96"/>
  <c r="V329" i="96" s="1"/>
  <c r="V330" i="96" s="1"/>
  <c r="AC303" i="96"/>
  <c r="AC329" i="96" s="1"/>
  <c r="AC330" i="96" s="1"/>
  <c r="AF303" i="96"/>
  <c r="AF329" i="96" s="1"/>
  <c r="AF330" i="96" s="1"/>
  <c r="AK227" i="96"/>
  <c r="AK253" i="96" s="1"/>
  <c r="AK254" i="96" s="1"/>
  <c r="L303" i="96"/>
  <c r="L329" i="96" s="1"/>
  <c r="L330" i="96" s="1"/>
  <c r="P227" i="96"/>
  <c r="P253" i="96" s="1"/>
  <c r="P254" i="96" s="1"/>
  <c r="W227" i="96"/>
  <c r="W253" i="96" s="1"/>
  <c r="W254" i="96" s="1"/>
  <c r="AP151" i="96"/>
  <c r="AP177" i="96" s="1"/>
  <c r="AP178" i="96" s="1"/>
  <c r="J151" i="96"/>
  <c r="J177" i="96" s="1"/>
  <c r="J178" i="96" s="1"/>
  <c r="Y151" i="96"/>
  <c r="Y177" i="96" s="1"/>
  <c r="Y178" i="96" s="1"/>
  <c r="AQ151" i="96"/>
  <c r="AQ177" i="96" s="1"/>
  <c r="AQ178" i="96" s="1"/>
  <c r="K151" i="96"/>
  <c r="K177" i="96" s="1"/>
  <c r="K178" i="96" s="1"/>
  <c r="AM75" i="96"/>
  <c r="AM101" i="96" s="1"/>
  <c r="AM102" i="96" s="1"/>
  <c r="AJ75" i="96"/>
  <c r="AJ101" i="96" s="1"/>
  <c r="AJ102" i="96" s="1"/>
  <c r="U75" i="96"/>
  <c r="U101" i="96" s="1"/>
  <c r="U102" i="96" s="1"/>
  <c r="H151" i="96"/>
  <c r="H177" i="96" s="1"/>
  <c r="H178" i="96" s="1"/>
  <c r="Z75" i="96"/>
  <c r="Z101" i="96" s="1"/>
  <c r="Z102" i="96" s="1"/>
  <c r="AR151" i="96"/>
  <c r="AR177" i="96" s="1"/>
  <c r="AR178" i="96" s="1"/>
  <c r="L379" i="96"/>
  <c r="L405" i="96" s="1"/>
  <c r="L406" i="96" s="1"/>
  <c r="Z379" i="96"/>
  <c r="Z405" i="96" s="1"/>
  <c r="Z406" i="96" s="1"/>
  <c r="AG379" i="96"/>
  <c r="AG405" i="96" s="1"/>
  <c r="AG406" i="96" s="1"/>
  <c r="W303" i="96"/>
  <c r="W329" i="96" s="1"/>
  <c r="W330" i="96" s="1"/>
  <c r="AH303" i="96"/>
  <c r="AH329" i="96" s="1"/>
  <c r="AH330" i="96" s="1"/>
  <c r="AO303" i="96"/>
  <c r="AO329" i="96" s="1"/>
  <c r="AO330" i="96" s="1"/>
  <c r="I303" i="96"/>
  <c r="I329" i="96" s="1"/>
  <c r="I330" i="96" s="1"/>
  <c r="AB303" i="96"/>
  <c r="AB329" i="96" s="1"/>
  <c r="AB330" i="96" s="1"/>
  <c r="Q227" i="96"/>
  <c r="Q253" i="96" s="1"/>
  <c r="Q254" i="96" s="1"/>
  <c r="AB227" i="96"/>
  <c r="AB253" i="96" s="1"/>
  <c r="AB254" i="96" s="1"/>
  <c r="AI227" i="96"/>
  <c r="AI253" i="96" s="1"/>
  <c r="AI254" i="96" s="1"/>
  <c r="AL227" i="96"/>
  <c r="AL253" i="96" s="1"/>
  <c r="AL254" i="96" s="1"/>
  <c r="V151" i="96"/>
  <c r="V177" i="96" s="1"/>
  <c r="V178" i="96" s="1"/>
  <c r="AK151" i="96"/>
  <c r="AK177" i="96" s="1"/>
  <c r="AK178" i="96" s="1"/>
  <c r="AP227" i="96"/>
  <c r="AP253" i="96" s="1"/>
  <c r="AP254" i="96" s="1"/>
  <c r="W151" i="96"/>
  <c r="W177" i="96" s="1"/>
  <c r="W178" i="96" s="1"/>
  <c r="AA75" i="96"/>
  <c r="AA101" i="96" s="1"/>
  <c r="AA102" i="96" s="1"/>
  <c r="X75" i="96"/>
  <c r="X101" i="96" s="1"/>
  <c r="X102" i="96" s="1"/>
  <c r="I75" i="96"/>
  <c r="I101" i="96" s="1"/>
  <c r="I102" i="96" s="1"/>
  <c r="AO75" i="96"/>
  <c r="AO101" i="96" s="1"/>
  <c r="AO102" i="96" s="1"/>
  <c r="N75" i="96"/>
  <c r="N101" i="96" s="1"/>
  <c r="N102" i="96" s="1"/>
  <c r="AT75" i="96"/>
  <c r="AT101" i="96" s="1"/>
  <c r="AT102" i="96" s="1"/>
  <c r="S379" i="96"/>
  <c r="S405" i="96" s="1"/>
  <c r="S406" i="96" s="1"/>
  <c r="AM303" i="96"/>
  <c r="AM329" i="96" s="1"/>
  <c r="AM330" i="96" s="1"/>
  <c r="R303" i="96"/>
  <c r="R329" i="96" s="1"/>
  <c r="R330" i="96" s="1"/>
  <c r="P303" i="96"/>
  <c r="P329" i="96" s="1"/>
  <c r="P330" i="96" s="1"/>
  <c r="AR227" i="96"/>
  <c r="AR253" i="96" s="1"/>
  <c r="AR254" i="96" s="1"/>
  <c r="S227" i="96"/>
  <c r="S253" i="96" s="1"/>
  <c r="S254" i="96" s="1"/>
  <c r="AH227" i="96"/>
  <c r="AH253" i="96" s="1"/>
  <c r="AH254" i="96" s="1"/>
  <c r="AM151" i="96"/>
  <c r="AM177" i="96" s="1"/>
  <c r="AM178" i="96" s="1"/>
  <c r="AQ75" i="96"/>
  <c r="AQ101" i="96" s="1"/>
  <c r="AQ102" i="96" s="1"/>
  <c r="AN75" i="96"/>
  <c r="AN101" i="96" s="1"/>
  <c r="AN102" i="96" s="1"/>
  <c r="X151" i="96"/>
  <c r="X177" i="96" s="1"/>
  <c r="X178" i="96" s="1"/>
  <c r="AD227" i="96"/>
  <c r="AD253" i="96" s="1"/>
  <c r="AD254" i="96" s="1"/>
  <c r="X379" i="96"/>
  <c r="X405" i="96" s="1"/>
  <c r="X406" i="96" s="1"/>
  <c r="I379" i="96"/>
  <c r="I405" i="96" s="1"/>
  <c r="I406" i="96" s="1"/>
  <c r="AL303" i="96"/>
  <c r="AL329" i="96" s="1"/>
  <c r="AL330" i="96" s="1"/>
  <c r="M303" i="96"/>
  <c r="M329" i="96" s="1"/>
  <c r="M330" i="96" s="1"/>
  <c r="U227" i="96"/>
  <c r="U253" i="96" s="1"/>
  <c r="U254" i="96" s="1"/>
  <c r="AM227" i="96"/>
  <c r="AM253" i="96" s="1"/>
  <c r="AM254" i="96" s="1"/>
  <c r="Z151" i="96"/>
  <c r="Z177" i="96" s="1"/>
  <c r="Z178" i="96" s="1"/>
  <c r="I151" i="96"/>
  <c r="I177" i="96" s="1"/>
  <c r="I178" i="96" s="1"/>
  <c r="W75" i="96"/>
  <c r="W101" i="96" s="1"/>
  <c r="W102" i="96" s="1"/>
  <c r="T75" i="96"/>
  <c r="T101" i="96" s="1"/>
  <c r="T102" i="96" s="1"/>
  <c r="AK75" i="96"/>
  <c r="AK101" i="96" s="1"/>
  <c r="AK102" i="96" s="1"/>
  <c r="AP75" i="96"/>
  <c r="AP101" i="96" s="1"/>
  <c r="AP102" i="96" s="1"/>
  <c r="AL379" i="96"/>
  <c r="AL405" i="96" s="1"/>
  <c r="AL406" i="96" s="1"/>
  <c r="AS303" i="96"/>
  <c r="AS329" i="96" s="1"/>
  <c r="AS330" i="96" s="1"/>
  <c r="AF227" i="96"/>
  <c r="AF253" i="96" s="1"/>
  <c r="AF254" i="96" s="1"/>
  <c r="AO151" i="96"/>
  <c r="AO177" i="96" s="1"/>
  <c r="AO178" i="96" s="1"/>
  <c r="AT227" i="96"/>
  <c r="AT253" i="96" s="1"/>
  <c r="AT254" i="96" s="1"/>
  <c r="J75" i="96"/>
  <c r="J101" i="96" s="1"/>
  <c r="J102" i="96" s="1"/>
  <c r="M379" i="96"/>
  <c r="M405" i="96" s="1"/>
  <c r="M406" i="96" s="1"/>
  <c r="Y303" i="96"/>
  <c r="Y329" i="96" s="1"/>
  <c r="Y330" i="96" s="1"/>
  <c r="L227" i="96"/>
  <c r="L253" i="96" s="1"/>
  <c r="L254" i="96" s="1"/>
  <c r="U151" i="96"/>
  <c r="U177" i="96" s="1"/>
  <c r="U178" i="96" s="1"/>
  <c r="H75" i="96"/>
  <c r="H101" i="96" s="1"/>
  <c r="H102" i="96" s="1"/>
  <c r="AD75" i="96"/>
  <c r="AD101" i="96" s="1"/>
  <c r="AD102" i="96" s="1"/>
  <c r="AA303" i="96"/>
  <c r="AA329" i="96" s="1"/>
  <c r="AA330" i="96" s="1"/>
  <c r="H303" i="96"/>
  <c r="H329" i="96" s="1"/>
  <c r="H330" i="96" s="1"/>
  <c r="AR303" i="96"/>
  <c r="AR329" i="96" s="1"/>
  <c r="AR330" i="96" s="1"/>
  <c r="AA151" i="96"/>
  <c r="AA177" i="96" s="1"/>
  <c r="AA178" i="96" s="1"/>
  <c r="AJ151" i="96"/>
  <c r="AJ177" i="96" s="1"/>
  <c r="AJ178" i="96" s="1"/>
  <c r="AR379" i="96"/>
  <c r="AR405" i="96" s="1"/>
  <c r="AR406" i="96" s="1"/>
  <c r="U379" i="96"/>
  <c r="U405" i="96" s="1"/>
  <c r="U406" i="96" s="1"/>
  <c r="AG227" i="96"/>
  <c r="AG253" i="96" s="1"/>
  <c r="AG254" i="96" s="1"/>
  <c r="AL151" i="96"/>
  <c r="AL177" i="96" s="1"/>
  <c r="AL178" i="96" s="1"/>
  <c r="K75" i="96"/>
  <c r="K101" i="96" s="1"/>
  <c r="K102" i="96" s="1"/>
  <c r="Y75" i="96"/>
  <c r="Y101" i="96" s="1"/>
  <c r="Y102" i="96" s="1"/>
  <c r="AI379" i="88"/>
  <c r="AI405" i="88" s="1"/>
  <c r="AI406" i="88" s="1"/>
  <c r="S379" i="88"/>
  <c r="S405" i="88" s="1"/>
  <c r="S406" i="88" s="1"/>
  <c r="AL379" i="88"/>
  <c r="AL405" i="88" s="1"/>
  <c r="AL406" i="88" s="1"/>
  <c r="Q379" i="88"/>
  <c r="Q405" i="88" s="1"/>
  <c r="Q406" i="88" s="1"/>
  <c r="AK303" i="88"/>
  <c r="AK329" i="88" s="1"/>
  <c r="AK330" i="88" s="1"/>
  <c r="U303" i="88"/>
  <c r="U329" i="88" s="1"/>
  <c r="U330" i="88" s="1"/>
  <c r="AP379" i="88"/>
  <c r="AP405" i="88" s="1"/>
  <c r="AP406" i="88" s="1"/>
  <c r="N379" i="88"/>
  <c r="N405" i="88" s="1"/>
  <c r="N406" i="88" s="1"/>
  <c r="AH303" i="88"/>
  <c r="AH329" i="88" s="1"/>
  <c r="AH330" i="88" s="1"/>
  <c r="L303" i="88"/>
  <c r="L329" i="88" s="1"/>
  <c r="L330" i="88" s="1"/>
  <c r="AH227" i="88"/>
  <c r="AH253" i="88" s="1"/>
  <c r="AH254" i="88" s="1"/>
  <c r="R227" i="88"/>
  <c r="R253" i="88" s="1"/>
  <c r="R254" i="88" s="1"/>
  <c r="AP151" i="88"/>
  <c r="AP177" i="88" s="1"/>
  <c r="AP178" i="88" s="1"/>
  <c r="Z151" i="88"/>
  <c r="Z177" i="88" s="1"/>
  <c r="Z178" i="88" s="1"/>
  <c r="J151" i="88"/>
  <c r="J177" i="88" s="1"/>
  <c r="J178" i="88" s="1"/>
  <c r="AH75" i="88"/>
  <c r="AH101" i="88" s="1"/>
  <c r="AH102" i="88" s="1"/>
  <c r="R75" i="88"/>
  <c r="R101" i="88" s="1"/>
  <c r="R102" i="88" s="1"/>
  <c r="AH379" i="88"/>
  <c r="AH405" i="88" s="1"/>
  <c r="AH406" i="88" s="1"/>
  <c r="AK379" i="88"/>
  <c r="AK405" i="88" s="1"/>
  <c r="AK406" i="88" s="1"/>
  <c r="AI303" i="88"/>
  <c r="AI329" i="88" s="1"/>
  <c r="AI330" i="88" s="1"/>
  <c r="AS227" i="88"/>
  <c r="AS253" i="88" s="1"/>
  <c r="AS254" i="88" s="1"/>
  <c r="X227" i="88"/>
  <c r="X253" i="88" s="1"/>
  <c r="X254" i="88" s="1"/>
  <c r="AO151" i="88"/>
  <c r="AO177" i="88" s="1"/>
  <c r="AO178" i="88" s="1"/>
  <c r="T151" i="88"/>
  <c r="T177" i="88" s="1"/>
  <c r="T178" i="88" s="1"/>
  <c r="AN75" i="88"/>
  <c r="AN101" i="88" s="1"/>
  <c r="AN102" i="88" s="1"/>
  <c r="S75" i="88"/>
  <c r="S101" i="88" s="1"/>
  <c r="S102" i="88" s="1"/>
  <c r="AF379" i="88"/>
  <c r="AF405" i="88" s="1"/>
  <c r="AF406" i="88" s="1"/>
  <c r="Z303" i="88"/>
  <c r="Z329" i="88" s="1"/>
  <c r="Z330" i="88" s="1"/>
  <c r="AM227" i="88"/>
  <c r="AM253" i="88" s="1"/>
  <c r="AM254" i="88" s="1"/>
  <c r="Q227" i="88"/>
  <c r="Q253" i="88" s="1"/>
  <c r="Q254" i="88" s="1"/>
  <c r="AI151" i="88"/>
  <c r="AI177" i="88" s="1"/>
  <c r="AI178" i="88" s="1"/>
  <c r="M151" i="88"/>
  <c r="M177" i="88" s="1"/>
  <c r="M178" i="88" s="1"/>
  <c r="AM75" i="88"/>
  <c r="AM101" i="88" s="1"/>
  <c r="AM102" i="88" s="1"/>
  <c r="Q75" i="88"/>
  <c r="Q101" i="88" s="1"/>
  <c r="Q102" i="88" s="1"/>
  <c r="P379" i="88"/>
  <c r="P405" i="88" s="1"/>
  <c r="P406" i="88" s="1"/>
  <c r="X303" i="88"/>
  <c r="X329" i="88" s="1"/>
  <c r="X330" i="88" s="1"/>
  <c r="AK227" i="88"/>
  <c r="AK253" i="88" s="1"/>
  <c r="AK254" i="88" s="1"/>
  <c r="P227" i="88"/>
  <c r="P253" i="88" s="1"/>
  <c r="P254" i="88" s="1"/>
  <c r="AG151" i="88"/>
  <c r="AG177" i="88" s="1"/>
  <c r="AG178" i="88" s="1"/>
  <c r="L151" i="88"/>
  <c r="L177" i="88" s="1"/>
  <c r="L178" i="88" s="1"/>
  <c r="AA75" i="88"/>
  <c r="AA101" i="88" s="1"/>
  <c r="AA102" i="88" s="1"/>
  <c r="AN379" i="88"/>
  <c r="AN405" i="88" s="1"/>
  <c r="AN406" i="88" s="1"/>
  <c r="AJ303" i="88"/>
  <c r="AJ329" i="88" s="1"/>
  <c r="AJ330" i="88" s="1"/>
  <c r="H303" i="88"/>
  <c r="H329" i="88" s="1"/>
  <c r="H330" i="88" s="1"/>
  <c r="Y227" i="88"/>
  <c r="Y253" i="88" s="1"/>
  <c r="Y254" i="88" s="1"/>
  <c r="AK151" i="88"/>
  <c r="AK177" i="88" s="1"/>
  <c r="AK178" i="88" s="1"/>
  <c r="AA151" i="88"/>
  <c r="AA177" i="88" s="1"/>
  <c r="AA178" i="88" s="1"/>
  <c r="AF151" i="88"/>
  <c r="AF177" i="88" s="1"/>
  <c r="AF178" i="88" s="1"/>
  <c r="T75" i="88"/>
  <c r="T101" i="88" s="1"/>
  <c r="T102" i="88" s="1"/>
  <c r="AE379" i="88"/>
  <c r="AE405" i="88" s="1"/>
  <c r="AE406" i="88" s="1"/>
  <c r="O379" i="88"/>
  <c r="O405" i="88" s="1"/>
  <c r="O406" i="88" s="1"/>
  <c r="AG379" i="88"/>
  <c r="AG405" i="88" s="1"/>
  <c r="AG406" i="88" s="1"/>
  <c r="L379" i="88"/>
  <c r="L405" i="88" s="1"/>
  <c r="L406" i="88" s="1"/>
  <c r="AG303" i="88"/>
  <c r="AG329" i="88" s="1"/>
  <c r="AG330" i="88" s="1"/>
  <c r="Q303" i="88"/>
  <c r="Q329" i="88" s="1"/>
  <c r="Q330" i="88" s="1"/>
  <c r="AJ379" i="88"/>
  <c r="AJ405" i="88" s="1"/>
  <c r="AJ406" i="88" s="1"/>
  <c r="H379" i="88"/>
  <c r="H405" i="88" s="1"/>
  <c r="H406" i="88" s="1"/>
  <c r="AB303" i="88"/>
  <c r="AB329" i="88" s="1"/>
  <c r="AB330" i="88" s="1"/>
  <c r="AT227" i="88"/>
  <c r="AT253" i="88" s="1"/>
  <c r="AT254" i="88" s="1"/>
  <c r="AD227" i="88"/>
  <c r="AD253" i="88" s="1"/>
  <c r="AD254" i="88" s="1"/>
  <c r="N227" i="88"/>
  <c r="N253" i="88" s="1"/>
  <c r="N254" i="88" s="1"/>
  <c r="AL151" i="88"/>
  <c r="AL177" i="88" s="1"/>
  <c r="AL178" i="88" s="1"/>
  <c r="V151" i="88"/>
  <c r="V177" i="88" s="1"/>
  <c r="V178" i="88" s="1"/>
  <c r="AT75" i="88"/>
  <c r="AT101" i="88" s="1"/>
  <c r="AT102" i="88" s="1"/>
  <c r="AD75" i="88"/>
  <c r="AD101" i="88" s="1"/>
  <c r="AD102" i="88" s="1"/>
  <c r="N75" i="88"/>
  <c r="N101" i="88" s="1"/>
  <c r="N102" i="88" s="1"/>
  <c r="Z379" i="88"/>
  <c r="Z405" i="88" s="1"/>
  <c r="Z406" i="88" s="1"/>
  <c r="X379" i="88"/>
  <c r="X405" i="88" s="1"/>
  <c r="X406" i="88" s="1"/>
  <c r="AA303" i="88"/>
  <c r="AA329" i="88" s="1"/>
  <c r="AA330" i="88" s="1"/>
  <c r="AN227" i="88"/>
  <c r="AN253" i="88" s="1"/>
  <c r="AN254" i="88" s="1"/>
  <c r="S227" i="88"/>
  <c r="S253" i="88" s="1"/>
  <c r="S254" i="88" s="1"/>
  <c r="AJ151" i="88"/>
  <c r="AJ177" i="88" s="1"/>
  <c r="AJ178" i="88" s="1"/>
  <c r="O151" i="88"/>
  <c r="O177" i="88" s="1"/>
  <c r="O178" i="88" s="1"/>
  <c r="AI75" i="88"/>
  <c r="AI101" i="88" s="1"/>
  <c r="AI102" i="88" s="1"/>
  <c r="M75" i="88"/>
  <c r="M101" i="88" s="1"/>
  <c r="M102" i="88" s="1"/>
  <c r="R379" i="88"/>
  <c r="R405" i="88" s="1"/>
  <c r="R406" i="88" s="1"/>
  <c r="S303" i="88"/>
  <c r="S329" i="88" s="1"/>
  <c r="S330" i="88" s="1"/>
  <c r="AG227" i="88"/>
  <c r="AG253" i="88" s="1"/>
  <c r="AG254" i="88" s="1"/>
  <c r="L227" i="88"/>
  <c r="L253" i="88" s="1"/>
  <c r="L254" i="88" s="1"/>
  <c r="AC151" i="88"/>
  <c r="AC177" i="88" s="1"/>
  <c r="AC178" i="88" s="1"/>
  <c r="H151" i="88"/>
  <c r="H177" i="88" s="1"/>
  <c r="H178" i="88" s="1"/>
  <c r="AG75" i="88"/>
  <c r="AG101" i="88" s="1"/>
  <c r="AG102" i="88" s="1"/>
  <c r="L75" i="88"/>
  <c r="L101" i="88" s="1"/>
  <c r="L102" i="88" s="1"/>
  <c r="AT303" i="88"/>
  <c r="AT329" i="88" s="1"/>
  <c r="AT330" i="88" s="1"/>
  <c r="P303" i="88"/>
  <c r="P329" i="88" s="1"/>
  <c r="P330" i="88" s="1"/>
  <c r="AF227" i="88"/>
  <c r="AF253" i="88" s="1"/>
  <c r="AF254" i="88" s="1"/>
  <c r="K227" i="88"/>
  <c r="K253" i="88" s="1"/>
  <c r="K254" i="88" s="1"/>
  <c r="AB151" i="88"/>
  <c r="AB177" i="88" s="1"/>
  <c r="AB178" i="88" s="1"/>
  <c r="AQ75" i="88"/>
  <c r="AQ101" i="88" s="1"/>
  <c r="AQ102" i="88" s="1"/>
  <c r="U75" i="88"/>
  <c r="U101" i="88" s="1"/>
  <c r="U102" i="88" s="1"/>
  <c r="Y379" i="88"/>
  <c r="Y405" i="88" s="1"/>
  <c r="Y406" i="88" s="1"/>
  <c r="AD303" i="88"/>
  <c r="AD329" i="88" s="1"/>
  <c r="AD330" i="88" s="1"/>
  <c r="AO227" i="88"/>
  <c r="AO253" i="88" s="1"/>
  <c r="AO254" i="88" s="1"/>
  <c r="T227" i="88"/>
  <c r="T253" i="88" s="1"/>
  <c r="T254" i="88" s="1"/>
  <c r="P151" i="88"/>
  <c r="P177" i="88" s="1"/>
  <c r="P178" i="88" s="1"/>
  <c r="K151" i="88"/>
  <c r="K177" i="88" s="1"/>
  <c r="K178" i="88" s="1"/>
  <c r="AE75" i="88"/>
  <c r="AE101" i="88" s="1"/>
  <c r="AE102" i="88" s="1"/>
  <c r="Y75" i="88"/>
  <c r="Y101" i="88" s="1"/>
  <c r="Y102" i="88" s="1"/>
  <c r="AQ379" i="88"/>
  <c r="AQ405" i="88" s="1"/>
  <c r="AQ406" i="88" s="1"/>
  <c r="AA379" i="88"/>
  <c r="AA405" i="88" s="1"/>
  <c r="AA406" i="88" s="1"/>
  <c r="K379" i="88"/>
  <c r="K405" i="88" s="1"/>
  <c r="K406" i="88" s="1"/>
  <c r="AB379" i="88"/>
  <c r="AB405" i="88" s="1"/>
  <c r="AB406" i="88" s="1"/>
  <c r="AS303" i="88"/>
  <c r="AS329" i="88" s="1"/>
  <c r="AS330" i="88" s="1"/>
  <c r="AC303" i="88"/>
  <c r="AC329" i="88" s="1"/>
  <c r="AC330" i="88" s="1"/>
  <c r="M303" i="88"/>
  <c r="M329" i="88" s="1"/>
  <c r="M330" i="88" s="1"/>
  <c r="AC379" i="88"/>
  <c r="AC405" i="88" s="1"/>
  <c r="AC406" i="88" s="1"/>
  <c r="AR303" i="88"/>
  <c r="AR329" i="88" s="1"/>
  <c r="AR330" i="88" s="1"/>
  <c r="W303" i="88"/>
  <c r="W329" i="88" s="1"/>
  <c r="W330" i="88" s="1"/>
  <c r="AP227" i="88"/>
  <c r="AP253" i="88" s="1"/>
  <c r="AP254" i="88" s="1"/>
  <c r="Z227" i="88"/>
  <c r="Z253" i="88" s="1"/>
  <c r="Z254" i="88" s="1"/>
  <c r="J227" i="88"/>
  <c r="J253" i="88" s="1"/>
  <c r="J254" i="88" s="1"/>
  <c r="AH151" i="88"/>
  <c r="AH177" i="88" s="1"/>
  <c r="AH178" i="88" s="1"/>
  <c r="R151" i="88"/>
  <c r="R177" i="88" s="1"/>
  <c r="R178" i="88" s="1"/>
  <c r="AP75" i="88"/>
  <c r="AP101" i="88" s="1"/>
  <c r="AP102" i="88" s="1"/>
  <c r="Z75" i="88"/>
  <c r="Z101" i="88" s="1"/>
  <c r="Z102" i="88" s="1"/>
  <c r="J75" i="88"/>
  <c r="J101" i="88" s="1"/>
  <c r="J102" i="88" s="1"/>
  <c r="T379" i="88"/>
  <c r="T405" i="88" s="1"/>
  <c r="T406" i="88" s="1"/>
  <c r="I379" i="88"/>
  <c r="I405" i="88" s="1"/>
  <c r="I406" i="88" s="1"/>
  <c r="T303" i="88"/>
  <c r="T329" i="88" s="1"/>
  <c r="T330" i="88" s="1"/>
  <c r="AI227" i="88"/>
  <c r="AI253" i="88" s="1"/>
  <c r="AI254" i="88" s="1"/>
  <c r="M227" i="88"/>
  <c r="M253" i="88" s="1"/>
  <c r="M254" i="88" s="1"/>
  <c r="AE151" i="88"/>
  <c r="AE177" i="88" s="1"/>
  <c r="AE178" i="88" s="1"/>
  <c r="I151" i="88"/>
  <c r="I177" i="88" s="1"/>
  <c r="I178" i="88" s="1"/>
  <c r="AC75" i="88"/>
  <c r="AC101" i="88" s="1"/>
  <c r="AC102" i="88" s="1"/>
  <c r="H75" i="88"/>
  <c r="H101" i="88" s="1"/>
  <c r="H102" i="88" s="1"/>
  <c r="AN303" i="88"/>
  <c r="AN329" i="88" s="1"/>
  <c r="AN330" i="88" s="1"/>
  <c r="K303" i="88"/>
  <c r="K329" i="88" s="1"/>
  <c r="K330" i="88" s="1"/>
  <c r="AB227" i="88"/>
  <c r="AB253" i="88" s="1"/>
  <c r="AB254" i="88" s="1"/>
  <c r="AS151" i="88"/>
  <c r="AS177" i="88" s="1"/>
  <c r="AS178" i="88" s="1"/>
  <c r="X151" i="88"/>
  <c r="X177" i="88" s="1"/>
  <c r="X178" i="88" s="1"/>
  <c r="G101" i="88"/>
  <c r="G102" i="88" s="1"/>
  <c r="AB75" i="88"/>
  <c r="AB101" i="88" s="1"/>
  <c r="AB102" i="88" s="1"/>
  <c r="AS379" i="88"/>
  <c r="AS405" i="88" s="1"/>
  <c r="AS406" i="88" s="1"/>
  <c r="AL303" i="88"/>
  <c r="AL329" i="88" s="1"/>
  <c r="AL330" i="88" s="1"/>
  <c r="J303" i="88"/>
  <c r="J329" i="88" s="1"/>
  <c r="J330" i="88" s="1"/>
  <c r="AA227" i="88"/>
  <c r="AA253" i="88" s="1"/>
  <c r="AA254" i="88" s="1"/>
  <c r="AR151" i="88"/>
  <c r="AR177" i="88" s="1"/>
  <c r="AR178" i="88" s="1"/>
  <c r="W151" i="88"/>
  <c r="W177" i="88" s="1"/>
  <c r="W178" i="88" s="1"/>
  <c r="AK75" i="88"/>
  <c r="AK101" i="88" s="1"/>
  <c r="AK102" i="88" s="1"/>
  <c r="P75" i="88"/>
  <c r="P101" i="88" s="1"/>
  <c r="P102" i="88" s="1"/>
  <c r="J379" i="88"/>
  <c r="J405" i="88" s="1"/>
  <c r="J406" i="88" s="1"/>
  <c r="V303" i="88"/>
  <c r="V329" i="88" s="1"/>
  <c r="V330" i="88" s="1"/>
  <c r="AJ227" i="88"/>
  <c r="AJ253" i="88" s="1"/>
  <c r="AJ254" i="88" s="1"/>
  <c r="O227" i="88"/>
  <c r="O253" i="88" s="1"/>
  <c r="O254" i="88" s="1"/>
  <c r="AQ151" i="88"/>
  <c r="AQ177" i="88" s="1"/>
  <c r="AQ178" i="88" s="1"/>
  <c r="AJ75" i="88"/>
  <c r="AJ101" i="88" s="1"/>
  <c r="AJ102" i="88" s="1"/>
  <c r="I75" i="88"/>
  <c r="I101" i="88" s="1"/>
  <c r="I102" i="88" s="1"/>
  <c r="AM379" i="88"/>
  <c r="AM405" i="88" s="1"/>
  <c r="AM406" i="88" s="1"/>
  <c r="W379" i="88"/>
  <c r="W405" i="88" s="1"/>
  <c r="W406" i="88" s="1"/>
  <c r="AR379" i="88"/>
  <c r="AR405" i="88" s="1"/>
  <c r="AR406" i="88" s="1"/>
  <c r="V379" i="88"/>
  <c r="V405" i="88" s="1"/>
  <c r="V406" i="88" s="1"/>
  <c r="AO303" i="88"/>
  <c r="AO329" i="88" s="1"/>
  <c r="AO330" i="88" s="1"/>
  <c r="Y303" i="88"/>
  <c r="Y329" i="88" s="1"/>
  <c r="Y330" i="88" s="1"/>
  <c r="I303" i="88"/>
  <c r="I329" i="88" s="1"/>
  <c r="I330" i="88" s="1"/>
  <c r="U379" i="88"/>
  <c r="U405" i="88" s="1"/>
  <c r="U406" i="88" s="1"/>
  <c r="AM303" i="88"/>
  <c r="AM329" i="88" s="1"/>
  <c r="AM330" i="88" s="1"/>
  <c r="R303" i="88"/>
  <c r="R329" i="88" s="1"/>
  <c r="R330" i="88" s="1"/>
  <c r="AL227" i="88"/>
  <c r="AL253" i="88" s="1"/>
  <c r="AL254" i="88" s="1"/>
  <c r="V227" i="88"/>
  <c r="V253" i="88" s="1"/>
  <c r="V254" i="88" s="1"/>
  <c r="AT151" i="88"/>
  <c r="AT177" i="88" s="1"/>
  <c r="AT178" i="88" s="1"/>
  <c r="AD151" i="88"/>
  <c r="AD177" i="88" s="1"/>
  <c r="AD178" i="88" s="1"/>
  <c r="N151" i="88"/>
  <c r="N177" i="88" s="1"/>
  <c r="N178" i="88" s="1"/>
  <c r="AL75" i="88"/>
  <c r="AL101" i="88" s="1"/>
  <c r="AL102" i="88" s="1"/>
  <c r="V75" i="88"/>
  <c r="V101" i="88" s="1"/>
  <c r="V102" i="88" s="1"/>
  <c r="AO379" i="88"/>
  <c r="AO405" i="88" s="1"/>
  <c r="AO406" i="88" s="1"/>
  <c r="M379" i="88"/>
  <c r="M405" i="88" s="1"/>
  <c r="M406" i="88" s="1"/>
  <c r="AP303" i="88"/>
  <c r="AP329" i="88" s="1"/>
  <c r="AP330" i="88" s="1"/>
  <c r="N303" i="88"/>
  <c r="N329" i="88" s="1"/>
  <c r="N330" i="88" s="1"/>
  <c r="AC227" i="88"/>
  <c r="AC253" i="88" s="1"/>
  <c r="AC254" i="88" s="1"/>
  <c r="H227" i="88"/>
  <c r="H253" i="88" s="1"/>
  <c r="H254" i="88" s="1"/>
  <c r="Y151" i="88"/>
  <c r="Y177" i="88" s="1"/>
  <c r="Y178" i="88" s="1"/>
  <c r="AS75" i="88"/>
  <c r="AS101" i="88" s="1"/>
  <c r="AS102" i="88" s="1"/>
  <c r="X75" i="88"/>
  <c r="X101" i="88" s="1"/>
  <c r="X102" i="88" s="1"/>
  <c r="AT379" i="88"/>
  <c r="AT405" i="88" s="1"/>
  <c r="AT406" i="88" s="1"/>
  <c r="AF303" i="88"/>
  <c r="AF329" i="88" s="1"/>
  <c r="AF330" i="88" s="1"/>
  <c r="AR227" i="88"/>
  <c r="AR253" i="88" s="1"/>
  <c r="AR254" i="88" s="1"/>
  <c r="W227" i="88"/>
  <c r="W253" i="88" s="1"/>
  <c r="W254" i="88" s="1"/>
  <c r="AN151" i="88"/>
  <c r="AN177" i="88" s="1"/>
  <c r="AN178" i="88" s="1"/>
  <c r="S151" i="88"/>
  <c r="S177" i="88" s="1"/>
  <c r="S178" i="88" s="1"/>
  <c r="AR75" i="88"/>
  <c r="AR101" i="88" s="1"/>
  <c r="AR102" i="88" s="1"/>
  <c r="W75" i="88"/>
  <c r="W101" i="88" s="1"/>
  <c r="W102" i="88" s="1"/>
  <c r="AD379" i="88"/>
  <c r="AD405" i="88" s="1"/>
  <c r="AD406" i="88" s="1"/>
  <c r="AE303" i="88"/>
  <c r="AE329" i="88" s="1"/>
  <c r="AE330" i="88" s="1"/>
  <c r="AQ227" i="88"/>
  <c r="AQ253" i="88" s="1"/>
  <c r="AQ254" i="88" s="1"/>
  <c r="U227" i="88"/>
  <c r="U253" i="88" s="1"/>
  <c r="U254" i="88" s="1"/>
  <c r="AM151" i="88"/>
  <c r="AM177" i="88" s="1"/>
  <c r="AM178" i="88" s="1"/>
  <c r="Q151" i="88"/>
  <c r="Q177" i="88" s="1"/>
  <c r="Q178" i="88" s="1"/>
  <c r="AF75" i="88"/>
  <c r="AF101" i="88" s="1"/>
  <c r="AF102" i="88" s="1"/>
  <c r="K75" i="88"/>
  <c r="K101" i="88" s="1"/>
  <c r="K102" i="88" s="1"/>
  <c r="AQ303" i="88"/>
  <c r="AQ329" i="88" s="1"/>
  <c r="AQ330" i="88" s="1"/>
  <c r="O303" i="88"/>
  <c r="O329" i="88" s="1"/>
  <c r="O330" i="88" s="1"/>
  <c r="AE227" i="88"/>
  <c r="AE253" i="88" s="1"/>
  <c r="AE254" i="88" s="1"/>
  <c r="I227" i="88"/>
  <c r="I253" i="88" s="1"/>
  <c r="I254" i="88" s="1"/>
  <c r="U151" i="88"/>
  <c r="U177" i="88" s="1"/>
  <c r="U178" i="88" s="1"/>
  <c r="O75" i="88"/>
  <c r="O101" i="88" s="1"/>
  <c r="O102" i="88" s="1"/>
  <c r="AO75" i="88"/>
  <c r="AO101" i="88" s="1"/>
  <c r="AO102" i="88" s="1"/>
  <c r="AI379" i="92"/>
  <c r="AI405" i="92" s="1"/>
  <c r="AI406" i="92" s="1"/>
  <c r="S379" i="92"/>
  <c r="S405" i="92" s="1"/>
  <c r="S406" i="92" s="1"/>
  <c r="AN379" i="92"/>
  <c r="AN405" i="92" s="1"/>
  <c r="AN406" i="92" s="1"/>
  <c r="X379" i="92"/>
  <c r="X405" i="92" s="1"/>
  <c r="X406" i="92" s="1"/>
  <c r="H379" i="92"/>
  <c r="H405" i="92" s="1"/>
  <c r="H406" i="92" s="1"/>
  <c r="R379" i="92"/>
  <c r="R405" i="92" s="1"/>
  <c r="R406" i="92" s="1"/>
  <c r="Y379" i="92"/>
  <c r="Y405" i="92" s="1"/>
  <c r="Y406" i="92" s="1"/>
  <c r="V379" i="92"/>
  <c r="V405" i="92" s="1"/>
  <c r="V406" i="92" s="1"/>
  <c r="AL379" i="92"/>
  <c r="AL405" i="92" s="1"/>
  <c r="AL406" i="92" s="1"/>
  <c r="AO303" i="92"/>
  <c r="AO329" i="92" s="1"/>
  <c r="AO330" i="92" s="1"/>
  <c r="Y303" i="92"/>
  <c r="Y329" i="92" s="1"/>
  <c r="Y330" i="92" s="1"/>
  <c r="I303" i="92"/>
  <c r="I329" i="92" s="1"/>
  <c r="I330" i="92" s="1"/>
  <c r="AJ303" i="92"/>
  <c r="AJ329" i="92" s="1"/>
  <c r="AJ330" i="92" s="1"/>
  <c r="T303" i="92"/>
  <c r="T329" i="92" s="1"/>
  <c r="T330" i="92" s="1"/>
  <c r="AM303" i="92"/>
  <c r="AM329" i="92" s="1"/>
  <c r="AM330" i="92" s="1"/>
  <c r="AS227" i="92"/>
  <c r="AS253" i="92" s="1"/>
  <c r="AS254" i="92" s="1"/>
  <c r="AC227" i="92"/>
  <c r="AC253" i="92" s="1"/>
  <c r="AC254" i="92" s="1"/>
  <c r="M227" i="92"/>
  <c r="M253" i="92" s="1"/>
  <c r="M254" i="92" s="1"/>
  <c r="Z303" i="92"/>
  <c r="Z329" i="92" s="1"/>
  <c r="Z330" i="92" s="1"/>
  <c r="AP227" i="92"/>
  <c r="AP253" i="92" s="1"/>
  <c r="AP254" i="92" s="1"/>
  <c r="Z227" i="92"/>
  <c r="Z253" i="92" s="1"/>
  <c r="Z254" i="92" s="1"/>
  <c r="J227" i="92"/>
  <c r="J253" i="92" s="1"/>
  <c r="J254" i="92" s="1"/>
  <c r="N303" i="92"/>
  <c r="N329" i="92" s="1"/>
  <c r="N330" i="92" s="1"/>
  <c r="O227" i="92"/>
  <c r="O253" i="92" s="1"/>
  <c r="O254" i="92" s="1"/>
  <c r="AF227" i="92"/>
  <c r="AF253" i="92" s="1"/>
  <c r="AF254" i="92" s="1"/>
  <c r="AQ303" i="92"/>
  <c r="AQ329" i="92" s="1"/>
  <c r="AQ330" i="92" s="1"/>
  <c r="L227" i="92"/>
  <c r="L253" i="92" s="1"/>
  <c r="L254" i="92" s="1"/>
  <c r="AF151" i="92"/>
  <c r="AF177" i="92" s="1"/>
  <c r="AF178" i="92" s="1"/>
  <c r="P151" i="92"/>
  <c r="P177" i="92" s="1"/>
  <c r="P178" i="92" s="1"/>
  <c r="AN75" i="92"/>
  <c r="AN101" i="92" s="1"/>
  <c r="AN102" i="92" s="1"/>
  <c r="X75" i="92"/>
  <c r="X101" i="92" s="1"/>
  <c r="X102" i="92" s="1"/>
  <c r="H75" i="92"/>
  <c r="H101" i="92" s="1"/>
  <c r="H102" i="92" s="1"/>
  <c r="K227" i="92"/>
  <c r="K253" i="92" s="1"/>
  <c r="K254" i="92" s="1"/>
  <c r="AE151" i="92"/>
  <c r="AE177" i="92" s="1"/>
  <c r="AE178" i="92" s="1"/>
  <c r="O151" i="92"/>
  <c r="O177" i="92" s="1"/>
  <c r="O178" i="92" s="1"/>
  <c r="AI75" i="92"/>
  <c r="AI101" i="92" s="1"/>
  <c r="AI102" i="92" s="1"/>
  <c r="S75" i="92"/>
  <c r="S101" i="92" s="1"/>
  <c r="S102" i="92" s="1"/>
  <c r="AJ227" i="92"/>
  <c r="AJ253" i="92" s="1"/>
  <c r="AJ254" i="92" s="1"/>
  <c r="AK151" i="92"/>
  <c r="AK177" i="92" s="1"/>
  <c r="AK178" i="92" s="1"/>
  <c r="G101" i="92"/>
  <c r="G102" i="92" s="1"/>
  <c r="Q75" i="92"/>
  <c r="Q101" i="92" s="1"/>
  <c r="Q102" i="92" s="1"/>
  <c r="AL75" i="92"/>
  <c r="AL101" i="92" s="1"/>
  <c r="AL102" i="92" s="1"/>
  <c r="Y151" i="92"/>
  <c r="Y177" i="92" s="1"/>
  <c r="Y178" i="92" s="1"/>
  <c r="M75" i="92"/>
  <c r="M101" i="92" s="1"/>
  <c r="M102" i="92" s="1"/>
  <c r="AL151" i="92"/>
  <c r="AL177" i="92" s="1"/>
  <c r="AL178" i="92" s="1"/>
  <c r="AP75" i="92"/>
  <c r="AP101" i="92" s="1"/>
  <c r="AP102" i="92" s="1"/>
  <c r="J75" i="92"/>
  <c r="J101" i="92" s="1"/>
  <c r="J102" i="92" s="1"/>
  <c r="AT75" i="92"/>
  <c r="AT101" i="92" s="1"/>
  <c r="AT102" i="92" s="1"/>
  <c r="AK75" i="92"/>
  <c r="AK101" i="92" s="1"/>
  <c r="AK102" i="92" s="1"/>
  <c r="AM379" i="92"/>
  <c r="AM405" i="92" s="1"/>
  <c r="AM406" i="92" s="1"/>
  <c r="W379" i="92"/>
  <c r="W405" i="92" s="1"/>
  <c r="W406" i="92" s="1"/>
  <c r="AR379" i="92"/>
  <c r="AR405" i="92" s="1"/>
  <c r="AR406" i="92" s="1"/>
  <c r="AB379" i="92"/>
  <c r="AB405" i="92" s="1"/>
  <c r="AB406" i="92" s="1"/>
  <c r="L379" i="92"/>
  <c r="L405" i="92" s="1"/>
  <c r="L406" i="92" s="1"/>
  <c r="Z379" i="92"/>
  <c r="Z405" i="92" s="1"/>
  <c r="Z406" i="92" s="1"/>
  <c r="AK379" i="92"/>
  <c r="AK405" i="92" s="1"/>
  <c r="AK406" i="92" s="1"/>
  <c r="AG379" i="92"/>
  <c r="AG405" i="92" s="1"/>
  <c r="AG406" i="92" s="1"/>
  <c r="U379" i="92"/>
  <c r="U405" i="92" s="1"/>
  <c r="U406" i="92" s="1"/>
  <c r="AS303" i="92"/>
  <c r="AS329" i="92" s="1"/>
  <c r="AS330" i="92" s="1"/>
  <c r="AC303" i="92"/>
  <c r="AC329" i="92" s="1"/>
  <c r="AC330" i="92" s="1"/>
  <c r="M303" i="92"/>
  <c r="M329" i="92" s="1"/>
  <c r="M330" i="92" s="1"/>
  <c r="AN303" i="92"/>
  <c r="AN329" i="92" s="1"/>
  <c r="AN330" i="92" s="1"/>
  <c r="X303" i="92"/>
  <c r="X329" i="92" s="1"/>
  <c r="X330" i="92" s="1"/>
  <c r="H303" i="92"/>
  <c r="H329" i="92" s="1"/>
  <c r="H330" i="92" s="1"/>
  <c r="O303" i="92"/>
  <c r="O329" i="92" s="1"/>
  <c r="O330" i="92" s="1"/>
  <c r="AG227" i="92"/>
  <c r="AG253" i="92" s="1"/>
  <c r="AG254" i="92" s="1"/>
  <c r="Q227" i="92"/>
  <c r="Q253" i="92" s="1"/>
  <c r="Q254" i="92" s="1"/>
  <c r="AH303" i="92"/>
  <c r="AH329" i="92" s="1"/>
  <c r="AH330" i="92" s="1"/>
  <c r="AT227" i="92"/>
  <c r="AT253" i="92" s="1"/>
  <c r="AT254" i="92" s="1"/>
  <c r="AD227" i="92"/>
  <c r="AD253" i="92" s="1"/>
  <c r="AD254" i="92" s="1"/>
  <c r="N227" i="92"/>
  <c r="N253" i="92" s="1"/>
  <c r="N254" i="92" s="1"/>
  <c r="AD303" i="92"/>
  <c r="AD329" i="92" s="1"/>
  <c r="AD330" i="92" s="1"/>
  <c r="W227" i="92"/>
  <c r="W253" i="92" s="1"/>
  <c r="W254" i="92" s="1"/>
  <c r="AN227" i="92"/>
  <c r="AN253" i="92" s="1"/>
  <c r="AN254" i="92" s="1"/>
  <c r="H227" i="92"/>
  <c r="H253" i="92" s="1"/>
  <c r="H254" i="92" s="1"/>
  <c r="AB227" i="92"/>
  <c r="AB253" i="92" s="1"/>
  <c r="AB254" i="92" s="1"/>
  <c r="AJ151" i="92"/>
  <c r="AJ177" i="92" s="1"/>
  <c r="AJ178" i="92" s="1"/>
  <c r="T151" i="92"/>
  <c r="T177" i="92" s="1"/>
  <c r="T178" i="92" s="1"/>
  <c r="AR75" i="92"/>
  <c r="AR101" i="92" s="1"/>
  <c r="AR102" i="92" s="1"/>
  <c r="AB75" i="92"/>
  <c r="AB101" i="92" s="1"/>
  <c r="AB102" i="92" s="1"/>
  <c r="L75" i="92"/>
  <c r="L101" i="92" s="1"/>
  <c r="L102" i="92" s="1"/>
  <c r="AA227" i="92"/>
  <c r="AA253" i="92" s="1"/>
  <c r="AA254" i="92" s="1"/>
  <c r="AI151" i="92"/>
  <c r="AI177" i="92" s="1"/>
  <c r="AI178" i="92" s="1"/>
  <c r="S151" i="92"/>
  <c r="S177" i="92" s="1"/>
  <c r="S178" i="92" s="1"/>
  <c r="AM75" i="92"/>
  <c r="AM101" i="92" s="1"/>
  <c r="AM102" i="92" s="1"/>
  <c r="W75" i="92"/>
  <c r="W101" i="92" s="1"/>
  <c r="W102" i="92" s="1"/>
  <c r="AA303" i="92"/>
  <c r="AA329" i="92" s="1"/>
  <c r="AA330" i="92" s="1"/>
  <c r="AS151" i="92"/>
  <c r="AS177" i="92" s="1"/>
  <c r="AS178" i="92" s="1"/>
  <c r="M151" i="92"/>
  <c r="M177" i="92" s="1"/>
  <c r="M178" i="92" s="1"/>
  <c r="Y75" i="92"/>
  <c r="Y101" i="92" s="1"/>
  <c r="Y102" i="92" s="1"/>
  <c r="R151" i="92"/>
  <c r="R177" i="92" s="1"/>
  <c r="R178" i="92" s="1"/>
  <c r="AO151" i="92"/>
  <c r="AO177" i="92" s="1"/>
  <c r="AO178" i="92" s="1"/>
  <c r="AC75" i="92"/>
  <c r="AC101" i="92" s="1"/>
  <c r="AC102" i="92" s="1"/>
  <c r="AT151" i="92"/>
  <c r="AT177" i="92" s="1"/>
  <c r="AT178" i="92" s="1"/>
  <c r="N151" i="92"/>
  <c r="N177" i="92" s="1"/>
  <c r="N178" i="92" s="1"/>
  <c r="R75" i="92"/>
  <c r="R101" i="92" s="1"/>
  <c r="R102" i="92" s="1"/>
  <c r="J151" i="92"/>
  <c r="J177" i="92" s="1"/>
  <c r="J178" i="92" s="1"/>
  <c r="Q151" i="92"/>
  <c r="Q177" i="92" s="1"/>
  <c r="Q178" i="92" s="1"/>
  <c r="O379" i="92"/>
  <c r="O405" i="92" s="1"/>
  <c r="O406" i="92" s="1"/>
  <c r="T379" i="92"/>
  <c r="T405" i="92" s="1"/>
  <c r="T406" i="92" s="1"/>
  <c r="J379" i="92"/>
  <c r="J405" i="92" s="1"/>
  <c r="J406" i="92" s="1"/>
  <c r="M379" i="92"/>
  <c r="M405" i="92" s="1"/>
  <c r="M406" i="92" s="1"/>
  <c r="AK303" i="92"/>
  <c r="AK329" i="92" s="1"/>
  <c r="AK330" i="92" s="1"/>
  <c r="I379" i="92"/>
  <c r="I405" i="92" s="1"/>
  <c r="I406" i="92" s="1"/>
  <c r="P303" i="92"/>
  <c r="P329" i="92" s="1"/>
  <c r="P330" i="92" s="1"/>
  <c r="AO227" i="92"/>
  <c r="AO253" i="92" s="1"/>
  <c r="AO254" i="92" s="1"/>
  <c r="I227" i="92"/>
  <c r="I253" i="92" s="1"/>
  <c r="I254" i="92" s="1"/>
  <c r="AL227" i="92"/>
  <c r="AL253" i="92" s="1"/>
  <c r="AL254" i="92" s="1"/>
  <c r="AD379" i="92"/>
  <c r="AD405" i="92" s="1"/>
  <c r="AD406" i="92" s="1"/>
  <c r="AI303" i="92"/>
  <c r="AI329" i="92" s="1"/>
  <c r="AI330" i="92" s="1"/>
  <c r="K303" i="92"/>
  <c r="K329" i="92" s="1"/>
  <c r="K330" i="92" s="1"/>
  <c r="AB151" i="92"/>
  <c r="AB177" i="92" s="1"/>
  <c r="AB178" i="92" s="1"/>
  <c r="AJ75" i="92"/>
  <c r="AJ101" i="92" s="1"/>
  <c r="AJ102" i="92" s="1"/>
  <c r="AL303" i="92"/>
  <c r="AL329" i="92" s="1"/>
  <c r="AL330" i="92" s="1"/>
  <c r="AA151" i="92"/>
  <c r="AA177" i="92" s="1"/>
  <c r="AA178" i="92" s="1"/>
  <c r="AE75" i="92"/>
  <c r="AE101" i="92" s="1"/>
  <c r="AE102" i="92" s="1"/>
  <c r="T227" i="92"/>
  <c r="T253" i="92" s="1"/>
  <c r="T254" i="92" s="1"/>
  <c r="AO75" i="92"/>
  <c r="AO101" i="92" s="1"/>
  <c r="AO102" i="92" s="1"/>
  <c r="AD75" i="92"/>
  <c r="AD101" i="92" s="1"/>
  <c r="AD102" i="92" s="1"/>
  <c r="V303" i="92"/>
  <c r="V329" i="92" s="1"/>
  <c r="V330" i="92" s="1"/>
  <c r="AH75" i="92"/>
  <c r="AH101" i="92" s="1"/>
  <c r="AH102" i="92" s="1"/>
  <c r="V75" i="92"/>
  <c r="V101" i="92" s="1"/>
  <c r="V102" i="92" s="1"/>
  <c r="AE379" i="92"/>
  <c r="AE405" i="92" s="1"/>
  <c r="AE406" i="92" s="1"/>
  <c r="AF379" i="92"/>
  <c r="AF405" i="92" s="1"/>
  <c r="AF406" i="92" s="1"/>
  <c r="AT379" i="92"/>
  <c r="AT405" i="92" s="1"/>
  <c r="AT406" i="92" s="1"/>
  <c r="Q379" i="92"/>
  <c r="Q405" i="92" s="1"/>
  <c r="Q406" i="92" s="1"/>
  <c r="Q303" i="92"/>
  <c r="Q329" i="92" s="1"/>
  <c r="Q330" i="92" s="1"/>
  <c r="L303" i="92"/>
  <c r="L329" i="92" s="1"/>
  <c r="L330" i="92" s="1"/>
  <c r="Y227" i="92"/>
  <c r="Y253" i="92" s="1"/>
  <c r="Y254" i="92" s="1"/>
  <c r="J303" i="92"/>
  <c r="J329" i="92" s="1"/>
  <c r="J330" i="92" s="1"/>
  <c r="AT303" i="92"/>
  <c r="AT329" i="92" s="1"/>
  <c r="AT330" i="92" s="1"/>
  <c r="X227" i="92"/>
  <c r="X253" i="92" s="1"/>
  <c r="X254" i="92" s="1"/>
  <c r="AN151" i="92"/>
  <c r="AN177" i="92" s="1"/>
  <c r="AN178" i="92" s="1"/>
  <c r="AF75" i="92"/>
  <c r="AF101" i="92" s="1"/>
  <c r="AF102" i="92" s="1"/>
  <c r="AQ151" i="92"/>
  <c r="AQ177" i="92" s="1"/>
  <c r="AQ178" i="92" s="1"/>
  <c r="AQ75" i="92"/>
  <c r="AQ101" i="92" s="1"/>
  <c r="AQ102" i="92" s="1"/>
  <c r="S227" i="92"/>
  <c r="S253" i="92" s="1"/>
  <c r="S254" i="92" s="1"/>
  <c r="I75" i="92"/>
  <c r="I101" i="92" s="1"/>
  <c r="I102" i="92" s="1"/>
  <c r="AS75" i="92"/>
  <c r="AS101" i="92" s="1"/>
  <c r="AS102" i="92" s="1"/>
  <c r="Z75" i="92"/>
  <c r="Z101" i="92" s="1"/>
  <c r="Z102" i="92" s="1"/>
  <c r="U75" i="92"/>
  <c r="U101" i="92" s="1"/>
  <c r="U102" i="92" s="1"/>
  <c r="AA379" i="92"/>
  <c r="AA405" i="92" s="1"/>
  <c r="AA406" i="92" s="1"/>
  <c r="P379" i="92"/>
  <c r="P405" i="92" s="1"/>
  <c r="P406" i="92" s="1"/>
  <c r="N379" i="92"/>
  <c r="N405" i="92" s="1"/>
  <c r="N406" i="92" s="1"/>
  <c r="AC379" i="92"/>
  <c r="AC405" i="92" s="1"/>
  <c r="AC406" i="92" s="1"/>
  <c r="AR303" i="92"/>
  <c r="AR329" i="92" s="1"/>
  <c r="AR330" i="92" s="1"/>
  <c r="AE303" i="92"/>
  <c r="AE329" i="92" s="1"/>
  <c r="AE330" i="92" s="1"/>
  <c r="U227" i="92"/>
  <c r="U253" i="92" s="1"/>
  <c r="U254" i="92" s="1"/>
  <c r="AH227" i="92"/>
  <c r="AH253" i="92" s="1"/>
  <c r="AH254" i="92" s="1"/>
  <c r="AM227" i="92"/>
  <c r="AM253" i="92" s="1"/>
  <c r="AM254" i="92" s="1"/>
  <c r="P227" i="92"/>
  <c r="P253" i="92" s="1"/>
  <c r="P254" i="92" s="1"/>
  <c r="X151" i="92"/>
  <c r="X177" i="92" s="1"/>
  <c r="X178" i="92" s="1"/>
  <c r="T75" i="92"/>
  <c r="T101" i="92" s="1"/>
  <c r="T102" i="92" s="1"/>
  <c r="AM151" i="92"/>
  <c r="AM177" i="92" s="1"/>
  <c r="AM178" i="92" s="1"/>
  <c r="AA75" i="92"/>
  <c r="AA101" i="92" s="1"/>
  <c r="AA102" i="92" s="1"/>
  <c r="AC151" i="92"/>
  <c r="AC177" i="92" s="1"/>
  <c r="AC178" i="92" s="1"/>
  <c r="AH151" i="92"/>
  <c r="AH177" i="92" s="1"/>
  <c r="AH178" i="92" s="1"/>
  <c r="AI227" i="92"/>
  <c r="AI253" i="92" s="1"/>
  <c r="AI254" i="92" s="1"/>
  <c r="AP151" i="92"/>
  <c r="AP177" i="92" s="1"/>
  <c r="AP178" i="92" s="1"/>
  <c r="K379" i="92"/>
  <c r="K405" i="92" s="1"/>
  <c r="K406" i="92" s="1"/>
  <c r="AP379" i="92"/>
  <c r="AP405" i="92" s="1"/>
  <c r="AP406" i="92" s="1"/>
  <c r="AS379" i="92"/>
  <c r="AS405" i="92" s="1"/>
  <c r="AS406" i="92" s="1"/>
  <c r="AG303" i="92"/>
  <c r="AG329" i="92" s="1"/>
  <c r="AG330" i="92" s="1"/>
  <c r="AF303" i="92"/>
  <c r="AF329" i="92" s="1"/>
  <c r="AF330" i="92" s="1"/>
  <c r="W303" i="92"/>
  <c r="W329" i="92" s="1"/>
  <c r="W330" i="92" s="1"/>
  <c r="AP303" i="92"/>
  <c r="AP329" i="92" s="1"/>
  <c r="AP330" i="92" s="1"/>
  <c r="V227" i="92"/>
  <c r="V253" i="92" s="1"/>
  <c r="V254" i="92" s="1"/>
  <c r="AE227" i="92"/>
  <c r="AE253" i="92" s="1"/>
  <c r="AE254" i="92" s="1"/>
  <c r="AR227" i="92"/>
  <c r="AR253" i="92" s="1"/>
  <c r="AR254" i="92" s="1"/>
  <c r="L151" i="92"/>
  <c r="L177" i="92" s="1"/>
  <c r="L178" i="92" s="1"/>
  <c r="P75" i="92"/>
  <c r="P101" i="92" s="1"/>
  <c r="P102" i="92" s="1"/>
  <c r="W151" i="92"/>
  <c r="W177" i="92" s="1"/>
  <c r="W178" i="92" s="1"/>
  <c r="O75" i="92"/>
  <c r="O101" i="92" s="1"/>
  <c r="O102" i="92" s="1"/>
  <c r="U151" i="92"/>
  <c r="U177" i="92" s="1"/>
  <c r="U178" i="92" s="1"/>
  <c r="N75" i="92"/>
  <c r="N101" i="92" s="1"/>
  <c r="N102" i="92" s="1"/>
  <c r="AD151" i="92"/>
  <c r="AD177" i="92" s="1"/>
  <c r="AD178" i="92" s="1"/>
  <c r="Z151" i="92"/>
  <c r="Z177" i="92" s="1"/>
  <c r="Z178" i="92" s="1"/>
  <c r="AQ379" i="92"/>
  <c r="AQ405" i="92" s="1"/>
  <c r="AQ406" i="92" s="1"/>
  <c r="AJ379" i="92"/>
  <c r="AJ405" i="92" s="1"/>
  <c r="AJ406" i="92" s="1"/>
  <c r="AH379" i="92"/>
  <c r="AH405" i="92" s="1"/>
  <c r="AH406" i="92" s="1"/>
  <c r="AO379" i="92"/>
  <c r="AO405" i="92" s="1"/>
  <c r="AO406" i="92" s="1"/>
  <c r="U303" i="92"/>
  <c r="U329" i="92" s="1"/>
  <c r="U330" i="92" s="1"/>
  <c r="AB303" i="92"/>
  <c r="AB329" i="92" s="1"/>
  <c r="AB330" i="92" s="1"/>
  <c r="AK227" i="92"/>
  <c r="AK253" i="92" s="1"/>
  <c r="AK254" i="92" s="1"/>
  <c r="R303" i="92"/>
  <c r="R329" i="92" s="1"/>
  <c r="R330" i="92" s="1"/>
  <c r="R227" i="92"/>
  <c r="R253" i="92" s="1"/>
  <c r="R254" i="92" s="1"/>
  <c r="S303" i="92"/>
  <c r="S329" i="92" s="1"/>
  <c r="S330" i="92" s="1"/>
  <c r="AR151" i="92"/>
  <c r="AR177" i="92" s="1"/>
  <c r="AR178" i="92" s="1"/>
  <c r="H151" i="92"/>
  <c r="H177" i="92" s="1"/>
  <c r="H178" i="92" s="1"/>
  <c r="AQ227" i="92"/>
  <c r="AQ253" i="92" s="1"/>
  <c r="AQ254" i="92" s="1"/>
  <c r="K151" i="92"/>
  <c r="K177" i="92" s="1"/>
  <c r="K178" i="92" s="1"/>
  <c r="K75" i="92"/>
  <c r="K101" i="92" s="1"/>
  <c r="K102" i="92" s="1"/>
  <c r="AG75" i="92"/>
  <c r="AG101" i="92" s="1"/>
  <c r="AG102" i="92" s="1"/>
  <c r="I151" i="92"/>
  <c r="I177" i="92" s="1"/>
  <c r="I178" i="92" s="1"/>
  <c r="V151" i="92"/>
  <c r="V177" i="92" s="1"/>
  <c r="V178" i="92" s="1"/>
  <c r="AG151" i="92"/>
  <c r="AG177" i="92" s="1"/>
  <c r="AG178" i="92" s="1"/>
  <c r="I136" i="14"/>
  <c r="I123" i="14"/>
  <c r="AD73" i="14"/>
  <c r="AD60" i="14"/>
  <c r="J95" i="14"/>
  <c r="AE32" i="14"/>
  <c r="X46" i="14" l="1"/>
  <c r="X74" i="14" s="1"/>
  <c r="W109" i="14"/>
  <c r="W137" i="14" s="1"/>
  <c r="W61" i="14"/>
  <c r="V124" i="14"/>
  <c r="J123" i="14"/>
  <c r="J136" i="14"/>
  <c r="AE73" i="14"/>
  <c r="AE60" i="14"/>
  <c r="K95" i="14"/>
  <c r="AF32" i="14"/>
  <c r="F189" i="5"/>
  <c r="F186" i="5"/>
  <c r="F190" i="5"/>
  <c r="M198" i="5"/>
  <c r="L198" i="5"/>
  <c r="M39" i="5"/>
  <c r="L39" i="5"/>
  <c r="L20" i="5"/>
  <c r="L19" i="5"/>
  <c r="M18" i="5"/>
  <c r="L18" i="5"/>
  <c r="M17" i="5"/>
  <c r="L16" i="5"/>
  <c r="L15" i="5"/>
  <c r="L14" i="5"/>
  <c r="L13" i="5"/>
  <c r="M20" i="5"/>
  <c r="M19" i="5"/>
  <c r="M16" i="5"/>
  <c r="W124" i="14" l="1"/>
  <c r="Y46" i="14"/>
  <c r="Y74" i="14" s="1"/>
  <c r="X109" i="14"/>
  <c r="X137" i="14" s="1"/>
  <c r="X61" i="14"/>
  <c r="J16" i="5"/>
  <c r="P16" i="5"/>
  <c r="K18" i="5"/>
  <c r="R18" i="5"/>
  <c r="J13" i="5"/>
  <c r="P13" i="5"/>
  <c r="J39" i="5"/>
  <c r="F38" i="73"/>
  <c r="E38" i="73"/>
  <c r="G38" i="73"/>
  <c r="H38" i="73"/>
  <c r="J14" i="5"/>
  <c r="P14" i="5"/>
  <c r="J19" i="5"/>
  <c r="P19" i="5"/>
  <c r="K39" i="5"/>
  <c r="G38" i="74"/>
  <c r="F38" i="74"/>
  <c r="H38" i="74"/>
  <c r="E38" i="74"/>
  <c r="K16" i="5"/>
  <c r="R16" i="5"/>
  <c r="K17" i="5"/>
  <c r="R17" i="5"/>
  <c r="K19" i="5"/>
  <c r="R19" i="5"/>
  <c r="K20" i="5"/>
  <c r="R20" i="5"/>
  <c r="J15" i="5"/>
  <c r="P15" i="5"/>
  <c r="J18" i="5"/>
  <c r="P18" i="5"/>
  <c r="J20" i="5"/>
  <c r="P20" i="5"/>
  <c r="AF60" i="14"/>
  <c r="AF73" i="14"/>
  <c r="K123" i="14"/>
  <c r="K136" i="14"/>
  <c r="L95" i="14"/>
  <c r="AG32" i="14"/>
  <c r="J198" i="5"/>
  <c r="O198" i="5"/>
  <c r="K198" i="5"/>
  <c r="Q198" i="5"/>
  <c r="Q16" i="5"/>
  <c r="O13" i="5"/>
  <c r="Q17" i="5"/>
  <c r="P39" i="5"/>
  <c r="O39" i="5"/>
  <c r="Q19" i="5"/>
  <c r="O14" i="5"/>
  <c r="O19" i="5"/>
  <c r="R39" i="5"/>
  <c r="Q39" i="5"/>
  <c r="Q20" i="5"/>
  <c r="O15" i="5"/>
  <c r="O18" i="5"/>
  <c r="O20" i="5"/>
  <c r="O16" i="5"/>
  <c r="Q18" i="5"/>
  <c r="L190" i="5"/>
  <c r="M190" i="5"/>
  <c r="Z46" i="14" l="1"/>
  <c r="Z74" i="14" s="1"/>
  <c r="Y109" i="14"/>
  <c r="Y137" i="14" s="1"/>
  <c r="Y61" i="14"/>
  <c r="X124" i="14"/>
  <c r="H189" i="74"/>
  <c r="G189" i="74"/>
  <c r="F189" i="74"/>
  <c r="E189" i="74"/>
  <c r="E189" i="73"/>
  <c r="H189" i="73"/>
  <c r="G189" i="73"/>
  <c r="F189" i="73"/>
  <c r="L136" i="14"/>
  <c r="L123" i="14"/>
  <c r="M95" i="14"/>
  <c r="AH32" i="14"/>
  <c r="K190" i="5"/>
  <c r="Q190" i="5"/>
  <c r="R190" i="5"/>
  <c r="J190" i="5"/>
  <c r="P190" i="5"/>
  <c r="O190" i="5"/>
  <c r="AC189" i="73" l="1"/>
  <c r="R189" i="73"/>
  <c r="AN189" i="73"/>
  <c r="AO189" i="73"/>
  <c r="S189" i="73"/>
  <c r="AD189" i="73"/>
  <c r="AC189" i="74"/>
  <c r="AN189" i="74"/>
  <c r="R189" i="74"/>
  <c r="AO189" i="74"/>
  <c r="AD189" i="74"/>
  <c r="S189" i="74"/>
  <c r="Y124" i="14"/>
  <c r="Z61" i="14"/>
  <c r="AA46" i="14"/>
  <c r="AA74" i="14" s="1"/>
  <c r="Z109" i="14"/>
  <c r="Z137" i="14" s="1"/>
  <c r="M136" i="14"/>
  <c r="M123" i="14"/>
  <c r="AH60" i="14"/>
  <c r="AH73" i="14"/>
  <c r="N95" i="14"/>
  <c r="AI32" i="14"/>
  <c r="Z124" i="14" l="1"/>
  <c r="AB46" i="14"/>
  <c r="AB74" i="14" s="1"/>
  <c r="AA61" i="14"/>
  <c r="AA109" i="14"/>
  <c r="AA137" i="14" s="1"/>
  <c r="N136" i="14"/>
  <c r="N123" i="14"/>
  <c r="AI73" i="14"/>
  <c r="AI60" i="14"/>
  <c r="O95" i="14"/>
  <c r="AJ32" i="14"/>
  <c r="AB61" i="14" l="1"/>
  <c r="AB109" i="14"/>
  <c r="AB137" i="14" s="1"/>
  <c r="AC46" i="14"/>
  <c r="AC74" i="14" s="1"/>
  <c r="AA124" i="14"/>
  <c r="O123" i="14"/>
  <c r="O136" i="14"/>
  <c r="AJ60" i="14"/>
  <c r="AJ73" i="14"/>
  <c r="P95" i="14"/>
  <c r="AK32" i="14"/>
  <c r="AB124" i="14" l="1"/>
  <c r="AC109" i="14"/>
  <c r="AC137" i="14" s="1"/>
  <c r="AD46" i="14"/>
  <c r="AD74" i="14" s="1"/>
  <c r="AC61" i="14"/>
  <c r="P123" i="14"/>
  <c r="P136" i="14"/>
  <c r="AK73" i="14"/>
  <c r="AK60" i="14"/>
  <c r="Q95" i="14"/>
  <c r="AL32" i="14"/>
  <c r="AE46" i="14" l="1"/>
  <c r="AE74" i="14" s="1"/>
  <c r="AD61" i="14"/>
  <c r="AD109" i="14"/>
  <c r="AD137" i="14" s="1"/>
  <c r="AC124" i="14"/>
  <c r="Q136" i="14"/>
  <c r="Q123" i="14"/>
  <c r="R95" i="14"/>
  <c r="AM32" i="14"/>
  <c r="AF46" i="14" l="1"/>
  <c r="AF74" i="14" s="1"/>
  <c r="AE61" i="14"/>
  <c r="AE109" i="14"/>
  <c r="AE137" i="14" s="1"/>
  <c r="AD124" i="14"/>
  <c r="R136" i="14"/>
  <c r="R123" i="14"/>
  <c r="AM60" i="14"/>
  <c r="AM73" i="14"/>
  <c r="S95" i="14"/>
  <c r="AN32" i="14"/>
  <c r="AE124" i="14" l="1"/>
  <c r="AF109" i="14"/>
  <c r="AF137" i="14" s="1"/>
  <c r="AF61" i="14"/>
  <c r="AG46" i="14"/>
  <c r="AG74" i="14" s="1"/>
  <c r="AN60" i="14"/>
  <c r="AN73" i="14"/>
  <c r="S136" i="14"/>
  <c r="S123" i="14"/>
  <c r="T95" i="14"/>
  <c r="AO32" i="14"/>
  <c r="G100" i="52"/>
  <c r="AF124" i="14" l="1"/>
  <c r="AH46" i="14"/>
  <c r="AH74" i="14" s="1"/>
  <c r="AG61" i="14"/>
  <c r="AG109" i="14"/>
  <c r="AG137" i="14" s="1"/>
  <c r="AO73" i="14"/>
  <c r="AO60" i="14"/>
  <c r="T123" i="14"/>
  <c r="T136" i="14"/>
  <c r="U95" i="14"/>
  <c r="AP32" i="14"/>
  <c r="AH61" i="14" l="1"/>
  <c r="AH109" i="14"/>
  <c r="AH137" i="14" s="1"/>
  <c r="AI46" i="14"/>
  <c r="AI74" i="14" s="1"/>
  <c r="AG124" i="14"/>
  <c r="U136" i="14"/>
  <c r="U123" i="14"/>
  <c r="AP73" i="14"/>
  <c r="AP60" i="14"/>
  <c r="V95" i="14"/>
  <c r="AQ32" i="14"/>
  <c r="C41" i="15"/>
  <c r="C40" i="15"/>
  <c r="C39" i="15"/>
  <c r="C38" i="15"/>
  <c r="C37" i="15"/>
  <c r="C36" i="15"/>
  <c r="C34" i="15"/>
  <c r="C33" i="15"/>
  <c r="D13" i="15"/>
  <c r="D14" i="15" s="1"/>
  <c r="E13" i="15"/>
  <c r="E14" i="15" s="1"/>
  <c r="D15" i="15"/>
  <c r="E15" i="15"/>
  <c r="D16" i="15"/>
  <c r="E16" i="15"/>
  <c r="D11" i="15"/>
  <c r="E11" i="15"/>
  <c r="D10" i="15"/>
  <c r="E10" i="15"/>
  <c r="AI109" i="14" l="1"/>
  <c r="AI137" i="14" s="1"/>
  <c r="AJ46" i="14"/>
  <c r="AJ74" i="14" s="1"/>
  <c r="AI61" i="14"/>
  <c r="AH124" i="14"/>
  <c r="C45" i="15"/>
  <c r="E36" i="15"/>
  <c r="D40" i="15"/>
  <c r="V123" i="14"/>
  <c r="V136" i="14"/>
  <c r="W95" i="14"/>
  <c r="AR32" i="14"/>
  <c r="E40" i="15"/>
  <c r="D33" i="15"/>
  <c r="E33" i="15"/>
  <c r="C44" i="15"/>
  <c r="C43" i="15"/>
  <c r="E34" i="15"/>
  <c r="E39" i="15"/>
  <c r="D39" i="15"/>
  <c r="E37" i="15"/>
  <c r="D37" i="15"/>
  <c r="D36" i="15"/>
  <c r="D34" i="15"/>
  <c r="D32" i="15" l="1"/>
  <c r="D22" i="14" s="1"/>
  <c r="AI124" i="14"/>
  <c r="AK46" i="14"/>
  <c r="AK74" i="14" s="1"/>
  <c r="AJ61" i="14"/>
  <c r="AJ109" i="14"/>
  <c r="AJ137" i="14" s="1"/>
  <c r="AR60" i="14"/>
  <c r="AR73" i="14"/>
  <c r="W136" i="14"/>
  <c r="W123" i="14"/>
  <c r="X95" i="14"/>
  <c r="E32" i="15"/>
  <c r="AJ124" i="14" l="1"/>
  <c r="AK61" i="14"/>
  <c r="AK109" i="14"/>
  <c r="AK137" i="14" s="1"/>
  <c r="AL46" i="14"/>
  <c r="AL74" i="14" s="1"/>
  <c r="X136" i="14"/>
  <c r="X123" i="14"/>
  <c r="Y95" i="14"/>
  <c r="D85" i="14"/>
  <c r="E22" i="14"/>
  <c r="AK124" i="14" l="1"/>
  <c r="AM46" i="14"/>
  <c r="AM74" i="14" s="1"/>
  <c r="AL61" i="14"/>
  <c r="AL109" i="14"/>
  <c r="AL137" i="14" s="1"/>
  <c r="Y136" i="14"/>
  <c r="Y123" i="14"/>
  <c r="Z95" i="14"/>
  <c r="E85" i="14"/>
  <c r="F22" i="14"/>
  <c r="AM109" i="14" l="1"/>
  <c r="AM137" i="14" s="1"/>
  <c r="AN46" i="14"/>
  <c r="AN74" i="14" s="1"/>
  <c r="AM61" i="14"/>
  <c r="AL124" i="14"/>
  <c r="Z123" i="14"/>
  <c r="Z136" i="14"/>
  <c r="AA95" i="14"/>
  <c r="F85" i="14"/>
  <c r="G22" i="14"/>
  <c r="AN109" i="14" l="1"/>
  <c r="AN137" i="14" s="1"/>
  <c r="AO46" i="14"/>
  <c r="AO74" i="14" s="1"/>
  <c r="AN61" i="14"/>
  <c r="AM124" i="14"/>
  <c r="AA123" i="14"/>
  <c r="AA136" i="14"/>
  <c r="G85" i="14"/>
  <c r="AB95" i="14"/>
  <c r="H22" i="14"/>
  <c r="AP46" i="14" l="1"/>
  <c r="AP74" i="14" s="1"/>
  <c r="AO109" i="14"/>
  <c r="AO137" i="14" s="1"/>
  <c r="AO61" i="14"/>
  <c r="AN124" i="14"/>
  <c r="AB136" i="14"/>
  <c r="AB123" i="14"/>
  <c r="H85" i="14"/>
  <c r="I85" i="14" s="1"/>
  <c r="AC95" i="14"/>
  <c r="I22" i="14"/>
  <c r="AQ46" i="14" l="1"/>
  <c r="AQ74" i="14" s="1"/>
  <c r="AP109" i="14"/>
  <c r="AP137" i="14" s="1"/>
  <c r="AP61" i="14"/>
  <c r="AO124" i="14"/>
  <c r="AC136" i="14"/>
  <c r="AC123" i="14"/>
  <c r="AD95" i="14"/>
  <c r="J85" i="14"/>
  <c r="J22" i="14"/>
  <c r="AP124" i="14" l="1"/>
  <c r="AQ109" i="14"/>
  <c r="AQ137" i="14" s="1"/>
  <c r="AR46" i="14"/>
  <c r="AR74" i="14" s="1"/>
  <c r="AQ61" i="14"/>
  <c r="AD136" i="14"/>
  <c r="AD123" i="14"/>
  <c r="AE95" i="14"/>
  <c r="K22" i="14"/>
  <c r="K85" i="14"/>
  <c r="AQ124" i="14" l="1"/>
  <c r="AR109" i="14"/>
  <c r="AR137" i="14" s="1"/>
  <c r="AR61" i="14"/>
  <c r="AE123" i="14"/>
  <c r="AE136" i="14"/>
  <c r="AF95" i="14"/>
  <c r="L22" i="14"/>
  <c r="L85" i="14"/>
  <c r="AR124" i="14" l="1"/>
  <c r="AF123" i="14"/>
  <c r="AF136" i="14"/>
  <c r="AG95" i="14"/>
  <c r="M85" i="14"/>
  <c r="M22" i="14"/>
  <c r="AG136" i="14" l="1"/>
  <c r="AG123" i="14"/>
  <c r="AH95" i="14"/>
  <c r="N22" i="14"/>
  <c r="N85" i="14"/>
  <c r="AH136" i="14" l="1"/>
  <c r="AH123" i="14"/>
  <c r="AI95" i="14"/>
  <c r="O22" i="14"/>
  <c r="O85" i="14"/>
  <c r="AI136" i="14" l="1"/>
  <c r="AI123" i="14"/>
  <c r="AJ95" i="14"/>
  <c r="P22" i="14"/>
  <c r="P85" i="14"/>
  <c r="AJ123" i="14" l="1"/>
  <c r="AJ136" i="14"/>
  <c r="AK95" i="14"/>
  <c r="Q22" i="14"/>
  <c r="Q85" i="14"/>
  <c r="AK136" i="14" l="1"/>
  <c r="AK123" i="14"/>
  <c r="AL95" i="14"/>
  <c r="R22" i="14"/>
  <c r="R85" i="14"/>
  <c r="AL123" i="14" l="1"/>
  <c r="AL136" i="14"/>
  <c r="AM95" i="14"/>
  <c r="S85" i="14"/>
  <c r="S22" i="14"/>
  <c r="AM136" i="14" l="1"/>
  <c r="AM123" i="14"/>
  <c r="AN95" i="14"/>
  <c r="T85" i="14"/>
  <c r="T22" i="14"/>
  <c r="AN136" i="14" l="1"/>
  <c r="AN123" i="14"/>
  <c r="AO95" i="14"/>
  <c r="U22" i="14"/>
  <c r="U85" i="14"/>
  <c r="AO136" i="14" l="1"/>
  <c r="AO123" i="14"/>
  <c r="AP95" i="14"/>
  <c r="V22" i="14"/>
  <c r="V85" i="14"/>
  <c r="AP123" i="14" l="1"/>
  <c r="AP136" i="14"/>
  <c r="AQ95" i="14"/>
  <c r="W22" i="14"/>
  <c r="W85" i="14"/>
  <c r="AQ123" i="14" l="1"/>
  <c r="AQ136" i="14"/>
  <c r="AR95" i="14"/>
  <c r="X85" i="14"/>
  <c r="X22" i="14"/>
  <c r="AR136" i="14" l="1"/>
  <c r="AR123" i="14"/>
  <c r="Y22" i="14"/>
  <c r="Y85" i="14"/>
  <c r="Z22" i="14" l="1"/>
  <c r="Z85" i="14"/>
  <c r="AA22" i="14" l="1"/>
  <c r="AA85" i="14"/>
  <c r="AB22" i="14" l="1"/>
  <c r="AB85" i="14"/>
  <c r="AC22" i="14" l="1"/>
  <c r="AC85" i="14"/>
  <c r="AD85" i="14" l="1"/>
  <c r="AD22" i="14"/>
  <c r="AE22" i="14" l="1"/>
  <c r="AE85" i="14"/>
  <c r="AF22" i="14" l="1"/>
  <c r="AF85" i="14"/>
  <c r="AG22" i="14" l="1"/>
  <c r="AG85" i="14"/>
  <c r="AH22" i="14" l="1"/>
  <c r="AH85" i="14"/>
  <c r="AI85" i="14" l="1"/>
  <c r="AI22" i="14"/>
  <c r="AJ85" i="14" l="1"/>
  <c r="AJ22" i="14"/>
  <c r="AK22" i="14" l="1"/>
  <c r="AK85" i="14"/>
  <c r="AL22" i="14" l="1"/>
  <c r="AL85" i="14"/>
  <c r="AM22" i="14" l="1"/>
  <c r="AM85" i="14"/>
  <c r="AN85" i="14" l="1"/>
  <c r="AN22" i="14"/>
  <c r="AO85" i="14" l="1"/>
  <c r="AO22" i="14"/>
  <c r="AP85" i="14" l="1"/>
  <c r="AP22" i="14"/>
  <c r="AQ22" i="14" l="1"/>
  <c r="AQ85" i="14"/>
  <c r="D20" i="15"/>
  <c r="E20" i="15"/>
  <c r="AR85" i="14" l="1"/>
  <c r="AR22" i="14"/>
  <c r="F27" i="5"/>
  <c r="F28" i="5"/>
  <c r="F29" i="5"/>
  <c r="F30" i="5"/>
  <c r="F31" i="5"/>
  <c r="L31" i="5" l="1"/>
  <c r="M31" i="5"/>
  <c r="L27" i="5"/>
  <c r="M27" i="5"/>
  <c r="M29" i="5"/>
  <c r="L29" i="5"/>
  <c r="M28" i="5"/>
  <c r="L28" i="5"/>
  <c r="M30" i="5"/>
  <c r="L30" i="5"/>
  <c r="K28" i="5" l="1"/>
  <c r="R28" i="5"/>
  <c r="Q28" i="5"/>
  <c r="J27" i="5"/>
  <c r="P27" i="5"/>
  <c r="O27" i="5"/>
  <c r="J31" i="5"/>
  <c r="P31" i="5"/>
  <c r="O31" i="5"/>
  <c r="J30" i="5"/>
  <c r="O30" i="5"/>
  <c r="P30" i="5"/>
  <c r="J29" i="5"/>
  <c r="P29" i="5"/>
  <c r="O29" i="5"/>
  <c r="K27" i="5"/>
  <c r="R27" i="5"/>
  <c r="Q27" i="5"/>
  <c r="K31" i="5"/>
  <c r="R31" i="5"/>
  <c r="Q31" i="5"/>
  <c r="K30" i="5"/>
  <c r="R30" i="5"/>
  <c r="Q30" i="5"/>
  <c r="J28" i="5"/>
  <c r="O28" i="5"/>
  <c r="P28" i="5"/>
  <c r="K29" i="5"/>
  <c r="R29" i="5"/>
  <c r="Q29" i="5"/>
  <c r="F102" i="5" l="1"/>
  <c r="F157" i="5" s="1"/>
  <c r="AQ75" i="52"/>
  <c r="AQ101" i="52" s="1"/>
  <c r="AQ102" i="52" s="1"/>
  <c r="AA75" i="52"/>
  <c r="AA101" i="52" s="1"/>
  <c r="AA102" i="52" s="1"/>
  <c r="K75" i="52"/>
  <c r="K101" i="52" s="1"/>
  <c r="K102" i="52" s="1"/>
  <c r="AG75" i="52"/>
  <c r="AG101" i="52" s="1"/>
  <c r="AG102" i="52" s="1"/>
  <c r="Q75" i="52"/>
  <c r="Q101" i="52" s="1"/>
  <c r="Q102" i="52" s="1"/>
  <c r="P75" i="52"/>
  <c r="P101" i="52" s="1"/>
  <c r="P102" i="52" s="1"/>
  <c r="AD75" i="52"/>
  <c r="AD101" i="52" s="1"/>
  <c r="AD102" i="52" s="1"/>
  <c r="AJ75" i="52"/>
  <c r="AJ101" i="52" s="1"/>
  <c r="AJ102" i="52" s="1"/>
  <c r="AP75" i="52"/>
  <c r="AP101" i="52" s="1"/>
  <c r="AP102" i="52" s="1"/>
  <c r="J75" i="52"/>
  <c r="J101" i="52" s="1"/>
  <c r="J102" i="52" s="1"/>
  <c r="G101" i="52"/>
  <c r="G102" i="52" s="1"/>
  <c r="AE75" i="52"/>
  <c r="AE101" i="52" s="1"/>
  <c r="AE102" i="52" s="1"/>
  <c r="O75" i="52"/>
  <c r="O101" i="52" s="1"/>
  <c r="O102" i="52" s="1"/>
  <c r="AK75" i="52"/>
  <c r="AK101" i="52" s="1"/>
  <c r="AK102" i="52" s="1"/>
  <c r="U75" i="52"/>
  <c r="U101" i="52" s="1"/>
  <c r="U102" i="52" s="1"/>
  <c r="X75" i="52"/>
  <c r="X101" i="52" s="1"/>
  <c r="X102" i="52" s="1"/>
  <c r="AL75" i="52"/>
  <c r="AL101" i="52" s="1"/>
  <c r="AL102" i="52" s="1"/>
  <c r="AR75" i="52"/>
  <c r="AR101" i="52" s="1"/>
  <c r="AR102" i="52" s="1"/>
  <c r="L75" i="52"/>
  <c r="L101" i="52" s="1"/>
  <c r="L102" i="52" s="1"/>
  <c r="R75" i="52"/>
  <c r="R101" i="52" s="1"/>
  <c r="R102" i="52" s="1"/>
  <c r="N75" i="52"/>
  <c r="N101" i="52" s="1"/>
  <c r="N102" i="52" s="1"/>
  <c r="AS75" i="52"/>
  <c r="AS101" i="52" s="1"/>
  <c r="AS102" i="52" s="1"/>
  <c r="AB75" i="52"/>
  <c r="AB101" i="52" s="1"/>
  <c r="AB102" i="52" s="1"/>
  <c r="S75" i="52"/>
  <c r="S101" i="52" s="1"/>
  <c r="S102" i="52" s="1"/>
  <c r="I75" i="52"/>
  <c r="I101" i="52" s="1"/>
  <c r="I102" i="52" s="1"/>
  <c r="AM75" i="52"/>
  <c r="AM101" i="52" s="1"/>
  <c r="AM102" i="52" s="1"/>
  <c r="AC75" i="52"/>
  <c r="AC101" i="52" s="1"/>
  <c r="AC102" i="52" s="1"/>
  <c r="AN75" i="52"/>
  <c r="AN101" i="52" s="1"/>
  <c r="AN102" i="52" s="1"/>
  <c r="V75" i="52"/>
  <c r="V101" i="52" s="1"/>
  <c r="V102" i="52" s="1"/>
  <c r="AH75" i="52"/>
  <c r="AH101" i="52" s="1"/>
  <c r="AH102" i="52" s="1"/>
  <c r="AI75" i="52"/>
  <c r="AI101" i="52" s="1"/>
  <c r="AI102" i="52" s="1"/>
  <c r="Y75" i="52"/>
  <c r="Y101" i="52" s="1"/>
  <c r="Y102" i="52" s="1"/>
  <c r="AF75" i="52"/>
  <c r="AF101" i="52" s="1"/>
  <c r="AF102" i="52" s="1"/>
  <c r="Z75" i="52"/>
  <c r="Z101" i="52" s="1"/>
  <c r="Z102" i="52" s="1"/>
  <c r="W75" i="52"/>
  <c r="W101" i="52" s="1"/>
  <c r="W102" i="52" s="1"/>
  <c r="M75" i="52"/>
  <c r="M101" i="52" s="1"/>
  <c r="M102" i="52" s="1"/>
  <c r="H75" i="52"/>
  <c r="H101" i="52" s="1"/>
  <c r="H102" i="52" s="1"/>
  <c r="AO75" i="52"/>
  <c r="AO101" i="52" s="1"/>
  <c r="AO102" i="52" s="1"/>
  <c r="AT75" i="52"/>
  <c r="AT101" i="52" s="1"/>
  <c r="AT102" i="52" s="1"/>
  <c r="T75" i="52"/>
  <c r="T101" i="52" s="1"/>
  <c r="T102" i="52" s="1"/>
  <c r="F43" i="5"/>
  <c r="F87" i="5" l="1"/>
  <c r="L87" i="5" s="1"/>
  <c r="F50" i="5"/>
  <c r="F48" i="5"/>
  <c r="F91" i="5"/>
  <c r="F168" i="5" s="1"/>
  <c r="F135" i="5"/>
  <c r="L135" i="5" s="1"/>
  <c r="L102" i="5"/>
  <c r="F146" i="5"/>
  <c r="M146" i="5" s="1"/>
  <c r="F113" i="5"/>
  <c r="L113" i="5" s="1"/>
  <c r="F124" i="5"/>
  <c r="L124" i="5" s="1"/>
  <c r="M102" i="5"/>
  <c r="M157" i="5"/>
  <c r="L157" i="5"/>
  <c r="E28" i="14"/>
  <c r="D22" i="15"/>
  <c r="D45" i="15" s="1"/>
  <c r="D21" i="15"/>
  <c r="D44" i="15" s="1"/>
  <c r="J113" i="5" l="1"/>
  <c r="H112" i="73"/>
  <c r="F112" i="73"/>
  <c r="E112" i="73"/>
  <c r="G112" i="73"/>
  <c r="K146" i="5"/>
  <c r="E145" i="74"/>
  <c r="H145" i="74"/>
  <c r="G145" i="74"/>
  <c r="F145" i="74"/>
  <c r="J135" i="5"/>
  <c r="E134" i="73"/>
  <c r="H134" i="73"/>
  <c r="G134" i="73"/>
  <c r="F134" i="73"/>
  <c r="J87" i="5"/>
  <c r="F86" i="73"/>
  <c r="H86" i="73"/>
  <c r="E86" i="73"/>
  <c r="G86" i="73"/>
  <c r="K157" i="5"/>
  <c r="F156" i="74"/>
  <c r="E156" i="74"/>
  <c r="H156" i="74"/>
  <c r="G156" i="74"/>
  <c r="J157" i="5"/>
  <c r="G156" i="73"/>
  <c r="F156" i="73"/>
  <c r="H156" i="73"/>
  <c r="E156" i="73"/>
  <c r="J124" i="5"/>
  <c r="H123" i="73"/>
  <c r="G123" i="73"/>
  <c r="E123" i="73"/>
  <c r="F123" i="73"/>
  <c r="K102" i="5"/>
  <c r="F101" i="74"/>
  <c r="G101" i="74"/>
  <c r="E101" i="74"/>
  <c r="H101" i="74"/>
  <c r="J102" i="5"/>
  <c r="G101" i="73"/>
  <c r="H101" i="73"/>
  <c r="E101" i="73"/>
  <c r="F101" i="73"/>
  <c r="E71" i="14"/>
  <c r="E58" i="14"/>
  <c r="F28" i="14"/>
  <c r="O157" i="5"/>
  <c r="P157" i="5"/>
  <c r="Q146" i="5"/>
  <c r="R146" i="5"/>
  <c r="P135" i="5"/>
  <c r="O135" i="5"/>
  <c r="R157" i="5"/>
  <c r="Q157" i="5"/>
  <c r="Q102" i="5"/>
  <c r="R102" i="5"/>
  <c r="O113" i="5"/>
  <c r="P113" i="5"/>
  <c r="O102" i="5"/>
  <c r="P102" i="5"/>
  <c r="O124" i="5"/>
  <c r="P124" i="5"/>
  <c r="P87" i="5"/>
  <c r="F98" i="5"/>
  <c r="F120" i="5" s="1"/>
  <c r="M135" i="5"/>
  <c r="M113" i="5"/>
  <c r="F164" i="5"/>
  <c r="L146" i="5"/>
  <c r="L91" i="5"/>
  <c r="M124" i="5"/>
  <c r="M41" i="14"/>
  <c r="R41" i="14" s="1"/>
  <c r="W41" i="14" s="1"/>
  <c r="AB41" i="14" s="1"/>
  <c r="AG41" i="14" s="1"/>
  <c r="AL41" i="14" s="1"/>
  <c r="AQ41" i="14" s="1"/>
  <c r="H42" i="14"/>
  <c r="L42" i="14"/>
  <c r="P42" i="14"/>
  <c r="T42" i="14"/>
  <c r="X42" i="14"/>
  <c r="AB42" i="14"/>
  <c r="AF42" i="14"/>
  <c r="AJ42" i="14"/>
  <c r="AN42" i="14"/>
  <c r="D42" i="14"/>
  <c r="J42" i="14"/>
  <c r="R42" i="14"/>
  <c r="Z42" i="14"/>
  <c r="AH42" i="14"/>
  <c r="AP42" i="14"/>
  <c r="G42" i="14"/>
  <c r="E42" i="14"/>
  <c r="I42" i="14"/>
  <c r="M42" i="14"/>
  <c r="Q42" i="14"/>
  <c r="U42" i="14"/>
  <c r="Y42" i="14"/>
  <c r="AC42" i="14"/>
  <c r="AG42" i="14"/>
  <c r="AK42" i="14"/>
  <c r="AO42" i="14"/>
  <c r="F42" i="14"/>
  <c r="N42" i="14"/>
  <c r="V42" i="14"/>
  <c r="AD42" i="14"/>
  <c r="AL42" i="14"/>
  <c r="K42" i="14"/>
  <c r="S42" i="14"/>
  <c r="AI42" i="14"/>
  <c r="AA42" i="14"/>
  <c r="O42" i="14"/>
  <c r="W42" i="14"/>
  <c r="AM42" i="14"/>
  <c r="AQ42" i="14"/>
  <c r="AE42" i="14"/>
  <c r="M33" i="14"/>
  <c r="E34" i="14"/>
  <c r="I34" i="14"/>
  <c r="M34" i="14"/>
  <c r="Q34" i="14"/>
  <c r="U34" i="14"/>
  <c r="Y34" i="14"/>
  <c r="AC34" i="14"/>
  <c r="AG34" i="14"/>
  <c r="AK34" i="14"/>
  <c r="AO34" i="14"/>
  <c r="F34" i="14"/>
  <c r="J34" i="14"/>
  <c r="N34" i="14"/>
  <c r="R34" i="14"/>
  <c r="V34" i="14"/>
  <c r="Z34" i="14"/>
  <c r="AD34" i="14"/>
  <c r="AH34" i="14"/>
  <c r="AL34" i="14"/>
  <c r="AP34" i="14"/>
  <c r="G34" i="14"/>
  <c r="K34" i="14"/>
  <c r="O34" i="14"/>
  <c r="S34" i="14"/>
  <c r="W34" i="14"/>
  <c r="AA34" i="14"/>
  <c r="AE34" i="14"/>
  <c r="AI34" i="14"/>
  <c r="AM34" i="14"/>
  <c r="AQ34" i="14"/>
  <c r="H34" i="14"/>
  <c r="L34" i="14"/>
  <c r="P34" i="14"/>
  <c r="T34" i="14"/>
  <c r="X34" i="14"/>
  <c r="AB34" i="14"/>
  <c r="AF34" i="14"/>
  <c r="AJ34" i="14"/>
  <c r="AN34" i="14"/>
  <c r="D34" i="14"/>
  <c r="M168" i="5"/>
  <c r="L168" i="5"/>
  <c r="E90" i="73" l="1"/>
  <c r="G90" i="73"/>
  <c r="H90" i="73"/>
  <c r="F90" i="73"/>
  <c r="AP101" i="74"/>
  <c r="AP96" i="74" s="1"/>
  <c r="Y101" i="74"/>
  <c r="Y96" i="74" s="1"/>
  <c r="Y123" i="73"/>
  <c r="Y118" i="73" s="1"/>
  <c r="AP123" i="73"/>
  <c r="AP118" i="73" s="1"/>
  <c r="AP156" i="73"/>
  <c r="AP151" i="73" s="1"/>
  <c r="Y156" i="73"/>
  <c r="Y151" i="73" s="1"/>
  <c r="AO156" i="74"/>
  <c r="AO151" i="74" s="1"/>
  <c r="X156" i="74"/>
  <c r="X151" i="74" s="1"/>
  <c r="X134" i="73"/>
  <c r="X129" i="73" s="1"/>
  <c r="AO134" i="73"/>
  <c r="AO129" i="73" s="1"/>
  <c r="W145" i="74"/>
  <c r="W140" i="74" s="1"/>
  <c r="AN145" i="74"/>
  <c r="AN140" i="74" s="1"/>
  <c r="AP112" i="73"/>
  <c r="AP107" i="73" s="1"/>
  <c r="Y112" i="73"/>
  <c r="Y107" i="73" s="1"/>
  <c r="Y101" i="73"/>
  <c r="Y96" i="73" s="1"/>
  <c r="AP101" i="73"/>
  <c r="AP96" i="73" s="1"/>
  <c r="AN123" i="73"/>
  <c r="AN118" i="73" s="1"/>
  <c r="W123" i="73"/>
  <c r="W118" i="73" s="1"/>
  <c r="AN156" i="73"/>
  <c r="AN151" i="73" s="1"/>
  <c r="W156" i="73"/>
  <c r="W151" i="73" s="1"/>
  <c r="AP156" i="74"/>
  <c r="AP151" i="74" s="1"/>
  <c r="Y156" i="74"/>
  <c r="Y151" i="74" s="1"/>
  <c r="AP134" i="73"/>
  <c r="AP129" i="73" s="1"/>
  <c r="Y134" i="73"/>
  <c r="Y129" i="73" s="1"/>
  <c r="X145" i="74"/>
  <c r="X140" i="74" s="1"/>
  <c r="AO145" i="74"/>
  <c r="AO140" i="74" s="1"/>
  <c r="X112" i="73"/>
  <c r="X107" i="73" s="1"/>
  <c r="AO112" i="73"/>
  <c r="AO107" i="73" s="1"/>
  <c r="AO101" i="73"/>
  <c r="AO96" i="73" s="1"/>
  <c r="X101" i="73"/>
  <c r="X96" i="73" s="1"/>
  <c r="X101" i="74"/>
  <c r="X96" i="74" s="1"/>
  <c r="AO101" i="74"/>
  <c r="AO96" i="74" s="1"/>
  <c r="X156" i="73"/>
  <c r="X151" i="73" s="1"/>
  <c r="AO156" i="73"/>
  <c r="AO151" i="73" s="1"/>
  <c r="AP145" i="74"/>
  <c r="AP140" i="74" s="1"/>
  <c r="Y145" i="74"/>
  <c r="Y140" i="74" s="1"/>
  <c r="AN101" i="73"/>
  <c r="AN96" i="73" s="1"/>
  <c r="W101" i="73"/>
  <c r="W96" i="73" s="1"/>
  <c r="W101" i="74"/>
  <c r="W96" i="74" s="1"/>
  <c r="AN101" i="74"/>
  <c r="AN96" i="74" s="1"/>
  <c r="AO123" i="73"/>
  <c r="AO118" i="73" s="1"/>
  <c r="X123" i="73"/>
  <c r="X118" i="73" s="1"/>
  <c r="AN156" i="74"/>
  <c r="AN151" i="74" s="1"/>
  <c r="W156" i="74"/>
  <c r="W151" i="74" s="1"/>
  <c r="AN134" i="73"/>
  <c r="AN129" i="73" s="1"/>
  <c r="W134" i="73"/>
  <c r="W129" i="73" s="1"/>
  <c r="AN112" i="73"/>
  <c r="AN107" i="73" s="1"/>
  <c r="W112" i="73"/>
  <c r="W107" i="73" s="1"/>
  <c r="J91" i="5"/>
  <c r="K113" i="5"/>
  <c r="F112" i="74"/>
  <c r="E112" i="74"/>
  <c r="H112" i="74"/>
  <c r="G112" i="74"/>
  <c r="J168" i="5"/>
  <c r="H167" i="73"/>
  <c r="G167" i="73"/>
  <c r="F167" i="73"/>
  <c r="E167" i="73"/>
  <c r="K168" i="5"/>
  <c r="G167" i="74"/>
  <c r="F167" i="74"/>
  <c r="H167" i="74"/>
  <c r="E167" i="74"/>
  <c r="J146" i="5"/>
  <c r="F145" i="73"/>
  <c r="E145" i="73"/>
  <c r="H145" i="73"/>
  <c r="G145" i="73"/>
  <c r="K135" i="5"/>
  <c r="H134" i="74"/>
  <c r="G134" i="74"/>
  <c r="F134" i="74"/>
  <c r="E134" i="74"/>
  <c r="K124" i="5"/>
  <c r="G123" i="74"/>
  <c r="H123" i="74"/>
  <c r="F123" i="74"/>
  <c r="E123" i="74"/>
  <c r="M73" i="14"/>
  <c r="M60" i="14"/>
  <c r="F71" i="14"/>
  <c r="F58" i="14"/>
  <c r="R33" i="14"/>
  <c r="G28" i="14"/>
  <c r="O87" i="5"/>
  <c r="O91" i="5"/>
  <c r="P91" i="5"/>
  <c r="R135" i="5"/>
  <c r="Q135" i="5"/>
  <c r="R124" i="5"/>
  <c r="Q124" i="5"/>
  <c r="O168" i="5"/>
  <c r="P168" i="5"/>
  <c r="R113" i="5"/>
  <c r="Q113" i="5"/>
  <c r="R168" i="5"/>
  <c r="Q168" i="5"/>
  <c r="O146" i="5"/>
  <c r="P146" i="5"/>
  <c r="M120" i="5"/>
  <c r="F153" i="5"/>
  <c r="F142" i="5"/>
  <c r="L120" i="5"/>
  <c r="F109" i="5"/>
  <c r="M109" i="5" s="1"/>
  <c r="M98" i="5"/>
  <c r="F131" i="5"/>
  <c r="L98" i="5"/>
  <c r="M91" i="5"/>
  <c r="M87" i="5"/>
  <c r="L164" i="5"/>
  <c r="M164" i="5"/>
  <c r="Y24" i="5"/>
  <c r="Y25" i="5"/>
  <c r="Y26" i="5"/>
  <c r="Y27" i="5"/>
  <c r="Y28" i="5"/>
  <c r="Y29" i="5"/>
  <c r="Y30" i="5"/>
  <c r="Y31" i="5"/>
  <c r="AP123" i="74" l="1"/>
  <c r="AP118" i="74" s="1"/>
  <c r="Y123" i="74"/>
  <c r="Y118" i="74" s="1"/>
  <c r="AN134" i="74"/>
  <c r="AN129" i="74" s="1"/>
  <c r="W134" i="74"/>
  <c r="W129" i="74" s="1"/>
  <c r="AN145" i="73"/>
  <c r="AN140" i="73" s="1"/>
  <c r="W145" i="73"/>
  <c r="W140" i="73" s="1"/>
  <c r="AP167" i="74"/>
  <c r="AP162" i="74" s="1"/>
  <c r="Y167" i="74"/>
  <c r="Y162" i="74" s="1"/>
  <c r="Y167" i="73"/>
  <c r="Y162" i="73" s="1"/>
  <c r="AP167" i="73"/>
  <c r="AP162" i="73" s="1"/>
  <c r="AN90" i="73"/>
  <c r="AN85" i="73" s="1"/>
  <c r="W90" i="73"/>
  <c r="W85" i="73" s="1"/>
  <c r="E90" i="74"/>
  <c r="F90" i="74"/>
  <c r="H90" i="74"/>
  <c r="G90" i="74"/>
  <c r="X123" i="74"/>
  <c r="X118" i="74" s="1"/>
  <c r="AO123" i="74"/>
  <c r="AO118" i="74" s="1"/>
  <c r="AO134" i="74"/>
  <c r="AO129" i="74" s="1"/>
  <c r="X134" i="74"/>
  <c r="X129" i="74" s="1"/>
  <c r="AO145" i="73"/>
  <c r="AO140" i="73" s="1"/>
  <c r="X145" i="73"/>
  <c r="X140" i="73" s="1"/>
  <c r="AN167" i="74"/>
  <c r="AN162" i="74" s="1"/>
  <c r="W167" i="74"/>
  <c r="W162" i="74" s="1"/>
  <c r="AN112" i="74"/>
  <c r="AN107" i="74" s="1"/>
  <c r="W112" i="74"/>
  <c r="W107" i="74" s="1"/>
  <c r="AP90" i="73"/>
  <c r="AP85" i="73" s="1"/>
  <c r="Y90" i="73"/>
  <c r="Y85" i="73" s="1"/>
  <c r="Y84" i="73" s="1"/>
  <c r="AP134" i="74"/>
  <c r="AP129" i="74" s="1"/>
  <c r="Y134" i="74"/>
  <c r="Y129" i="74" s="1"/>
  <c r="AP145" i="73"/>
  <c r="AP140" i="73" s="1"/>
  <c r="Y145" i="73"/>
  <c r="Y140" i="73" s="1"/>
  <c r="X167" i="74"/>
  <c r="X162" i="74" s="1"/>
  <c r="AO167" i="74"/>
  <c r="AO162" i="74" s="1"/>
  <c r="AN167" i="73"/>
  <c r="AN162" i="73" s="1"/>
  <c r="W167" i="73"/>
  <c r="W162" i="73" s="1"/>
  <c r="AO112" i="74"/>
  <c r="AO107" i="74" s="1"/>
  <c r="X112" i="74"/>
  <c r="X107" i="74" s="1"/>
  <c r="AO90" i="73"/>
  <c r="AO85" i="73" s="1"/>
  <c r="X90" i="73"/>
  <c r="X85" i="73" s="1"/>
  <c r="AN123" i="74"/>
  <c r="AN118" i="74" s="1"/>
  <c r="W123" i="74"/>
  <c r="W118" i="74" s="1"/>
  <c r="AO167" i="73"/>
  <c r="AO162" i="73" s="1"/>
  <c r="X167" i="73"/>
  <c r="X162" i="73" s="1"/>
  <c r="AP112" i="74"/>
  <c r="AP107" i="74" s="1"/>
  <c r="Y112" i="74"/>
  <c r="Y107" i="74" s="1"/>
  <c r="K164" i="5"/>
  <c r="G163" i="74"/>
  <c r="F163" i="74"/>
  <c r="H163" i="74"/>
  <c r="E163" i="74"/>
  <c r="J164" i="5"/>
  <c r="H163" i="73"/>
  <c r="G163" i="73"/>
  <c r="F163" i="73"/>
  <c r="E163" i="73"/>
  <c r="K109" i="5"/>
  <c r="F108" i="74"/>
  <c r="E108" i="74"/>
  <c r="H108" i="74"/>
  <c r="G108" i="74"/>
  <c r="K87" i="5"/>
  <c r="H86" i="74"/>
  <c r="G86" i="74"/>
  <c r="F86" i="74"/>
  <c r="E86" i="74"/>
  <c r="K91" i="5"/>
  <c r="J120" i="5"/>
  <c r="H119" i="73"/>
  <c r="G119" i="73"/>
  <c r="E119" i="73"/>
  <c r="F119" i="73"/>
  <c r="K120" i="5"/>
  <c r="G119" i="74"/>
  <c r="H119" i="74"/>
  <c r="F119" i="74"/>
  <c r="E119" i="74"/>
  <c r="K98" i="5"/>
  <c r="F97" i="74"/>
  <c r="G97" i="74"/>
  <c r="H97" i="74"/>
  <c r="E97" i="74"/>
  <c r="J98" i="5"/>
  <c r="G97" i="73"/>
  <c r="H97" i="73"/>
  <c r="E97" i="73"/>
  <c r="F97" i="73"/>
  <c r="R60" i="14"/>
  <c r="R73" i="14"/>
  <c r="G71" i="14"/>
  <c r="G58" i="14"/>
  <c r="H28" i="14"/>
  <c r="W33" i="14"/>
  <c r="R164" i="5"/>
  <c r="Q164" i="5"/>
  <c r="O120" i="5"/>
  <c r="P120" i="5"/>
  <c r="R120" i="5"/>
  <c r="Q120" i="5"/>
  <c r="O164" i="5"/>
  <c r="P164" i="5"/>
  <c r="R87" i="5"/>
  <c r="Q87" i="5"/>
  <c r="Q91" i="5"/>
  <c r="R91" i="5"/>
  <c r="Q98" i="5"/>
  <c r="R98" i="5"/>
  <c r="O98" i="5"/>
  <c r="P98" i="5"/>
  <c r="R109" i="5"/>
  <c r="Q109" i="5"/>
  <c r="M153" i="5"/>
  <c r="M142" i="5"/>
  <c r="L142" i="5"/>
  <c r="M131" i="5"/>
  <c r="L153" i="5"/>
  <c r="F106" i="5"/>
  <c r="F161" i="5" s="1"/>
  <c r="F103" i="5"/>
  <c r="F125" i="5" s="1"/>
  <c r="L109" i="5"/>
  <c r="L131" i="5"/>
  <c r="F101" i="5"/>
  <c r="F123" i="5" s="1"/>
  <c r="F99" i="5"/>
  <c r="M99" i="5" s="1"/>
  <c r="W193" i="5"/>
  <c r="V193" i="5"/>
  <c r="U193" i="5"/>
  <c r="T193" i="5"/>
  <c r="W184" i="5"/>
  <c r="V184" i="5"/>
  <c r="U184" i="5"/>
  <c r="T184" i="5"/>
  <c r="W175" i="5"/>
  <c r="V175" i="5"/>
  <c r="U175" i="5"/>
  <c r="T175" i="5"/>
  <c r="W85" i="5"/>
  <c r="V85" i="5"/>
  <c r="U85" i="5"/>
  <c r="T85" i="5"/>
  <c r="W70" i="5"/>
  <c r="V70" i="5"/>
  <c r="U70" i="5"/>
  <c r="T70" i="5"/>
  <c r="W61" i="5"/>
  <c r="V61" i="5"/>
  <c r="U61" i="5"/>
  <c r="T61" i="5"/>
  <c r="W57" i="5"/>
  <c r="V57" i="5"/>
  <c r="U57" i="5"/>
  <c r="T57" i="5"/>
  <c r="W53" i="5"/>
  <c r="V53" i="5"/>
  <c r="U53" i="5"/>
  <c r="T53" i="5"/>
  <c r="W45" i="5"/>
  <c r="V45" i="5"/>
  <c r="U45" i="5"/>
  <c r="T45" i="5"/>
  <c r="W38" i="5"/>
  <c r="V38" i="5"/>
  <c r="U38" i="5"/>
  <c r="T38" i="5"/>
  <c r="W33" i="5"/>
  <c r="V33" i="5"/>
  <c r="U33" i="5"/>
  <c r="T33" i="5"/>
  <c r="W23" i="5"/>
  <c r="V23" i="5"/>
  <c r="U23" i="5"/>
  <c r="T23" i="5"/>
  <c r="W12" i="5"/>
  <c r="V12" i="5"/>
  <c r="U12" i="5"/>
  <c r="T12" i="5"/>
  <c r="X84" i="73" l="1"/>
  <c r="W84" i="73"/>
  <c r="AO84" i="73"/>
  <c r="AP84" i="73"/>
  <c r="AN84" i="73"/>
  <c r="W90" i="74"/>
  <c r="W85" i="74" s="1"/>
  <c r="W84" i="74" s="1"/>
  <c r="AN90" i="74"/>
  <c r="AN85" i="74" s="1"/>
  <c r="AN84" i="74" s="1"/>
  <c r="X90" i="74"/>
  <c r="X85" i="74" s="1"/>
  <c r="X84" i="74" s="1"/>
  <c r="AO90" i="74"/>
  <c r="AO85" i="74" s="1"/>
  <c r="AO84" i="74" s="1"/>
  <c r="AP90" i="74"/>
  <c r="AP85" i="74" s="1"/>
  <c r="AP84" i="74" s="1"/>
  <c r="Y90" i="74"/>
  <c r="Y85" i="74" s="1"/>
  <c r="Y84" i="74" s="1"/>
  <c r="J109" i="5"/>
  <c r="H108" i="73"/>
  <c r="G108" i="73"/>
  <c r="F108" i="73"/>
  <c r="E108" i="73"/>
  <c r="K142" i="5"/>
  <c r="E141" i="74"/>
  <c r="H141" i="74"/>
  <c r="G141" i="74"/>
  <c r="F141" i="74"/>
  <c r="J131" i="5"/>
  <c r="F130" i="73"/>
  <c r="H130" i="73"/>
  <c r="G130" i="73"/>
  <c r="E130" i="73"/>
  <c r="K131" i="5"/>
  <c r="H130" i="74"/>
  <c r="G130" i="74"/>
  <c r="F130" i="74"/>
  <c r="E130" i="74"/>
  <c r="J142" i="5"/>
  <c r="F141" i="73"/>
  <c r="E141" i="73"/>
  <c r="H141" i="73"/>
  <c r="G141" i="73"/>
  <c r="J153" i="5"/>
  <c r="G152" i="73"/>
  <c r="F152" i="73"/>
  <c r="H152" i="73"/>
  <c r="E152" i="73"/>
  <c r="K153" i="5"/>
  <c r="F152" i="74"/>
  <c r="E152" i="74"/>
  <c r="G152" i="74"/>
  <c r="H152" i="74"/>
  <c r="K99" i="5"/>
  <c r="E98" i="74"/>
  <c r="F98" i="74"/>
  <c r="G98" i="74"/>
  <c r="H98" i="74"/>
  <c r="H71" i="14"/>
  <c r="H58" i="14"/>
  <c r="W60" i="14"/>
  <c r="W73" i="14"/>
  <c r="AB33" i="14"/>
  <c r="I28" i="14"/>
  <c r="P153" i="5"/>
  <c r="O153" i="5"/>
  <c r="R131" i="5"/>
  <c r="Q131" i="5"/>
  <c r="P142" i="5"/>
  <c r="O142" i="5"/>
  <c r="R142" i="5"/>
  <c r="Q142" i="5"/>
  <c r="P131" i="5"/>
  <c r="O131" i="5"/>
  <c r="P109" i="5"/>
  <c r="O109" i="5"/>
  <c r="R153" i="5"/>
  <c r="Q153" i="5"/>
  <c r="F105" i="5"/>
  <c r="F138" i="5" s="1"/>
  <c r="R99" i="5"/>
  <c r="F107" i="5"/>
  <c r="F140" i="5" s="1"/>
  <c r="F104" i="5"/>
  <c r="F137" i="5" s="1"/>
  <c r="F100" i="5"/>
  <c r="F122" i="5" s="1"/>
  <c r="M122" i="5" s="1"/>
  <c r="W86" i="5"/>
  <c r="V86" i="5"/>
  <c r="T86" i="5"/>
  <c r="U86" i="5"/>
  <c r="F114" i="5"/>
  <c r="M114" i="5" s="1"/>
  <c r="F134" i="5"/>
  <c r="F139" i="5"/>
  <c r="M139" i="5" s="1"/>
  <c r="F117" i="5"/>
  <c r="F150" i="5"/>
  <c r="L150" i="5" s="1"/>
  <c r="F128" i="5"/>
  <c r="M128" i="5" s="1"/>
  <c r="F158" i="5"/>
  <c r="F156" i="5"/>
  <c r="L103" i="5"/>
  <c r="F147" i="5"/>
  <c r="F110" i="5"/>
  <c r="M101" i="5"/>
  <c r="L99" i="5"/>
  <c r="F136" i="5"/>
  <c r="M136" i="5" s="1"/>
  <c r="F145" i="5"/>
  <c r="F112" i="5"/>
  <c r="L112" i="5" s="1"/>
  <c r="M103" i="5"/>
  <c r="L101" i="5"/>
  <c r="F121" i="5"/>
  <c r="F154" i="5"/>
  <c r="F132" i="5"/>
  <c r="F143" i="5"/>
  <c r="L143" i="5" s="1"/>
  <c r="L123" i="5"/>
  <c r="M123" i="5"/>
  <c r="L161" i="5"/>
  <c r="M125" i="5"/>
  <c r="L125" i="5"/>
  <c r="J150" i="5" l="1"/>
  <c r="F149" i="73"/>
  <c r="E149" i="73"/>
  <c r="H149" i="73"/>
  <c r="G149" i="73"/>
  <c r="K139" i="5"/>
  <c r="H138" i="74"/>
  <c r="G138" i="74"/>
  <c r="F138" i="74"/>
  <c r="E138" i="74"/>
  <c r="K114" i="5"/>
  <c r="E113" i="74"/>
  <c r="H113" i="74"/>
  <c r="F113" i="74"/>
  <c r="G113" i="74"/>
  <c r="K136" i="5"/>
  <c r="G135" i="74"/>
  <c r="F135" i="74"/>
  <c r="H135" i="74"/>
  <c r="E135" i="74"/>
  <c r="J143" i="5"/>
  <c r="E142" i="73"/>
  <c r="H142" i="73"/>
  <c r="G142" i="73"/>
  <c r="F142" i="73"/>
  <c r="J112" i="5"/>
  <c r="E111" i="73"/>
  <c r="H111" i="73"/>
  <c r="G111" i="73"/>
  <c r="F111" i="73"/>
  <c r="J161" i="5"/>
  <c r="G160" i="73"/>
  <c r="F160" i="73"/>
  <c r="E160" i="73"/>
  <c r="H160" i="73"/>
  <c r="J125" i="5"/>
  <c r="G124" i="73"/>
  <c r="E124" i="73"/>
  <c r="H124" i="73"/>
  <c r="F124" i="73"/>
  <c r="J123" i="5"/>
  <c r="E122" i="73"/>
  <c r="G122" i="73"/>
  <c r="F122" i="73"/>
  <c r="H122" i="73"/>
  <c r="K128" i="5"/>
  <c r="G127" i="74"/>
  <c r="F127" i="74"/>
  <c r="H127" i="74"/>
  <c r="E127" i="74"/>
  <c r="K125" i="5"/>
  <c r="F124" i="74"/>
  <c r="E124" i="74"/>
  <c r="H124" i="74"/>
  <c r="G124" i="74"/>
  <c r="K123" i="5"/>
  <c r="H122" i="74"/>
  <c r="G122" i="74"/>
  <c r="F122" i="74"/>
  <c r="E122" i="74"/>
  <c r="K122" i="5"/>
  <c r="E121" i="74"/>
  <c r="F121" i="74"/>
  <c r="H121" i="74"/>
  <c r="G121" i="74"/>
  <c r="K103" i="5"/>
  <c r="E102" i="74"/>
  <c r="F102" i="74"/>
  <c r="G102" i="74"/>
  <c r="H102" i="74"/>
  <c r="J99" i="5"/>
  <c r="F98" i="73"/>
  <c r="G98" i="73"/>
  <c r="H98" i="73"/>
  <c r="E98" i="73"/>
  <c r="J103" i="5"/>
  <c r="F102" i="73"/>
  <c r="G102" i="73"/>
  <c r="H102" i="73"/>
  <c r="E102" i="73"/>
  <c r="K101" i="5"/>
  <c r="G100" i="74"/>
  <c r="H100" i="74"/>
  <c r="F100" i="74"/>
  <c r="E100" i="74"/>
  <c r="J101" i="5"/>
  <c r="H100" i="73"/>
  <c r="E100" i="73"/>
  <c r="G100" i="73"/>
  <c r="F100" i="73"/>
  <c r="AB60" i="14"/>
  <c r="AB73" i="14"/>
  <c r="I71" i="14"/>
  <c r="I58" i="14"/>
  <c r="J28" i="14"/>
  <c r="AG33" i="14"/>
  <c r="Q99" i="5"/>
  <c r="P99" i="5"/>
  <c r="O99" i="5"/>
  <c r="R139" i="5"/>
  <c r="Q139" i="5"/>
  <c r="R125" i="5"/>
  <c r="Q125" i="5"/>
  <c r="O101" i="5"/>
  <c r="P101" i="5"/>
  <c r="Q136" i="5"/>
  <c r="R136" i="5"/>
  <c r="R123" i="5"/>
  <c r="Q123" i="5"/>
  <c r="O150" i="5"/>
  <c r="P150" i="5"/>
  <c r="O125" i="5"/>
  <c r="P125" i="5"/>
  <c r="P161" i="5"/>
  <c r="O161" i="5"/>
  <c r="O123" i="5"/>
  <c r="P123" i="5"/>
  <c r="O143" i="5"/>
  <c r="P143" i="5"/>
  <c r="O112" i="5"/>
  <c r="P112" i="5"/>
  <c r="Q101" i="5"/>
  <c r="R101" i="5"/>
  <c r="P103" i="5"/>
  <c r="O103" i="5"/>
  <c r="Q128" i="5"/>
  <c r="R128" i="5"/>
  <c r="Q103" i="5"/>
  <c r="R103" i="5"/>
  <c r="R114" i="5"/>
  <c r="Q114" i="5"/>
  <c r="Q122" i="5"/>
  <c r="R122" i="5"/>
  <c r="F133" i="5"/>
  <c r="M133" i="5" s="1"/>
  <c r="F129" i="5"/>
  <c r="F115" i="5"/>
  <c r="M115" i="5" s="1"/>
  <c r="F127" i="5"/>
  <c r="L127" i="5" s="1"/>
  <c r="F162" i="5"/>
  <c r="F126" i="5"/>
  <c r="L126" i="5" s="1"/>
  <c r="M105" i="5"/>
  <c r="M138" i="5"/>
  <c r="M104" i="5"/>
  <c r="F148" i="5"/>
  <c r="F149" i="5"/>
  <c r="F118" i="5"/>
  <c r="L138" i="5"/>
  <c r="F159" i="5"/>
  <c r="M159" i="5" s="1"/>
  <c r="F151" i="5"/>
  <c r="L151" i="5" s="1"/>
  <c r="L105" i="5"/>
  <c r="L104" i="5"/>
  <c r="F116" i="5"/>
  <c r="M116" i="5" s="1"/>
  <c r="F160" i="5"/>
  <c r="M160" i="5" s="1"/>
  <c r="L122" i="5"/>
  <c r="M100" i="5"/>
  <c r="L100" i="5"/>
  <c r="F111" i="5"/>
  <c r="F144" i="5"/>
  <c r="F155" i="5"/>
  <c r="V97" i="5"/>
  <c r="W97" i="5"/>
  <c r="U97" i="5"/>
  <c r="T97" i="5"/>
  <c r="L114" i="5"/>
  <c r="M154" i="5"/>
  <c r="M134" i="5"/>
  <c r="L134" i="5"/>
  <c r="M147" i="5"/>
  <c r="M110" i="5"/>
  <c r="L110" i="5"/>
  <c r="M143" i="5"/>
  <c r="M150" i="5"/>
  <c r="L158" i="5"/>
  <c r="L147" i="5"/>
  <c r="M158" i="5"/>
  <c r="M121" i="5"/>
  <c r="M112" i="5"/>
  <c r="M156" i="5"/>
  <c r="L145" i="5"/>
  <c r="L128" i="5"/>
  <c r="L156" i="5"/>
  <c r="L121" i="5"/>
  <c r="L154" i="5"/>
  <c r="L136" i="5"/>
  <c r="M145" i="5"/>
  <c r="M132" i="5"/>
  <c r="M137" i="5"/>
  <c r="L137" i="5"/>
  <c r="L140" i="5"/>
  <c r="M140" i="5"/>
  <c r="K147" i="5" l="1"/>
  <c r="H146" i="74"/>
  <c r="G146" i="74"/>
  <c r="F146" i="74"/>
  <c r="E146" i="74"/>
  <c r="K137" i="5"/>
  <c r="F136" i="74"/>
  <c r="E136" i="74"/>
  <c r="H136" i="74"/>
  <c r="G136" i="74"/>
  <c r="J145" i="5"/>
  <c r="G144" i="73"/>
  <c r="F144" i="73"/>
  <c r="E144" i="73"/>
  <c r="H144" i="73"/>
  <c r="K110" i="5"/>
  <c r="E109" i="74"/>
  <c r="H109" i="74"/>
  <c r="G109" i="74"/>
  <c r="F109" i="74"/>
  <c r="K116" i="5"/>
  <c r="G115" i="74"/>
  <c r="F115" i="74"/>
  <c r="E115" i="74"/>
  <c r="H115" i="74"/>
  <c r="J140" i="5"/>
  <c r="H139" i="73"/>
  <c r="G139" i="73"/>
  <c r="F139" i="73"/>
  <c r="E139" i="73"/>
  <c r="K145" i="5"/>
  <c r="F144" i="74"/>
  <c r="E144" i="74"/>
  <c r="H144" i="74"/>
  <c r="G144" i="74"/>
  <c r="K112" i="5"/>
  <c r="G111" i="74"/>
  <c r="F111" i="74"/>
  <c r="E111" i="74"/>
  <c r="H111" i="74"/>
  <c r="K150" i="5"/>
  <c r="E149" i="74"/>
  <c r="H149" i="74"/>
  <c r="G149" i="74"/>
  <c r="F149" i="74"/>
  <c r="J110" i="5"/>
  <c r="G109" i="73"/>
  <c r="E109" i="73"/>
  <c r="F109" i="73"/>
  <c r="H109" i="73"/>
  <c r="J134" i="5"/>
  <c r="E133" i="73"/>
  <c r="H133" i="73"/>
  <c r="G133" i="73"/>
  <c r="F133" i="73"/>
  <c r="J114" i="5"/>
  <c r="G113" i="73"/>
  <c r="H113" i="73"/>
  <c r="F113" i="73"/>
  <c r="E113" i="73"/>
  <c r="J138" i="5"/>
  <c r="F137" i="73"/>
  <c r="E137" i="73"/>
  <c r="H137" i="73"/>
  <c r="G137" i="73"/>
  <c r="K140" i="5"/>
  <c r="G139" i="74"/>
  <c r="F139" i="74"/>
  <c r="E139" i="74"/>
  <c r="H139" i="74"/>
  <c r="J137" i="5"/>
  <c r="G136" i="73"/>
  <c r="F136" i="73"/>
  <c r="H136" i="73"/>
  <c r="E136" i="73"/>
  <c r="K132" i="5"/>
  <c r="G131" i="74"/>
  <c r="F131" i="74"/>
  <c r="E131" i="74"/>
  <c r="H131" i="74"/>
  <c r="J147" i="5"/>
  <c r="E146" i="73"/>
  <c r="H146" i="73"/>
  <c r="G146" i="73"/>
  <c r="F146" i="73"/>
  <c r="J136" i="5"/>
  <c r="H135" i="73"/>
  <c r="G135" i="73"/>
  <c r="F135" i="73"/>
  <c r="E135" i="73"/>
  <c r="K143" i="5"/>
  <c r="H142" i="74"/>
  <c r="G142" i="74"/>
  <c r="F142" i="74"/>
  <c r="E142" i="74"/>
  <c r="K134" i="5"/>
  <c r="E133" i="74"/>
  <c r="H133" i="74"/>
  <c r="G133" i="74"/>
  <c r="F133" i="74"/>
  <c r="J151" i="5"/>
  <c r="E150" i="73"/>
  <c r="H150" i="73"/>
  <c r="G150" i="73"/>
  <c r="F150" i="73"/>
  <c r="K138" i="5"/>
  <c r="E137" i="74"/>
  <c r="H137" i="74"/>
  <c r="G137" i="74"/>
  <c r="F137" i="74"/>
  <c r="K115" i="5"/>
  <c r="H114" i="74"/>
  <c r="G114" i="74"/>
  <c r="F114" i="74"/>
  <c r="E114" i="74"/>
  <c r="K133" i="5"/>
  <c r="F132" i="74"/>
  <c r="E132" i="74"/>
  <c r="H132" i="74"/>
  <c r="G132" i="74"/>
  <c r="J154" i="5"/>
  <c r="F153" i="73"/>
  <c r="G153" i="73"/>
  <c r="E153" i="73"/>
  <c r="H153" i="73"/>
  <c r="K154" i="5"/>
  <c r="E153" i="74"/>
  <c r="G153" i="74"/>
  <c r="F153" i="74"/>
  <c r="H153" i="74"/>
  <c r="J158" i="5"/>
  <c r="F157" i="73"/>
  <c r="H157" i="73"/>
  <c r="G157" i="73"/>
  <c r="E157" i="73"/>
  <c r="K158" i="5"/>
  <c r="E157" i="74"/>
  <c r="F157" i="74"/>
  <c r="H157" i="74"/>
  <c r="G157" i="74"/>
  <c r="K159" i="5"/>
  <c r="H158" i="74"/>
  <c r="G158" i="74"/>
  <c r="E158" i="74"/>
  <c r="F158" i="74"/>
  <c r="J156" i="5"/>
  <c r="H155" i="73"/>
  <c r="F155" i="73"/>
  <c r="E155" i="73"/>
  <c r="G155" i="73"/>
  <c r="K156" i="5"/>
  <c r="G155" i="74"/>
  <c r="E155" i="74"/>
  <c r="H155" i="74"/>
  <c r="F155" i="74"/>
  <c r="K160" i="5"/>
  <c r="G159" i="74"/>
  <c r="E159" i="74"/>
  <c r="H159" i="74"/>
  <c r="F159" i="74"/>
  <c r="K121" i="5"/>
  <c r="F120" i="74"/>
  <c r="E120" i="74"/>
  <c r="H120" i="74"/>
  <c r="G120" i="74"/>
  <c r="J122" i="5"/>
  <c r="F121" i="73"/>
  <c r="E121" i="73"/>
  <c r="G121" i="73"/>
  <c r="H121" i="73"/>
  <c r="J121" i="5"/>
  <c r="G120" i="73"/>
  <c r="H120" i="73"/>
  <c r="F120" i="73"/>
  <c r="E120" i="73"/>
  <c r="J128" i="5"/>
  <c r="H127" i="73"/>
  <c r="E127" i="73"/>
  <c r="G127" i="73"/>
  <c r="F127" i="73"/>
  <c r="J126" i="5"/>
  <c r="F125" i="73"/>
  <c r="E125" i="73"/>
  <c r="G125" i="73"/>
  <c r="H125" i="73"/>
  <c r="J127" i="5"/>
  <c r="E126" i="73"/>
  <c r="G126" i="73"/>
  <c r="F126" i="73"/>
  <c r="H126" i="73"/>
  <c r="K100" i="5"/>
  <c r="H99" i="74"/>
  <c r="E99" i="74"/>
  <c r="G99" i="74"/>
  <c r="F99" i="74"/>
  <c r="J105" i="5"/>
  <c r="H104" i="73"/>
  <c r="E104" i="73"/>
  <c r="F104" i="73"/>
  <c r="G104" i="73"/>
  <c r="K105" i="5"/>
  <c r="G104" i="74"/>
  <c r="H104" i="74"/>
  <c r="F104" i="74"/>
  <c r="E104" i="74"/>
  <c r="J104" i="5"/>
  <c r="E103" i="73"/>
  <c r="F103" i="73"/>
  <c r="H103" i="73"/>
  <c r="G103" i="73"/>
  <c r="K104" i="5"/>
  <c r="H103" i="74"/>
  <c r="E103" i="74"/>
  <c r="G103" i="74"/>
  <c r="F103" i="74"/>
  <c r="J100" i="5"/>
  <c r="E99" i="73"/>
  <c r="F99" i="73"/>
  <c r="H99" i="73"/>
  <c r="G99" i="73"/>
  <c r="J71" i="14"/>
  <c r="J58" i="14"/>
  <c r="AG73" i="14"/>
  <c r="AG60" i="14"/>
  <c r="AL33" i="14"/>
  <c r="K28" i="14"/>
  <c r="O140" i="5"/>
  <c r="P140" i="5"/>
  <c r="R145" i="5"/>
  <c r="Q145" i="5"/>
  <c r="O121" i="5"/>
  <c r="P121" i="5"/>
  <c r="R121" i="5"/>
  <c r="Q121" i="5"/>
  <c r="Q158" i="5"/>
  <c r="R158" i="5"/>
  <c r="O158" i="5"/>
  <c r="P158" i="5"/>
  <c r="Q110" i="5"/>
  <c r="R110" i="5"/>
  <c r="O100" i="5"/>
  <c r="P100" i="5"/>
  <c r="R160" i="5"/>
  <c r="Q160" i="5"/>
  <c r="O151" i="5"/>
  <c r="P151" i="5"/>
  <c r="Q138" i="5"/>
  <c r="R138" i="5"/>
  <c r="R115" i="5"/>
  <c r="Q115" i="5"/>
  <c r="O156" i="5"/>
  <c r="P156" i="5"/>
  <c r="Q150" i="5"/>
  <c r="R150" i="5"/>
  <c r="O110" i="5"/>
  <c r="P110" i="5"/>
  <c r="O134" i="5"/>
  <c r="P134" i="5"/>
  <c r="O114" i="5"/>
  <c r="P114" i="5"/>
  <c r="Q100" i="5"/>
  <c r="R100" i="5"/>
  <c r="P105" i="5"/>
  <c r="O105" i="5"/>
  <c r="R159" i="5"/>
  <c r="Q159" i="5"/>
  <c r="Q105" i="5"/>
  <c r="R105" i="5"/>
  <c r="Q140" i="5"/>
  <c r="R140" i="5"/>
  <c r="O137" i="5"/>
  <c r="P137" i="5"/>
  <c r="Q132" i="5"/>
  <c r="R132" i="5"/>
  <c r="O136" i="5"/>
  <c r="P136" i="5"/>
  <c r="O128" i="5"/>
  <c r="P128" i="5"/>
  <c r="Q156" i="5"/>
  <c r="R156" i="5"/>
  <c r="Q112" i="5"/>
  <c r="R112" i="5"/>
  <c r="R143" i="5"/>
  <c r="Q143" i="5"/>
  <c r="R134" i="5"/>
  <c r="Q134" i="5"/>
  <c r="Q116" i="5"/>
  <c r="R116" i="5"/>
  <c r="O126" i="5"/>
  <c r="P126" i="5"/>
  <c r="O127" i="5"/>
  <c r="P127" i="5"/>
  <c r="R137" i="5"/>
  <c r="Q137" i="5"/>
  <c r="O154" i="5"/>
  <c r="P154" i="5"/>
  <c r="O145" i="5"/>
  <c r="P145" i="5"/>
  <c r="O147" i="5"/>
  <c r="P147" i="5"/>
  <c r="R147" i="5"/>
  <c r="Q147" i="5"/>
  <c r="R154" i="5"/>
  <c r="Q154" i="5"/>
  <c r="P122" i="5"/>
  <c r="O122" i="5"/>
  <c r="O104" i="5"/>
  <c r="P104" i="5"/>
  <c r="O138" i="5"/>
  <c r="P138" i="5"/>
  <c r="R104" i="5"/>
  <c r="Q104" i="5"/>
  <c r="R133" i="5"/>
  <c r="Q133" i="5"/>
  <c r="M129" i="5"/>
  <c r="L162" i="5"/>
  <c r="L115" i="5"/>
  <c r="L133" i="5"/>
  <c r="L129" i="5"/>
  <c r="M127" i="5"/>
  <c r="M162" i="5"/>
  <c r="L148" i="5"/>
  <c r="M126" i="5"/>
  <c r="M148" i="5"/>
  <c r="L149" i="5"/>
  <c r="L159" i="5"/>
  <c r="M149" i="5"/>
  <c r="M151" i="5"/>
  <c r="L155" i="5"/>
  <c r="M155" i="5"/>
  <c r="L116" i="5"/>
  <c r="L160" i="5"/>
  <c r="L111" i="5"/>
  <c r="L144" i="5"/>
  <c r="M144" i="5"/>
  <c r="M111" i="5"/>
  <c r="U108" i="5"/>
  <c r="W108" i="5"/>
  <c r="T108" i="5"/>
  <c r="V108" i="5"/>
  <c r="M130" i="5"/>
  <c r="H129" i="74" l="1"/>
  <c r="J111" i="5"/>
  <c r="F110" i="73"/>
  <c r="H110" i="73"/>
  <c r="G110" i="73"/>
  <c r="E110" i="73"/>
  <c r="J116" i="5"/>
  <c r="E115" i="73"/>
  <c r="G115" i="73"/>
  <c r="F115" i="73"/>
  <c r="H115" i="73"/>
  <c r="J148" i="5"/>
  <c r="H147" i="73"/>
  <c r="G147" i="73"/>
  <c r="F147" i="73"/>
  <c r="E147" i="73"/>
  <c r="K111" i="5"/>
  <c r="H110" i="74"/>
  <c r="G110" i="74"/>
  <c r="E110" i="74"/>
  <c r="F110" i="74"/>
  <c r="K151" i="5"/>
  <c r="H150" i="74"/>
  <c r="G150" i="74"/>
  <c r="F150" i="74"/>
  <c r="E150" i="74"/>
  <c r="K149" i="5"/>
  <c r="F148" i="74"/>
  <c r="E148" i="74"/>
  <c r="H148" i="74"/>
  <c r="G148" i="74"/>
  <c r="J149" i="5"/>
  <c r="G148" i="73"/>
  <c r="F148" i="73"/>
  <c r="E148" i="73"/>
  <c r="H148" i="73"/>
  <c r="J133" i="5"/>
  <c r="H132" i="73"/>
  <c r="F132" i="73"/>
  <c r="E132" i="73"/>
  <c r="G132" i="73"/>
  <c r="F129" i="74"/>
  <c r="K148" i="5"/>
  <c r="G147" i="74"/>
  <c r="F147" i="74"/>
  <c r="H147" i="74"/>
  <c r="E147" i="74"/>
  <c r="J115" i="5"/>
  <c r="F114" i="73"/>
  <c r="E114" i="73"/>
  <c r="H114" i="73"/>
  <c r="G114" i="73"/>
  <c r="E129" i="74"/>
  <c r="K144" i="5"/>
  <c r="G143" i="74"/>
  <c r="F143" i="74"/>
  <c r="E143" i="74"/>
  <c r="H143" i="74"/>
  <c r="J144" i="5"/>
  <c r="H143" i="73"/>
  <c r="G143" i="73"/>
  <c r="F143" i="73"/>
  <c r="E143" i="73"/>
  <c r="G129" i="74"/>
  <c r="J160" i="5"/>
  <c r="H159" i="73"/>
  <c r="E159" i="73"/>
  <c r="G159" i="73"/>
  <c r="F159" i="73"/>
  <c r="K155" i="5"/>
  <c r="H154" i="74"/>
  <c r="G154" i="74"/>
  <c r="E154" i="74"/>
  <c r="F154" i="74"/>
  <c r="J162" i="5"/>
  <c r="F161" i="73"/>
  <c r="G161" i="73"/>
  <c r="E161" i="73"/>
  <c r="H161" i="73"/>
  <c r="K162" i="5"/>
  <c r="E161" i="74"/>
  <c r="F161" i="74"/>
  <c r="H161" i="74"/>
  <c r="G161" i="74"/>
  <c r="J155" i="5"/>
  <c r="E154" i="73"/>
  <c r="H154" i="73"/>
  <c r="F154" i="73"/>
  <c r="G154" i="73"/>
  <c r="J159" i="5"/>
  <c r="E158" i="73"/>
  <c r="H158" i="73"/>
  <c r="G158" i="73"/>
  <c r="F158" i="73"/>
  <c r="K126" i="5"/>
  <c r="E125" i="74"/>
  <c r="H125" i="74"/>
  <c r="F125" i="74"/>
  <c r="G125" i="74"/>
  <c r="K127" i="5"/>
  <c r="H126" i="74"/>
  <c r="F126" i="74"/>
  <c r="E126" i="74"/>
  <c r="G126" i="74"/>
  <c r="J129" i="5"/>
  <c r="G128" i="73"/>
  <c r="G118" i="73" s="1"/>
  <c r="F128" i="73"/>
  <c r="F118" i="73" s="1"/>
  <c r="E128" i="73"/>
  <c r="E118" i="73" s="1"/>
  <c r="H128" i="73"/>
  <c r="H118" i="73" s="1"/>
  <c r="K129" i="5"/>
  <c r="F128" i="74"/>
  <c r="H128" i="74"/>
  <c r="G128" i="74"/>
  <c r="E128" i="74"/>
  <c r="K71" i="14"/>
  <c r="K58" i="14"/>
  <c r="AL73" i="14"/>
  <c r="AL60" i="14"/>
  <c r="L28" i="14"/>
  <c r="AQ33" i="14"/>
  <c r="R144" i="5"/>
  <c r="Q144" i="5"/>
  <c r="O116" i="5"/>
  <c r="P116" i="5"/>
  <c r="O159" i="5"/>
  <c r="P159" i="5"/>
  <c r="R162" i="5"/>
  <c r="Q162" i="5"/>
  <c r="O162" i="5"/>
  <c r="P162" i="5"/>
  <c r="R129" i="5"/>
  <c r="Q129" i="5"/>
  <c r="R155" i="5"/>
  <c r="Q155" i="5"/>
  <c r="R151" i="5"/>
  <c r="Q151" i="5"/>
  <c r="Q126" i="5"/>
  <c r="R126" i="5"/>
  <c r="L119" i="5"/>
  <c r="O129" i="5"/>
  <c r="O119" i="5" s="1"/>
  <c r="P129" i="5"/>
  <c r="P119" i="5" s="1"/>
  <c r="O133" i="5"/>
  <c r="P133" i="5"/>
  <c r="R130" i="5"/>
  <c r="O144" i="5"/>
  <c r="P144" i="5"/>
  <c r="O160" i="5"/>
  <c r="P160" i="5"/>
  <c r="O155" i="5"/>
  <c r="P155" i="5"/>
  <c r="R149" i="5"/>
  <c r="Q149" i="5"/>
  <c r="Q130" i="5"/>
  <c r="R111" i="5"/>
  <c r="Q111" i="5"/>
  <c r="O111" i="5"/>
  <c r="P111" i="5"/>
  <c r="O149" i="5"/>
  <c r="P149" i="5"/>
  <c r="Q148" i="5"/>
  <c r="R148" i="5"/>
  <c r="P148" i="5"/>
  <c r="O148" i="5"/>
  <c r="R127" i="5"/>
  <c r="Q127" i="5"/>
  <c r="O115" i="5"/>
  <c r="P115" i="5"/>
  <c r="M119" i="5"/>
  <c r="M141" i="5"/>
  <c r="L152" i="5"/>
  <c r="F35" i="5"/>
  <c r="F51" i="5"/>
  <c r="F36" i="5"/>
  <c r="L141" i="5"/>
  <c r="F49" i="5"/>
  <c r="F47" i="5"/>
  <c r="W119" i="5"/>
  <c r="U119" i="5"/>
  <c r="V119" i="5"/>
  <c r="T119" i="5"/>
  <c r="F140" i="74" l="1"/>
  <c r="G140" i="74"/>
  <c r="E140" i="74"/>
  <c r="F118" i="74"/>
  <c r="H140" i="73"/>
  <c r="H140" i="74"/>
  <c r="E140" i="73"/>
  <c r="F140" i="73"/>
  <c r="G140" i="73"/>
  <c r="H151" i="73"/>
  <c r="F151" i="73"/>
  <c r="E151" i="73"/>
  <c r="E118" i="74"/>
  <c r="G118" i="74"/>
  <c r="H118" i="74"/>
  <c r="G151" i="73"/>
  <c r="AQ73" i="14"/>
  <c r="AQ60" i="14"/>
  <c r="L71" i="14"/>
  <c r="L58" i="14"/>
  <c r="M28" i="14"/>
  <c r="Q119" i="5"/>
  <c r="Q141" i="5"/>
  <c r="O152" i="5"/>
  <c r="P152" i="5"/>
  <c r="R119" i="5"/>
  <c r="P141" i="5"/>
  <c r="R141" i="5"/>
  <c r="O141" i="5"/>
  <c r="F181" i="5"/>
  <c r="F178" i="5"/>
  <c r="F182" i="5"/>
  <c r="F88" i="5"/>
  <c r="M88" i="5" s="1"/>
  <c r="F95" i="5"/>
  <c r="F172" i="5" s="1"/>
  <c r="F89" i="5"/>
  <c r="F166" i="5" s="1"/>
  <c r="F92" i="5"/>
  <c r="F169" i="5" s="1"/>
  <c r="F180" i="5"/>
  <c r="F177" i="5"/>
  <c r="F94" i="5"/>
  <c r="F90" i="5"/>
  <c r="F96" i="5"/>
  <c r="F59" i="5"/>
  <c r="F191" i="5"/>
  <c r="F41" i="5"/>
  <c r="F46" i="5"/>
  <c r="F179" i="5"/>
  <c r="F34" i="5"/>
  <c r="F176" i="5"/>
  <c r="F93" i="5"/>
  <c r="F170" i="5" s="1"/>
  <c r="V130" i="5"/>
  <c r="W130" i="5"/>
  <c r="U130" i="5"/>
  <c r="T130" i="5"/>
  <c r="F42" i="5"/>
  <c r="L189" i="5"/>
  <c r="M189" i="5"/>
  <c r="F185" i="5"/>
  <c r="L186" i="5"/>
  <c r="M186" i="5"/>
  <c r="M47" i="5"/>
  <c r="L47" i="5"/>
  <c r="M51" i="5"/>
  <c r="L51" i="5"/>
  <c r="K88" i="5" l="1"/>
  <c r="G87" i="74"/>
  <c r="F87" i="74"/>
  <c r="E87" i="74"/>
  <c r="H87" i="74"/>
  <c r="J51" i="5"/>
  <c r="E50" i="73"/>
  <c r="G50" i="73"/>
  <c r="F50" i="73"/>
  <c r="H50" i="73"/>
  <c r="K47" i="5"/>
  <c r="G46" i="74"/>
  <c r="F46" i="74"/>
  <c r="H46" i="74"/>
  <c r="E46" i="74"/>
  <c r="E185" i="73"/>
  <c r="H185" i="73"/>
  <c r="G185" i="73"/>
  <c r="F185" i="73"/>
  <c r="F188" i="73"/>
  <c r="E188" i="73"/>
  <c r="H188" i="73"/>
  <c r="G188" i="73"/>
  <c r="K51" i="5"/>
  <c r="G50" i="74"/>
  <c r="F50" i="74"/>
  <c r="H50" i="74"/>
  <c r="E50" i="74"/>
  <c r="J47" i="5"/>
  <c r="E46" i="73"/>
  <c r="G46" i="73"/>
  <c r="F46" i="73"/>
  <c r="H46" i="73"/>
  <c r="H185" i="74"/>
  <c r="G185" i="74"/>
  <c r="F185" i="74"/>
  <c r="E185" i="74"/>
  <c r="E188" i="74"/>
  <c r="H188" i="74"/>
  <c r="G188" i="74"/>
  <c r="F188" i="74"/>
  <c r="M71" i="14"/>
  <c r="M58" i="14"/>
  <c r="N28" i="14"/>
  <c r="J186" i="5"/>
  <c r="O186" i="5"/>
  <c r="P186" i="5"/>
  <c r="J189" i="5"/>
  <c r="O189" i="5"/>
  <c r="P189" i="5"/>
  <c r="K186" i="5"/>
  <c r="Q186" i="5"/>
  <c r="R186" i="5"/>
  <c r="K189" i="5"/>
  <c r="Q189" i="5"/>
  <c r="R189" i="5"/>
  <c r="L181" i="5"/>
  <c r="P51" i="5"/>
  <c r="O51" i="5"/>
  <c r="Q51" i="5"/>
  <c r="R51" i="5"/>
  <c r="P47" i="5"/>
  <c r="O47" i="5"/>
  <c r="Q47" i="5"/>
  <c r="R47" i="5"/>
  <c r="Q88" i="5"/>
  <c r="R88" i="5"/>
  <c r="L92" i="5"/>
  <c r="L94" i="5"/>
  <c r="M182" i="5"/>
  <c r="L182" i="5"/>
  <c r="M181" i="5"/>
  <c r="M90" i="5"/>
  <c r="F167" i="5"/>
  <c r="L90" i="5"/>
  <c r="M89" i="5"/>
  <c r="F58" i="5"/>
  <c r="M58" i="5" s="1"/>
  <c r="L93" i="5"/>
  <c r="F55" i="5"/>
  <c r="L96" i="5"/>
  <c r="L89" i="5"/>
  <c r="F173" i="5"/>
  <c r="L173" i="5" s="1"/>
  <c r="F171" i="5"/>
  <c r="F54" i="5"/>
  <c r="L180" i="5"/>
  <c r="F165" i="5"/>
  <c r="L165" i="5" s="1"/>
  <c r="L88" i="5"/>
  <c r="M180" i="5"/>
  <c r="F40" i="5"/>
  <c r="T141" i="5"/>
  <c r="W141" i="5"/>
  <c r="U141" i="5"/>
  <c r="V141" i="5"/>
  <c r="M172" i="5"/>
  <c r="L172" i="5"/>
  <c r="M169" i="5"/>
  <c r="L169" i="5"/>
  <c r="M170" i="5"/>
  <c r="L170" i="5"/>
  <c r="M166" i="5"/>
  <c r="L166" i="5"/>
  <c r="L191" i="5"/>
  <c r="L185" i="5"/>
  <c r="L50" i="5"/>
  <c r="L48" i="5"/>
  <c r="AO188" i="74" l="1"/>
  <c r="S188" i="74"/>
  <c r="AD188" i="74"/>
  <c r="AC185" i="74"/>
  <c r="R185" i="74"/>
  <c r="AN185" i="74"/>
  <c r="AC188" i="73"/>
  <c r="R188" i="73"/>
  <c r="AN188" i="73"/>
  <c r="AO185" i="74"/>
  <c r="AD185" i="74"/>
  <c r="S185" i="74"/>
  <c r="AD188" i="73"/>
  <c r="S188" i="73"/>
  <c r="AO188" i="73"/>
  <c r="AN185" i="73"/>
  <c r="AC185" i="73"/>
  <c r="R185" i="73"/>
  <c r="AO185" i="73"/>
  <c r="AD185" i="73"/>
  <c r="S185" i="73"/>
  <c r="R188" i="74"/>
  <c r="AC188" i="74"/>
  <c r="AN188" i="74"/>
  <c r="J165" i="5"/>
  <c r="G164" i="73"/>
  <c r="F164" i="73"/>
  <c r="E164" i="73"/>
  <c r="H164" i="73"/>
  <c r="J93" i="5"/>
  <c r="H92" i="73"/>
  <c r="E92" i="73"/>
  <c r="G92" i="73"/>
  <c r="F92" i="73"/>
  <c r="K170" i="5"/>
  <c r="E169" i="74"/>
  <c r="H169" i="74"/>
  <c r="G169" i="74"/>
  <c r="F169" i="74"/>
  <c r="K172" i="5"/>
  <c r="G171" i="74"/>
  <c r="F171" i="74"/>
  <c r="H171" i="74"/>
  <c r="E171" i="74"/>
  <c r="J173" i="5"/>
  <c r="G172" i="73"/>
  <c r="F172" i="73"/>
  <c r="E172" i="73"/>
  <c r="H172" i="73"/>
  <c r="J90" i="5"/>
  <c r="G89" i="73"/>
  <c r="F89" i="73"/>
  <c r="E89" i="73"/>
  <c r="H89" i="73"/>
  <c r="K182" i="5"/>
  <c r="G181" i="74"/>
  <c r="F181" i="74"/>
  <c r="E181" i="74"/>
  <c r="H181" i="74"/>
  <c r="J170" i="5"/>
  <c r="F169" i="73"/>
  <c r="E169" i="73"/>
  <c r="H169" i="73"/>
  <c r="G169" i="73"/>
  <c r="J172" i="5"/>
  <c r="H171" i="73"/>
  <c r="G171" i="73"/>
  <c r="E171" i="73"/>
  <c r="F171" i="73"/>
  <c r="J96" i="5"/>
  <c r="E95" i="73"/>
  <c r="H95" i="73"/>
  <c r="G95" i="73"/>
  <c r="F95" i="73"/>
  <c r="K90" i="5"/>
  <c r="E89" i="74"/>
  <c r="H89" i="74"/>
  <c r="G89" i="74"/>
  <c r="F89" i="74"/>
  <c r="J94" i="5"/>
  <c r="G93" i="73"/>
  <c r="E93" i="73"/>
  <c r="F93" i="73"/>
  <c r="H93" i="73"/>
  <c r="K166" i="5"/>
  <c r="E165" i="74"/>
  <c r="H165" i="74"/>
  <c r="F165" i="74"/>
  <c r="G165" i="74"/>
  <c r="K169" i="5"/>
  <c r="F168" i="74"/>
  <c r="E168" i="74"/>
  <c r="G168" i="74"/>
  <c r="H168" i="74"/>
  <c r="K89" i="5"/>
  <c r="F88" i="74"/>
  <c r="E88" i="74"/>
  <c r="H88" i="74"/>
  <c r="G88" i="74"/>
  <c r="J182" i="5"/>
  <c r="H181" i="73"/>
  <c r="G181" i="73"/>
  <c r="F181" i="73"/>
  <c r="E181" i="73"/>
  <c r="J92" i="5"/>
  <c r="E91" i="73"/>
  <c r="G91" i="73"/>
  <c r="H91" i="73"/>
  <c r="F91" i="73"/>
  <c r="J166" i="5"/>
  <c r="F165" i="73"/>
  <c r="E165" i="73"/>
  <c r="H165" i="73"/>
  <c r="G165" i="73"/>
  <c r="J169" i="5"/>
  <c r="G168" i="73"/>
  <c r="F168" i="73"/>
  <c r="H168" i="73"/>
  <c r="E168" i="73"/>
  <c r="J88" i="5"/>
  <c r="E87" i="73"/>
  <c r="F87" i="73"/>
  <c r="H87" i="73"/>
  <c r="G87" i="73"/>
  <c r="J89" i="5"/>
  <c r="H88" i="73"/>
  <c r="F88" i="73"/>
  <c r="G88" i="73"/>
  <c r="E88" i="73"/>
  <c r="E184" i="73"/>
  <c r="H184" i="73"/>
  <c r="G184" i="73"/>
  <c r="F184" i="73"/>
  <c r="J50" i="5"/>
  <c r="H49" i="73"/>
  <c r="G49" i="73"/>
  <c r="E49" i="73"/>
  <c r="F49" i="73"/>
  <c r="M191" i="5"/>
  <c r="R191" i="5" s="1"/>
  <c r="J48" i="5"/>
  <c r="F47" i="73"/>
  <c r="E47" i="73"/>
  <c r="G47" i="73"/>
  <c r="H47" i="73"/>
  <c r="J191" i="5"/>
  <c r="G190" i="73"/>
  <c r="E190" i="73"/>
  <c r="H190" i="73"/>
  <c r="F190" i="73"/>
  <c r="N71" i="14"/>
  <c r="N58" i="14"/>
  <c r="O28" i="14"/>
  <c r="K180" i="5"/>
  <c r="F179" i="74"/>
  <c r="W179" i="74" s="1"/>
  <c r="W174" i="74" s="1"/>
  <c r="E179" i="74"/>
  <c r="H179" i="74"/>
  <c r="Y179" i="74" s="1"/>
  <c r="Y174" i="74" s="1"/>
  <c r="G179" i="74"/>
  <c r="X179" i="74" s="1"/>
  <c r="X174" i="74" s="1"/>
  <c r="J180" i="5"/>
  <c r="G179" i="73"/>
  <c r="X179" i="73" s="1"/>
  <c r="X174" i="73" s="1"/>
  <c r="F179" i="73"/>
  <c r="W179" i="73" s="1"/>
  <c r="W174" i="73" s="1"/>
  <c r="E179" i="73"/>
  <c r="H179" i="73"/>
  <c r="Y179" i="73" s="1"/>
  <c r="Y174" i="73" s="1"/>
  <c r="K58" i="5"/>
  <c r="G57" i="74"/>
  <c r="F57" i="74"/>
  <c r="H57" i="74"/>
  <c r="E57" i="74"/>
  <c r="K181" i="5"/>
  <c r="E180" i="74"/>
  <c r="H180" i="74"/>
  <c r="G180" i="74"/>
  <c r="F180" i="74"/>
  <c r="J181" i="5"/>
  <c r="F180" i="73"/>
  <c r="E180" i="73"/>
  <c r="H180" i="73"/>
  <c r="G180" i="73"/>
  <c r="Q180" i="5"/>
  <c r="O181" i="5"/>
  <c r="O182" i="5"/>
  <c r="O191" i="5"/>
  <c r="P180" i="5"/>
  <c r="R180" i="5"/>
  <c r="Q181" i="5"/>
  <c r="Q182" i="5"/>
  <c r="P182" i="5"/>
  <c r="R182" i="5"/>
  <c r="P191" i="5"/>
  <c r="O180" i="5"/>
  <c r="P181" i="5"/>
  <c r="R181" i="5"/>
  <c r="J185" i="5"/>
  <c r="P185" i="5"/>
  <c r="O185" i="5"/>
  <c r="P94" i="5"/>
  <c r="O94" i="5"/>
  <c r="P50" i="5"/>
  <c r="O50" i="5"/>
  <c r="O170" i="5"/>
  <c r="P170" i="5"/>
  <c r="O172" i="5"/>
  <c r="P172" i="5"/>
  <c r="P88" i="5"/>
  <c r="O88" i="5"/>
  <c r="O92" i="5"/>
  <c r="P92" i="5"/>
  <c r="Q166" i="5"/>
  <c r="R166" i="5"/>
  <c r="Q170" i="5"/>
  <c r="R170" i="5"/>
  <c r="R169" i="5"/>
  <c r="Q169" i="5"/>
  <c r="R172" i="5"/>
  <c r="Q172" i="5"/>
  <c r="O165" i="5"/>
  <c r="P165" i="5"/>
  <c r="O173" i="5"/>
  <c r="P173" i="5"/>
  <c r="O93" i="5"/>
  <c r="P93" i="5"/>
  <c r="Q89" i="5"/>
  <c r="R89" i="5"/>
  <c r="R90" i="5"/>
  <c r="Q90" i="5"/>
  <c r="O48" i="5"/>
  <c r="P48" i="5"/>
  <c r="O89" i="5"/>
  <c r="P89" i="5"/>
  <c r="P90" i="5"/>
  <c r="O90" i="5"/>
  <c r="O166" i="5"/>
  <c r="P166" i="5"/>
  <c r="O169" i="5"/>
  <c r="P169" i="5"/>
  <c r="P96" i="5"/>
  <c r="O96" i="5"/>
  <c r="R58" i="5"/>
  <c r="Q58" i="5"/>
  <c r="L167" i="5"/>
  <c r="L171" i="5"/>
  <c r="M173" i="5"/>
  <c r="M167" i="5"/>
  <c r="L58" i="5"/>
  <c r="M165" i="5"/>
  <c r="M171" i="5"/>
  <c r="W152" i="5"/>
  <c r="U152" i="5"/>
  <c r="V152" i="5"/>
  <c r="T152" i="5"/>
  <c r="L184" i="5"/>
  <c r="C18" i="64" s="1"/>
  <c r="M185" i="5"/>
  <c r="AN190" i="73" l="1"/>
  <c r="AC190" i="73"/>
  <c r="R190" i="73"/>
  <c r="H183" i="73"/>
  <c r="I18" i="64" s="1"/>
  <c r="AO190" i="73"/>
  <c r="AD190" i="73"/>
  <c r="S190" i="73"/>
  <c r="AO184" i="73"/>
  <c r="AD184" i="73"/>
  <c r="S184" i="73"/>
  <c r="AN184" i="73"/>
  <c r="AC184" i="73"/>
  <c r="R184" i="73"/>
  <c r="F183" i="73"/>
  <c r="G18" i="64" s="1"/>
  <c r="K173" i="5"/>
  <c r="F172" i="74"/>
  <c r="E172" i="74"/>
  <c r="H172" i="74"/>
  <c r="G172" i="74"/>
  <c r="J171" i="5"/>
  <c r="E170" i="73"/>
  <c r="H170" i="73"/>
  <c r="G170" i="73"/>
  <c r="F170" i="73"/>
  <c r="J167" i="5"/>
  <c r="E166" i="73"/>
  <c r="H166" i="73"/>
  <c r="G166" i="73"/>
  <c r="F166" i="73"/>
  <c r="K167" i="5"/>
  <c r="H166" i="74"/>
  <c r="G166" i="74"/>
  <c r="F166" i="74"/>
  <c r="E166" i="74"/>
  <c r="Q191" i="5"/>
  <c r="K171" i="5"/>
  <c r="H170" i="74"/>
  <c r="G170" i="74"/>
  <c r="E170" i="74"/>
  <c r="F170" i="74"/>
  <c r="K165" i="5"/>
  <c r="F164" i="74"/>
  <c r="E164" i="74"/>
  <c r="G164" i="74"/>
  <c r="H164" i="74"/>
  <c r="G183" i="73"/>
  <c r="H18" i="64" s="1"/>
  <c r="H184" i="74"/>
  <c r="E184" i="74"/>
  <c r="G184" i="74"/>
  <c r="F184" i="74"/>
  <c r="E183" i="73"/>
  <c r="F18" i="64" s="1"/>
  <c r="K191" i="5"/>
  <c r="F190" i="74"/>
  <c r="H190" i="74"/>
  <c r="G190" i="74"/>
  <c r="E190" i="74"/>
  <c r="O71" i="14"/>
  <c r="O58" i="14"/>
  <c r="P28" i="14"/>
  <c r="J184" i="5"/>
  <c r="D183" i="73" s="1"/>
  <c r="D262" i="73" s="1"/>
  <c r="J58" i="5"/>
  <c r="H57" i="73"/>
  <c r="G57" i="73"/>
  <c r="F57" i="73"/>
  <c r="E57" i="73"/>
  <c r="R185" i="5"/>
  <c r="Q185" i="5"/>
  <c r="M184" i="5"/>
  <c r="C45" i="64" s="1"/>
  <c r="K185" i="5"/>
  <c r="O58" i="5"/>
  <c r="P58" i="5"/>
  <c r="R173" i="5"/>
  <c r="Q173" i="5"/>
  <c r="R171" i="5"/>
  <c r="Q171" i="5"/>
  <c r="R165" i="5"/>
  <c r="Q165" i="5"/>
  <c r="P167" i="5"/>
  <c r="O167" i="5"/>
  <c r="R167" i="5"/>
  <c r="Q167" i="5"/>
  <c r="O171" i="5"/>
  <c r="P171" i="5"/>
  <c r="O184" i="5"/>
  <c r="P184" i="5"/>
  <c r="L163" i="5"/>
  <c r="M163" i="5"/>
  <c r="T163" i="5"/>
  <c r="U163" i="5"/>
  <c r="V163" i="5"/>
  <c r="W163" i="5"/>
  <c r="L40" i="5"/>
  <c r="M178" i="5"/>
  <c r="L178" i="5"/>
  <c r="M177" i="5"/>
  <c r="L177" i="5"/>
  <c r="M161" i="5"/>
  <c r="S183" i="73" l="1"/>
  <c r="S203" i="73" s="1"/>
  <c r="AD183" i="73"/>
  <c r="AD203" i="73" s="1"/>
  <c r="AO183" i="73"/>
  <c r="AN183" i="73"/>
  <c r="AO190" i="74"/>
  <c r="AD190" i="74"/>
  <c r="S190" i="74"/>
  <c r="AN190" i="74"/>
  <c r="AC190" i="74"/>
  <c r="R190" i="74"/>
  <c r="AC183" i="73"/>
  <c r="AC203" i="73" s="1"/>
  <c r="R183" i="73"/>
  <c r="R203" i="73" s="1"/>
  <c r="AO184" i="74"/>
  <c r="AD184" i="74"/>
  <c r="S184" i="74"/>
  <c r="AN184" i="74"/>
  <c r="AC184" i="74"/>
  <c r="R184" i="74"/>
  <c r="H162" i="73"/>
  <c r="E162" i="73"/>
  <c r="F162" i="73"/>
  <c r="G162" i="73"/>
  <c r="F183" i="74"/>
  <c r="G45" i="64" s="1"/>
  <c r="E162" i="74"/>
  <c r="G183" i="74"/>
  <c r="H45" i="64" s="1"/>
  <c r="E183" i="74"/>
  <c r="F45" i="64" s="1"/>
  <c r="H162" i="74"/>
  <c r="F162" i="74"/>
  <c r="H183" i="74"/>
  <c r="I45" i="64" s="1"/>
  <c r="G162" i="74"/>
  <c r="K161" i="5"/>
  <c r="F160" i="74"/>
  <c r="F151" i="74" s="1"/>
  <c r="E160" i="74"/>
  <c r="E151" i="74" s="1"/>
  <c r="H160" i="74"/>
  <c r="H151" i="74" s="1"/>
  <c r="G160" i="74"/>
  <c r="G151" i="74" s="1"/>
  <c r="H176" i="73"/>
  <c r="E176" i="73"/>
  <c r="G176" i="73"/>
  <c r="F176" i="73"/>
  <c r="E18" i="64"/>
  <c r="D264" i="73"/>
  <c r="F177" i="74"/>
  <c r="H177" i="74"/>
  <c r="G177" i="74"/>
  <c r="E177" i="74"/>
  <c r="D18" i="64"/>
  <c r="D263" i="73"/>
  <c r="G176" i="74"/>
  <c r="F176" i="74"/>
  <c r="H176" i="74"/>
  <c r="E176" i="74"/>
  <c r="G177" i="73"/>
  <c r="F177" i="73"/>
  <c r="E177" i="73"/>
  <c r="H177" i="73"/>
  <c r="K18" i="64"/>
  <c r="L18" i="64" s="1"/>
  <c r="P71" i="14"/>
  <c r="P58" i="14"/>
  <c r="Q28" i="14"/>
  <c r="J40" i="5"/>
  <c r="G39" i="73"/>
  <c r="F39" i="73"/>
  <c r="E39" i="73"/>
  <c r="H39" i="73"/>
  <c r="Q184" i="5"/>
  <c r="R163" i="5"/>
  <c r="K178" i="5"/>
  <c r="Q178" i="5"/>
  <c r="R178" i="5"/>
  <c r="K177" i="5"/>
  <c r="Q177" i="5"/>
  <c r="R177" i="5"/>
  <c r="J178" i="5"/>
  <c r="O178" i="5"/>
  <c r="P178" i="5"/>
  <c r="J177" i="5"/>
  <c r="O177" i="5"/>
  <c r="P177" i="5"/>
  <c r="K184" i="5"/>
  <c r="D183" i="74" s="1"/>
  <c r="D262" i="74" s="1"/>
  <c r="R184" i="5"/>
  <c r="O163" i="5"/>
  <c r="P163" i="5"/>
  <c r="M152" i="5"/>
  <c r="R161" i="5"/>
  <c r="R152" i="5" s="1"/>
  <c r="Q161" i="5"/>
  <c r="Q152" i="5" s="1"/>
  <c r="P40" i="5"/>
  <c r="O40" i="5"/>
  <c r="Q163" i="5"/>
  <c r="L118" i="5"/>
  <c r="L132" i="5"/>
  <c r="L17" i="5"/>
  <c r="L107" i="5"/>
  <c r="S183" i="74" l="1"/>
  <c r="S203" i="74" s="1"/>
  <c r="AC183" i="74"/>
  <c r="AC203" i="74" s="1"/>
  <c r="AO183" i="74"/>
  <c r="AN183" i="74"/>
  <c r="R183" i="74"/>
  <c r="R203" i="74" s="1"/>
  <c r="AD183" i="74"/>
  <c r="AD203" i="74" s="1"/>
  <c r="J17" i="5"/>
  <c r="P17" i="5"/>
  <c r="J132" i="5"/>
  <c r="E131" i="73"/>
  <c r="H131" i="73"/>
  <c r="G131" i="73"/>
  <c r="F131" i="73"/>
  <c r="J118" i="5"/>
  <c r="G117" i="73"/>
  <c r="E117" i="73"/>
  <c r="F117" i="73"/>
  <c r="H117" i="73"/>
  <c r="J107" i="5"/>
  <c r="F106" i="73"/>
  <c r="G106" i="73"/>
  <c r="H106" i="73"/>
  <c r="E106" i="73"/>
  <c r="D45" i="64"/>
  <c r="D263" i="74"/>
  <c r="K45" i="64"/>
  <c r="L45" i="64" s="1"/>
  <c r="V263" i="73"/>
  <c r="AO263" i="73"/>
  <c r="AD263" i="73"/>
  <c r="M263" i="73"/>
  <c r="R263" i="73"/>
  <c r="L263" i="73"/>
  <c r="J263" i="73"/>
  <c r="AA263" i="73"/>
  <c r="AW263" i="73"/>
  <c r="AC263" i="73"/>
  <c r="AH263" i="73"/>
  <c r="AF263" i="73"/>
  <c r="X263" i="73"/>
  <c r="Z263" i="73"/>
  <c r="AS263" i="73"/>
  <c r="U263" i="73"/>
  <c r="AB263" i="73"/>
  <c r="O263" i="73"/>
  <c r="AI263" i="73"/>
  <c r="AK263" i="73"/>
  <c r="I263" i="73"/>
  <c r="AX263" i="73"/>
  <c r="AL263" i="73"/>
  <c r="N263" i="73"/>
  <c r="K263" i="73"/>
  <c r="AG263" i="73"/>
  <c r="Q263" i="73"/>
  <c r="AU263" i="73"/>
  <c r="AR263" i="73"/>
  <c r="W263" i="73"/>
  <c r="T263" i="73"/>
  <c r="S263" i="73"/>
  <c r="AP263" i="73"/>
  <c r="AN263" i="73"/>
  <c r="P263" i="73"/>
  <c r="AV263" i="73"/>
  <c r="Y263" i="73"/>
  <c r="AQ263" i="73"/>
  <c r="AJ263" i="73"/>
  <c r="AT263" i="73"/>
  <c r="AM263" i="73"/>
  <c r="AE263" i="73"/>
  <c r="H263" i="73"/>
  <c r="E263" i="73"/>
  <c r="G263" i="73"/>
  <c r="F263" i="73"/>
  <c r="AS264" i="73"/>
  <c r="AL264" i="73"/>
  <c r="AH264" i="73"/>
  <c r="N264" i="73"/>
  <c r="S264" i="73"/>
  <c r="AD264" i="73"/>
  <c r="AI264" i="73"/>
  <c r="AO264" i="73"/>
  <c r="U264" i="73"/>
  <c r="AQ264" i="73"/>
  <c r="AJ264" i="73"/>
  <c r="AB264" i="73"/>
  <c r="AR264" i="73"/>
  <c r="R264" i="73"/>
  <c r="AG264" i="73"/>
  <c r="Q264" i="73"/>
  <c r="AU264" i="73"/>
  <c r="M264" i="73"/>
  <c r="AX264" i="73"/>
  <c r="AM264" i="73"/>
  <c r="I264" i="73"/>
  <c r="T264" i="73"/>
  <c r="Z264" i="73"/>
  <c r="AV264" i="73"/>
  <c r="K264" i="73"/>
  <c r="AT264" i="73"/>
  <c r="X264" i="73"/>
  <c r="AE264" i="73"/>
  <c r="AN264" i="73"/>
  <c r="AF264" i="73"/>
  <c r="P264" i="73"/>
  <c r="AP264" i="73"/>
  <c r="J264" i="73"/>
  <c r="AC264" i="73"/>
  <c r="AA264" i="73"/>
  <c r="AW264" i="73"/>
  <c r="W264" i="73"/>
  <c r="AK264" i="73"/>
  <c r="O264" i="73"/>
  <c r="V264" i="73"/>
  <c r="Y264" i="73"/>
  <c r="L264" i="73"/>
  <c r="G264" i="73"/>
  <c r="E264" i="73"/>
  <c r="F264" i="73"/>
  <c r="H264" i="73"/>
  <c r="E45" i="64"/>
  <c r="D264" i="74"/>
  <c r="Q71" i="14"/>
  <c r="Q58" i="14"/>
  <c r="R28" i="14"/>
  <c r="O17" i="5"/>
  <c r="O132" i="5"/>
  <c r="P132" i="5"/>
  <c r="O118" i="5"/>
  <c r="P118" i="5"/>
  <c r="P107" i="5"/>
  <c r="O107" i="5"/>
  <c r="M118" i="5"/>
  <c r="M107" i="5"/>
  <c r="L106" i="5"/>
  <c r="L139" i="5"/>
  <c r="L95" i="5"/>
  <c r="L117" i="5"/>
  <c r="K118" i="5" l="1"/>
  <c r="E117" i="74"/>
  <c r="H117" i="74"/>
  <c r="G117" i="74"/>
  <c r="F117" i="74"/>
  <c r="J139" i="5"/>
  <c r="E138" i="73"/>
  <c r="E129" i="73" s="1"/>
  <c r="H138" i="73"/>
  <c r="H129" i="73" s="1"/>
  <c r="G138" i="73"/>
  <c r="G129" i="73" s="1"/>
  <c r="F138" i="73"/>
  <c r="F129" i="73" s="1"/>
  <c r="J117" i="5"/>
  <c r="H116" i="73"/>
  <c r="H107" i="73" s="1"/>
  <c r="G116" i="73"/>
  <c r="G107" i="73" s="1"/>
  <c r="F116" i="73"/>
  <c r="F107" i="73" s="1"/>
  <c r="E116" i="73"/>
  <c r="E107" i="73" s="1"/>
  <c r="J95" i="5"/>
  <c r="F94" i="73"/>
  <c r="F85" i="73" s="1"/>
  <c r="H94" i="73"/>
  <c r="H85" i="73" s="1"/>
  <c r="G94" i="73"/>
  <c r="G85" i="73" s="1"/>
  <c r="E94" i="73"/>
  <c r="E85" i="73" s="1"/>
  <c r="E84" i="73" s="1"/>
  <c r="K107" i="5"/>
  <c r="E106" i="74"/>
  <c r="F106" i="74"/>
  <c r="G106" i="74"/>
  <c r="H106" i="74"/>
  <c r="J106" i="5"/>
  <c r="G105" i="73"/>
  <c r="G96" i="73" s="1"/>
  <c r="H105" i="73"/>
  <c r="H96" i="73" s="1"/>
  <c r="E105" i="73"/>
  <c r="E96" i="73" s="1"/>
  <c r="F105" i="73"/>
  <c r="F96" i="73" s="1"/>
  <c r="AX264" i="74"/>
  <c r="AM264" i="74"/>
  <c r="AB264" i="74"/>
  <c r="R264" i="74"/>
  <c r="AT264" i="74"/>
  <c r="AI264" i="74"/>
  <c r="X264" i="74"/>
  <c r="N264" i="74"/>
  <c r="AD264" i="74"/>
  <c r="AN264" i="74"/>
  <c r="L264" i="74"/>
  <c r="AR264" i="74"/>
  <c r="W264" i="74"/>
  <c r="S264" i="74"/>
  <c r="AH264" i="74"/>
  <c r="AK264" i="74"/>
  <c r="U264" i="74"/>
  <c r="Z264" i="74"/>
  <c r="AU264" i="74"/>
  <c r="AS264" i="74"/>
  <c r="Y264" i="74"/>
  <c r="J264" i="74"/>
  <c r="AJ264" i="74"/>
  <c r="P264" i="74"/>
  <c r="AL264" i="74"/>
  <c r="AW264" i="74"/>
  <c r="AC264" i="74"/>
  <c r="I264" i="74"/>
  <c r="AE264" i="74"/>
  <c r="K264" i="74"/>
  <c r="AF264" i="74"/>
  <c r="AG264" i="74"/>
  <c r="T264" i="74"/>
  <c r="V264" i="74"/>
  <c r="Q264" i="74"/>
  <c r="AA264" i="74"/>
  <c r="AO264" i="74"/>
  <c r="O264" i="74"/>
  <c r="AV264" i="74"/>
  <c r="AP264" i="74"/>
  <c r="M264" i="74"/>
  <c r="AQ264" i="74"/>
  <c r="H264" i="74"/>
  <c r="E264" i="74"/>
  <c r="G264" i="74"/>
  <c r="F264" i="74"/>
  <c r="AD263" i="74"/>
  <c r="I263" i="74"/>
  <c r="AT263" i="74"/>
  <c r="Y263" i="74"/>
  <c r="AV263" i="74"/>
  <c r="AX263" i="74"/>
  <c r="N263" i="74"/>
  <c r="AI263" i="74"/>
  <c r="AO263" i="74"/>
  <c r="S263" i="74"/>
  <c r="J263" i="74"/>
  <c r="AE263" i="74"/>
  <c r="AA263" i="74"/>
  <c r="AW263" i="74"/>
  <c r="W263" i="74"/>
  <c r="AS263" i="74"/>
  <c r="O263" i="74"/>
  <c r="AK263" i="74"/>
  <c r="K263" i="74"/>
  <c r="AG263" i="74"/>
  <c r="AC263" i="74"/>
  <c r="U263" i="74"/>
  <c r="Q263" i="74"/>
  <c r="M263" i="74"/>
  <c r="T263" i="74"/>
  <c r="AJ263" i="74"/>
  <c r="AU263" i="74"/>
  <c r="AQ263" i="74"/>
  <c r="AM263" i="74"/>
  <c r="P263" i="74"/>
  <c r="AF263" i="74"/>
  <c r="AL263" i="74"/>
  <c r="X263" i="74"/>
  <c r="R263" i="74"/>
  <c r="AH263" i="74"/>
  <c r="V263" i="74"/>
  <c r="L263" i="74"/>
  <c r="AR263" i="74"/>
  <c r="Z263" i="74"/>
  <c r="AB263" i="74"/>
  <c r="AP263" i="74"/>
  <c r="AN263" i="74"/>
  <c r="H263" i="74"/>
  <c r="E263" i="74"/>
  <c r="G263" i="74"/>
  <c r="F263" i="74"/>
  <c r="R71" i="14"/>
  <c r="R58" i="14"/>
  <c r="S28" i="14"/>
  <c r="L130" i="5"/>
  <c r="O139" i="5"/>
  <c r="P139" i="5"/>
  <c r="P130" i="5" s="1"/>
  <c r="Q118" i="5"/>
  <c r="R118" i="5"/>
  <c r="O130" i="5"/>
  <c r="L97" i="5"/>
  <c r="O106" i="5"/>
  <c r="O97" i="5" s="1"/>
  <c r="P106" i="5"/>
  <c r="P97" i="5" s="1"/>
  <c r="Q107" i="5"/>
  <c r="R107" i="5"/>
  <c r="L108" i="5"/>
  <c r="P117" i="5"/>
  <c r="P108" i="5" s="1"/>
  <c r="O117" i="5"/>
  <c r="O108" i="5" s="1"/>
  <c r="L86" i="5"/>
  <c r="L85" i="5" s="1"/>
  <c r="O95" i="5"/>
  <c r="O86" i="5" s="1"/>
  <c r="P95" i="5"/>
  <c r="P86" i="5" s="1"/>
  <c r="F65" i="5"/>
  <c r="F68" i="5"/>
  <c r="L68" i="5" s="1"/>
  <c r="F66" i="5"/>
  <c r="F79" i="5"/>
  <c r="F83" i="5"/>
  <c r="F75" i="5"/>
  <c r="F78" i="5"/>
  <c r="F80" i="5"/>
  <c r="M80" i="5" s="1"/>
  <c r="F81" i="5"/>
  <c r="M81" i="5" s="1"/>
  <c r="F63" i="5"/>
  <c r="F67" i="5"/>
  <c r="L67" i="5" s="1"/>
  <c r="F77" i="5"/>
  <c r="F82" i="5"/>
  <c r="F64" i="5"/>
  <c r="F74" i="5"/>
  <c r="F62" i="5"/>
  <c r="F76" i="5"/>
  <c r="G84" i="73" l="1"/>
  <c r="H84" i="73"/>
  <c r="P85" i="5"/>
  <c r="O85" i="5"/>
  <c r="F84" i="73"/>
  <c r="I16" i="64"/>
  <c r="K81" i="5"/>
  <c r="E80" i="74"/>
  <c r="H80" i="74"/>
  <c r="F80" i="74"/>
  <c r="G80" i="74"/>
  <c r="F16" i="64"/>
  <c r="H16" i="64"/>
  <c r="G16" i="64"/>
  <c r="K80" i="5"/>
  <c r="E79" i="74"/>
  <c r="H79" i="74"/>
  <c r="G79" i="74"/>
  <c r="F79" i="74"/>
  <c r="S71" i="14"/>
  <c r="S58" i="14"/>
  <c r="T28" i="14"/>
  <c r="J68" i="5"/>
  <c r="G67" i="73"/>
  <c r="F67" i="73"/>
  <c r="E67" i="73"/>
  <c r="H67" i="73"/>
  <c r="J67" i="5"/>
  <c r="H66" i="73"/>
  <c r="G66" i="73"/>
  <c r="F66" i="73"/>
  <c r="E66" i="73"/>
  <c r="Q81" i="5"/>
  <c r="R81" i="5"/>
  <c r="Q80" i="5"/>
  <c r="R80" i="5"/>
  <c r="O68" i="5"/>
  <c r="P68" i="5"/>
  <c r="P67" i="5"/>
  <c r="O67" i="5"/>
  <c r="L78" i="5"/>
  <c r="L64" i="5"/>
  <c r="M64" i="5"/>
  <c r="M68" i="5"/>
  <c r="L75" i="5"/>
  <c r="L63" i="5"/>
  <c r="M65" i="5"/>
  <c r="L65" i="5"/>
  <c r="L81" i="5"/>
  <c r="M82" i="5"/>
  <c r="M67" i="5"/>
  <c r="M62" i="5"/>
  <c r="L82" i="5"/>
  <c r="M75" i="5"/>
  <c r="L62" i="5"/>
  <c r="L83" i="5"/>
  <c r="F72" i="5"/>
  <c r="M63" i="5"/>
  <c r="M76" i="5"/>
  <c r="F73" i="5"/>
  <c r="L80" i="5"/>
  <c r="M83" i="5"/>
  <c r="L76" i="5"/>
  <c r="M59" i="5"/>
  <c r="L59" i="5"/>
  <c r="AO67" i="73" l="1"/>
  <c r="X67" i="73"/>
  <c r="Y67" i="73"/>
  <c r="AP67" i="73"/>
  <c r="W67" i="73"/>
  <c r="AN67" i="73"/>
  <c r="J81" i="5"/>
  <c r="G80" i="73"/>
  <c r="H80" i="73"/>
  <c r="F80" i="73"/>
  <c r="E80" i="73"/>
  <c r="AN80" i="74"/>
  <c r="W80" i="74"/>
  <c r="AO80" i="74"/>
  <c r="X80" i="74"/>
  <c r="Y80" i="74"/>
  <c r="AP80" i="74"/>
  <c r="K16" i="64"/>
  <c r="J85" i="5"/>
  <c r="D84" i="73" s="1"/>
  <c r="D254" i="73" s="1"/>
  <c r="C16" i="64"/>
  <c r="J80" i="5"/>
  <c r="F79" i="73"/>
  <c r="G79" i="73"/>
  <c r="E79" i="73"/>
  <c r="H79" i="73"/>
  <c r="K82" i="5"/>
  <c r="G81" i="74"/>
  <c r="H81" i="74"/>
  <c r="F81" i="74"/>
  <c r="E81" i="74"/>
  <c r="K76" i="5"/>
  <c r="E75" i="74"/>
  <c r="F75" i="74"/>
  <c r="H75" i="74"/>
  <c r="G75" i="74"/>
  <c r="AN79" i="74"/>
  <c r="W79" i="74"/>
  <c r="J76" i="5"/>
  <c r="F75" i="73"/>
  <c r="H75" i="73"/>
  <c r="G75" i="73"/>
  <c r="E75" i="73"/>
  <c r="J82" i="5"/>
  <c r="H81" i="73"/>
  <c r="G81" i="73"/>
  <c r="F81" i="73"/>
  <c r="E81" i="73"/>
  <c r="AO79" i="74"/>
  <c r="X79" i="74"/>
  <c r="J78" i="5"/>
  <c r="H77" i="73"/>
  <c r="E77" i="73"/>
  <c r="G77" i="73"/>
  <c r="F77" i="73"/>
  <c r="Y79" i="74"/>
  <c r="AP79" i="74"/>
  <c r="T71" i="14"/>
  <c r="T58" i="14"/>
  <c r="U28" i="14"/>
  <c r="K63" i="5"/>
  <c r="G62" i="74"/>
  <c r="F62" i="74"/>
  <c r="E62" i="74"/>
  <c r="H62" i="74"/>
  <c r="J83" i="5"/>
  <c r="E82" i="73"/>
  <c r="H82" i="73"/>
  <c r="G82" i="73"/>
  <c r="F82" i="73"/>
  <c r="J64" i="5"/>
  <c r="G63" i="73"/>
  <c r="F63" i="73"/>
  <c r="E63" i="73"/>
  <c r="H63" i="73"/>
  <c r="K59" i="5"/>
  <c r="F58" i="74"/>
  <c r="F56" i="74" s="1"/>
  <c r="G42" i="64" s="1"/>
  <c r="E58" i="74"/>
  <c r="E56" i="74" s="1"/>
  <c r="F42" i="64" s="1"/>
  <c r="H58" i="74"/>
  <c r="H56" i="74" s="1"/>
  <c r="I42" i="64" s="1"/>
  <c r="G58" i="74"/>
  <c r="G56" i="74" s="1"/>
  <c r="H42" i="64" s="1"/>
  <c r="K75" i="5"/>
  <c r="H74" i="74"/>
  <c r="G74" i="74"/>
  <c r="F74" i="74"/>
  <c r="E74" i="74"/>
  <c r="K62" i="5"/>
  <c r="H61" i="74"/>
  <c r="G61" i="74"/>
  <c r="F61" i="74"/>
  <c r="E61" i="74"/>
  <c r="K65" i="5"/>
  <c r="E64" i="74"/>
  <c r="H64" i="74"/>
  <c r="G64" i="74"/>
  <c r="F64" i="74"/>
  <c r="J63" i="5"/>
  <c r="H62" i="73"/>
  <c r="G62" i="73"/>
  <c r="F62" i="73"/>
  <c r="E62" i="73"/>
  <c r="K68" i="5"/>
  <c r="F67" i="74"/>
  <c r="E67" i="74"/>
  <c r="H67" i="74"/>
  <c r="G67" i="74"/>
  <c r="J59" i="5"/>
  <c r="G58" i="73"/>
  <c r="G56" i="73" s="1"/>
  <c r="H15" i="64" s="1"/>
  <c r="F58" i="73"/>
  <c r="F56" i="73" s="1"/>
  <c r="G15" i="64" s="1"/>
  <c r="H58" i="73"/>
  <c r="H56" i="73" s="1"/>
  <c r="I15" i="64" s="1"/>
  <c r="E58" i="73"/>
  <c r="E56" i="73" s="1"/>
  <c r="F15" i="64" s="1"/>
  <c r="K83" i="5"/>
  <c r="H82" i="74"/>
  <c r="G82" i="74"/>
  <c r="F82" i="74"/>
  <c r="E82" i="74"/>
  <c r="J62" i="5"/>
  <c r="E61" i="73"/>
  <c r="H61" i="73"/>
  <c r="G61" i="73"/>
  <c r="F61" i="73"/>
  <c r="K67" i="5"/>
  <c r="G66" i="74"/>
  <c r="F66" i="74"/>
  <c r="E66" i="74"/>
  <c r="H66" i="74"/>
  <c r="J65" i="5"/>
  <c r="F64" i="73"/>
  <c r="E64" i="73"/>
  <c r="H64" i="73"/>
  <c r="G64" i="73"/>
  <c r="J75" i="5"/>
  <c r="E74" i="73"/>
  <c r="H74" i="73"/>
  <c r="F74" i="73"/>
  <c r="G74" i="73"/>
  <c r="K64" i="5"/>
  <c r="F63" i="74"/>
  <c r="E63" i="74"/>
  <c r="H63" i="74"/>
  <c r="G63" i="74"/>
  <c r="Q75" i="5"/>
  <c r="R75" i="5"/>
  <c r="M57" i="5"/>
  <c r="C42" i="64" s="1"/>
  <c r="Q59" i="5"/>
  <c r="R59" i="5"/>
  <c r="O62" i="5"/>
  <c r="P62" i="5"/>
  <c r="O82" i="5"/>
  <c r="P82" i="5"/>
  <c r="Q82" i="5"/>
  <c r="R82" i="5"/>
  <c r="P75" i="5"/>
  <c r="O75" i="5"/>
  <c r="L57" i="5"/>
  <c r="C15" i="64" s="1"/>
  <c r="P59" i="5"/>
  <c r="O59" i="5"/>
  <c r="O80" i="5"/>
  <c r="P80" i="5"/>
  <c r="Q76" i="5"/>
  <c r="R76" i="5"/>
  <c r="O81" i="5"/>
  <c r="P81" i="5"/>
  <c r="Q65" i="5"/>
  <c r="R65" i="5"/>
  <c r="R64" i="5"/>
  <c r="Q64" i="5"/>
  <c r="O76" i="5"/>
  <c r="P76" i="5"/>
  <c r="Q63" i="5"/>
  <c r="R63" i="5"/>
  <c r="R62" i="5"/>
  <c r="Q62" i="5"/>
  <c r="O63" i="5"/>
  <c r="P63" i="5"/>
  <c r="O64" i="5"/>
  <c r="P64" i="5"/>
  <c r="Q83" i="5"/>
  <c r="R83" i="5"/>
  <c r="P83" i="5"/>
  <c r="O83" i="5"/>
  <c r="Q67" i="5"/>
  <c r="R67" i="5"/>
  <c r="P65" i="5"/>
  <c r="O65" i="5"/>
  <c r="Q68" i="5"/>
  <c r="R68" i="5"/>
  <c r="O78" i="5"/>
  <c r="P78" i="5"/>
  <c r="M72" i="5"/>
  <c r="L72" i="5"/>
  <c r="Y67" i="74" l="1"/>
  <c r="AP67" i="74"/>
  <c r="W67" i="74"/>
  <c r="AN67" i="74"/>
  <c r="X67" i="74"/>
  <c r="AO67" i="74"/>
  <c r="Y80" i="73"/>
  <c r="AP80" i="73"/>
  <c r="X80" i="73"/>
  <c r="AO80" i="73"/>
  <c r="W80" i="73"/>
  <c r="AN80" i="73"/>
  <c r="L16" i="64"/>
  <c r="E16" i="64"/>
  <c r="D256" i="73"/>
  <c r="D16" i="64"/>
  <c r="D255" i="73"/>
  <c r="X77" i="73"/>
  <c r="AO77" i="73"/>
  <c r="W81" i="73"/>
  <c r="AN81" i="73"/>
  <c r="AP75" i="74"/>
  <c r="Y75" i="74"/>
  <c r="Y81" i="74"/>
  <c r="AP81" i="74"/>
  <c r="X81" i="73"/>
  <c r="AO81" i="73"/>
  <c r="X75" i="73"/>
  <c r="AO75" i="73"/>
  <c r="W75" i="74"/>
  <c r="AN75" i="74"/>
  <c r="AO81" i="74"/>
  <c r="X81" i="74"/>
  <c r="Y77" i="73"/>
  <c r="AP77" i="73"/>
  <c r="Y81" i="73"/>
  <c r="AP81" i="73"/>
  <c r="Y75" i="73"/>
  <c r="AP75" i="73"/>
  <c r="W79" i="73"/>
  <c r="AN79" i="73"/>
  <c r="X79" i="73"/>
  <c r="AO79" i="73"/>
  <c r="W77" i="73"/>
  <c r="AN77" i="73"/>
  <c r="W75" i="73"/>
  <c r="AN75" i="73"/>
  <c r="X75" i="74"/>
  <c r="AO75" i="74"/>
  <c r="AN81" i="74"/>
  <c r="W81" i="74"/>
  <c r="Y79" i="73"/>
  <c r="AP79" i="73"/>
  <c r="K42" i="64"/>
  <c r="L42" i="64" s="1"/>
  <c r="K15" i="64"/>
  <c r="L15" i="64" s="1"/>
  <c r="U71" i="14"/>
  <c r="U58" i="14"/>
  <c r="V28" i="14"/>
  <c r="J57" i="5"/>
  <c r="D56" i="73" s="1"/>
  <c r="D242" i="73" s="1"/>
  <c r="K57" i="5"/>
  <c r="D56" i="74" s="1"/>
  <c r="D242" i="74" s="1"/>
  <c r="AN64" i="73"/>
  <c r="W64" i="73"/>
  <c r="AO61" i="73"/>
  <c r="X61" i="73"/>
  <c r="W62" i="73"/>
  <c r="AN62" i="73"/>
  <c r="Y74" i="74"/>
  <c r="AP74" i="74"/>
  <c r="AP82" i="73"/>
  <c r="Y82" i="73"/>
  <c r="J72" i="5"/>
  <c r="H71" i="73"/>
  <c r="G71" i="73"/>
  <c r="F71" i="73"/>
  <c r="E71" i="73"/>
  <c r="AP74" i="73"/>
  <c r="Y74" i="73"/>
  <c r="X64" i="73"/>
  <c r="AO64" i="73"/>
  <c r="AN63" i="73"/>
  <c r="W63" i="73"/>
  <c r="AO63" i="74"/>
  <c r="X63" i="74"/>
  <c r="AP64" i="73"/>
  <c r="Y64" i="73"/>
  <c r="AN82" i="74"/>
  <c r="W82" i="74"/>
  <c r="Y62" i="73"/>
  <c r="AP62" i="73"/>
  <c r="X61" i="74"/>
  <c r="AO61" i="74"/>
  <c r="W74" i="74"/>
  <c r="AN74" i="74"/>
  <c r="X63" i="73"/>
  <c r="AO63" i="73"/>
  <c r="AN82" i="73"/>
  <c r="W82" i="73"/>
  <c r="AO62" i="74"/>
  <c r="X62" i="74"/>
  <c r="AN74" i="73"/>
  <c r="W74" i="73"/>
  <c r="Y82" i="74"/>
  <c r="AP82" i="74"/>
  <c r="AO64" i="74"/>
  <c r="X64" i="74"/>
  <c r="AN63" i="74"/>
  <c r="W63" i="74"/>
  <c r="AP61" i="73"/>
  <c r="Y61" i="73"/>
  <c r="AO62" i="73"/>
  <c r="X62" i="73"/>
  <c r="Y64" i="74"/>
  <c r="AP64" i="74"/>
  <c r="W61" i="74"/>
  <c r="AN61" i="74"/>
  <c r="W62" i="74"/>
  <c r="AN62" i="74"/>
  <c r="K72" i="5"/>
  <c r="G71" i="74"/>
  <c r="F71" i="74"/>
  <c r="H71" i="74"/>
  <c r="E71" i="74"/>
  <c r="Y63" i="74"/>
  <c r="AP63" i="74"/>
  <c r="X74" i="73"/>
  <c r="AO74" i="73"/>
  <c r="AN61" i="73"/>
  <c r="W61" i="73"/>
  <c r="X82" i="74"/>
  <c r="AO82" i="74"/>
  <c r="W64" i="74"/>
  <c r="AN64" i="74"/>
  <c r="Y61" i="74"/>
  <c r="AP61" i="74"/>
  <c r="X74" i="74"/>
  <c r="AO74" i="74"/>
  <c r="AP63" i="73"/>
  <c r="Y63" i="73"/>
  <c r="AO82" i="73"/>
  <c r="X82" i="73"/>
  <c r="Y62" i="74"/>
  <c r="AP62" i="74"/>
  <c r="R57" i="5"/>
  <c r="Q57" i="5"/>
  <c r="O57" i="5"/>
  <c r="Q72" i="5"/>
  <c r="R72" i="5"/>
  <c r="O72" i="5"/>
  <c r="P72" i="5"/>
  <c r="P57" i="5"/>
  <c r="F24" i="5"/>
  <c r="F25" i="5"/>
  <c r="F26" i="5"/>
  <c r="AI255" i="73" l="1"/>
  <c r="N255" i="73"/>
  <c r="AT255" i="73"/>
  <c r="I255" i="73"/>
  <c r="AA255" i="73"/>
  <c r="AH255" i="73"/>
  <c r="AL255" i="73"/>
  <c r="AW255" i="73"/>
  <c r="Y255" i="73"/>
  <c r="AK255" i="73"/>
  <c r="J255" i="73"/>
  <c r="S255" i="73"/>
  <c r="U255" i="73"/>
  <c r="L255" i="73"/>
  <c r="Q255" i="73"/>
  <c r="AC255" i="73"/>
  <c r="AQ255" i="73"/>
  <c r="AU255" i="73"/>
  <c r="T255" i="73"/>
  <c r="AR255" i="73"/>
  <c r="M255" i="73"/>
  <c r="AD255" i="73"/>
  <c r="AS255" i="73"/>
  <c r="R255" i="73"/>
  <c r="AX255" i="73"/>
  <c r="AO255" i="73"/>
  <c r="V255" i="73"/>
  <c r="W255" i="73"/>
  <c r="AJ255" i="73"/>
  <c r="AV255" i="73"/>
  <c r="Z255" i="73"/>
  <c r="AE255" i="73"/>
  <c r="X255" i="73"/>
  <c r="AG255" i="73"/>
  <c r="AM255" i="73"/>
  <c r="AF255" i="73"/>
  <c r="O255" i="73"/>
  <c r="AB255" i="73"/>
  <c r="AN255" i="73"/>
  <c r="P255" i="73"/>
  <c r="K255" i="73"/>
  <c r="AP255" i="73"/>
  <c r="H255" i="73"/>
  <c r="E255" i="73"/>
  <c r="G255" i="73"/>
  <c r="F255" i="73"/>
  <c r="AI256" i="73"/>
  <c r="AM256" i="73"/>
  <c r="AF256" i="73"/>
  <c r="O256" i="73"/>
  <c r="L256" i="73"/>
  <c r="AN256" i="73"/>
  <c r="AQ256" i="73"/>
  <c r="AP256" i="73"/>
  <c r="T256" i="73"/>
  <c r="AR256" i="73"/>
  <c r="N256" i="73"/>
  <c r="AT256" i="73"/>
  <c r="I256" i="73"/>
  <c r="R256" i="73"/>
  <c r="AX256" i="73"/>
  <c r="AO256" i="73"/>
  <c r="AL256" i="73"/>
  <c r="AW256" i="73"/>
  <c r="AJ256" i="73"/>
  <c r="AV256" i="73"/>
  <c r="AK256" i="73"/>
  <c r="Z256" i="73"/>
  <c r="U256" i="73"/>
  <c r="AB256" i="73"/>
  <c r="Q256" i="73"/>
  <c r="AC256" i="73"/>
  <c r="P256" i="73"/>
  <c r="K256" i="73"/>
  <c r="AU256" i="73"/>
  <c r="M256" i="73"/>
  <c r="AD256" i="73"/>
  <c r="AS256" i="73"/>
  <c r="AA256" i="73"/>
  <c r="AH256" i="73"/>
  <c r="V256" i="73"/>
  <c r="W256" i="73"/>
  <c r="Y256" i="73"/>
  <c r="J256" i="73"/>
  <c r="AE256" i="73"/>
  <c r="X256" i="73"/>
  <c r="AG256" i="73"/>
  <c r="S256" i="73"/>
  <c r="F256" i="73"/>
  <c r="H256" i="73"/>
  <c r="E256" i="73"/>
  <c r="G256" i="73"/>
  <c r="D244" i="73"/>
  <c r="AN244" i="73" s="1"/>
  <c r="E15" i="64"/>
  <c r="D243" i="74"/>
  <c r="G243" i="74" s="1"/>
  <c r="D42" i="64"/>
  <c r="D243" i="73"/>
  <c r="K243" i="73" s="1"/>
  <c r="D15" i="64"/>
  <c r="D244" i="74"/>
  <c r="F244" i="74" s="1"/>
  <c r="E42" i="64"/>
  <c r="V71" i="14"/>
  <c r="V58" i="14"/>
  <c r="W28" i="14"/>
  <c r="AO71" i="73"/>
  <c r="X71" i="73"/>
  <c r="Y71" i="74"/>
  <c r="AP71" i="74"/>
  <c r="AP71" i="73"/>
  <c r="Y71" i="73"/>
  <c r="X71" i="74"/>
  <c r="AO71" i="74"/>
  <c r="AN71" i="73"/>
  <c r="W71" i="73"/>
  <c r="W71" i="74"/>
  <c r="AN71" i="74"/>
  <c r="L26" i="5"/>
  <c r="M26" i="5"/>
  <c r="L25" i="5"/>
  <c r="M25" i="5"/>
  <c r="L24" i="5"/>
  <c r="M24" i="5"/>
  <c r="AG244" i="73" l="1"/>
  <c r="AP243" i="73"/>
  <c r="F243" i="74"/>
  <c r="J24" i="5"/>
  <c r="O24" i="5"/>
  <c r="P24" i="5"/>
  <c r="J25" i="5"/>
  <c r="O25" i="5"/>
  <c r="P25" i="5"/>
  <c r="K25" i="5"/>
  <c r="R25" i="5"/>
  <c r="Q25" i="5"/>
  <c r="K26" i="5"/>
  <c r="R26" i="5"/>
  <c r="Q26" i="5"/>
  <c r="K24" i="5"/>
  <c r="R24" i="5"/>
  <c r="Q24" i="5"/>
  <c r="J26" i="5"/>
  <c r="O26" i="5"/>
  <c r="P26" i="5"/>
  <c r="T244" i="74"/>
  <c r="M243" i="74"/>
  <c r="AG244" i="74"/>
  <c r="U243" i="73"/>
  <c r="X243" i="73"/>
  <c r="N244" i="74"/>
  <c r="AP243" i="74"/>
  <c r="AK243" i="73"/>
  <c r="S244" i="74"/>
  <c r="AC243" i="74"/>
  <c r="K244" i="74"/>
  <c r="AK243" i="74"/>
  <c r="O243" i="74"/>
  <c r="O243" i="73"/>
  <c r="AS244" i="74"/>
  <c r="I244" i="74"/>
  <c r="R244" i="74"/>
  <c r="AI243" i="74"/>
  <c r="AO243" i="74"/>
  <c r="AV243" i="73"/>
  <c r="AJ243" i="73"/>
  <c r="AW243" i="73"/>
  <c r="H244" i="74"/>
  <c r="AB244" i="74"/>
  <c r="O244" i="74"/>
  <c r="AM244" i="74"/>
  <c r="AH243" i="74"/>
  <c r="AM243" i="74"/>
  <c r="T243" i="74"/>
  <c r="H243" i="73"/>
  <c r="N243" i="73"/>
  <c r="AE243" i="73"/>
  <c r="AN243" i="73"/>
  <c r="N244" i="73"/>
  <c r="P244" i="73"/>
  <c r="AB244" i="73"/>
  <c r="AC244" i="73"/>
  <c r="F244" i="73"/>
  <c r="AW244" i="73"/>
  <c r="AL244" i="73"/>
  <c r="AP244" i="73"/>
  <c r="U244" i="73"/>
  <c r="Z244" i="73"/>
  <c r="K244" i="73"/>
  <c r="W244" i="73"/>
  <c r="O244" i="73"/>
  <c r="I244" i="73"/>
  <c r="AT244" i="73"/>
  <c r="S244" i="73"/>
  <c r="AR244" i="73"/>
  <c r="AI244" i="73"/>
  <c r="AK244" i="73"/>
  <c r="Q244" i="73"/>
  <c r="G243" i="73"/>
  <c r="H243" i="74"/>
  <c r="AX244" i="74"/>
  <c r="L244" i="74"/>
  <c r="Y244" i="74"/>
  <c r="Z244" i="74"/>
  <c r="AL244" i="74"/>
  <c r="AT244" i="74"/>
  <c r="AG243" i="74"/>
  <c r="AL243" i="74"/>
  <c r="P243" i="74"/>
  <c r="AB243" i="74"/>
  <c r="I243" i="74"/>
  <c r="N243" i="74"/>
  <c r="AD243" i="73"/>
  <c r="P243" i="73"/>
  <c r="Q243" i="73"/>
  <c r="S243" i="73"/>
  <c r="AB243" i="73"/>
  <c r="G244" i="74"/>
  <c r="P244" i="74"/>
  <c r="AW244" i="74"/>
  <c r="AN244" i="74"/>
  <c r="U244" i="74"/>
  <c r="AI244" i="74"/>
  <c r="J244" i="74"/>
  <c r="AK244" i="74"/>
  <c r="V244" i="74"/>
  <c r="AQ244" i="74"/>
  <c r="AC244" i="74"/>
  <c r="H244" i="73"/>
  <c r="AS243" i="74"/>
  <c r="Y243" i="74"/>
  <c r="W243" i="74"/>
  <c r="R243" i="74"/>
  <c r="AJ243" i="74"/>
  <c r="Q243" i="74"/>
  <c r="J243" i="74"/>
  <c r="AA243" i="74"/>
  <c r="AF243" i="74"/>
  <c r="AD243" i="74"/>
  <c r="AU243" i="74"/>
  <c r="E244" i="73"/>
  <c r="AI243" i="73"/>
  <c r="T243" i="73"/>
  <c r="R243" i="73"/>
  <c r="AQ243" i="73"/>
  <c r="AT243" i="73"/>
  <c r="Z243" i="73"/>
  <c r="AA243" i="73"/>
  <c r="AM243" i="73"/>
  <c r="AC243" i="73"/>
  <c r="AU243" i="73"/>
  <c r="T244" i="73"/>
  <c r="AS244" i="73"/>
  <c r="Y244" i="73"/>
  <c r="AM244" i="73"/>
  <c r="J244" i="73"/>
  <c r="AF244" i="73"/>
  <c r="L244" i="73"/>
  <c r="AE244" i="73"/>
  <c r="AD244" i="73"/>
  <c r="AV244" i="73"/>
  <c r="X244" i="73"/>
  <c r="E243" i="74"/>
  <c r="E244" i="74"/>
  <c r="E243" i="73"/>
  <c r="AF244" i="74"/>
  <c r="AO244" i="74"/>
  <c r="AD244" i="74"/>
  <c r="Q244" i="74"/>
  <c r="W244" i="74"/>
  <c r="S243" i="74"/>
  <c r="AR243" i="74"/>
  <c r="AW243" i="74"/>
  <c r="K243" i="74"/>
  <c r="AE243" i="74"/>
  <c r="F243" i="73"/>
  <c r="AX243" i="73"/>
  <c r="J243" i="73"/>
  <c r="AS243" i="73"/>
  <c r="AH243" i="73"/>
  <c r="AR243" i="73"/>
  <c r="AJ244" i="74"/>
  <c r="AR244" i="74"/>
  <c r="X244" i="74"/>
  <c r="AP244" i="74"/>
  <c r="AU244" i="74"/>
  <c r="AE244" i="74"/>
  <c r="AV244" i="74"/>
  <c r="AA244" i="74"/>
  <c r="M244" i="74"/>
  <c r="AH244" i="74"/>
  <c r="L243" i="74"/>
  <c r="AV243" i="74"/>
  <c r="X243" i="74"/>
  <c r="AX243" i="74"/>
  <c r="V243" i="74"/>
  <c r="AN243" i="74"/>
  <c r="Z243" i="74"/>
  <c r="AQ243" i="74"/>
  <c r="U243" i="74"/>
  <c r="AT243" i="74"/>
  <c r="AF243" i="73"/>
  <c r="AG243" i="73"/>
  <c r="I243" i="73"/>
  <c r="AL243" i="73"/>
  <c r="L243" i="73"/>
  <c r="W243" i="73"/>
  <c r="M243" i="73"/>
  <c r="Y243" i="73"/>
  <c r="V243" i="73"/>
  <c r="AO243" i="73"/>
  <c r="G244" i="73"/>
  <c r="AA244" i="73"/>
  <c r="V244" i="73"/>
  <c r="AX244" i="73"/>
  <c r="AH244" i="73"/>
  <c r="R244" i="73"/>
  <c r="AQ244" i="73"/>
  <c r="AJ244" i="73"/>
  <c r="M244" i="73"/>
  <c r="AO244" i="73"/>
  <c r="AU244" i="73"/>
  <c r="W71" i="14"/>
  <c r="W58" i="14"/>
  <c r="X28" i="14"/>
  <c r="M23" i="5"/>
  <c r="L23" i="5"/>
  <c r="E224" i="74" l="1"/>
  <c r="F223" i="74"/>
  <c r="E22" i="73"/>
  <c r="G22" i="73"/>
  <c r="H22" i="73"/>
  <c r="F22" i="73"/>
  <c r="X71" i="14"/>
  <c r="X58" i="14"/>
  <c r="Y28" i="14"/>
  <c r="L35" i="5"/>
  <c r="M35" i="5"/>
  <c r="M34" i="5"/>
  <c r="L34" i="5"/>
  <c r="F224" i="74" l="1"/>
  <c r="E223" i="74"/>
  <c r="G224" i="74"/>
  <c r="G223" i="74"/>
  <c r="F224" i="73"/>
  <c r="F223" i="73"/>
  <c r="H224" i="73"/>
  <c r="H223" i="73"/>
  <c r="G224" i="73"/>
  <c r="G223" i="73"/>
  <c r="H223" i="74"/>
  <c r="H224" i="74"/>
  <c r="E224" i="73"/>
  <c r="E223" i="73"/>
  <c r="J35" i="5"/>
  <c r="E34" i="73"/>
  <c r="G34" i="73"/>
  <c r="F34" i="73"/>
  <c r="H34" i="73"/>
  <c r="K35" i="5"/>
  <c r="H34" i="74"/>
  <c r="E34" i="74"/>
  <c r="G34" i="74"/>
  <c r="F34" i="74"/>
  <c r="K34" i="5"/>
  <c r="E33" i="74"/>
  <c r="H33" i="74"/>
  <c r="G33" i="74"/>
  <c r="F33" i="74"/>
  <c r="J34" i="5"/>
  <c r="F33" i="73"/>
  <c r="G33" i="73"/>
  <c r="E33" i="73"/>
  <c r="H33" i="73"/>
  <c r="Y71" i="14"/>
  <c r="Y58" i="14"/>
  <c r="Z28" i="14"/>
  <c r="Q35" i="5"/>
  <c r="R35" i="5"/>
  <c r="O34" i="5"/>
  <c r="P34" i="5"/>
  <c r="R34" i="5"/>
  <c r="Q34" i="5"/>
  <c r="P35" i="5"/>
  <c r="O35" i="5"/>
  <c r="L36" i="5"/>
  <c r="M36" i="5"/>
  <c r="M106" i="5"/>
  <c r="M117" i="5"/>
  <c r="M74" i="5"/>
  <c r="K117" i="5" l="1"/>
  <c r="F116" i="74"/>
  <c r="F107" i="74" s="1"/>
  <c r="E116" i="74"/>
  <c r="E107" i="74" s="1"/>
  <c r="G116" i="74"/>
  <c r="G107" i="74" s="1"/>
  <c r="H116" i="74"/>
  <c r="H107" i="74" s="1"/>
  <c r="K106" i="5"/>
  <c r="F105" i="74"/>
  <c r="F96" i="74" s="1"/>
  <c r="G105" i="74"/>
  <c r="G96" i="74" s="1"/>
  <c r="H105" i="74"/>
  <c r="H96" i="74" s="1"/>
  <c r="E105" i="74"/>
  <c r="E96" i="74" s="1"/>
  <c r="J36" i="5"/>
  <c r="H35" i="73"/>
  <c r="H32" i="73" s="1"/>
  <c r="G35" i="73"/>
  <c r="G32" i="73" s="1"/>
  <c r="E35" i="73"/>
  <c r="E32" i="73" s="1"/>
  <c r="F35" i="73"/>
  <c r="F32" i="73" s="1"/>
  <c r="K36" i="5"/>
  <c r="G35" i="74"/>
  <c r="G32" i="74" s="1"/>
  <c r="F35" i="74"/>
  <c r="F32" i="74" s="1"/>
  <c r="E35" i="74"/>
  <c r="E32" i="74" s="1"/>
  <c r="H35" i="74"/>
  <c r="H32" i="74" s="1"/>
  <c r="Z71" i="14"/>
  <c r="Z58" i="14"/>
  <c r="AA28" i="14"/>
  <c r="K74" i="5"/>
  <c r="E73" i="74"/>
  <c r="H73" i="74"/>
  <c r="F73" i="74"/>
  <c r="G73" i="74"/>
  <c r="M97" i="5"/>
  <c r="Q106" i="5"/>
  <c r="Q97" i="5" s="1"/>
  <c r="R106" i="5"/>
  <c r="R97" i="5" s="1"/>
  <c r="M33" i="5"/>
  <c r="Q36" i="5"/>
  <c r="R36" i="5"/>
  <c r="Q74" i="5"/>
  <c r="R74" i="5"/>
  <c r="L33" i="5"/>
  <c r="P36" i="5"/>
  <c r="O36" i="5"/>
  <c r="M108" i="5"/>
  <c r="R117" i="5"/>
  <c r="R108" i="5" s="1"/>
  <c r="Q117" i="5"/>
  <c r="Q108" i="5" s="1"/>
  <c r="M94" i="5"/>
  <c r="M96" i="5"/>
  <c r="M95" i="5"/>
  <c r="M93" i="5"/>
  <c r="M92" i="5"/>
  <c r="M15" i="5"/>
  <c r="M14" i="5"/>
  <c r="M13" i="5"/>
  <c r="E91" i="14"/>
  <c r="E22" i="15"/>
  <c r="E45" i="15" s="1"/>
  <c r="E21" i="15"/>
  <c r="E44" i="15" s="1"/>
  <c r="M50" i="5"/>
  <c r="M48" i="5"/>
  <c r="M78" i="5"/>
  <c r="M40" i="5"/>
  <c r="L49" i="5"/>
  <c r="L46" i="5"/>
  <c r="M49" i="5"/>
  <c r="M46" i="5"/>
  <c r="L73" i="5"/>
  <c r="M73" i="5"/>
  <c r="L74" i="5"/>
  <c r="L42" i="5" l="1"/>
  <c r="L43" i="5"/>
  <c r="K14" i="5"/>
  <c r="R14" i="5"/>
  <c r="K15" i="5"/>
  <c r="R15" i="5"/>
  <c r="K13" i="5"/>
  <c r="R13" i="5"/>
  <c r="K94" i="5"/>
  <c r="E93" i="74"/>
  <c r="H93" i="74"/>
  <c r="G93" i="74"/>
  <c r="F93" i="74"/>
  <c r="K93" i="5"/>
  <c r="F92" i="74"/>
  <c r="E92" i="74"/>
  <c r="H92" i="74"/>
  <c r="G92" i="74"/>
  <c r="K95" i="5"/>
  <c r="H94" i="74"/>
  <c r="G94" i="74"/>
  <c r="F94" i="74"/>
  <c r="E94" i="74"/>
  <c r="K96" i="5"/>
  <c r="G95" i="74"/>
  <c r="F95" i="74"/>
  <c r="E95" i="74"/>
  <c r="H95" i="74"/>
  <c r="K92" i="5"/>
  <c r="G91" i="74"/>
  <c r="F91" i="74"/>
  <c r="E91" i="74"/>
  <c r="H91" i="74"/>
  <c r="F36" i="64"/>
  <c r="H36" i="64"/>
  <c r="J46" i="5"/>
  <c r="H45" i="73"/>
  <c r="G45" i="73"/>
  <c r="F45" i="73"/>
  <c r="E45" i="73"/>
  <c r="G9" i="64"/>
  <c r="K49" i="5"/>
  <c r="H48" i="74"/>
  <c r="G48" i="74"/>
  <c r="F48" i="74"/>
  <c r="E48" i="74"/>
  <c r="K50" i="5"/>
  <c r="G49" i="74"/>
  <c r="F49" i="74"/>
  <c r="H49" i="74"/>
  <c r="E49" i="74"/>
  <c r="F9" i="64"/>
  <c r="K46" i="5"/>
  <c r="G45" i="74"/>
  <c r="F45" i="74"/>
  <c r="H45" i="74"/>
  <c r="E45" i="74"/>
  <c r="K48" i="5"/>
  <c r="E47" i="74"/>
  <c r="G47" i="74"/>
  <c r="F47" i="74"/>
  <c r="H47" i="74"/>
  <c r="K33" i="5"/>
  <c r="D32" i="74" s="1"/>
  <c r="D226" i="74" s="1"/>
  <c r="C36" i="64"/>
  <c r="G36" i="64"/>
  <c r="J49" i="5"/>
  <c r="E48" i="73"/>
  <c r="G48" i="73"/>
  <c r="F48" i="73"/>
  <c r="H48" i="73"/>
  <c r="I36" i="64"/>
  <c r="K78" i="5"/>
  <c r="G77" i="74"/>
  <c r="F77" i="74"/>
  <c r="E77" i="74"/>
  <c r="H77" i="74"/>
  <c r="J33" i="5"/>
  <c r="D32" i="73" s="1"/>
  <c r="D226" i="73" s="1"/>
  <c r="C9" i="64"/>
  <c r="Q33" i="5"/>
  <c r="H9" i="64"/>
  <c r="AA71" i="14"/>
  <c r="AA58" i="14"/>
  <c r="E134" i="14"/>
  <c r="E121" i="14"/>
  <c r="F91" i="14"/>
  <c r="AB28" i="14"/>
  <c r="K40" i="5"/>
  <c r="F39" i="74"/>
  <c r="E39" i="74"/>
  <c r="H39" i="74"/>
  <c r="G39" i="74"/>
  <c r="Y73" i="74"/>
  <c r="AP73" i="74"/>
  <c r="J74" i="5"/>
  <c r="F73" i="73"/>
  <c r="E73" i="73"/>
  <c r="H73" i="73"/>
  <c r="G73" i="73"/>
  <c r="K73" i="5"/>
  <c r="F72" i="74"/>
  <c r="E72" i="74"/>
  <c r="H72" i="74"/>
  <c r="G72" i="74"/>
  <c r="W73" i="74"/>
  <c r="AN73" i="74"/>
  <c r="J73" i="5"/>
  <c r="G72" i="73"/>
  <c r="F72" i="73"/>
  <c r="H72" i="73"/>
  <c r="E72" i="73"/>
  <c r="AO73" i="74"/>
  <c r="X73" i="74"/>
  <c r="O33" i="5"/>
  <c r="P33" i="5"/>
  <c r="O73" i="5"/>
  <c r="P73" i="5"/>
  <c r="Q78" i="5"/>
  <c r="R78" i="5"/>
  <c r="R73" i="5"/>
  <c r="Q73" i="5"/>
  <c r="R49" i="5"/>
  <c r="Q49" i="5"/>
  <c r="P49" i="5"/>
  <c r="O49" i="5"/>
  <c r="Q50" i="5"/>
  <c r="R50" i="5"/>
  <c r="Q13" i="5"/>
  <c r="Q93" i="5"/>
  <c r="R93" i="5"/>
  <c r="O74" i="5"/>
  <c r="P74" i="5"/>
  <c r="R40" i="5"/>
  <c r="Q40" i="5"/>
  <c r="Q92" i="5"/>
  <c r="R92" i="5"/>
  <c r="Q95" i="5"/>
  <c r="R95" i="5"/>
  <c r="Q96" i="5"/>
  <c r="R96" i="5"/>
  <c r="Q14" i="5"/>
  <c r="Q46" i="5"/>
  <c r="R46" i="5"/>
  <c r="P46" i="5"/>
  <c r="O46" i="5"/>
  <c r="Q48" i="5"/>
  <c r="R48" i="5"/>
  <c r="Q15" i="5"/>
  <c r="R94" i="5"/>
  <c r="Q94" i="5"/>
  <c r="R33" i="5"/>
  <c r="M86" i="5"/>
  <c r="M85" i="5" s="1"/>
  <c r="M45" i="5"/>
  <c r="L45" i="5"/>
  <c r="M41" i="5"/>
  <c r="M42" i="5"/>
  <c r="M79" i="5"/>
  <c r="L79" i="5"/>
  <c r="L41" i="5"/>
  <c r="H44" i="74" l="1"/>
  <c r="G85" i="74"/>
  <c r="E85" i="74"/>
  <c r="F41" i="74"/>
  <c r="G41" i="74"/>
  <c r="H41" i="74"/>
  <c r="E41" i="74"/>
  <c r="E44" i="74"/>
  <c r="H85" i="74"/>
  <c r="F85" i="74"/>
  <c r="F44" i="74"/>
  <c r="G35" i="64" s="1"/>
  <c r="G44" i="74"/>
  <c r="H35" i="64" s="1"/>
  <c r="D18" i="15"/>
  <c r="D24" i="15" s="1"/>
  <c r="M54" i="5"/>
  <c r="H53" i="74" s="1"/>
  <c r="E18" i="15"/>
  <c r="E41" i="15" s="1"/>
  <c r="K85" i="5"/>
  <c r="D84" i="74" s="1"/>
  <c r="D254" i="74" s="1"/>
  <c r="C43" i="64"/>
  <c r="E44" i="73"/>
  <c r="K36" i="64"/>
  <c r="L36" i="64" s="1"/>
  <c r="K9" i="64"/>
  <c r="L9" i="64" s="1"/>
  <c r="K42" i="5"/>
  <c r="D36" i="64"/>
  <c r="D227" i="74"/>
  <c r="J42" i="5"/>
  <c r="G41" i="73"/>
  <c r="E41" i="73"/>
  <c r="H41" i="73"/>
  <c r="F41" i="73"/>
  <c r="J43" i="5"/>
  <c r="F42" i="73"/>
  <c r="E42" i="73"/>
  <c r="G42" i="73"/>
  <c r="H42" i="73"/>
  <c r="AN77" i="74"/>
  <c r="W77" i="74"/>
  <c r="F44" i="73"/>
  <c r="J79" i="5"/>
  <c r="G78" i="73"/>
  <c r="F78" i="73"/>
  <c r="E78" i="73"/>
  <c r="H78" i="73"/>
  <c r="J45" i="5"/>
  <c r="D44" i="73" s="1"/>
  <c r="D234" i="73" s="1"/>
  <c r="C8" i="64"/>
  <c r="E36" i="64"/>
  <c r="D228" i="74"/>
  <c r="E9" i="64"/>
  <c r="D228" i="73"/>
  <c r="AO77" i="74"/>
  <c r="X77" i="74"/>
  <c r="G44" i="73"/>
  <c r="K79" i="5"/>
  <c r="F78" i="74"/>
  <c r="G78" i="74"/>
  <c r="E78" i="74"/>
  <c r="H78" i="74"/>
  <c r="K45" i="5"/>
  <c r="D44" i="74" s="1"/>
  <c r="D234" i="74" s="1"/>
  <c r="C35" i="64"/>
  <c r="D9" i="64"/>
  <c r="D227" i="73"/>
  <c r="Y77" i="74"/>
  <c r="AP77" i="74"/>
  <c r="H44" i="73"/>
  <c r="AB71" i="14"/>
  <c r="AB58" i="14"/>
  <c r="F134" i="14"/>
  <c r="F121" i="14"/>
  <c r="G91" i="14"/>
  <c r="AC28" i="14"/>
  <c r="J41" i="5"/>
  <c r="F40" i="73"/>
  <c r="E40" i="73"/>
  <c r="H40" i="73"/>
  <c r="G40" i="73"/>
  <c r="AN72" i="73"/>
  <c r="W72" i="73"/>
  <c r="X73" i="73"/>
  <c r="AO73" i="73"/>
  <c r="W72" i="74"/>
  <c r="AN72" i="74"/>
  <c r="Y73" i="73"/>
  <c r="AP73" i="73"/>
  <c r="AO72" i="74"/>
  <c r="X72" i="74"/>
  <c r="AO72" i="73"/>
  <c r="X72" i="73"/>
  <c r="K41" i="5"/>
  <c r="E40" i="74"/>
  <c r="H40" i="74"/>
  <c r="G40" i="74"/>
  <c r="F40" i="74"/>
  <c r="AP72" i="73"/>
  <c r="Y72" i="73"/>
  <c r="Y72" i="74"/>
  <c r="AP72" i="74"/>
  <c r="W73" i="73"/>
  <c r="AN73" i="73"/>
  <c r="R86" i="5"/>
  <c r="R85" i="5" s="1"/>
  <c r="O45" i="5"/>
  <c r="P41" i="5"/>
  <c r="O41" i="5"/>
  <c r="Q42" i="5"/>
  <c r="R42" i="5"/>
  <c r="R45" i="5"/>
  <c r="P79" i="5"/>
  <c r="O79" i="5"/>
  <c r="O42" i="5"/>
  <c r="P42" i="5"/>
  <c r="Q41" i="5"/>
  <c r="R41" i="5"/>
  <c r="Q45" i="5"/>
  <c r="P43" i="5"/>
  <c r="O43" i="5"/>
  <c r="Q79" i="5"/>
  <c r="R79" i="5"/>
  <c r="P45" i="5"/>
  <c r="Q86" i="5"/>
  <c r="Q85" i="5" s="1"/>
  <c r="M43" i="5"/>
  <c r="M21" i="5"/>
  <c r="L38" i="5"/>
  <c r="L21" i="5"/>
  <c r="L77" i="5"/>
  <c r="E84" i="74" l="1"/>
  <c r="F43" i="64" s="1"/>
  <c r="F84" i="74"/>
  <c r="G43" i="64" s="1"/>
  <c r="G84" i="74"/>
  <c r="H43" i="64" s="1"/>
  <c r="H84" i="74"/>
  <c r="I43" i="64" s="1"/>
  <c r="C10" i="64"/>
  <c r="L54" i="5"/>
  <c r="F53" i="73" s="1"/>
  <c r="F42" i="74"/>
  <c r="F37" i="74" s="1"/>
  <c r="G37" i="64" s="1"/>
  <c r="G42" i="74"/>
  <c r="G37" i="74" s="1"/>
  <c r="H37" i="64" s="1"/>
  <c r="H42" i="74"/>
  <c r="H37" i="74" s="1"/>
  <c r="I37" i="64" s="1"/>
  <c r="E42" i="74"/>
  <c r="E37" i="74" s="1"/>
  <c r="F37" i="64" s="1"/>
  <c r="E53" i="74"/>
  <c r="Q54" i="5"/>
  <c r="D41" i="15"/>
  <c r="R54" i="5"/>
  <c r="F53" i="74"/>
  <c r="M55" i="5"/>
  <c r="K55" i="5" s="1"/>
  <c r="M77" i="5"/>
  <c r="E76" i="74" s="1"/>
  <c r="G53" i="74"/>
  <c r="K54" i="5"/>
  <c r="E24" i="15"/>
  <c r="L55" i="5"/>
  <c r="J55" i="5" s="1"/>
  <c r="D43" i="64"/>
  <c r="D255" i="74"/>
  <c r="E43" i="64"/>
  <c r="D256" i="74"/>
  <c r="H37" i="73"/>
  <c r="H10" i="64" s="1"/>
  <c r="G37" i="73"/>
  <c r="G10" i="64" s="1"/>
  <c r="D35" i="64"/>
  <c r="D235" i="74"/>
  <c r="H235" i="74" s="1"/>
  <c r="E35" i="64"/>
  <c r="D236" i="74"/>
  <c r="AB227" i="73"/>
  <c r="S227" i="73"/>
  <c r="AQ227" i="73"/>
  <c r="AU227" i="73"/>
  <c r="U227" i="73"/>
  <c r="N227" i="73"/>
  <c r="AC227" i="73"/>
  <c r="AX227" i="73"/>
  <c r="X227" i="73"/>
  <c r="J227" i="73"/>
  <c r="AO227" i="73"/>
  <c r="AG227" i="73"/>
  <c r="Q227" i="73"/>
  <c r="I227" i="73"/>
  <c r="AP227" i="73"/>
  <c r="AD227" i="73"/>
  <c r="AE227" i="73"/>
  <c r="AJ227" i="73"/>
  <c r="Y227" i="73"/>
  <c r="W227" i="73"/>
  <c r="L227" i="73"/>
  <c r="AV227" i="73"/>
  <c r="AW227" i="73"/>
  <c r="AR227" i="73"/>
  <c r="AH227" i="73"/>
  <c r="AM227" i="73"/>
  <c r="O227" i="73"/>
  <c r="AN227" i="73"/>
  <c r="T227" i="73"/>
  <c r="AL227" i="73"/>
  <c r="V227" i="73"/>
  <c r="AS227" i="73"/>
  <c r="M227" i="73"/>
  <c r="R227" i="73"/>
  <c r="AI227" i="73"/>
  <c r="AA227" i="73"/>
  <c r="K227" i="73"/>
  <c r="P227" i="73"/>
  <c r="AK227" i="73"/>
  <c r="AT227" i="73"/>
  <c r="AF227" i="73"/>
  <c r="Z227" i="73"/>
  <c r="G227" i="73"/>
  <c r="E227" i="73"/>
  <c r="H227" i="73"/>
  <c r="F227" i="73"/>
  <c r="W78" i="73"/>
  <c r="AN78" i="73"/>
  <c r="H8" i="64"/>
  <c r="AX228" i="74"/>
  <c r="AS228" i="74"/>
  <c r="AM228" i="74"/>
  <c r="AH228" i="74"/>
  <c r="AC228" i="74"/>
  <c r="W228" i="74"/>
  <c r="R228" i="74"/>
  <c r="M228" i="74"/>
  <c r="AW228" i="74"/>
  <c r="AQ228" i="74"/>
  <c r="AL228" i="74"/>
  <c r="AG228" i="74"/>
  <c r="AA228" i="74"/>
  <c r="V228" i="74"/>
  <c r="Q228" i="74"/>
  <c r="K228" i="74"/>
  <c r="AO228" i="74"/>
  <c r="AD228" i="74"/>
  <c r="S228" i="74"/>
  <c r="I228" i="74"/>
  <c r="AI228" i="74"/>
  <c r="N228" i="74"/>
  <c r="AP228" i="74"/>
  <c r="U228" i="74"/>
  <c r="AU228" i="74"/>
  <c r="AK228" i="74"/>
  <c r="Z228" i="74"/>
  <c r="O228" i="74"/>
  <c r="AT228" i="74"/>
  <c r="Y228" i="74"/>
  <c r="AV228" i="74"/>
  <c r="AE228" i="74"/>
  <c r="J228" i="74"/>
  <c r="P228" i="74"/>
  <c r="AF228" i="74"/>
  <c r="L228" i="74"/>
  <c r="AB228" i="74"/>
  <c r="AR228" i="74"/>
  <c r="AJ228" i="74"/>
  <c r="AN228" i="74"/>
  <c r="T228" i="74"/>
  <c r="X228" i="74"/>
  <c r="E228" i="74"/>
  <c r="G228" i="74"/>
  <c r="F228" i="74"/>
  <c r="H228" i="74"/>
  <c r="X78" i="73"/>
  <c r="AO78" i="73"/>
  <c r="K43" i="5"/>
  <c r="D8" i="64"/>
  <c r="D235" i="73"/>
  <c r="G235" i="73" s="1"/>
  <c r="E37" i="73"/>
  <c r="X78" i="74"/>
  <c r="AO78" i="74"/>
  <c r="G8" i="64"/>
  <c r="Y78" i="73"/>
  <c r="AP78" i="73"/>
  <c r="I35" i="64"/>
  <c r="AP78" i="74"/>
  <c r="Y78" i="74"/>
  <c r="F35" i="64"/>
  <c r="J21" i="5"/>
  <c r="F11" i="73"/>
  <c r="H11" i="73"/>
  <c r="G11" i="73"/>
  <c r="E11" i="73"/>
  <c r="P21" i="5"/>
  <c r="K21" i="5"/>
  <c r="E11" i="74"/>
  <c r="H11" i="74"/>
  <c r="G11" i="74"/>
  <c r="F11" i="74"/>
  <c r="R21" i="5"/>
  <c r="E8" i="64"/>
  <c r="D236" i="73"/>
  <c r="F236" i="73" s="1"/>
  <c r="F37" i="73"/>
  <c r="F10" i="64" s="1"/>
  <c r="W78" i="74"/>
  <c r="AN78" i="74"/>
  <c r="AE228" i="73"/>
  <c r="O228" i="73"/>
  <c r="U228" i="73"/>
  <c r="AF228" i="73"/>
  <c r="AB228" i="73"/>
  <c r="AX228" i="73"/>
  <c r="T228" i="73"/>
  <c r="K228" i="73"/>
  <c r="S228" i="73"/>
  <c r="AQ228" i="73"/>
  <c r="Z228" i="73"/>
  <c r="AW228" i="73"/>
  <c r="AR228" i="73"/>
  <c r="AV228" i="73"/>
  <c r="AI228" i="73"/>
  <c r="AM228" i="73"/>
  <c r="V228" i="73"/>
  <c r="AS228" i="73"/>
  <c r="X228" i="73"/>
  <c r="J228" i="73"/>
  <c r="Q228" i="73"/>
  <c r="W228" i="73"/>
  <c r="AT228" i="73"/>
  <c r="AC228" i="73"/>
  <c r="AJ228" i="73"/>
  <c r="AD228" i="73"/>
  <c r="AK228" i="73"/>
  <c r="Y228" i="73"/>
  <c r="AP228" i="73"/>
  <c r="AH228" i="73"/>
  <c r="AL228" i="73"/>
  <c r="M228" i="73"/>
  <c r="N228" i="73"/>
  <c r="P228" i="73"/>
  <c r="AN228" i="73"/>
  <c r="R228" i="73"/>
  <c r="AA228" i="73"/>
  <c r="AU228" i="73"/>
  <c r="AO228" i="73"/>
  <c r="AG228" i="73"/>
  <c r="I228" i="73"/>
  <c r="L228" i="73"/>
  <c r="F228" i="73"/>
  <c r="H228" i="73"/>
  <c r="G228" i="73"/>
  <c r="E228" i="73"/>
  <c r="F8" i="64"/>
  <c r="AQ227" i="74"/>
  <c r="AA227" i="74"/>
  <c r="K227" i="74"/>
  <c r="AP227" i="74"/>
  <c r="Z227" i="74"/>
  <c r="J227" i="74"/>
  <c r="AB227" i="74"/>
  <c r="AC227" i="74"/>
  <c r="AN227" i="74"/>
  <c r="AG227" i="74"/>
  <c r="AM227" i="74"/>
  <c r="W227" i="74"/>
  <c r="AL227" i="74"/>
  <c r="V227" i="74"/>
  <c r="AJ227" i="74"/>
  <c r="AK227" i="74"/>
  <c r="P227" i="74"/>
  <c r="AU227" i="74"/>
  <c r="O227" i="74"/>
  <c r="AD227" i="74"/>
  <c r="T227" i="74"/>
  <c r="U227" i="74"/>
  <c r="AV227" i="74"/>
  <c r="Y227" i="74"/>
  <c r="S227" i="74"/>
  <c r="AH227" i="74"/>
  <c r="L227" i="74"/>
  <c r="M227" i="74"/>
  <c r="AF227" i="74"/>
  <c r="Q227" i="74"/>
  <c r="AI227" i="74"/>
  <c r="R227" i="74"/>
  <c r="AS227" i="74"/>
  <c r="AW227" i="74"/>
  <c r="AE227" i="74"/>
  <c r="X227" i="74"/>
  <c r="AR227" i="74"/>
  <c r="I227" i="74"/>
  <c r="AT227" i="74"/>
  <c r="AO227" i="74"/>
  <c r="N227" i="74"/>
  <c r="AX227" i="74"/>
  <c r="E227" i="74"/>
  <c r="G227" i="74"/>
  <c r="H227" i="74"/>
  <c r="F227" i="74"/>
  <c r="J77" i="5"/>
  <c r="G76" i="73"/>
  <c r="F76" i="73"/>
  <c r="E76" i="73"/>
  <c r="H76" i="73"/>
  <c r="G134" i="14"/>
  <c r="G121" i="14"/>
  <c r="J38" i="5"/>
  <c r="AC71" i="14"/>
  <c r="AC58" i="14"/>
  <c r="H91" i="14"/>
  <c r="AD28" i="14"/>
  <c r="P77" i="5"/>
  <c r="O77" i="5"/>
  <c r="O38" i="5"/>
  <c r="P38" i="5"/>
  <c r="L12" i="5"/>
  <c r="O21" i="5"/>
  <c r="M12" i="5"/>
  <c r="Q21" i="5"/>
  <c r="M38" i="5"/>
  <c r="Q43" i="5"/>
  <c r="R43" i="5"/>
  <c r="M176" i="5"/>
  <c r="M66" i="5"/>
  <c r="L179" i="5"/>
  <c r="K43" i="64" l="1"/>
  <c r="L43" i="64" s="1"/>
  <c r="D37" i="73"/>
  <c r="D230" i="73" s="1"/>
  <c r="P54" i="5"/>
  <c r="J54" i="5"/>
  <c r="E53" i="73"/>
  <c r="H53" i="73"/>
  <c r="G53" i="73"/>
  <c r="O54" i="5"/>
  <c r="M233" i="5"/>
  <c r="C25" i="64"/>
  <c r="L233" i="5"/>
  <c r="P55" i="5"/>
  <c r="G54" i="74"/>
  <c r="G52" i="74" s="1"/>
  <c r="H38" i="64" s="1"/>
  <c r="F54" i="73"/>
  <c r="L66" i="5"/>
  <c r="H65" i="73" s="1"/>
  <c r="M53" i="5"/>
  <c r="C38" i="64" s="1"/>
  <c r="L176" i="5"/>
  <c r="H175" i="73" s="1"/>
  <c r="H54" i="74"/>
  <c r="M179" i="5"/>
  <c r="E178" i="74" s="1"/>
  <c r="R55" i="5"/>
  <c r="E54" i="74"/>
  <c r="E52" i="74" s="1"/>
  <c r="F38" i="64" s="1"/>
  <c r="Q55" i="5"/>
  <c r="F54" i="74"/>
  <c r="E54" i="73"/>
  <c r="L53" i="5"/>
  <c r="H54" i="73"/>
  <c r="Q77" i="5"/>
  <c r="G76" i="74"/>
  <c r="AO76" i="74" s="1"/>
  <c r="R77" i="5"/>
  <c r="K77" i="5"/>
  <c r="F76" i="74"/>
  <c r="AN76" i="74" s="1"/>
  <c r="H76" i="74"/>
  <c r="AP76" i="74" s="1"/>
  <c r="O55" i="5"/>
  <c r="G54" i="73"/>
  <c r="AU255" i="74"/>
  <c r="AG255" i="74"/>
  <c r="K255" i="74"/>
  <c r="AW255" i="74"/>
  <c r="AA255" i="74"/>
  <c r="AQ255" i="74"/>
  <c r="V255" i="74"/>
  <c r="AL255" i="74"/>
  <c r="Q255" i="74"/>
  <c r="W255" i="74"/>
  <c r="AS255" i="74"/>
  <c r="N255" i="74"/>
  <c r="AI255" i="74"/>
  <c r="J255" i="74"/>
  <c r="AE255" i="74"/>
  <c r="T255" i="74"/>
  <c r="AJ255" i="74"/>
  <c r="R255" i="74"/>
  <c r="AM255" i="74"/>
  <c r="I255" i="74"/>
  <c r="AD255" i="74"/>
  <c r="Z255" i="74"/>
  <c r="P255" i="74"/>
  <c r="AF255" i="74"/>
  <c r="AH255" i="74"/>
  <c r="Y255" i="74"/>
  <c r="U255" i="74"/>
  <c r="L255" i="74"/>
  <c r="AR255" i="74"/>
  <c r="M255" i="74"/>
  <c r="S255" i="74"/>
  <c r="AK255" i="74"/>
  <c r="AC255" i="74"/>
  <c r="AO255" i="74"/>
  <c r="AP255" i="74"/>
  <c r="X255" i="74"/>
  <c r="AX255" i="74"/>
  <c r="AT255" i="74"/>
  <c r="AB255" i="74"/>
  <c r="AV255" i="74"/>
  <c r="O255" i="74"/>
  <c r="AN255" i="74"/>
  <c r="H255" i="74"/>
  <c r="F255" i="74"/>
  <c r="G255" i="74"/>
  <c r="E255" i="74"/>
  <c r="K256" i="74"/>
  <c r="AQ256" i="74"/>
  <c r="AF256" i="74"/>
  <c r="V256" i="74"/>
  <c r="AS256" i="74"/>
  <c r="AC256" i="74"/>
  <c r="M256" i="74"/>
  <c r="AN256" i="74"/>
  <c r="S256" i="74"/>
  <c r="AR256" i="74"/>
  <c r="W256" i="74"/>
  <c r="O256" i="74"/>
  <c r="AV256" i="74"/>
  <c r="T256" i="74"/>
  <c r="AW256" i="74"/>
  <c r="AG256" i="74"/>
  <c r="Q256" i="74"/>
  <c r="AT256" i="74"/>
  <c r="X256" i="74"/>
  <c r="AX256" i="74"/>
  <c r="AB256" i="74"/>
  <c r="AU256" i="74"/>
  <c r="AL256" i="74"/>
  <c r="J256" i="74"/>
  <c r="AK256" i="74"/>
  <c r="L256" i="74"/>
  <c r="AA256" i="74"/>
  <c r="AP256" i="74"/>
  <c r="U256" i="74"/>
  <c r="N256" i="74"/>
  <c r="Z256" i="74"/>
  <c r="I256" i="74"/>
  <c r="AM256" i="74"/>
  <c r="AJ256" i="74"/>
  <c r="AE256" i="74"/>
  <c r="AO256" i="74"/>
  <c r="AI256" i="74"/>
  <c r="AH256" i="74"/>
  <c r="P256" i="74"/>
  <c r="Y256" i="74"/>
  <c r="AD256" i="74"/>
  <c r="R256" i="74"/>
  <c r="H256" i="74"/>
  <c r="G256" i="74"/>
  <c r="F256" i="74"/>
  <c r="E256" i="74"/>
  <c r="K10" i="64"/>
  <c r="L10" i="64" s="1"/>
  <c r="E235" i="74"/>
  <c r="K37" i="64"/>
  <c r="X235" i="73"/>
  <c r="AJ235" i="73"/>
  <c r="AQ235" i="73"/>
  <c r="AU235" i="73"/>
  <c r="AI235" i="73"/>
  <c r="O235" i="73"/>
  <c r="AF235" i="73"/>
  <c r="Z235" i="73"/>
  <c r="J235" i="73"/>
  <c r="AK235" i="73"/>
  <c r="AC235" i="73"/>
  <c r="I235" i="73"/>
  <c r="Y235" i="73"/>
  <c r="Q235" i="73"/>
  <c r="P235" i="73"/>
  <c r="L235" i="73"/>
  <c r="AR235" i="73"/>
  <c r="N235" i="73"/>
  <c r="M235" i="73"/>
  <c r="AT235" i="73"/>
  <c r="T235" i="73"/>
  <c r="AO235" i="73"/>
  <c r="W235" i="73"/>
  <c r="AD235" i="73"/>
  <c r="AA235" i="73"/>
  <c r="S235" i="73"/>
  <c r="AP235" i="73"/>
  <c r="AN235" i="73"/>
  <c r="AW235" i="73"/>
  <c r="AL235" i="73"/>
  <c r="AG235" i="73"/>
  <c r="AV235" i="73"/>
  <c r="AM235" i="73"/>
  <c r="AE235" i="73"/>
  <c r="U235" i="73"/>
  <c r="AH235" i="73"/>
  <c r="V235" i="73"/>
  <c r="R235" i="73"/>
  <c r="K235" i="73"/>
  <c r="AX235" i="73"/>
  <c r="AS235" i="73"/>
  <c r="AB235" i="73"/>
  <c r="E235" i="73"/>
  <c r="AU236" i="74"/>
  <c r="AP236" i="74"/>
  <c r="AK236" i="74"/>
  <c r="AE236" i="74"/>
  <c r="Z236" i="74"/>
  <c r="U236" i="74"/>
  <c r="O236" i="74"/>
  <c r="J236" i="74"/>
  <c r="AT236" i="74"/>
  <c r="AO236" i="74"/>
  <c r="AI236" i="74"/>
  <c r="AD236" i="74"/>
  <c r="Y236" i="74"/>
  <c r="S236" i="74"/>
  <c r="N236" i="74"/>
  <c r="I236" i="74"/>
  <c r="AV236" i="74"/>
  <c r="AQ236" i="74"/>
  <c r="AG236" i="74"/>
  <c r="V236" i="74"/>
  <c r="K236" i="74"/>
  <c r="AW236" i="74"/>
  <c r="AS236" i="74"/>
  <c r="W236" i="74"/>
  <c r="AX236" i="74"/>
  <c r="AM236" i="74"/>
  <c r="AC236" i="74"/>
  <c r="R236" i="74"/>
  <c r="AL236" i="74"/>
  <c r="AA236" i="74"/>
  <c r="Q236" i="74"/>
  <c r="AH236" i="74"/>
  <c r="M236" i="74"/>
  <c r="X236" i="74"/>
  <c r="AN236" i="74"/>
  <c r="T236" i="74"/>
  <c r="AJ236" i="74"/>
  <c r="AB236" i="74"/>
  <c r="AR236" i="74"/>
  <c r="P236" i="74"/>
  <c r="AF236" i="74"/>
  <c r="L236" i="74"/>
  <c r="F236" i="74"/>
  <c r="G236" i="74"/>
  <c r="K12" i="5"/>
  <c r="D11" i="74" s="1"/>
  <c r="D218" i="74" s="1"/>
  <c r="C52" i="64"/>
  <c r="K8" i="64"/>
  <c r="L8" i="64" s="1"/>
  <c r="AF236" i="73"/>
  <c r="T236" i="73"/>
  <c r="O236" i="73"/>
  <c r="R236" i="73"/>
  <c r="L236" i="73"/>
  <c r="AH236" i="73"/>
  <c r="AA236" i="73"/>
  <c r="S236" i="73"/>
  <c r="AP236" i="73"/>
  <c r="Y236" i="73"/>
  <c r="AN236" i="73"/>
  <c r="AQ236" i="73"/>
  <c r="U236" i="73"/>
  <c r="W236" i="73"/>
  <c r="AX236" i="73"/>
  <c r="V236" i="73"/>
  <c r="AE236" i="73"/>
  <c r="AT236" i="73"/>
  <c r="Z236" i="73"/>
  <c r="J236" i="73"/>
  <c r="AK236" i="73"/>
  <c r="I236" i="73"/>
  <c r="AS236" i="73"/>
  <c r="AB236" i="73"/>
  <c r="AU236" i="73"/>
  <c r="N236" i="73"/>
  <c r="AW236" i="73"/>
  <c r="AG236" i="73"/>
  <c r="M236" i="73"/>
  <c r="AV236" i="73"/>
  <c r="P236" i="73"/>
  <c r="AL236" i="73"/>
  <c r="AO236" i="73"/>
  <c r="AI236" i="73"/>
  <c r="X236" i="73"/>
  <c r="AD236" i="73"/>
  <c r="K236" i="73"/>
  <c r="AR236" i="73"/>
  <c r="Q236" i="73"/>
  <c r="AJ236" i="73"/>
  <c r="AC236" i="73"/>
  <c r="AM236" i="73"/>
  <c r="E236" i="73"/>
  <c r="G236" i="73"/>
  <c r="E236" i="74"/>
  <c r="H236" i="73"/>
  <c r="AQ235" i="74"/>
  <c r="AA235" i="74"/>
  <c r="K235" i="74"/>
  <c r="AP235" i="74"/>
  <c r="Z235" i="74"/>
  <c r="J235" i="74"/>
  <c r="AB235" i="74"/>
  <c r="M235" i="74"/>
  <c r="AS235" i="74"/>
  <c r="X235" i="74"/>
  <c r="Q235" i="74"/>
  <c r="AW235" i="74"/>
  <c r="AM235" i="74"/>
  <c r="W235" i="74"/>
  <c r="AL235" i="74"/>
  <c r="V235" i="74"/>
  <c r="AJ235" i="74"/>
  <c r="U235" i="74"/>
  <c r="AE235" i="74"/>
  <c r="AT235" i="74"/>
  <c r="N235" i="74"/>
  <c r="AK235" i="74"/>
  <c r="AN235" i="74"/>
  <c r="Y235" i="74"/>
  <c r="AI235" i="74"/>
  <c r="AX235" i="74"/>
  <c r="R235" i="74"/>
  <c r="AR235" i="74"/>
  <c r="AC235" i="74"/>
  <c r="AF235" i="74"/>
  <c r="I235" i="74"/>
  <c r="S235" i="74"/>
  <c r="L235" i="74"/>
  <c r="AV235" i="74"/>
  <c r="O235" i="74"/>
  <c r="AH235" i="74"/>
  <c r="AU235" i="74"/>
  <c r="AD235" i="74"/>
  <c r="P235" i="74"/>
  <c r="T235" i="74"/>
  <c r="AG235" i="74"/>
  <c r="AO235" i="74"/>
  <c r="G235" i="74"/>
  <c r="F235" i="74"/>
  <c r="F235" i="73"/>
  <c r="K35" i="64"/>
  <c r="L35" i="64" s="1"/>
  <c r="H236" i="74"/>
  <c r="H235" i="73"/>
  <c r="G175" i="74"/>
  <c r="F175" i="74"/>
  <c r="E175" i="74"/>
  <c r="H175" i="74"/>
  <c r="AP76" i="73"/>
  <c r="Y76" i="73"/>
  <c r="AN76" i="73"/>
  <c r="W76" i="73"/>
  <c r="AO76" i="73"/>
  <c r="X76" i="73"/>
  <c r="D232" i="73"/>
  <c r="G232" i="73" s="1"/>
  <c r="E10" i="64"/>
  <c r="AD71" i="14"/>
  <c r="AD58" i="14"/>
  <c r="K38" i="5"/>
  <c r="D37" i="74" s="1"/>
  <c r="D230" i="74" s="1"/>
  <c r="C37" i="64"/>
  <c r="H134" i="14"/>
  <c r="H121" i="14"/>
  <c r="D231" i="73"/>
  <c r="E231" i="73" s="1"/>
  <c r="D10" i="64"/>
  <c r="I91" i="14"/>
  <c r="AE28" i="14"/>
  <c r="H178" i="73"/>
  <c r="G178" i="73"/>
  <c r="F178" i="73"/>
  <c r="E178" i="73"/>
  <c r="K66" i="5"/>
  <c r="H65" i="74"/>
  <c r="G65" i="74"/>
  <c r="F65" i="74"/>
  <c r="E65" i="74"/>
  <c r="E60" i="74" s="1"/>
  <c r="F39" i="64" s="1"/>
  <c r="J179" i="5"/>
  <c r="O179" i="5"/>
  <c r="P179" i="5"/>
  <c r="K176" i="5"/>
  <c r="Q176" i="5"/>
  <c r="R176" i="5"/>
  <c r="R38" i="5"/>
  <c r="J12" i="5"/>
  <c r="D11" i="73" s="1"/>
  <c r="O12" i="5"/>
  <c r="Q38" i="5"/>
  <c r="M61" i="5"/>
  <c r="R66" i="5"/>
  <c r="Q66" i="5"/>
  <c r="R12" i="5"/>
  <c r="P12" i="5"/>
  <c r="Q12" i="5"/>
  <c r="E52" i="73" l="1"/>
  <c r="L234" i="5"/>
  <c r="L235" i="5" s="1"/>
  <c r="M234" i="5"/>
  <c r="M235" i="5" s="1"/>
  <c r="C11" i="64"/>
  <c r="C39" i="64"/>
  <c r="H52" i="74"/>
  <c r="I38" i="64" s="1"/>
  <c r="AP54" i="74"/>
  <c r="AP52" i="74" s="1"/>
  <c r="Y54" i="74"/>
  <c r="Y52" i="74" s="1"/>
  <c r="H52" i="73"/>
  <c r="H11" i="64" s="1"/>
  <c r="AP54" i="73"/>
  <c r="AP52" i="73" s="1"/>
  <c r="Y54" i="73"/>
  <c r="Y52" i="73" s="1"/>
  <c r="F52" i="74"/>
  <c r="G38" i="64" s="1"/>
  <c r="AN54" i="74"/>
  <c r="AN52" i="74" s="1"/>
  <c r="W54" i="74"/>
  <c r="W52" i="74" s="1"/>
  <c r="F52" i="73"/>
  <c r="F11" i="64" s="1"/>
  <c r="AN54" i="73"/>
  <c r="AN52" i="73" s="1"/>
  <c r="W54" i="73"/>
  <c r="W52" i="73" s="1"/>
  <c r="F178" i="74"/>
  <c r="F174" i="74" s="1"/>
  <c r="G44" i="64" s="1"/>
  <c r="G52" i="73"/>
  <c r="G11" i="64" s="1"/>
  <c r="AO54" i="73"/>
  <c r="AO52" i="73" s="1"/>
  <c r="X54" i="73"/>
  <c r="X52" i="73" s="1"/>
  <c r="AO54" i="74"/>
  <c r="AO52" i="74" s="1"/>
  <c r="X54" i="74"/>
  <c r="X52" i="74" s="1"/>
  <c r="K179" i="5"/>
  <c r="J53" i="5"/>
  <c r="K53" i="5"/>
  <c r="Q53" i="5"/>
  <c r="D239" i="74" s="1"/>
  <c r="P239" i="74" s="1"/>
  <c r="W76" i="74"/>
  <c r="P53" i="5"/>
  <c r="D240" i="73" s="1"/>
  <c r="AS240" i="73" s="1"/>
  <c r="O53" i="5"/>
  <c r="D11" i="64" s="1"/>
  <c r="R53" i="5"/>
  <c r="E38" i="64" s="1"/>
  <c r="F175" i="73"/>
  <c r="F174" i="73" s="1"/>
  <c r="G17" i="64" s="1"/>
  <c r="F65" i="73"/>
  <c r="F60" i="73" s="1"/>
  <c r="F12" i="64" s="1"/>
  <c r="G178" i="74"/>
  <c r="G174" i="74" s="1"/>
  <c r="H44" i="64" s="1"/>
  <c r="O176" i="5"/>
  <c r="J66" i="5"/>
  <c r="L61" i="5"/>
  <c r="P176" i="5"/>
  <c r="E65" i="73"/>
  <c r="E60" i="73" s="1"/>
  <c r="E175" i="73"/>
  <c r="E174" i="73" s="1"/>
  <c r="F17" i="64" s="1"/>
  <c r="L175" i="5"/>
  <c r="C17" i="64" s="1"/>
  <c r="P66" i="5"/>
  <c r="J176" i="5"/>
  <c r="G65" i="73"/>
  <c r="AO65" i="73" s="1"/>
  <c r="AO60" i="73" s="1"/>
  <c r="G175" i="73"/>
  <c r="G174" i="73" s="1"/>
  <c r="H17" i="64" s="1"/>
  <c r="X76" i="74"/>
  <c r="O66" i="5"/>
  <c r="H174" i="73"/>
  <c r="I17" i="64" s="1"/>
  <c r="M175" i="5"/>
  <c r="C44" i="64" s="1"/>
  <c r="R179" i="5"/>
  <c r="H178" i="74"/>
  <c r="H174" i="74" s="1"/>
  <c r="I44" i="64" s="1"/>
  <c r="Q179" i="5"/>
  <c r="Y76" i="74"/>
  <c r="AO231" i="73"/>
  <c r="H232" i="73"/>
  <c r="E174" i="74"/>
  <c r="F44" i="64" s="1"/>
  <c r="AL232" i="73"/>
  <c r="E232" i="73"/>
  <c r="L37" i="64"/>
  <c r="D219" i="74"/>
  <c r="D219" i="73"/>
  <c r="D220" i="73"/>
  <c r="AI232" i="73"/>
  <c r="D220" i="74"/>
  <c r="AF232" i="73"/>
  <c r="AJ232" i="73"/>
  <c r="AV232" i="73"/>
  <c r="AX232" i="73"/>
  <c r="AT231" i="73"/>
  <c r="AR232" i="73"/>
  <c r="AX231" i="73"/>
  <c r="AH232" i="73"/>
  <c r="AW232" i="73"/>
  <c r="N231" i="73"/>
  <c r="AQ232" i="73"/>
  <c r="AB232" i="73"/>
  <c r="AN232" i="73"/>
  <c r="AH231" i="73"/>
  <c r="AM231" i="73"/>
  <c r="Z232" i="73"/>
  <c r="AA232" i="73"/>
  <c r="Q232" i="73"/>
  <c r="K232" i="73"/>
  <c r="W232" i="73"/>
  <c r="I231" i="73"/>
  <c r="AQ231" i="73"/>
  <c r="H231" i="73"/>
  <c r="AT232" i="73"/>
  <c r="AK232" i="73"/>
  <c r="J232" i="73"/>
  <c r="AD232" i="73"/>
  <c r="Y232" i="73"/>
  <c r="X231" i="73"/>
  <c r="AP231" i="73"/>
  <c r="P231" i="73"/>
  <c r="AN231" i="73"/>
  <c r="M231" i="73"/>
  <c r="Q231" i="73"/>
  <c r="S231" i="73"/>
  <c r="I232" i="73"/>
  <c r="M232" i="73"/>
  <c r="AM232" i="73"/>
  <c r="AU232" i="73"/>
  <c r="AE232" i="73"/>
  <c r="R232" i="73"/>
  <c r="P232" i="73"/>
  <c r="L232" i="73"/>
  <c r="AO232" i="73"/>
  <c r="T232" i="73"/>
  <c r="AA231" i="73"/>
  <c r="AD231" i="73"/>
  <c r="AJ231" i="73"/>
  <c r="J231" i="73"/>
  <c r="U231" i="73"/>
  <c r="Y231" i="73"/>
  <c r="AE231" i="73"/>
  <c r="V231" i="73"/>
  <c r="AS231" i="73"/>
  <c r="AV231" i="73"/>
  <c r="AG231" i="73"/>
  <c r="F232" i="73"/>
  <c r="F231" i="73"/>
  <c r="AK231" i="73"/>
  <c r="AU231" i="73"/>
  <c r="AL231" i="73"/>
  <c r="AF231" i="73"/>
  <c r="AB231" i="73"/>
  <c r="G231" i="73"/>
  <c r="U232" i="73"/>
  <c r="V232" i="73"/>
  <c r="AG232" i="73"/>
  <c r="N232" i="73"/>
  <c r="AP232" i="73"/>
  <c r="S232" i="73"/>
  <c r="AC232" i="73"/>
  <c r="AS232" i="73"/>
  <c r="X232" i="73"/>
  <c r="O232" i="73"/>
  <c r="AI231" i="73"/>
  <c r="Z231" i="73"/>
  <c r="AW231" i="73"/>
  <c r="O231" i="73"/>
  <c r="K231" i="73"/>
  <c r="L231" i="73"/>
  <c r="R231" i="73"/>
  <c r="W231" i="73"/>
  <c r="AC231" i="73"/>
  <c r="AR231" i="73"/>
  <c r="T231" i="73"/>
  <c r="I134" i="14"/>
  <c r="I121" i="14"/>
  <c r="D231" i="74"/>
  <c r="AN231" i="74" s="1"/>
  <c r="D37" i="64"/>
  <c r="D232" i="74"/>
  <c r="Q232" i="74" s="1"/>
  <c r="E37" i="64"/>
  <c r="AE71" i="14"/>
  <c r="AE58" i="14"/>
  <c r="J91" i="14"/>
  <c r="AF28" i="14"/>
  <c r="K61" i="5"/>
  <c r="D60" i="74" s="1"/>
  <c r="D246" i="74" s="1"/>
  <c r="Y65" i="74"/>
  <c r="Y60" i="74" s="1"/>
  <c r="AP65" i="74"/>
  <c r="AP60" i="74" s="1"/>
  <c r="H60" i="74"/>
  <c r="I39" i="64" s="1"/>
  <c r="D218" i="73"/>
  <c r="W65" i="74"/>
  <c r="W60" i="74" s="1"/>
  <c r="AN65" i="74"/>
  <c r="AN60" i="74" s="1"/>
  <c r="F60" i="74"/>
  <c r="G39" i="64" s="1"/>
  <c r="AP65" i="73"/>
  <c r="AP60" i="73" s="1"/>
  <c r="Y65" i="73"/>
  <c r="Y60" i="73" s="1"/>
  <c r="H60" i="73"/>
  <c r="H12" i="64" s="1"/>
  <c r="X65" i="74"/>
  <c r="X60" i="74" s="1"/>
  <c r="AO65" i="74"/>
  <c r="AO60" i="74" s="1"/>
  <c r="G60" i="74"/>
  <c r="H39" i="64" s="1"/>
  <c r="Q61" i="5"/>
  <c r="R61" i="5"/>
  <c r="D52" i="74" l="1"/>
  <c r="D238" i="74" s="1"/>
  <c r="D52" i="73"/>
  <c r="D238" i="73" s="1"/>
  <c r="Q175" i="5"/>
  <c r="D44" i="64" s="1"/>
  <c r="C12" i="64"/>
  <c r="K11" i="64"/>
  <c r="L11" i="64" s="1"/>
  <c r="K38" i="64"/>
  <c r="L38" i="64" s="1"/>
  <c r="W65" i="73"/>
  <c r="W60" i="73" s="1"/>
  <c r="E11" i="64"/>
  <c r="D239" i="73"/>
  <c r="W239" i="73" s="1"/>
  <c r="J61" i="5"/>
  <c r="D60" i="73" s="1"/>
  <c r="D246" i="73" s="1"/>
  <c r="D38" i="64"/>
  <c r="O61" i="5"/>
  <c r="D247" i="73" s="1"/>
  <c r="E247" i="73" s="1"/>
  <c r="R175" i="5"/>
  <c r="E44" i="64" s="1"/>
  <c r="D37" i="14"/>
  <c r="D240" i="74"/>
  <c r="AX240" i="74" s="1"/>
  <c r="G60" i="73"/>
  <c r="G12" i="64" s="1"/>
  <c r="K12" i="64" s="1"/>
  <c r="AN65" i="73"/>
  <c r="AN60" i="73" s="1"/>
  <c r="P61" i="5"/>
  <c r="D248" i="73" s="1"/>
  <c r="E248" i="73" s="1"/>
  <c r="O175" i="5"/>
  <c r="D17" i="64" s="1"/>
  <c r="X65" i="73"/>
  <c r="X60" i="73" s="1"/>
  <c r="J175" i="5"/>
  <c r="D174" i="73" s="1"/>
  <c r="D258" i="73" s="1"/>
  <c r="P175" i="5"/>
  <c r="D260" i="73" s="1"/>
  <c r="Y260" i="73" s="1"/>
  <c r="D100" i="14"/>
  <c r="E100" i="14" s="1"/>
  <c r="F100" i="14" s="1"/>
  <c r="K175" i="5"/>
  <c r="D174" i="74" s="1"/>
  <c r="D258" i="74" s="1"/>
  <c r="V231" i="74"/>
  <c r="AX231" i="74"/>
  <c r="AV231" i="74"/>
  <c r="K17" i="64"/>
  <c r="L17" i="64" s="1"/>
  <c r="AQ240" i="73"/>
  <c r="AP231" i="74"/>
  <c r="K232" i="74"/>
  <c r="L231" i="74"/>
  <c r="V232" i="74"/>
  <c r="AS231" i="74"/>
  <c r="AE231" i="74"/>
  <c r="P231" i="74"/>
  <c r="U240" i="73"/>
  <c r="O231" i="74"/>
  <c r="AB231" i="74"/>
  <c r="X231" i="74"/>
  <c r="U239" i="74"/>
  <c r="AH220" i="73"/>
  <c r="AI220" i="73"/>
  <c r="AB220" i="73"/>
  <c r="I220" i="73"/>
  <c r="AR220" i="73"/>
  <c r="O220" i="73"/>
  <c r="AD220" i="73"/>
  <c r="AC220" i="73"/>
  <c r="U220" i="73"/>
  <c r="AF220" i="73"/>
  <c r="Z220" i="73"/>
  <c r="R220" i="73"/>
  <c r="AT220" i="73"/>
  <c r="W220" i="73"/>
  <c r="AQ220" i="73"/>
  <c r="K220" i="73"/>
  <c r="AE220" i="73"/>
  <c r="AJ220" i="73"/>
  <c r="V220" i="73"/>
  <c r="AP220" i="73"/>
  <c r="AV220" i="73"/>
  <c r="S220" i="73"/>
  <c r="AG220" i="73"/>
  <c r="M220" i="73"/>
  <c r="AS220" i="73"/>
  <c r="T220" i="73"/>
  <c r="L220" i="73"/>
  <c r="P220" i="73"/>
  <c r="AM220" i="73"/>
  <c r="AU220" i="73"/>
  <c r="AK220" i="73"/>
  <c r="Y220" i="73"/>
  <c r="Q220" i="73"/>
  <c r="AW220" i="73"/>
  <c r="AO220" i="73"/>
  <c r="X220" i="73"/>
  <c r="AN220" i="73"/>
  <c r="J220" i="73"/>
  <c r="AL220" i="73"/>
  <c r="N220" i="73"/>
  <c r="AA220" i="73"/>
  <c r="AX220" i="73"/>
  <c r="G220" i="73"/>
  <c r="H220" i="73"/>
  <c r="F220" i="73"/>
  <c r="E220" i="73"/>
  <c r="AB219" i="73"/>
  <c r="AU219" i="73"/>
  <c r="O219" i="73"/>
  <c r="S219" i="73"/>
  <c r="AD219" i="73"/>
  <c r="K219" i="73"/>
  <c r="L219" i="73"/>
  <c r="M219" i="73"/>
  <c r="AS219" i="73"/>
  <c r="T219" i="73"/>
  <c r="J219" i="73"/>
  <c r="AR219" i="73"/>
  <c r="AM219" i="73"/>
  <c r="AI219" i="73"/>
  <c r="AK219" i="73"/>
  <c r="Y219" i="73"/>
  <c r="AO219" i="73"/>
  <c r="X219" i="73"/>
  <c r="AE219" i="73"/>
  <c r="AN219" i="73"/>
  <c r="AH219" i="73"/>
  <c r="AC219" i="73"/>
  <c r="V219" i="73"/>
  <c r="AP219" i="73"/>
  <c r="AJ219" i="73"/>
  <c r="I219" i="73"/>
  <c r="AV219" i="73"/>
  <c r="Z219" i="73"/>
  <c r="R219" i="73"/>
  <c r="AT219" i="73"/>
  <c r="P219" i="73"/>
  <c r="W219" i="73"/>
  <c r="AQ219" i="73"/>
  <c r="AA219" i="73"/>
  <c r="Q219" i="73"/>
  <c r="AW219" i="73"/>
  <c r="AX219" i="73"/>
  <c r="AG219" i="73"/>
  <c r="U219" i="73"/>
  <c r="AF219" i="73"/>
  <c r="AL219" i="73"/>
  <c r="N219" i="73"/>
  <c r="E219" i="73"/>
  <c r="G219" i="73"/>
  <c r="H219" i="73"/>
  <c r="F219" i="73"/>
  <c r="AE232" i="74"/>
  <c r="G231" i="74"/>
  <c r="AI231" i="74"/>
  <c r="AH231" i="74"/>
  <c r="AL231" i="74"/>
  <c r="K231" i="74"/>
  <c r="AF231" i="74"/>
  <c r="K44" i="64"/>
  <c r="L44" i="64" s="1"/>
  <c r="AQ219" i="74"/>
  <c r="AA219" i="74"/>
  <c r="K219" i="74"/>
  <c r="AP219" i="74"/>
  <c r="Z219" i="74"/>
  <c r="J219" i="74"/>
  <c r="AB219" i="74"/>
  <c r="M219" i="74"/>
  <c r="AS219" i="74"/>
  <c r="X219" i="74"/>
  <c r="AG219" i="74"/>
  <c r="AM219" i="74"/>
  <c r="W219" i="74"/>
  <c r="AL219" i="74"/>
  <c r="V219" i="74"/>
  <c r="AJ219" i="74"/>
  <c r="U219" i="74"/>
  <c r="AF219" i="74"/>
  <c r="AE219" i="74"/>
  <c r="AT219" i="74"/>
  <c r="N219" i="74"/>
  <c r="AN219" i="74"/>
  <c r="Q219" i="74"/>
  <c r="AI219" i="74"/>
  <c r="AX219" i="74"/>
  <c r="R219" i="74"/>
  <c r="AR219" i="74"/>
  <c r="P219" i="74"/>
  <c r="I219" i="74"/>
  <c r="AW219" i="74"/>
  <c r="AH219" i="74"/>
  <c r="AV219" i="74"/>
  <c r="AU219" i="74"/>
  <c r="L219" i="74"/>
  <c r="Y219" i="74"/>
  <c r="O219" i="74"/>
  <c r="T219" i="74"/>
  <c r="AK219" i="74"/>
  <c r="AO219" i="74"/>
  <c r="AD219" i="74"/>
  <c r="S219" i="74"/>
  <c r="AC219" i="74"/>
  <c r="G219" i="74"/>
  <c r="E219" i="74"/>
  <c r="F219" i="74"/>
  <c r="H219" i="74"/>
  <c r="E231" i="74"/>
  <c r="AD231" i="74"/>
  <c r="AT231" i="74"/>
  <c r="U231" i="74"/>
  <c r="AO231" i="74"/>
  <c r="AW231" i="74"/>
  <c r="AU220" i="74"/>
  <c r="AP220" i="74"/>
  <c r="AK220" i="74"/>
  <c r="AE220" i="74"/>
  <c r="Z220" i="74"/>
  <c r="U220" i="74"/>
  <c r="O220" i="74"/>
  <c r="J220" i="74"/>
  <c r="AT220" i="74"/>
  <c r="AO220" i="74"/>
  <c r="AI220" i="74"/>
  <c r="AD220" i="74"/>
  <c r="Y220" i="74"/>
  <c r="S220" i="74"/>
  <c r="N220" i="74"/>
  <c r="I220" i="74"/>
  <c r="AV220" i="74"/>
  <c r="AQ220" i="74"/>
  <c r="AG220" i="74"/>
  <c r="V220" i="74"/>
  <c r="K220" i="74"/>
  <c r="AW220" i="74"/>
  <c r="AA220" i="74"/>
  <c r="AS220" i="74"/>
  <c r="W220" i="74"/>
  <c r="AX220" i="74"/>
  <c r="AM220" i="74"/>
  <c r="AC220" i="74"/>
  <c r="R220" i="74"/>
  <c r="AL220" i="74"/>
  <c r="Q220" i="74"/>
  <c r="AH220" i="74"/>
  <c r="M220" i="74"/>
  <c r="P220" i="74"/>
  <c r="AF220" i="74"/>
  <c r="L220" i="74"/>
  <c r="AB220" i="74"/>
  <c r="AR220" i="74"/>
  <c r="X220" i="74"/>
  <c r="AJ220" i="74"/>
  <c r="T220" i="74"/>
  <c r="AN220" i="74"/>
  <c r="E220" i="74"/>
  <c r="F220" i="74"/>
  <c r="H220" i="74"/>
  <c r="G220" i="74"/>
  <c r="J239" i="74"/>
  <c r="R239" i="74"/>
  <c r="W239" i="74"/>
  <c r="AD232" i="74"/>
  <c r="AM240" i="73"/>
  <c r="X240" i="73"/>
  <c r="F231" i="74"/>
  <c r="R231" i="74"/>
  <c r="T231" i="74"/>
  <c r="M231" i="74"/>
  <c r="N231" i="74"/>
  <c r="AJ231" i="74"/>
  <c r="AM231" i="74"/>
  <c r="Z231" i="74"/>
  <c r="AQ231" i="74"/>
  <c r="I231" i="74"/>
  <c r="AG231" i="74"/>
  <c r="AJ232" i="74"/>
  <c r="AU232" i="74"/>
  <c r="W240" i="73"/>
  <c r="H231" i="74"/>
  <c r="AR231" i="74"/>
  <c r="AK231" i="74"/>
  <c r="AU231" i="74"/>
  <c r="S231" i="74"/>
  <c r="AC231" i="74"/>
  <c r="W231" i="74"/>
  <c r="J231" i="74"/>
  <c r="AA231" i="74"/>
  <c r="Y231" i="74"/>
  <c r="Q231" i="74"/>
  <c r="AG239" i="74"/>
  <c r="T239" i="74"/>
  <c r="I239" i="74"/>
  <c r="AG232" i="74"/>
  <c r="Y232" i="74"/>
  <c r="Q240" i="73"/>
  <c r="S240" i="73"/>
  <c r="K240" i="73"/>
  <c r="K239" i="74"/>
  <c r="AT239" i="74"/>
  <c r="T232" i="74"/>
  <c r="AR232" i="74"/>
  <c r="AT240" i="73"/>
  <c r="AC240" i="73"/>
  <c r="H239" i="74"/>
  <c r="E239" i="74"/>
  <c r="AF239" i="74"/>
  <c r="S239" i="74"/>
  <c r="L239" i="74"/>
  <c r="AU239" i="74"/>
  <c r="AD239" i="74"/>
  <c r="X239" i="74"/>
  <c r="AK239" i="74"/>
  <c r="AS239" i="74"/>
  <c r="Z239" i="74"/>
  <c r="V239" i="74"/>
  <c r="G239" i="74"/>
  <c r="F239" i="74"/>
  <c r="AO239" i="74"/>
  <c r="AW239" i="74"/>
  <c r="AX239" i="74"/>
  <c r="AR239" i="74"/>
  <c r="AE239" i="74"/>
  <c r="N239" i="74"/>
  <c r="AA239" i="74"/>
  <c r="AN239" i="74"/>
  <c r="Q239" i="74"/>
  <c r="AB239" i="74"/>
  <c r="AJ239" i="74"/>
  <c r="AP232" i="74"/>
  <c r="J232" i="74"/>
  <c r="M232" i="74"/>
  <c r="X232" i="74"/>
  <c r="R232" i="74"/>
  <c r="L232" i="74"/>
  <c r="W232" i="74"/>
  <c r="AC232" i="74"/>
  <c r="AS232" i="74"/>
  <c r="AX232" i="74"/>
  <c r="F232" i="74"/>
  <c r="AT232" i="74"/>
  <c r="U232" i="74"/>
  <c r="AK232" i="74"/>
  <c r="AH232" i="74"/>
  <c r="AN232" i="74"/>
  <c r="AM232" i="74"/>
  <c r="AB232" i="74"/>
  <c r="N232" i="74"/>
  <c r="S232" i="74"/>
  <c r="AI232" i="74"/>
  <c r="AO232" i="74"/>
  <c r="H232" i="74"/>
  <c r="H240" i="73"/>
  <c r="M240" i="73"/>
  <c r="AJ240" i="73"/>
  <c r="Y240" i="73"/>
  <c r="Z240" i="73"/>
  <c r="AE240" i="73"/>
  <c r="AK240" i="73"/>
  <c r="AV240" i="73"/>
  <c r="R240" i="73"/>
  <c r="N240" i="73"/>
  <c r="AA240" i="73"/>
  <c r="O240" i="73"/>
  <c r="F240" i="73"/>
  <c r="G240" i="73"/>
  <c r="AB240" i="73"/>
  <c r="L240" i="73"/>
  <c r="T240" i="73"/>
  <c r="AD240" i="73"/>
  <c r="I240" i="73"/>
  <c r="P240" i="73"/>
  <c r="AU240" i="73"/>
  <c r="AO240" i="73"/>
  <c r="AP240" i="73"/>
  <c r="V240" i="73"/>
  <c r="M239" i="74"/>
  <c r="AQ239" i="74"/>
  <c r="AP239" i="74"/>
  <c r="O239" i="74"/>
  <c r="AH239" i="74"/>
  <c r="AV239" i="74"/>
  <c r="E232" i="74"/>
  <c r="P232" i="74"/>
  <c r="AF232" i="74"/>
  <c r="I232" i="74"/>
  <c r="AV232" i="74"/>
  <c r="O232" i="74"/>
  <c r="J240" i="73"/>
  <c r="AF240" i="73"/>
  <c r="AX240" i="73"/>
  <c r="AH240" i="73"/>
  <c r="AR240" i="73"/>
  <c r="E240" i="73"/>
  <c r="AM239" i="74"/>
  <c r="AL239" i="74"/>
  <c r="AC239" i="74"/>
  <c r="Y239" i="74"/>
  <c r="AI239" i="74"/>
  <c r="G232" i="74"/>
  <c r="AW232" i="74"/>
  <c r="AA232" i="74"/>
  <c r="AQ232" i="74"/>
  <c r="AL232" i="74"/>
  <c r="Z232" i="74"/>
  <c r="AI240" i="73"/>
  <c r="AG240" i="73"/>
  <c r="AN240" i="73"/>
  <c r="AL240" i="73"/>
  <c r="AW240" i="73"/>
  <c r="D248" i="74"/>
  <c r="AH248" i="74" s="1"/>
  <c r="E39" i="64"/>
  <c r="AF71" i="14"/>
  <c r="AF58" i="14"/>
  <c r="K39" i="64"/>
  <c r="L39" i="64" s="1"/>
  <c r="J134" i="14"/>
  <c r="J121" i="14"/>
  <c r="D247" i="74"/>
  <c r="AS247" i="74" s="1"/>
  <c r="D39" i="64"/>
  <c r="K91" i="14"/>
  <c r="AG28" i="14"/>
  <c r="D259" i="74" l="1"/>
  <c r="AD259" i="74" s="1"/>
  <c r="L12" i="64"/>
  <c r="D260" i="74"/>
  <c r="H260" i="74" s="1"/>
  <c r="AC239" i="73"/>
  <c r="AG239" i="73"/>
  <c r="H239" i="73"/>
  <c r="G239" i="73"/>
  <c r="AU239" i="73"/>
  <c r="AW239" i="73"/>
  <c r="AO239" i="73"/>
  <c r="AN240" i="74"/>
  <c r="S240" i="74"/>
  <c r="P239" i="73"/>
  <c r="AT239" i="73"/>
  <c r="AD239" i="73"/>
  <c r="U239" i="73"/>
  <c r="AK239" i="73"/>
  <c r="F239" i="73"/>
  <c r="M239" i="73"/>
  <c r="AB239" i="73"/>
  <c r="I239" i="73"/>
  <c r="AA239" i="73"/>
  <c r="AM239" i="73"/>
  <c r="Q239" i="73"/>
  <c r="AP239" i="73"/>
  <c r="AR239" i="73"/>
  <c r="Z239" i="73"/>
  <c r="O239" i="73"/>
  <c r="P240" i="74"/>
  <c r="J239" i="73"/>
  <c r="X239" i="73"/>
  <c r="S239" i="73"/>
  <c r="AJ239" i="73"/>
  <c r="E239" i="73"/>
  <c r="AV239" i="73"/>
  <c r="AQ239" i="73"/>
  <c r="I240" i="74"/>
  <c r="AH239" i="73"/>
  <c r="D12" i="64"/>
  <c r="T239" i="73"/>
  <c r="AF239" i="73"/>
  <c r="L239" i="73"/>
  <c r="N239" i="73"/>
  <c r="AI239" i="73"/>
  <c r="AX239" i="73"/>
  <c r="V239" i="73"/>
  <c r="Y239" i="73"/>
  <c r="R239" i="73"/>
  <c r="K239" i="73"/>
  <c r="AA240" i="74"/>
  <c r="J240" i="74"/>
  <c r="AL239" i="73"/>
  <c r="AS239" i="73"/>
  <c r="AE239" i="73"/>
  <c r="AN239" i="73"/>
  <c r="AI240" i="74"/>
  <c r="AF240" i="74"/>
  <c r="AL240" i="74"/>
  <c r="X240" i="74"/>
  <c r="AR240" i="74"/>
  <c r="AV240" i="74"/>
  <c r="AU240" i="74"/>
  <c r="E12" i="64"/>
  <c r="T240" i="74"/>
  <c r="AJ240" i="74"/>
  <c r="AS240" i="74"/>
  <c r="AC240" i="74"/>
  <c r="O240" i="74"/>
  <c r="L240" i="74"/>
  <c r="Z240" i="74"/>
  <c r="G240" i="74"/>
  <c r="D259" i="73"/>
  <c r="AA259" i="73" s="1"/>
  <c r="AG240" i="74"/>
  <c r="AE240" i="74"/>
  <c r="E240" i="74"/>
  <c r="K240" i="74"/>
  <c r="AH240" i="74"/>
  <c r="F240" i="74"/>
  <c r="V240" i="74"/>
  <c r="AM240" i="74"/>
  <c r="AQ240" i="74"/>
  <c r="W240" i="74"/>
  <c r="AO240" i="74"/>
  <c r="U240" i="74"/>
  <c r="AB240" i="74"/>
  <c r="Y240" i="74"/>
  <c r="AD240" i="74"/>
  <c r="N240" i="74"/>
  <c r="E17" i="64"/>
  <c r="AK240" i="74"/>
  <c r="AP240" i="74"/>
  <c r="H240" i="74"/>
  <c r="Q240" i="74"/>
  <c r="M240" i="74"/>
  <c r="AT240" i="74"/>
  <c r="AW240" i="74"/>
  <c r="R240" i="74"/>
  <c r="O260" i="73"/>
  <c r="AR260" i="73"/>
  <c r="Y247" i="74"/>
  <c r="AI247" i="74"/>
  <c r="AV248" i="74"/>
  <c r="AF248" i="74"/>
  <c r="AI248" i="74"/>
  <c r="I260" i="73"/>
  <c r="P247" i="73"/>
  <c r="AT248" i="73"/>
  <c r="AL247" i="74"/>
  <c r="AB260" i="73"/>
  <c r="W260" i="73"/>
  <c r="E260" i="73"/>
  <c r="K260" i="73"/>
  <c r="Q248" i="73"/>
  <c r="AC260" i="73"/>
  <c r="S260" i="73"/>
  <c r="AM260" i="73"/>
  <c r="AD260" i="73"/>
  <c r="AH260" i="73"/>
  <c r="AS260" i="73"/>
  <c r="R260" i="73"/>
  <c r="T260" i="73"/>
  <c r="J260" i="73"/>
  <c r="AQ260" i="73"/>
  <c r="AP260" i="73"/>
  <c r="N260" i="73"/>
  <c r="AJ260" i="73"/>
  <c r="AW260" i="73"/>
  <c r="AO260" i="73"/>
  <c r="V260" i="73"/>
  <c r="M260" i="73"/>
  <c r="F260" i="73"/>
  <c r="AU260" i="73"/>
  <c r="X260" i="73"/>
  <c r="U260" i="73"/>
  <c r="AF260" i="73"/>
  <c r="H260" i="73"/>
  <c r="AE260" i="73"/>
  <c r="AK260" i="73"/>
  <c r="Q260" i="73"/>
  <c r="AG260" i="73"/>
  <c r="AH248" i="73"/>
  <c r="AE247" i="74"/>
  <c r="AI247" i="73"/>
  <c r="AB248" i="73"/>
  <c r="AL248" i="73"/>
  <c r="AV248" i="73"/>
  <c r="H248" i="73"/>
  <c r="G248" i="74"/>
  <c r="AQ248" i="74"/>
  <c r="AB247" i="74"/>
  <c r="M247" i="74"/>
  <c r="AU248" i="73"/>
  <c r="G247" i="74"/>
  <c r="K247" i="74"/>
  <c r="AK247" i="74"/>
  <c r="X248" i="73"/>
  <c r="AM247" i="73"/>
  <c r="AF248" i="73"/>
  <c r="AD248" i="73"/>
  <c r="AU248" i="74"/>
  <c r="AQ247" i="74"/>
  <c r="AM247" i="74"/>
  <c r="AW248" i="73"/>
  <c r="AJ248" i="73"/>
  <c r="AG248" i="73"/>
  <c r="AX248" i="73"/>
  <c r="AM248" i="73"/>
  <c r="AP248" i="73"/>
  <c r="AR247" i="74"/>
  <c r="V247" i="74"/>
  <c r="S247" i="74"/>
  <c r="N247" i="74"/>
  <c r="AX247" i="74"/>
  <c r="W248" i="73"/>
  <c r="AV247" i="73"/>
  <c r="L247" i="73"/>
  <c r="AR248" i="73"/>
  <c r="AI248" i="73"/>
  <c r="R248" i="73"/>
  <c r="P248" i="73"/>
  <c r="U248" i="73"/>
  <c r="Z248" i="73"/>
  <c r="AC248" i="73"/>
  <c r="O248" i="73"/>
  <c r="T248" i="73"/>
  <c r="AP247" i="74"/>
  <c r="W247" i="74"/>
  <c r="AP247" i="73"/>
  <c r="X247" i="74"/>
  <c r="AO247" i="74"/>
  <c r="F248" i="74"/>
  <c r="AO248" i="73"/>
  <c r="AA248" i="74"/>
  <c r="L248" i="74"/>
  <c r="Y248" i="73"/>
  <c r="G260" i="73"/>
  <c r="L247" i="74"/>
  <c r="AJ247" i="74"/>
  <c r="AF247" i="74"/>
  <c r="Z247" i="74"/>
  <c r="AH247" i="74"/>
  <c r="AT247" i="74"/>
  <c r="U247" i="74"/>
  <c r="O247" i="74"/>
  <c r="AI260" i="73"/>
  <c r="AX260" i="73"/>
  <c r="AT260" i="73"/>
  <c r="AN260" i="73"/>
  <c r="AA260" i="73"/>
  <c r="P260" i="73"/>
  <c r="Z260" i="73"/>
  <c r="AV260" i="73"/>
  <c r="AL260" i="73"/>
  <c r="L260" i="73"/>
  <c r="M247" i="73"/>
  <c r="S247" i="73"/>
  <c r="J248" i="73"/>
  <c r="M248" i="73"/>
  <c r="V248" i="73"/>
  <c r="S248" i="73"/>
  <c r="AA247" i="74"/>
  <c r="Q247" i="74"/>
  <c r="AV247" i="74"/>
  <c r="AW247" i="74"/>
  <c r="I247" i="73"/>
  <c r="U247" i="73"/>
  <c r="AN247" i="74"/>
  <c r="L248" i="73"/>
  <c r="I248" i="73"/>
  <c r="K248" i="73"/>
  <c r="N248" i="73"/>
  <c r="AE248" i="73"/>
  <c r="AS248" i="73"/>
  <c r="AQ248" i="73"/>
  <c r="AK248" i="73"/>
  <c r="AA248" i="73"/>
  <c r="F248" i="73"/>
  <c r="G248" i="73"/>
  <c r="AN248" i="73"/>
  <c r="F247" i="74"/>
  <c r="J248" i="74"/>
  <c r="AB248" i="74"/>
  <c r="H247" i="74"/>
  <c r="E247" i="74"/>
  <c r="AG247" i="74"/>
  <c r="T247" i="74"/>
  <c r="P247" i="74"/>
  <c r="R247" i="74"/>
  <c r="AU247" i="74"/>
  <c r="J247" i="74"/>
  <c r="AC247" i="74"/>
  <c r="AD247" i="74"/>
  <c r="Z247" i="73"/>
  <c r="AX247" i="73"/>
  <c r="AJ247" i="73"/>
  <c r="O247" i="73"/>
  <c r="AT247" i="73"/>
  <c r="Q247" i="73"/>
  <c r="AL247" i="73"/>
  <c r="R247" i="73"/>
  <c r="AA247" i="73"/>
  <c r="F247" i="73"/>
  <c r="W248" i="74"/>
  <c r="H247" i="73"/>
  <c r="AO247" i="73"/>
  <c r="AS248" i="74"/>
  <c r="AW248" i="74"/>
  <c r="V248" i="74"/>
  <c r="P248" i="74"/>
  <c r="AK248" i="74"/>
  <c r="I248" i="74"/>
  <c r="N248" i="74"/>
  <c r="AD248" i="74"/>
  <c r="AR248" i="74"/>
  <c r="H248" i="74"/>
  <c r="I247" i="74"/>
  <c r="K134" i="14"/>
  <c r="K121" i="14"/>
  <c r="Y248" i="74"/>
  <c r="W247" i="73"/>
  <c r="AD247" i="73"/>
  <c r="AK247" i="73"/>
  <c r="T247" i="73"/>
  <c r="AF247" i="73"/>
  <c r="AH247" i="73"/>
  <c r="N247" i="73"/>
  <c r="AR247" i="73"/>
  <c r="J247" i="73"/>
  <c r="AB247" i="73"/>
  <c r="AP248" i="74"/>
  <c r="AN247" i="73"/>
  <c r="AJ248" i="74"/>
  <c r="AE248" i="74"/>
  <c r="O248" i="74"/>
  <c r="AG248" i="74"/>
  <c r="Z248" i="74"/>
  <c r="K248" i="74"/>
  <c r="S248" i="74"/>
  <c r="AX248" i="74"/>
  <c r="AT248" i="74"/>
  <c r="X247" i="73"/>
  <c r="K247" i="73"/>
  <c r="V247" i="73"/>
  <c r="AQ247" i="73"/>
  <c r="AC247" i="73"/>
  <c r="AS247" i="73"/>
  <c r="AG247" i="73"/>
  <c r="AE247" i="73"/>
  <c r="AW247" i="73"/>
  <c r="AU247" i="73"/>
  <c r="AN248" i="74"/>
  <c r="G247" i="73"/>
  <c r="X248" i="74"/>
  <c r="AO248" i="74"/>
  <c r="E248" i="74"/>
  <c r="M248" i="74"/>
  <c r="Q248" i="74"/>
  <c r="AC248" i="74"/>
  <c r="AL248" i="74"/>
  <c r="U248" i="74"/>
  <c r="T248" i="74"/>
  <c r="AM248" i="74"/>
  <c r="R248" i="74"/>
  <c r="Y247" i="73"/>
  <c r="AG71" i="14"/>
  <c r="AG58" i="14"/>
  <c r="L91" i="14"/>
  <c r="AH28" i="14"/>
  <c r="G100" i="14"/>
  <c r="O259" i="74" l="1"/>
  <c r="AU259" i="74"/>
  <c r="R259" i="74"/>
  <c r="K259" i="74"/>
  <c r="P259" i="74"/>
  <c r="AW259" i="74"/>
  <c r="AI259" i="74"/>
  <c r="S259" i="74"/>
  <c r="E259" i="74"/>
  <c r="X259" i="74"/>
  <c r="Y259" i="74"/>
  <c r="M259" i="74"/>
  <c r="AX259" i="74"/>
  <c r="T259" i="74"/>
  <c r="AV259" i="74"/>
  <c r="H259" i="74"/>
  <c r="AQ259" i="74"/>
  <c r="I259" i="74"/>
  <c r="AP259" i="74"/>
  <c r="Q259" i="74"/>
  <c r="AJ259" i="74"/>
  <c r="AR259" i="74"/>
  <c r="Z259" i="74"/>
  <c r="AH259" i="74"/>
  <c r="N259" i="74"/>
  <c r="AA259" i="74"/>
  <c r="AO259" i="74"/>
  <c r="AB259" i="74"/>
  <c r="AM259" i="74"/>
  <c r="AK259" i="74"/>
  <c r="W259" i="74"/>
  <c r="AE259" i="74"/>
  <c r="AF259" i="74"/>
  <c r="V259" i="74"/>
  <c r="AG259" i="74"/>
  <c r="J259" i="74"/>
  <c r="L259" i="74"/>
  <c r="AC259" i="74"/>
  <c r="AT259" i="74"/>
  <c r="AL259" i="74"/>
  <c r="U259" i="74"/>
  <c r="AN259" i="74"/>
  <c r="F259" i="74"/>
  <c r="G259" i="74"/>
  <c r="AS259" i="74"/>
  <c r="S260" i="74"/>
  <c r="AD260" i="74"/>
  <c r="AE260" i="74"/>
  <c r="AV260" i="74"/>
  <c r="AM260" i="74"/>
  <c r="AQ260" i="74"/>
  <c r="T260" i="74"/>
  <c r="G260" i="74"/>
  <c r="AN260" i="74"/>
  <c r="AH260" i="74"/>
  <c r="J260" i="74"/>
  <c r="AK260" i="74"/>
  <c r="I260" i="74"/>
  <c r="AP260" i="74"/>
  <c r="F260" i="74"/>
  <c r="Q260" i="74"/>
  <c r="L260" i="74"/>
  <c r="AC260" i="74"/>
  <c r="AL260" i="74"/>
  <c r="AR260" i="74"/>
  <c r="X260" i="74"/>
  <c r="M260" i="74"/>
  <c r="O260" i="74"/>
  <c r="W260" i="74"/>
  <c r="E260" i="74"/>
  <c r="AX260" i="74"/>
  <c r="AA260" i="74"/>
  <c r="AW260" i="74"/>
  <c r="AS260" i="74"/>
  <c r="Z260" i="74"/>
  <c r="U260" i="74"/>
  <c r="R260" i="74"/>
  <c r="N260" i="74"/>
  <c r="AJ260" i="74"/>
  <c r="AO260" i="74"/>
  <c r="AI260" i="74"/>
  <c r="AB260" i="74"/>
  <c r="AU260" i="74"/>
  <c r="K260" i="74"/>
  <c r="AG260" i="74"/>
  <c r="P260" i="74"/>
  <c r="AF260" i="74"/>
  <c r="AT260" i="74"/>
  <c r="Y260" i="74"/>
  <c r="V260" i="74"/>
  <c r="R259" i="73"/>
  <c r="AN259" i="73"/>
  <c r="T259" i="73"/>
  <c r="H259" i="73"/>
  <c r="AR259" i="73"/>
  <c r="AO259" i="73"/>
  <c r="AH259" i="73"/>
  <c r="AE259" i="73"/>
  <c r="N259" i="73"/>
  <c r="E259" i="73"/>
  <c r="L259" i="73"/>
  <c r="AW259" i="73"/>
  <c r="M259" i="73"/>
  <c r="X259" i="73"/>
  <c r="Q259" i="73"/>
  <c r="AB259" i="73"/>
  <c r="AX259" i="73"/>
  <c r="Y259" i="73"/>
  <c r="AS259" i="73"/>
  <c r="P259" i="73"/>
  <c r="V259" i="73"/>
  <c r="AD259" i="73"/>
  <c r="K259" i="73"/>
  <c r="AL259" i="73"/>
  <c r="W259" i="73"/>
  <c r="AJ259" i="73"/>
  <c r="J259" i="73"/>
  <c r="AM259" i="73"/>
  <c r="AI259" i="73"/>
  <c r="AU259" i="73"/>
  <c r="AK259" i="73"/>
  <c r="AF259" i="73"/>
  <c r="S259" i="73"/>
  <c r="Z259" i="73"/>
  <c r="F259" i="73"/>
  <c r="AP259" i="73"/>
  <c r="AG259" i="73"/>
  <c r="AV259" i="73"/>
  <c r="AT259" i="73"/>
  <c r="AQ259" i="73"/>
  <c r="U259" i="73"/>
  <c r="I259" i="73"/>
  <c r="G259" i="73"/>
  <c r="O259" i="73"/>
  <c r="AC259" i="73"/>
  <c r="L134" i="14"/>
  <c r="L121" i="14"/>
  <c r="AH71" i="14"/>
  <c r="AH58" i="14"/>
  <c r="M91" i="14"/>
  <c r="AI28" i="14"/>
  <c r="H100" i="14"/>
  <c r="AI71" i="14" l="1"/>
  <c r="AI58" i="14"/>
  <c r="M134" i="14"/>
  <c r="M121" i="14"/>
  <c r="N91" i="14"/>
  <c r="AJ28" i="14"/>
  <c r="I100" i="14"/>
  <c r="AJ71" i="14" l="1"/>
  <c r="AJ58" i="14"/>
  <c r="N134" i="14"/>
  <c r="N121" i="14"/>
  <c r="O91" i="14"/>
  <c r="AK28" i="14"/>
  <c r="J100" i="14"/>
  <c r="E37" i="14"/>
  <c r="AK71" i="14" l="1"/>
  <c r="AK58" i="14"/>
  <c r="O134" i="14"/>
  <c r="O121" i="14"/>
  <c r="P91" i="14"/>
  <c r="AL28" i="14"/>
  <c r="K100" i="14"/>
  <c r="F37" i="14"/>
  <c r="AL71" i="14" l="1"/>
  <c r="AL58" i="14"/>
  <c r="P134" i="14"/>
  <c r="P121" i="14"/>
  <c r="Q91" i="14"/>
  <c r="AM28" i="14"/>
  <c r="G37" i="14"/>
  <c r="L100" i="14"/>
  <c r="AM71" i="14" l="1"/>
  <c r="AM58" i="14"/>
  <c r="Q134" i="14"/>
  <c r="Q121" i="14"/>
  <c r="R91" i="14"/>
  <c r="AN28" i="14"/>
  <c r="M100" i="14"/>
  <c r="H37" i="14"/>
  <c r="AN71" i="14" l="1"/>
  <c r="AN58" i="14"/>
  <c r="R134" i="14"/>
  <c r="R121" i="14"/>
  <c r="S91" i="14"/>
  <c r="AO28" i="14"/>
  <c r="I37" i="14"/>
  <c r="N100" i="14"/>
  <c r="E38" i="15"/>
  <c r="E35" i="15" s="1"/>
  <c r="D38" i="15"/>
  <c r="D35" i="15" s="1"/>
  <c r="D43" i="15"/>
  <c r="D42" i="15" s="1"/>
  <c r="E43" i="15"/>
  <c r="E42" i="15" s="1"/>
  <c r="AO71" i="14" l="1"/>
  <c r="AO58" i="14"/>
  <c r="S134" i="14"/>
  <c r="S121" i="14"/>
  <c r="T91" i="14"/>
  <c r="AP28" i="14"/>
  <c r="O100" i="14"/>
  <c r="J37" i="14"/>
  <c r="D23" i="14"/>
  <c r="D86" i="14"/>
  <c r="E47" i="15"/>
  <c r="D87" i="14"/>
  <c r="E87" i="14" s="1"/>
  <c r="F87" i="14" s="1"/>
  <c r="G87" i="14" s="1"/>
  <c r="H87" i="14" s="1"/>
  <c r="I87" i="14" s="1"/>
  <c r="J87" i="14" s="1"/>
  <c r="K87" i="14" s="1"/>
  <c r="L87" i="14" s="1"/>
  <c r="M87" i="14" s="1"/>
  <c r="N87" i="14" s="1"/>
  <c r="O87" i="14" s="1"/>
  <c r="P87" i="14" s="1"/>
  <c r="Q87" i="14" s="1"/>
  <c r="R87" i="14" s="1"/>
  <c r="S87" i="14" s="1"/>
  <c r="T87" i="14" s="1"/>
  <c r="U87" i="14" s="1"/>
  <c r="V87" i="14" s="1"/>
  <c r="W87" i="14" s="1"/>
  <c r="X87" i="14" s="1"/>
  <c r="Y87" i="14" s="1"/>
  <c r="Z87" i="14" s="1"/>
  <c r="AA87" i="14" s="1"/>
  <c r="AB87" i="14" s="1"/>
  <c r="AC87" i="14" s="1"/>
  <c r="AD87" i="14" s="1"/>
  <c r="AE87" i="14" s="1"/>
  <c r="AF87" i="14" s="1"/>
  <c r="AG87" i="14" s="1"/>
  <c r="AH87" i="14" s="1"/>
  <c r="AI87" i="14" s="1"/>
  <c r="AJ87" i="14" s="1"/>
  <c r="AK87" i="14" s="1"/>
  <c r="AL87" i="14" s="1"/>
  <c r="AM87" i="14" s="1"/>
  <c r="AN87" i="14" s="1"/>
  <c r="AO87" i="14" s="1"/>
  <c r="AP87" i="14" s="1"/>
  <c r="AQ87" i="14" s="1"/>
  <c r="AR87" i="14" s="1"/>
  <c r="D47" i="15"/>
  <c r="D24" i="14"/>
  <c r="E24" i="14" s="1"/>
  <c r="F24" i="14" s="1"/>
  <c r="G24" i="14" s="1"/>
  <c r="H24" i="14" s="1"/>
  <c r="I24" i="14" s="1"/>
  <c r="J24" i="14" s="1"/>
  <c r="K24" i="14" s="1"/>
  <c r="L24" i="14" s="1"/>
  <c r="M24" i="14" s="1"/>
  <c r="N24" i="14" s="1"/>
  <c r="O24" i="14" s="1"/>
  <c r="P24" i="14" s="1"/>
  <c r="Q24" i="14" s="1"/>
  <c r="R24" i="14" s="1"/>
  <c r="S24" i="14" s="1"/>
  <c r="T24" i="14" s="1"/>
  <c r="U24" i="14" s="1"/>
  <c r="V24" i="14" s="1"/>
  <c r="W24" i="14" s="1"/>
  <c r="X24" i="14" s="1"/>
  <c r="Y24" i="14" s="1"/>
  <c r="Z24" i="14" s="1"/>
  <c r="AA24" i="14" s="1"/>
  <c r="AB24" i="14" s="1"/>
  <c r="AC24" i="14" s="1"/>
  <c r="AD24" i="14" s="1"/>
  <c r="AE24" i="14" s="1"/>
  <c r="AF24" i="14" s="1"/>
  <c r="AG24" i="14" s="1"/>
  <c r="AH24" i="14" s="1"/>
  <c r="AI24" i="14" s="1"/>
  <c r="AJ24" i="14" s="1"/>
  <c r="AK24" i="14" s="1"/>
  <c r="AL24" i="14" s="1"/>
  <c r="AM24" i="14" s="1"/>
  <c r="AN24" i="14" s="1"/>
  <c r="AO24" i="14" s="1"/>
  <c r="AP24" i="14" s="1"/>
  <c r="AQ24" i="14" s="1"/>
  <c r="AR24" i="14" s="1"/>
  <c r="T134" i="14" l="1"/>
  <c r="T121" i="14"/>
  <c r="AP71" i="14"/>
  <c r="AP58" i="14"/>
  <c r="U91" i="14"/>
  <c r="AQ28" i="14"/>
  <c r="K37" i="14"/>
  <c r="P100" i="14"/>
  <c r="E23" i="14"/>
  <c r="D26" i="14"/>
  <c r="D70" i="14" s="1"/>
  <c r="E86" i="14"/>
  <c r="D89" i="14"/>
  <c r="D120" i="14" s="1"/>
  <c r="AQ71" i="14" l="1"/>
  <c r="AQ58" i="14"/>
  <c r="U134" i="14"/>
  <c r="U121" i="14"/>
  <c r="D57" i="14"/>
  <c r="D133" i="14"/>
  <c r="V91" i="14"/>
  <c r="AR28" i="14"/>
  <c r="Q100" i="14"/>
  <c r="L37" i="14"/>
  <c r="F86" i="14"/>
  <c r="E89" i="14"/>
  <c r="E120" i="14" s="1"/>
  <c r="F23" i="14"/>
  <c r="E26" i="14"/>
  <c r="E57" i="14" s="1"/>
  <c r="AR71" i="14" l="1"/>
  <c r="AR58" i="14"/>
  <c r="V134" i="14"/>
  <c r="V121" i="14"/>
  <c r="E70" i="14"/>
  <c r="E133" i="14"/>
  <c r="W91" i="14"/>
  <c r="M37" i="14"/>
  <c r="R100" i="14"/>
  <c r="G86" i="14"/>
  <c r="F89" i="14"/>
  <c r="F120" i="14" s="1"/>
  <c r="G23" i="14"/>
  <c r="F26" i="14"/>
  <c r="F57" i="14" s="1"/>
  <c r="W134" i="14" l="1"/>
  <c r="W121" i="14"/>
  <c r="F133" i="14"/>
  <c r="F70" i="14"/>
  <c r="X91" i="14"/>
  <c r="S100" i="14"/>
  <c r="N37" i="14"/>
  <c r="H86" i="14"/>
  <c r="G89" i="14"/>
  <c r="G133" i="14" s="1"/>
  <c r="H23" i="14"/>
  <c r="G26" i="14"/>
  <c r="G70" i="14" s="1"/>
  <c r="X134" i="14" l="1"/>
  <c r="X121" i="14"/>
  <c r="G120" i="14"/>
  <c r="G57" i="14"/>
  <c r="Y91" i="14"/>
  <c r="O37" i="14"/>
  <c r="T100" i="14"/>
  <c r="I23" i="14"/>
  <c r="H26" i="14"/>
  <c r="H57" i="14" s="1"/>
  <c r="I86" i="14"/>
  <c r="H89" i="14"/>
  <c r="H120" i="14" s="1"/>
  <c r="Y134" i="14" l="1"/>
  <c r="Y121" i="14"/>
  <c r="H70" i="14"/>
  <c r="H133" i="14"/>
  <c r="Z91" i="14"/>
  <c r="U100" i="14"/>
  <c r="P37" i="14"/>
  <c r="J86" i="14"/>
  <c r="I89" i="14"/>
  <c r="I120" i="14" s="1"/>
  <c r="J23" i="14"/>
  <c r="I26" i="14"/>
  <c r="I70" i="14" s="1"/>
  <c r="Z134" i="14" l="1"/>
  <c r="Z121" i="14"/>
  <c r="I57" i="14"/>
  <c r="I133" i="14"/>
  <c r="AA91" i="14"/>
  <c r="Q37" i="14"/>
  <c r="V100" i="14"/>
  <c r="K86" i="14"/>
  <c r="J89" i="14"/>
  <c r="J120" i="14" s="1"/>
  <c r="K23" i="14"/>
  <c r="J26" i="14"/>
  <c r="J57" i="14" s="1"/>
  <c r="AA134" i="14" l="1"/>
  <c r="AA121" i="14"/>
  <c r="J133" i="14"/>
  <c r="J70" i="14"/>
  <c r="AB91" i="14"/>
  <c r="W100" i="14"/>
  <c r="R37" i="14"/>
  <c r="L23" i="14"/>
  <c r="K26" i="14"/>
  <c r="K57" i="14" s="1"/>
  <c r="L86" i="14"/>
  <c r="K89" i="14"/>
  <c r="K133" i="14" s="1"/>
  <c r="AB134" i="14" l="1"/>
  <c r="AB121" i="14"/>
  <c r="K120" i="14"/>
  <c r="K70" i="14"/>
  <c r="AC91" i="14"/>
  <c r="S37" i="14"/>
  <c r="X100" i="14"/>
  <c r="M86" i="14"/>
  <c r="L89" i="14"/>
  <c r="L133" i="14" s="1"/>
  <c r="M23" i="14"/>
  <c r="L26" i="14"/>
  <c r="L57" i="14" s="1"/>
  <c r="AC134" i="14" l="1"/>
  <c r="AC121" i="14"/>
  <c r="L120" i="14"/>
  <c r="L70" i="14"/>
  <c r="AD91" i="14"/>
  <c r="Y100" i="14"/>
  <c r="T37" i="14"/>
  <c r="N86" i="14"/>
  <c r="M89" i="14"/>
  <c r="M133" i="14" s="1"/>
  <c r="N23" i="14"/>
  <c r="M26" i="14"/>
  <c r="M70" i="14" s="1"/>
  <c r="AD134" i="14" l="1"/>
  <c r="AD121" i="14"/>
  <c r="M57" i="14"/>
  <c r="M120" i="14"/>
  <c r="AE91" i="14"/>
  <c r="U37" i="14"/>
  <c r="Z100" i="14"/>
  <c r="O86" i="14"/>
  <c r="N89" i="14"/>
  <c r="N133" i="14" s="1"/>
  <c r="O23" i="14"/>
  <c r="N26" i="14"/>
  <c r="N57" i="14" s="1"/>
  <c r="AE134" i="14" l="1"/>
  <c r="AE121" i="14"/>
  <c r="N70" i="14"/>
  <c r="N120" i="14"/>
  <c r="AF91" i="14"/>
  <c r="AA100" i="14"/>
  <c r="V37" i="14"/>
  <c r="P23" i="14"/>
  <c r="O26" i="14"/>
  <c r="O70" i="14" s="1"/>
  <c r="P86" i="14"/>
  <c r="O89" i="14"/>
  <c r="O120" i="14" s="1"/>
  <c r="AF134" i="14" l="1"/>
  <c r="AF121" i="14"/>
  <c r="O133" i="14"/>
  <c r="O57" i="14"/>
  <c r="AG91" i="14"/>
  <c r="W37" i="14"/>
  <c r="AB100" i="14"/>
  <c r="Q23" i="14"/>
  <c r="P26" i="14"/>
  <c r="P70" i="14" s="1"/>
  <c r="Q86" i="14"/>
  <c r="P89" i="14"/>
  <c r="P133" i="14" s="1"/>
  <c r="AG134" i="14" l="1"/>
  <c r="AG121" i="14"/>
  <c r="P120" i="14"/>
  <c r="P57" i="14"/>
  <c r="AH91" i="14"/>
  <c r="AC100" i="14"/>
  <c r="X37" i="14"/>
  <c r="R86" i="14"/>
  <c r="Q89" i="14"/>
  <c r="Q133" i="14" s="1"/>
  <c r="R23" i="14"/>
  <c r="Q26" i="14"/>
  <c r="Q70" i="14" s="1"/>
  <c r="AH134" i="14" l="1"/>
  <c r="AH121" i="14"/>
  <c r="Q120" i="14"/>
  <c r="Q57" i="14"/>
  <c r="AI91" i="14"/>
  <c r="AD100" i="14"/>
  <c r="Y37" i="14"/>
  <c r="S23" i="14"/>
  <c r="R26" i="14"/>
  <c r="R57" i="14" s="1"/>
  <c r="S86" i="14"/>
  <c r="R89" i="14"/>
  <c r="R133" i="14" s="1"/>
  <c r="AI134" i="14" l="1"/>
  <c r="AI121" i="14"/>
  <c r="R70" i="14"/>
  <c r="R120" i="14"/>
  <c r="AJ91" i="14"/>
  <c r="AE100" i="14"/>
  <c r="Z37" i="14"/>
  <c r="T86" i="14"/>
  <c r="S89" i="14"/>
  <c r="S120" i="14" s="1"/>
  <c r="T23" i="14"/>
  <c r="S26" i="14"/>
  <c r="S57" i="14" s="1"/>
  <c r="AJ134" i="14" l="1"/>
  <c r="AJ121" i="14"/>
  <c r="S133" i="14"/>
  <c r="S70" i="14"/>
  <c r="AK91" i="14"/>
  <c r="AA37" i="14"/>
  <c r="AF100" i="14"/>
  <c r="U86" i="14"/>
  <c r="T89" i="14"/>
  <c r="T120" i="14" s="1"/>
  <c r="U23" i="14"/>
  <c r="T26" i="14"/>
  <c r="T70" i="14" s="1"/>
  <c r="AK134" i="14" l="1"/>
  <c r="AK121" i="14"/>
  <c r="T57" i="14"/>
  <c r="T133" i="14"/>
  <c r="AL91" i="14"/>
  <c r="AB37" i="14"/>
  <c r="AG100" i="14"/>
  <c r="V23" i="14"/>
  <c r="U26" i="14"/>
  <c r="U57" i="14" s="1"/>
  <c r="V86" i="14"/>
  <c r="U89" i="14"/>
  <c r="U120" i="14" s="1"/>
  <c r="AL134" i="14" l="1"/>
  <c r="AL121" i="14"/>
  <c r="U70" i="14"/>
  <c r="U133" i="14"/>
  <c r="AM91" i="14"/>
  <c r="AH100" i="14"/>
  <c r="AC37" i="14"/>
  <c r="W23" i="14"/>
  <c r="V26" i="14"/>
  <c r="V70" i="14" s="1"/>
  <c r="W86" i="14"/>
  <c r="V89" i="14"/>
  <c r="V120" i="14" s="1"/>
  <c r="AM134" i="14" l="1"/>
  <c r="AM121" i="14"/>
  <c r="V57" i="14"/>
  <c r="V133" i="14"/>
  <c r="AN91" i="14"/>
  <c r="AD37" i="14"/>
  <c r="AI100" i="14"/>
  <c r="X86" i="14"/>
  <c r="W89" i="14"/>
  <c r="W120" i="14" s="1"/>
  <c r="X23" i="14"/>
  <c r="W26" i="14"/>
  <c r="W70" i="14" s="1"/>
  <c r="AN134" i="14" l="1"/>
  <c r="AN121" i="14"/>
  <c r="W133" i="14"/>
  <c r="W57" i="14"/>
  <c r="AO91" i="14"/>
  <c r="AJ100" i="14"/>
  <c r="AE37" i="14"/>
  <c r="Y86" i="14"/>
  <c r="X89" i="14"/>
  <c r="X120" i="14" s="1"/>
  <c r="Y23" i="14"/>
  <c r="X26" i="14"/>
  <c r="X57" i="14" s="1"/>
  <c r="AO134" i="14" l="1"/>
  <c r="AO121" i="14"/>
  <c r="X133" i="14"/>
  <c r="X70" i="14"/>
  <c r="AP91" i="14"/>
  <c r="AF37" i="14"/>
  <c r="AK100" i="14"/>
  <c r="Z23" i="14"/>
  <c r="Y26" i="14"/>
  <c r="Y57" i="14" s="1"/>
  <c r="Z86" i="14"/>
  <c r="Y89" i="14"/>
  <c r="Y133" i="14" s="1"/>
  <c r="AP134" i="14" l="1"/>
  <c r="AP121" i="14"/>
  <c r="Y120" i="14"/>
  <c r="Y70" i="14"/>
  <c r="AQ91" i="14"/>
  <c r="AL100" i="14"/>
  <c r="AG37" i="14"/>
  <c r="AA23" i="14"/>
  <c r="Z26" i="14"/>
  <c r="Z57" i="14" s="1"/>
  <c r="AA86" i="14"/>
  <c r="Z89" i="14"/>
  <c r="Z133" i="14" s="1"/>
  <c r="AQ134" i="14" l="1"/>
  <c r="AQ121" i="14"/>
  <c r="Z120" i="14"/>
  <c r="Z70" i="14"/>
  <c r="AR91" i="14"/>
  <c r="AH37" i="14"/>
  <c r="AM100" i="14"/>
  <c r="AB86" i="14"/>
  <c r="AA89" i="14"/>
  <c r="AA133" i="14" s="1"/>
  <c r="AB23" i="14"/>
  <c r="AA26" i="14"/>
  <c r="AA57" i="14" s="1"/>
  <c r="AR134" i="14" l="1"/>
  <c r="AR121" i="14"/>
  <c r="AA120" i="14"/>
  <c r="AA70" i="14"/>
  <c r="AI37" i="14"/>
  <c r="AN100" i="14"/>
  <c r="AC23" i="14"/>
  <c r="AB26" i="14"/>
  <c r="AB57" i="14" s="1"/>
  <c r="AC86" i="14"/>
  <c r="AB89" i="14"/>
  <c r="AB133" i="14" s="1"/>
  <c r="AB70" i="14" l="1"/>
  <c r="AB120" i="14"/>
  <c r="AO100" i="14"/>
  <c r="AJ37" i="14"/>
  <c r="AD23" i="14"/>
  <c r="AC26" i="14"/>
  <c r="AC57" i="14" s="1"/>
  <c r="AD86" i="14"/>
  <c r="AC89" i="14"/>
  <c r="AC120" i="14" s="1"/>
  <c r="AC70" i="14" l="1"/>
  <c r="AC133" i="14"/>
  <c r="AK37" i="14"/>
  <c r="AP100" i="14"/>
  <c r="AE86" i="14"/>
  <c r="AD89" i="14"/>
  <c r="AD120" i="14" s="1"/>
  <c r="AE23" i="14"/>
  <c r="AD26" i="14"/>
  <c r="AD70" i="14" s="1"/>
  <c r="AD133" i="14" l="1"/>
  <c r="AD57" i="14"/>
  <c r="AL37" i="14"/>
  <c r="AQ100" i="14"/>
  <c r="AF86" i="14"/>
  <c r="AE89" i="14"/>
  <c r="AE120" i="14" s="1"/>
  <c r="AF23" i="14"/>
  <c r="AE26" i="14"/>
  <c r="AE70" i="14" s="1"/>
  <c r="AE57" i="14" l="1"/>
  <c r="AE133" i="14"/>
  <c r="AR100" i="14"/>
  <c r="AM37" i="14"/>
  <c r="AG23" i="14"/>
  <c r="AF26" i="14"/>
  <c r="AF70" i="14" s="1"/>
  <c r="AG86" i="14"/>
  <c r="AF89" i="14"/>
  <c r="AF133" i="14" s="1"/>
  <c r="AF57" i="14" l="1"/>
  <c r="AF120" i="14"/>
  <c r="AN37" i="14"/>
  <c r="AH23" i="14"/>
  <c r="AG26" i="14"/>
  <c r="AG70" i="14" s="1"/>
  <c r="AH86" i="14"/>
  <c r="AG89" i="14"/>
  <c r="AG133" i="14" s="1"/>
  <c r="AG57" i="14" l="1"/>
  <c r="AG120" i="14"/>
  <c r="AO37" i="14"/>
  <c r="AI23" i="14"/>
  <c r="AH26" i="14"/>
  <c r="AH57" i="14" s="1"/>
  <c r="AI86" i="14"/>
  <c r="AH89" i="14"/>
  <c r="AH120" i="14" s="1"/>
  <c r="AH133" i="14" l="1"/>
  <c r="AH70" i="14"/>
  <c r="AP37" i="14"/>
  <c r="AJ86" i="14"/>
  <c r="AI89" i="14"/>
  <c r="AI133" i="14" s="1"/>
  <c r="AJ23" i="14"/>
  <c r="AI26" i="14"/>
  <c r="AI70" i="14" s="1"/>
  <c r="AI120" i="14" l="1"/>
  <c r="AI57" i="14"/>
  <c r="AQ37" i="14"/>
  <c r="AK86" i="14"/>
  <c r="AJ89" i="14"/>
  <c r="AJ120" i="14" s="1"/>
  <c r="AK23" i="14"/>
  <c r="AJ26" i="14"/>
  <c r="AJ57" i="14" s="1"/>
  <c r="AJ133" i="14" l="1"/>
  <c r="AJ70" i="14"/>
  <c r="AR37" i="14"/>
  <c r="AL23" i="14"/>
  <c r="AK26" i="14"/>
  <c r="AK70" i="14" s="1"/>
  <c r="AL86" i="14"/>
  <c r="AK89" i="14"/>
  <c r="AK120" i="14" s="1"/>
  <c r="AK133" i="14" l="1"/>
  <c r="AK57" i="14"/>
  <c r="AM86" i="14"/>
  <c r="AL89" i="14"/>
  <c r="AL133" i="14" s="1"/>
  <c r="AM23" i="14"/>
  <c r="AL26" i="14"/>
  <c r="AL57" i="14" s="1"/>
  <c r="AL120" i="14" l="1"/>
  <c r="AL70" i="14"/>
  <c r="AN23" i="14"/>
  <c r="AM26" i="14"/>
  <c r="AM70" i="14" s="1"/>
  <c r="AN86" i="14"/>
  <c r="AM89" i="14"/>
  <c r="AM120" i="14" s="1"/>
  <c r="AM133" i="14" l="1"/>
  <c r="AM57" i="14"/>
  <c r="AO86" i="14"/>
  <c r="AN89" i="14"/>
  <c r="AN133" i="14" s="1"/>
  <c r="AO23" i="14"/>
  <c r="AN26" i="14"/>
  <c r="AN57" i="14" s="1"/>
  <c r="AN70" i="14" l="1"/>
  <c r="AN120" i="14"/>
  <c r="AP23" i="14"/>
  <c r="AO26" i="14"/>
  <c r="AO57" i="14" s="1"/>
  <c r="AP86" i="14"/>
  <c r="AO89" i="14"/>
  <c r="AO133" i="14" s="1"/>
  <c r="AO70" i="14" l="1"/>
  <c r="AO120" i="14"/>
  <c r="AQ86" i="14"/>
  <c r="AP89" i="14"/>
  <c r="AP133" i="14" s="1"/>
  <c r="AQ23" i="14"/>
  <c r="AP26" i="14"/>
  <c r="AP70" i="14" s="1"/>
  <c r="AP57" i="14" l="1"/>
  <c r="AP120" i="14"/>
  <c r="AR23" i="14"/>
  <c r="AR86" i="14"/>
  <c r="AQ26" i="14"/>
  <c r="AQ70" i="14" s="1"/>
  <c r="AQ89" i="14"/>
  <c r="AQ120" i="14" s="1"/>
  <c r="AQ133" i="14" l="1"/>
  <c r="AQ57" i="14"/>
  <c r="AR89" i="14"/>
  <c r="AR120" i="14" s="1"/>
  <c r="AR26" i="14"/>
  <c r="AR57" i="14" s="1"/>
  <c r="AR133" i="14" l="1"/>
  <c r="AR70" i="14"/>
  <c r="F71" i="5" l="1"/>
  <c r="L71" i="5" l="1"/>
  <c r="M71" i="5"/>
  <c r="K71" i="5" l="1"/>
  <c r="H70" i="74"/>
  <c r="G70" i="74"/>
  <c r="F70" i="74"/>
  <c r="E70" i="74"/>
  <c r="E69" i="74" s="1"/>
  <c r="F40" i="64" s="1"/>
  <c r="J71" i="5"/>
  <c r="E70" i="73"/>
  <c r="E69" i="73" s="1"/>
  <c r="H70" i="73"/>
  <c r="F70" i="73"/>
  <c r="G70" i="73"/>
  <c r="R71" i="5"/>
  <c r="Q71" i="5"/>
  <c r="P71" i="5"/>
  <c r="O71" i="5"/>
  <c r="M70" i="5"/>
  <c r="L70" i="5"/>
  <c r="H197" i="5" l="1"/>
  <c r="H195" i="5"/>
  <c r="M195" i="5" s="1"/>
  <c r="H196" i="5"/>
  <c r="H194" i="5"/>
  <c r="G195" i="5"/>
  <c r="G197" i="5"/>
  <c r="G196" i="5"/>
  <c r="G194" i="5"/>
  <c r="L195" i="5"/>
  <c r="C40" i="64"/>
  <c r="C13" i="64"/>
  <c r="K70" i="5"/>
  <c r="D69" i="74" s="1"/>
  <c r="D250" i="74" s="1"/>
  <c r="W70" i="74"/>
  <c r="W69" i="74" s="1"/>
  <c r="AN70" i="74"/>
  <c r="AN69" i="74" s="1"/>
  <c r="F69" i="74"/>
  <c r="G40" i="64" s="1"/>
  <c r="AP70" i="73"/>
  <c r="AP69" i="73" s="1"/>
  <c r="H69" i="73"/>
  <c r="H13" i="64" s="1"/>
  <c r="Y70" i="73"/>
  <c r="Y69" i="73" s="1"/>
  <c r="Y70" i="74"/>
  <c r="Y69" i="74" s="1"/>
  <c r="AP70" i="74"/>
  <c r="AP69" i="74" s="1"/>
  <c r="H69" i="74"/>
  <c r="I40" i="64" s="1"/>
  <c r="X70" i="73"/>
  <c r="X69" i="73" s="1"/>
  <c r="AO70" i="73"/>
  <c r="AO69" i="73" s="1"/>
  <c r="G69" i="73"/>
  <c r="G13" i="64" s="1"/>
  <c r="F69" i="73"/>
  <c r="F13" i="64" s="1"/>
  <c r="AN70" i="73"/>
  <c r="AN69" i="73" s="1"/>
  <c r="W70" i="73"/>
  <c r="W69" i="73" s="1"/>
  <c r="AO70" i="74"/>
  <c r="AO69" i="74" s="1"/>
  <c r="X70" i="74"/>
  <c r="X69" i="74" s="1"/>
  <c r="G69" i="74"/>
  <c r="H40" i="64" s="1"/>
  <c r="D101" i="14"/>
  <c r="J70" i="5"/>
  <c r="D69" i="73" s="1"/>
  <c r="O70" i="5"/>
  <c r="Q70" i="5"/>
  <c r="P70" i="5"/>
  <c r="R70" i="5"/>
  <c r="D38" i="14"/>
  <c r="G194" i="74" l="1"/>
  <c r="K195" i="5"/>
  <c r="R195" i="5"/>
  <c r="H194" i="74"/>
  <c r="F194" i="74"/>
  <c r="E194" i="74"/>
  <c r="J195" i="5"/>
  <c r="G194" i="73"/>
  <c r="E194" i="73"/>
  <c r="H194" i="73"/>
  <c r="P195" i="5"/>
  <c r="F194" i="73"/>
  <c r="K40" i="64"/>
  <c r="L40" i="64" s="1"/>
  <c r="D252" i="73"/>
  <c r="AM252" i="73" s="1"/>
  <c r="E13" i="64"/>
  <c r="D72" i="14"/>
  <c r="D59" i="14"/>
  <c r="D252" i="74"/>
  <c r="E252" i="74" s="1"/>
  <c r="E40" i="64"/>
  <c r="D251" i="73"/>
  <c r="E251" i="73" s="1"/>
  <c r="D13" i="64"/>
  <c r="K13" i="64"/>
  <c r="L13" i="64" s="1"/>
  <c r="D251" i="74"/>
  <c r="X251" i="74" s="1"/>
  <c r="D40" i="64"/>
  <c r="D135" i="14"/>
  <c r="D122" i="14"/>
  <c r="D111" i="14"/>
  <c r="D114" i="14" s="1"/>
  <c r="D48" i="14"/>
  <c r="D50" i="14" s="1"/>
  <c r="X199" i="74"/>
  <c r="X203" i="74" s="1"/>
  <c r="W199" i="73"/>
  <c r="AP199" i="73"/>
  <c r="AN199" i="74"/>
  <c r="AN203" i="74" s="1"/>
  <c r="X199" i="73"/>
  <c r="AP199" i="74"/>
  <c r="AP203" i="74" s="1"/>
  <c r="Y199" i="73"/>
  <c r="D250" i="73"/>
  <c r="Y199" i="74"/>
  <c r="Y203" i="74" s="1"/>
  <c r="AO199" i="74"/>
  <c r="AO203" i="74" s="1"/>
  <c r="AN199" i="73"/>
  <c r="AO199" i="73"/>
  <c r="W199" i="74"/>
  <c r="W203" i="74" s="1"/>
  <c r="E38" i="14"/>
  <c r="E101" i="14"/>
  <c r="L194" i="5"/>
  <c r="M194" i="5"/>
  <c r="M196" i="5"/>
  <c r="L197" i="5"/>
  <c r="M197" i="5"/>
  <c r="L196" i="5"/>
  <c r="L237" i="5" l="1"/>
  <c r="L200" i="5"/>
  <c r="L204" i="5"/>
  <c r="L228" i="5"/>
  <c r="M228" i="5"/>
  <c r="M200" i="5"/>
  <c r="M204" i="5"/>
  <c r="F196" i="74"/>
  <c r="G47" i="64" s="1"/>
  <c r="G196" i="74"/>
  <c r="H47" i="64" s="1"/>
  <c r="C47" i="64"/>
  <c r="H196" i="74"/>
  <c r="I47" i="64" s="1"/>
  <c r="E196" i="74"/>
  <c r="F47" i="64" s="1"/>
  <c r="F196" i="73"/>
  <c r="G20" i="64" s="1"/>
  <c r="C20" i="64"/>
  <c r="G196" i="73"/>
  <c r="H20" i="64" s="1"/>
  <c r="H196" i="73"/>
  <c r="I20" i="64" s="1"/>
  <c r="E196" i="73"/>
  <c r="F20" i="64" s="1"/>
  <c r="M237" i="5"/>
  <c r="C46" i="64"/>
  <c r="C19" i="64"/>
  <c r="D113" i="14"/>
  <c r="D51" i="14"/>
  <c r="E251" i="74"/>
  <c r="AE252" i="73"/>
  <c r="S251" i="74"/>
  <c r="Z252" i="74"/>
  <c r="T252" i="74"/>
  <c r="AL251" i="74"/>
  <c r="AL252" i="73"/>
  <c r="Y252" i="73"/>
  <c r="E252" i="73"/>
  <c r="AX252" i="73"/>
  <c r="AD252" i="73"/>
  <c r="AQ252" i="73"/>
  <c r="I252" i="73"/>
  <c r="T252" i="73"/>
  <c r="AB252" i="74"/>
  <c r="W252" i="73"/>
  <c r="AE251" i="74"/>
  <c r="AO252" i="74"/>
  <c r="H252" i="73"/>
  <c r="AS252" i="73"/>
  <c r="Z252" i="73"/>
  <c r="R251" i="74"/>
  <c r="U251" i="74"/>
  <c r="AN252" i="73"/>
  <c r="AB252" i="73"/>
  <c r="AT252" i="73"/>
  <c r="AV252" i="73"/>
  <c r="AF252" i="73"/>
  <c r="AI252" i="73"/>
  <c r="AS252" i="74"/>
  <c r="M251" i="74"/>
  <c r="K251" i="74"/>
  <c r="Y251" i="74"/>
  <c r="AC252" i="73"/>
  <c r="L252" i="73"/>
  <c r="AJ252" i="73"/>
  <c r="AW252" i="73"/>
  <c r="AD252" i="74"/>
  <c r="AM251" i="74"/>
  <c r="AW251" i="74"/>
  <c r="AM251" i="73"/>
  <c r="V251" i="74"/>
  <c r="Q251" i="74"/>
  <c r="AQ251" i="74"/>
  <c r="AR251" i="74"/>
  <c r="AX251" i="74"/>
  <c r="AI251" i="74"/>
  <c r="AA251" i="74"/>
  <c r="AK251" i="74"/>
  <c r="AT251" i="74"/>
  <c r="W251" i="74"/>
  <c r="H252" i="74"/>
  <c r="AO251" i="74"/>
  <c r="F251" i="74"/>
  <c r="AP251" i="74"/>
  <c r="AF252" i="74"/>
  <c r="AG252" i="74"/>
  <c r="AN251" i="74"/>
  <c r="P251" i="74"/>
  <c r="AJ251" i="74"/>
  <c r="AF251" i="74"/>
  <c r="T251" i="74"/>
  <c r="AB251" i="74"/>
  <c r="AC251" i="74"/>
  <c r="N251" i="74"/>
  <c r="J251" i="74"/>
  <c r="Z251" i="74"/>
  <c r="H251" i="74"/>
  <c r="G251" i="74"/>
  <c r="AJ252" i="74"/>
  <c r="K252" i="74"/>
  <c r="I251" i="74"/>
  <c r="AV251" i="74"/>
  <c r="AD251" i="74"/>
  <c r="AH251" i="74"/>
  <c r="L251" i="74"/>
  <c r="AG251" i="74"/>
  <c r="AS251" i="74"/>
  <c r="O251" i="74"/>
  <c r="AU251" i="74"/>
  <c r="K251" i="73"/>
  <c r="AO251" i="73"/>
  <c r="AF251" i="73"/>
  <c r="AH251" i="73"/>
  <c r="P251" i="73"/>
  <c r="R251" i="73"/>
  <c r="S251" i="73"/>
  <c r="X251" i="73"/>
  <c r="AE251" i="73"/>
  <c r="N251" i="73"/>
  <c r="AP251" i="73"/>
  <c r="G252" i="74"/>
  <c r="U252" i="74"/>
  <c r="AL252" i="74"/>
  <c r="O252" i="74"/>
  <c r="AA252" i="74"/>
  <c r="AE252" i="74"/>
  <c r="AW252" i="74"/>
  <c r="N252" i="74"/>
  <c r="V252" i="74"/>
  <c r="AN252" i="74"/>
  <c r="AO252" i="73"/>
  <c r="F252" i="74"/>
  <c r="Y252" i="74"/>
  <c r="AP252" i="74"/>
  <c r="F252" i="73"/>
  <c r="M252" i="73"/>
  <c r="V252" i="73"/>
  <c r="AK252" i="73"/>
  <c r="S252" i="73"/>
  <c r="R252" i="73"/>
  <c r="U252" i="73"/>
  <c r="Q252" i="73"/>
  <c r="O252" i="73"/>
  <c r="AR252" i="73"/>
  <c r="AR252" i="74"/>
  <c r="AK252" i="74"/>
  <c r="AH252" i="74"/>
  <c r="AC252" i="74"/>
  <c r="R252" i="74"/>
  <c r="Q252" i="74"/>
  <c r="AM252" i="74"/>
  <c r="AQ252" i="74"/>
  <c r="AV252" i="74"/>
  <c r="AP252" i="73"/>
  <c r="G252" i="73"/>
  <c r="X252" i="74"/>
  <c r="P252" i="74"/>
  <c r="W252" i="74"/>
  <c r="X252" i="73"/>
  <c r="K252" i="73"/>
  <c r="N252" i="73"/>
  <c r="AH252" i="73"/>
  <c r="AU252" i="73"/>
  <c r="J252" i="73"/>
  <c r="AA252" i="73"/>
  <c r="AG252" i="73"/>
  <c r="P252" i="73"/>
  <c r="L252" i="74"/>
  <c r="AU252" i="74"/>
  <c r="I252" i="74"/>
  <c r="M252" i="74"/>
  <c r="AT252" i="74"/>
  <c r="J252" i="74"/>
  <c r="S252" i="74"/>
  <c r="AI252" i="74"/>
  <c r="AX252" i="74"/>
  <c r="E135" i="14"/>
  <c r="E122" i="14"/>
  <c r="E59" i="14"/>
  <c r="E72" i="14"/>
  <c r="Z251" i="73"/>
  <c r="O251" i="73"/>
  <c r="J251" i="73"/>
  <c r="U251" i="73"/>
  <c r="Q251" i="73"/>
  <c r="L251" i="73"/>
  <c r="AU251" i="73"/>
  <c r="I251" i="73"/>
  <c r="AA251" i="73"/>
  <c r="Y251" i="73"/>
  <c r="F251" i="73"/>
  <c r="G251" i="73"/>
  <c r="AN251" i="73"/>
  <c r="AW251" i="73"/>
  <c r="M251" i="73"/>
  <c r="AR251" i="73"/>
  <c r="AD251" i="73"/>
  <c r="AK251" i="73"/>
  <c r="AQ251" i="73"/>
  <c r="AL251" i="73"/>
  <c r="V251" i="73"/>
  <c r="AT251" i="73"/>
  <c r="AG251" i="73"/>
  <c r="AB251" i="73"/>
  <c r="AI251" i="73"/>
  <c r="AJ251" i="73"/>
  <c r="AX251" i="73"/>
  <c r="AS251" i="73"/>
  <c r="AV251" i="73"/>
  <c r="AC251" i="73"/>
  <c r="T251" i="73"/>
  <c r="H251" i="73"/>
  <c r="W251" i="73"/>
  <c r="D125" i="14"/>
  <c r="D138" i="14"/>
  <c r="D62" i="14"/>
  <c r="D64" i="14" s="1"/>
  <c r="D75" i="14"/>
  <c r="D77" i="14" s="1"/>
  <c r="E111" i="14"/>
  <c r="E113" i="14" s="1"/>
  <c r="E48" i="14"/>
  <c r="E51" i="14" s="1"/>
  <c r="P197" i="5"/>
  <c r="Q196" i="5"/>
  <c r="R194" i="5"/>
  <c r="F193" i="74"/>
  <c r="G46" i="64" s="1"/>
  <c r="E193" i="74"/>
  <c r="F46" i="64" s="1"/>
  <c r="H193" i="74"/>
  <c r="I46" i="64" s="1"/>
  <c r="G193" i="74"/>
  <c r="H46" i="64" s="1"/>
  <c r="J194" i="5"/>
  <c r="G193" i="73"/>
  <c r="H19" i="64" s="1"/>
  <c r="F193" i="73"/>
  <c r="G19" i="64" s="1"/>
  <c r="E193" i="73"/>
  <c r="F19" i="64" s="1"/>
  <c r="H193" i="73"/>
  <c r="I19" i="64" s="1"/>
  <c r="AO203" i="73"/>
  <c r="AN203" i="73"/>
  <c r="X203" i="73"/>
  <c r="R197" i="5"/>
  <c r="Y203" i="73"/>
  <c r="W203" i="73"/>
  <c r="AP203" i="73"/>
  <c r="F38" i="14"/>
  <c r="F101" i="14"/>
  <c r="P194" i="5"/>
  <c r="J196" i="5"/>
  <c r="O196" i="5"/>
  <c r="K196" i="5"/>
  <c r="K194" i="5"/>
  <c r="K197" i="5"/>
  <c r="J197" i="5"/>
  <c r="M193" i="5"/>
  <c r="L193" i="5"/>
  <c r="C49" i="64" l="1"/>
  <c r="K20" i="64"/>
  <c r="C22" i="64"/>
  <c r="K46" i="64"/>
  <c r="K19" i="64"/>
  <c r="K47" i="64"/>
  <c r="M242" i="5"/>
  <c r="L242" i="5"/>
  <c r="K22" i="64"/>
  <c r="C53" i="64"/>
  <c r="C26" i="64"/>
  <c r="D140" i="14"/>
  <c r="D127" i="14"/>
  <c r="G72" i="96" s="1"/>
  <c r="G96" i="96" s="1"/>
  <c r="G97" i="96" s="1"/>
  <c r="E114" i="14"/>
  <c r="E50" i="14"/>
  <c r="G72" i="88"/>
  <c r="G96" i="88" s="1"/>
  <c r="G97" i="88" s="1"/>
  <c r="G72" i="52"/>
  <c r="H192" i="74"/>
  <c r="E192" i="74"/>
  <c r="F49" i="64" s="1"/>
  <c r="F192" i="74"/>
  <c r="G49" i="64" s="1"/>
  <c r="G192" i="74"/>
  <c r="H49" i="64" s="1"/>
  <c r="L213" i="5"/>
  <c r="L209" i="5"/>
  <c r="M213" i="5"/>
  <c r="F59" i="14"/>
  <c r="F72" i="14"/>
  <c r="F135" i="14"/>
  <c r="F122" i="14"/>
  <c r="E125" i="14"/>
  <c r="E138" i="14"/>
  <c r="E75" i="14"/>
  <c r="E77" i="14" s="1"/>
  <c r="E62" i="14"/>
  <c r="E64" i="14" s="1"/>
  <c r="F48" i="14"/>
  <c r="F50" i="14" s="1"/>
  <c r="F111" i="14"/>
  <c r="F114" i="14" s="1"/>
  <c r="G38" i="14"/>
  <c r="F192" i="73"/>
  <c r="G192" i="73"/>
  <c r="H22" i="64" s="1"/>
  <c r="H192" i="73"/>
  <c r="I22" i="64" s="1"/>
  <c r="E192" i="73"/>
  <c r="F22" i="64" s="1"/>
  <c r="G101" i="14"/>
  <c r="J193" i="5"/>
  <c r="K193" i="5"/>
  <c r="O193" i="5"/>
  <c r="P193" i="5"/>
  <c r="Q193" i="5"/>
  <c r="R193" i="5"/>
  <c r="C55" i="64" l="1"/>
  <c r="C28" i="64"/>
  <c r="L238" i="5"/>
  <c r="L239" i="5" s="1"/>
  <c r="L229" i="5"/>
  <c r="L230" i="5" s="1"/>
  <c r="L201" i="5"/>
  <c r="M201" i="5"/>
  <c r="M229" i="5"/>
  <c r="M230" i="5" s="1"/>
  <c r="M238" i="5"/>
  <c r="M239" i="5" s="1"/>
  <c r="M209" i="5"/>
  <c r="D192" i="73"/>
  <c r="T200" i="73" s="1"/>
  <c r="T201" i="73" s="1"/>
  <c r="G72" i="92"/>
  <c r="G148" i="92" s="1"/>
  <c r="G172" i="92" s="1"/>
  <c r="G173" i="92" s="1"/>
  <c r="E140" i="14"/>
  <c r="E127" i="14"/>
  <c r="F113" i="14"/>
  <c r="F51" i="14"/>
  <c r="M221" i="5"/>
  <c r="M220" i="5"/>
  <c r="M219" i="5"/>
  <c r="M223" i="5"/>
  <c r="M222" i="5"/>
  <c r="M218" i="5"/>
  <c r="L221" i="5"/>
  <c r="L220" i="5"/>
  <c r="L223" i="5"/>
  <c r="L219" i="5"/>
  <c r="L222" i="5"/>
  <c r="L218" i="5"/>
  <c r="C11" i="52"/>
  <c r="C11" i="92"/>
  <c r="G104" i="88"/>
  <c r="G107" i="88" s="1"/>
  <c r="G133" i="88"/>
  <c r="G134" i="88" s="1"/>
  <c r="G104" i="96"/>
  <c r="G130" i="96" s="1"/>
  <c r="G133" i="96"/>
  <c r="G134" i="96" s="1"/>
  <c r="H72" i="88"/>
  <c r="H96" i="88" s="1"/>
  <c r="H97" i="88" s="1"/>
  <c r="H72" i="52"/>
  <c r="G148" i="96"/>
  <c r="G224" i="96" s="1"/>
  <c r="G122" i="14"/>
  <c r="G135" i="14"/>
  <c r="D268" i="73"/>
  <c r="AA268" i="73" s="1"/>
  <c r="AA274" i="73" s="1"/>
  <c r="D268" i="74"/>
  <c r="G268" i="74" s="1"/>
  <c r="D267" i="73"/>
  <c r="F267" i="73" s="1"/>
  <c r="F273" i="73" s="1"/>
  <c r="D267" i="74"/>
  <c r="H267" i="74" s="1"/>
  <c r="H273" i="74" s="1"/>
  <c r="H306" i="74" s="1"/>
  <c r="H199" i="74"/>
  <c r="H203" i="74" s="1"/>
  <c r="I49" i="64"/>
  <c r="F199" i="73"/>
  <c r="F203" i="73" s="1"/>
  <c r="G22" i="64"/>
  <c r="G59" i="14"/>
  <c r="G72" i="14"/>
  <c r="G148" i="88"/>
  <c r="G172" i="88" s="1"/>
  <c r="G173" i="88" s="1"/>
  <c r="F125" i="14"/>
  <c r="F138" i="14"/>
  <c r="G96" i="52"/>
  <c r="G97" i="52" s="1"/>
  <c r="G148" i="52"/>
  <c r="F62" i="14"/>
  <c r="F64" i="14" s="1"/>
  <c r="F75" i="14"/>
  <c r="F77" i="14" s="1"/>
  <c r="H101" i="14"/>
  <c r="G111" i="14"/>
  <c r="G113" i="14" s="1"/>
  <c r="G48" i="14"/>
  <c r="G50" i="14" s="1"/>
  <c r="H38" i="14"/>
  <c r="G199" i="73"/>
  <c r="I207" i="73"/>
  <c r="I207" i="74"/>
  <c r="M214" i="5"/>
  <c r="M215" i="5" s="1"/>
  <c r="D192" i="74"/>
  <c r="G199" i="74"/>
  <c r="G203" i="74" s="1"/>
  <c r="H199" i="73"/>
  <c r="E199" i="73"/>
  <c r="E199" i="74"/>
  <c r="F199" i="74"/>
  <c r="F203" i="74" s="1"/>
  <c r="L214" i="5"/>
  <c r="L215" i="5" s="1"/>
  <c r="I211" i="74"/>
  <c r="S200" i="73" l="1"/>
  <c r="S201" i="73" s="1"/>
  <c r="AR204" i="73"/>
  <c r="AR205" i="73" s="1"/>
  <c r="Z204" i="73"/>
  <c r="Z205" i="73" s="1"/>
  <c r="M205" i="5"/>
  <c r="M206" i="5" s="1"/>
  <c r="M202" i="5"/>
  <c r="Q200" i="73"/>
  <c r="Q201" i="73" s="1"/>
  <c r="AF200" i="73"/>
  <c r="AF201" i="73" s="1"/>
  <c r="AM200" i="73"/>
  <c r="AM201" i="73" s="1"/>
  <c r="H204" i="73"/>
  <c r="R204" i="73"/>
  <c r="R205" i="73" s="1"/>
  <c r="AB200" i="73"/>
  <c r="AB201" i="73" s="1"/>
  <c r="G200" i="73"/>
  <c r="G201" i="73" s="1"/>
  <c r="F204" i="73"/>
  <c r="F205" i="73" s="1"/>
  <c r="V200" i="73"/>
  <c r="V201" i="73" s="1"/>
  <c r="AC200" i="73"/>
  <c r="AC201" i="73" s="1"/>
  <c r="AS204" i="73"/>
  <c r="AS205" i="73" s="1"/>
  <c r="AK200" i="73"/>
  <c r="AK201" i="73" s="1"/>
  <c r="AQ204" i="73"/>
  <c r="AQ205" i="73" s="1"/>
  <c r="AD200" i="73"/>
  <c r="AD201" i="73" s="1"/>
  <c r="L200" i="73"/>
  <c r="L201" i="73" s="1"/>
  <c r="AW204" i="73"/>
  <c r="AW205" i="73" s="1"/>
  <c r="AU204" i="73"/>
  <c r="AU205" i="73" s="1"/>
  <c r="S204" i="73"/>
  <c r="S205" i="73" s="1"/>
  <c r="U204" i="73"/>
  <c r="U205" i="73" s="1"/>
  <c r="AT204" i="73"/>
  <c r="AT205" i="73" s="1"/>
  <c r="AJ200" i="73"/>
  <c r="AJ201" i="73" s="1"/>
  <c r="O200" i="73"/>
  <c r="O201" i="73" s="1"/>
  <c r="AP204" i="73"/>
  <c r="AP205" i="73" s="1"/>
  <c r="X200" i="73"/>
  <c r="X201" i="73" s="1"/>
  <c r="I204" i="73"/>
  <c r="I205" i="73" s="1"/>
  <c r="Q204" i="73"/>
  <c r="Q205" i="73" s="1"/>
  <c r="AP200" i="73"/>
  <c r="AP201" i="73" s="1"/>
  <c r="AT200" i="73"/>
  <c r="AT201" i="73" s="1"/>
  <c r="P200" i="73"/>
  <c r="P201" i="73" s="1"/>
  <c r="L204" i="73"/>
  <c r="L205" i="73" s="1"/>
  <c r="AG204" i="73"/>
  <c r="AG205" i="73" s="1"/>
  <c r="J204" i="73"/>
  <c r="J205" i="73" s="1"/>
  <c r="AE204" i="73"/>
  <c r="AE205" i="73" s="1"/>
  <c r="AH204" i="73"/>
  <c r="AH205" i="73" s="1"/>
  <c r="AX200" i="73"/>
  <c r="AX201" i="73" s="1"/>
  <c r="R200" i="73"/>
  <c r="R201" i="73" s="1"/>
  <c r="Y200" i="73"/>
  <c r="Y201" i="73" s="1"/>
  <c r="AF204" i="73"/>
  <c r="AF205" i="73" s="1"/>
  <c r="K200" i="73"/>
  <c r="K201" i="73" s="1"/>
  <c r="AD204" i="73"/>
  <c r="AD205" i="73" s="1"/>
  <c r="AO204" i="73"/>
  <c r="AO205" i="73" s="1"/>
  <c r="K204" i="73"/>
  <c r="K205" i="73" s="1"/>
  <c r="W200" i="73"/>
  <c r="W201" i="73" s="1"/>
  <c r="H200" i="73"/>
  <c r="H201" i="73" s="1"/>
  <c r="T204" i="73"/>
  <c r="T205" i="73" s="1"/>
  <c r="AI204" i="73"/>
  <c r="AI205" i="73" s="1"/>
  <c r="M204" i="73"/>
  <c r="M205" i="73" s="1"/>
  <c r="AB204" i="73"/>
  <c r="AB205" i="73" s="1"/>
  <c r="E204" i="73"/>
  <c r="AL200" i="73"/>
  <c r="AL201" i="73" s="1"/>
  <c r="AH200" i="73"/>
  <c r="AH201" i="73" s="1"/>
  <c r="E200" i="73"/>
  <c r="E201" i="73" s="1"/>
  <c r="AI200" i="73"/>
  <c r="AI201" i="73" s="1"/>
  <c r="Y204" i="73"/>
  <c r="Y205" i="73" s="1"/>
  <c r="F200" i="73"/>
  <c r="F201" i="73" s="1"/>
  <c r="AR200" i="73"/>
  <c r="AR201" i="73" s="1"/>
  <c r="M200" i="73"/>
  <c r="M201" i="73" s="1"/>
  <c r="I200" i="73"/>
  <c r="I201" i="73" s="1"/>
  <c r="AX204" i="73"/>
  <c r="AX205" i="73" s="1"/>
  <c r="AS200" i="73"/>
  <c r="AS201" i="73" s="1"/>
  <c r="AC204" i="73"/>
  <c r="AC205" i="73" s="1"/>
  <c r="AK204" i="73"/>
  <c r="AK205" i="73" s="1"/>
  <c r="AV200" i="73"/>
  <c r="AV201" i="73" s="1"/>
  <c r="J200" i="73"/>
  <c r="J201" i="73" s="1"/>
  <c r="AJ204" i="73"/>
  <c r="AJ205" i="73" s="1"/>
  <c r="AV204" i="73"/>
  <c r="AV205" i="73" s="1"/>
  <c r="D266" i="73"/>
  <c r="AA277" i="73" s="1"/>
  <c r="AM204" i="73"/>
  <c r="AM205" i="73" s="1"/>
  <c r="V204" i="73"/>
  <c r="V205" i="73" s="1"/>
  <c r="AO200" i="73"/>
  <c r="AO201" i="73" s="1"/>
  <c r="N204" i="73"/>
  <c r="N205" i="73" s="1"/>
  <c r="U200" i="73"/>
  <c r="U201" i="73" s="1"/>
  <c r="AA204" i="73"/>
  <c r="AA205" i="73" s="1"/>
  <c r="P204" i="73"/>
  <c r="P205" i="73" s="1"/>
  <c r="AU200" i="73"/>
  <c r="AU201" i="73" s="1"/>
  <c r="AG200" i="73"/>
  <c r="AG201" i="73" s="1"/>
  <c r="Z200" i="73"/>
  <c r="Z201" i="73" s="1"/>
  <c r="G204" i="73"/>
  <c r="AQ200" i="73"/>
  <c r="AQ201" i="73" s="1"/>
  <c r="AN200" i="73"/>
  <c r="AN201" i="73" s="1"/>
  <c r="N200" i="73"/>
  <c r="N201" i="73" s="1"/>
  <c r="AN204" i="73"/>
  <c r="AN205" i="73" s="1"/>
  <c r="AE200" i="73"/>
  <c r="AE201" i="73" s="1"/>
  <c r="O204" i="73"/>
  <c r="O205" i="73" s="1"/>
  <c r="X204" i="73"/>
  <c r="X205" i="73" s="1"/>
  <c r="AW200" i="73"/>
  <c r="AW201" i="73" s="1"/>
  <c r="AL204" i="73"/>
  <c r="AL205" i="73" s="1"/>
  <c r="AA200" i="73"/>
  <c r="AA201" i="73" s="1"/>
  <c r="W204" i="73"/>
  <c r="W205" i="73" s="1"/>
  <c r="L243" i="5"/>
  <c r="C29" i="64" s="1"/>
  <c r="C23" i="64"/>
  <c r="M243" i="5"/>
  <c r="C56" i="64" s="1"/>
  <c r="C50" i="64"/>
  <c r="G96" i="92"/>
  <c r="G97" i="92" s="1"/>
  <c r="G133" i="92" s="1"/>
  <c r="G134" i="92" s="1"/>
  <c r="G224" i="92"/>
  <c r="G300" i="92" s="1"/>
  <c r="H72" i="92"/>
  <c r="H148" i="92" s="1"/>
  <c r="H172" i="92" s="1"/>
  <c r="H173" i="92" s="1"/>
  <c r="H72" i="96"/>
  <c r="H96" i="96" s="1"/>
  <c r="H97" i="96" s="1"/>
  <c r="H104" i="96" s="1"/>
  <c r="H130" i="96" s="1"/>
  <c r="F127" i="14"/>
  <c r="F140" i="14"/>
  <c r="G114" i="14"/>
  <c r="G51" i="14"/>
  <c r="C20" i="52"/>
  <c r="C20" i="88"/>
  <c r="C17" i="88"/>
  <c r="C17" i="52"/>
  <c r="L225" i="5"/>
  <c r="C19" i="88"/>
  <c r="C19" i="52"/>
  <c r="C17" i="96"/>
  <c r="M225" i="5"/>
  <c r="C17" i="92"/>
  <c r="C19" i="96"/>
  <c r="C19" i="92"/>
  <c r="C21" i="88"/>
  <c r="C21" i="52"/>
  <c r="C21" i="96"/>
  <c r="C21" i="92"/>
  <c r="C18" i="88"/>
  <c r="C18" i="52"/>
  <c r="C22" i="96"/>
  <c r="C22" i="92"/>
  <c r="C20" i="92"/>
  <c r="C20" i="96"/>
  <c r="C22" i="52"/>
  <c r="C22" i="88"/>
  <c r="C18" i="96"/>
  <c r="C18" i="92"/>
  <c r="G130" i="88"/>
  <c r="G107" i="96"/>
  <c r="G108" i="96" s="1"/>
  <c r="G180" i="92"/>
  <c r="G183" i="92" s="1"/>
  <c r="G209" i="92"/>
  <c r="G210" i="92" s="1"/>
  <c r="G104" i="52"/>
  <c r="G107" i="52" s="1"/>
  <c r="G108" i="52" s="1"/>
  <c r="G133" i="52"/>
  <c r="G134" i="52" s="1"/>
  <c r="H104" i="88"/>
  <c r="H107" i="88" s="1"/>
  <c r="H133" i="88"/>
  <c r="C39" i="88" s="1"/>
  <c r="G180" i="88"/>
  <c r="G183" i="88" s="1"/>
  <c r="G209" i="88"/>
  <c r="G210" i="88" s="1"/>
  <c r="I72" i="88"/>
  <c r="I148" i="88" s="1"/>
  <c r="I72" i="52"/>
  <c r="G172" i="96"/>
  <c r="G173" i="96" s="1"/>
  <c r="T268" i="73"/>
  <c r="T274" i="73" s="1"/>
  <c r="T307" i="73" s="1"/>
  <c r="AJ267" i="74"/>
  <c r="AJ273" i="74" s="1"/>
  <c r="AJ289" i="74" s="1"/>
  <c r="N267" i="73"/>
  <c r="N273" i="73" s="1"/>
  <c r="N306" i="73" s="1"/>
  <c r="Q267" i="74"/>
  <c r="Q273" i="74" s="1"/>
  <c r="Q289" i="74" s="1"/>
  <c r="AV267" i="74"/>
  <c r="AV273" i="74" s="1"/>
  <c r="AV306" i="74" s="1"/>
  <c r="P268" i="74"/>
  <c r="P274" i="74" s="1"/>
  <c r="P290" i="74" s="1"/>
  <c r="AH268" i="74"/>
  <c r="AH274" i="74" s="1"/>
  <c r="AH290" i="74" s="1"/>
  <c r="K268" i="74"/>
  <c r="K274" i="74" s="1"/>
  <c r="K290" i="74" s="1"/>
  <c r="Z267" i="73"/>
  <c r="Z273" i="73" s="1"/>
  <c r="Z289" i="73" s="1"/>
  <c r="X267" i="73"/>
  <c r="X273" i="73" s="1"/>
  <c r="X306" i="73" s="1"/>
  <c r="U268" i="73"/>
  <c r="U274" i="73" s="1"/>
  <c r="U307" i="73" s="1"/>
  <c r="AQ268" i="73"/>
  <c r="AQ274" i="73" s="1"/>
  <c r="AQ290" i="73" s="1"/>
  <c r="Z268" i="74"/>
  <c r="Z274" i="74" s="1"/>
  <c r="AB268" i="74"/>
  <c r="AB274" i="74" s="1"/>
  <c r="AB307" i="74" s="1"/>
  <c r="H268" i="74"/>
  <c r="H274" i="74" s="1"/>
  <c r="H307" i="74" s="1"/>
  <c r="AB267" i="74"/>
  <c r="AB273" i="74" s="1"/>
  <c r="AB289" i="74" s="1"/>
  <c r="R267" i="74"/>
  <c r="R273" i="74" s="1"/>
  <c r="R289" i="74" s="1"/>
  <c r="Y267" i="74"/>
  <c r="Y273" i="74" s="1"/>
  <c r="Y289" i="74" s="1"/>
  <c r="H267" i="73"/>
  <c r="H273" i="73" s="1"/>
  <c r="H289" i="73" s="1"/>
  <c r="AI268" i="73"/>
  <c r="AI274" i="73" s="1"/>
  <c r="AI307" i="73" s="1"/>
  <c r="AB268" i="73"/>
  <c r="AB274" i="73" s="1"/>
  <c r="AB307" i="73" s="1"/>
  <c r="O268" i="73"/>
  <c r="O274" i="73" s="1"/>
  <c r="O290" i="73" s="1"/>
  <c r="AQ267" i="74"/>
  <c r="AQ273" i="74" s="1"/>
  <c r="AQ306" i="74" s="1"/>
  <c r="J267" i="74"/>
  <c r="J273" i="74" s="1"/>
  <c r="J289" i="74" s="1"/>
  <c r="AT267" i="74"/>
  <c r="AT273" i="74" s="1"/>
  <c r="AT289" i="74" s="1"/>
  <c r="AK267" i="73"/>
  <c r="AK273" i="73" s="1"/>
  <c r="AK289" i="73" s="1"/>
  <c r="Y267" i="73"/>
  <c r="Y273" i="73" s="1"/>
  <c r="Y306" i="73" s="1"/>
  <c r="AJ268" i="73"/>
  <c r="AJ274" i="73" s="1"/>
  <c r="AJ290" i="73" s="1"/>
  <c r="AR268" i="73"/>
  <c r="AR274" i="73" s="1"/>
  <c r="AR290" i="73" s="1"/>
  <c r="AG267" i="73"/>
  <c r="AG273" i="73" s="1"/>
  <c r="AG306" i="73" s="1"/>
  <c r="Q267" i="73"/>
  <c r="Q273" i="73" s="1"/>
  <c r="Q289" i="73" s="1"/>
  <c r="V267" i="74"/>
  <c r="V273" i="74" s="1"/>
  <c r="V289" i="74" s="1"/>
  <c r="AE267" i="74"/>
  <c r="AE273" i="74" s="1"/>
  <c r="AE306" i="74" s="1"/>
  <c r="F268" i="73"/>
  <c r="F274" i="73" s="1"/>
  <c r="F290" i="73" s="1"/>
  <c r="S267" i="73"/>
  <c r="S273" i="73" s="1"/>
  <c r="S306" i="73" s="1"/>
  <c r="AP267" i="73"/>
  <c r="AP273" i="73" s="1"/>
  <c r="AP306" i="73" s="1"/>
  <c r="AL267" i="73"/>
  <c r="AL273" i="73" s="1"/>
  <c r="AL306" i="73" s="1"/>
  <c r="AH268" i="73"/>
  <c r="AH274" i="73" s="1"/>
  <c r="AH307" i="73" s="1"/>
  <c r="AD268" i="73"/>
  <c r="AD274" i="73" s="1"/>
  <c r="AD290" i="73" s="1"/>
  <c r="AN268" i="73"/>
  <c r="AN274" i="73" s="1"/>
  <c r="AN307" i="73" s="1"/>
  <c r="W268" i="74"/>
  <c r="W274" i="74" s="1"/>
  <c r="Q268" i="74"/>
  <c r="Q274" i="74" s="1"/>
  <c r="Q290" i="74" s="1"/>
  <c r="X268" i="74"/>
  <c r="X274" i="74" s="1"/>
  <c r="X307" i="74" s="1"/>
  <c r="F268" i="74"/>
  <c r="F274" i="74" s="1"/>
  <c r="F290" i="74" s="1"/>
  <c r="AI268" i="74"/>
  <c r="AI274" i="74" s="1"/>
  <c r="AI307" i="74" s="1"/>
  <c r="AX268" i="74"/>
  <c r="AX274" i="74" s="1"/>
  <c r="AX290" i="74" s="1"/>
  <c r="K49" i="64"/>
  <c r="L49" i="64" s="1"/>
  <c r="E268" i="74"/>
  <c r="E274" i="74" s="1"/>
  <c r="E307" i="74" s="1"/>
  <c r="AS268" i="74"/>
  <c r="AS274" i="74" s="1"/>
  <c r="AS290" i="74" s="1"/>
  <c r="Y268" i="74"/>
  <c r="Y274" i="74" s="1"/>
  <c r="Y290" i="74" s="1"/>
  <c r="AQ268" i="74"/>
  <c r="AQ274" i="74" s="1"/>
  <c r="AQ307" i="74" s="1"/>
  <c r="AO268" i="74"/>
  <c r="AO274" i="74" s="1"/>
  <c r="J268" i="74"/>
  <c r="J274" i="74" s="1"/>
  <c r="J290" i="74" s="1"/>
  <c r="AL268" i="74"/>
  <c r="AL274" i="74" s="1"/>
  <c r="AL290" i="74" s="1"/>
  <c r="AU268" i="74"/>
  <c r="AU274" i="74" s="1"/>
  <c r="AU290" i="74" s="1"/>
  <c r="AD268" i="74"/>
  <c r="AD274" i="74" s="1"/>
  <c r="AD307" i="74" s="1"/>
  <c r="L268" i="74"/>
  <c r="L274" i="74" s="1"/>
  <c r="AT268" i="74"/>
  <c r="AT274" i="74" s="1"/>
  <c r="AT307" i="74" s="1"/>
  <c r="AJ268" i="74"/>
  <c r="AJ274" i="74" s="1"/>
  <c r="AJ290" i="74" s="1"/>
  <c r="N268" i="74"/>
  <c r="N274" i="74" s="1"/>
  <c r="O268" i="74"/>
  <c r="O274" i="74" s="1"/>
  <c r="O290" i="74" s="1"/>
  <c r="AP268" i="74"/>
  <c r="AP274" i="74" s="1"/>
  <c r="AP290" i="74" s="1"/>
  <c r="AA268" i="74"/>
  <c r="AA274" i="74" s="1"/>
  <c r="AG268" i="74"/>
  <c r="AG274" i="74" s="1"/>
  <c r="AG307" i="74" s="1"/>
  <c r="AV268" i="74"/>
  <c r="AV274" i="74" s="1"/>
  <c r="AV307" i="74" s="1"/>
  <c r="U268" i="74"/>
  <c r="U274" i="74" s="1"/>
  <c r="U307" i="74" s="1"/>
  <c r="V268" i="74"/>
  <c r="V274" i="74" s="1"/>
  <c r="V307" i="74" s="1"/>
  <c r="AF268" i="74"/>
  <c r="AF274" i="74" s="1"/>
  <c r="AM268" i="74"/>
  <c r="AM274" i="74" s="1"/>
  <c r="AM290" i="74" s="1"/>
  <c r="L22" i="64"/>
  <c r="M268" i="74"/>
  <c r="M274" i="74" s="1"/>
  <c r="T268" i="74"/>
  <c r="T274" i="74" s="1"/>
  <c r="T290" i="74" s="1"/>
  <c r="AC268" i="74"/>
  <c r="AC274" i="74" s="1"/>
  <c r="AC307" i="74" s="1"/>
  <c r="I268" i="74"/>
  <c r="I274" i="74" s="1"/>
  <c r="AE268" i="74"/>
  <c r="AE274" i="74" s="1"/>
  <c r="AE307" i="74" s="1"/>
  <c r="AW268" i="74"/>
  <c r="AW274" i="74" s="1"/>
  <c r="AW307" i="74" s="1"/>
  <c r="S268" i="74"/>
  <c r="S274" i="74" s="1"/>
  <c r="S290" i="74" s="1"/>
  <c r="AK268" i="74"/>
  <c r="AK274" i="74" s="1"/>
  <c r="AK290" i="74" s="1"/>
  <c r="AN268" i="74"/>
  <c r="AN274" i="74" s="1"/>
  <c r="AN290" i="74" s="1"/>
  <c r="R268" i="74"/>
  <c r="R274" i="74" s="1"/>
  <c r="R307" i="74" s="1"/>
  <c r="AR268" i="74"/>
  <c r="AR274" i="74" s="1"/>
  <c r="AR290" i="74" s="1"/>
  <c r="F289" i="73"/>
  <c r="F306" i="73"/>
  <c r="P267" i="74"/>
  <c r="P273" i="74" s="1"/>
  <c r="P289" i="74" s="1"/>
  <c r="AR267" i="74"/>
  <c r="AR273" i="74" s="1"/>
  <c r="X267" i="74"/>
  <c r="X273" i="74" s="1"/>
  <c r="X306" i="74" s="1"/>
  <c r="AG267" i="74"/>
  <c r="AG273" i="74" s="1"/>
  <c r="AG289" i="74" s="1"/>
  <c r="AH267" i="74"/>
  <c r="AH273" i="74" s="1"/>
  <c r="AH289" i="74" s="1"/>
  <c r="AW267" i="74"/>
  <c r="AW273" i="74" s="1"/>
  <c r="AX267" i="74"/>
  <c r="AX273" i="74" s="1"/>
  <c r="Z267" i="74"/>
  <c r="Z273" i="74" s="1"/>
  <c r="AU267" i="74"/>
  <c r="AU273" i="74" s="1"/>
  <c r="AU289" i="74" s="1"/>
  <c r="S267" i="74"/>
  <c r="S273" i="74" s="1"/>
  <c r="S289" i="74" s="1"/>
  <c r="AO267" i="74"/>
  <c r="AO273" i="74" s="1"/>
  <c r="E268" i="73"/>
  <c r="E274" i="73" s="1"/>
  <c r="E290" i="73" s="1"/>
  <c r="H268" i="73"/>
  <c r="H274" i="73" s="1"/>
  <c r="H307" i="73" s="1"/>
  <c r="G267" i="74"/>
  <c r="G273" i="74" s="1"/>
  <c r="G306" i="74" s="1"/>
  <c r="AQ267" i="73"/>
  <c r="AQ273" i="73" s="1"/>
  <c r="AQ289" i="73" s="1"/>
  <c r="AT267" i="73"/>
  <c r="AT273" i="73" s="1"/>
  <c r="AT306" i="73" s="1"/>
  <c r="AJ267" i="73"/>
  <c r="AJ273" i="73" s="1"/>
  <c r="AJ306" i="73" s="1"/>
  <c r="M267" i="73"/>
  <c r="M273" i="73" s="1"/>
  <c r="M306" i="73" s="1"/>
  <c r="AS267" i="73"/>
  <c r="AS273" i="73" s="1"/>
  <c r="AS289" i="73" s="1"/>
  <c r="L267" i="73"/>
  <c r="L273" i="73" s="1"/>
  <c r="L289" i="73" s="1"/>
  <c r="AC267" i="73"/>
  <c r="AC273" i="73" s="1"/>
  <c r="AC306" i="73" s="1"/>
  <c r="AO267" i="73"/>
  <c r="AO273" i="73" s="1"/>
  <c r="AO306" i="73" s="1"/>
  <c r="AD267" i="73"/>
  <c r="U267" i="73"/>
  <c r="U273" i="73" s="1"/>
  <c r="U306" i="73" s="1"/>
  <c r="T267" i="73"/>
  <c r="T273" i="73" s="1"/>
  <c r="T289" i="73" s="1"/>
  <c r="J268" i="73"/>
  <c r="J274" i="73" s="1"/>
  <c r="J307" i="73" s="1"/>
  <c r="I268" i="73"/>
  <c r="K268" i="73"/>
  <c r="K274" i="73" s="1"/>
  <c r="K290" i="73" s="1"/>
  <c r="P268" i="73"/>
  <c r="P274" i="73" s="1"/>
  <c r="P290" i="73" s="1"/>
  <c r="AX268" i="73"/>
  <c r="AX274" i="73" s="1"/>
  <c r="AX290" i="73" s="1"/>
  <c r="M268" i="73"/>
  <c r="Z268" i="73"/>
  <c r="Z274" i="73" s="1"/>
  <c r="Z307" i="73" s="1"/>
  <c r="R268" i="73"/>
  <c r="R274" i="73" s="1"/>
  <c r="R307" i="73" s="1"/>
  <c r="AF268" i="73"/>
  <c r="AF274" i="73" s="1"/>
  <c r="AF307" i="73" s="1"/>
  <c r="AU268" i="73"/>
  <c r="AU274" i="73" s="1"/>
  <c r="AU307" i="73" s="1"/>
  <c r="AE268" i="73"/>
  <c r="AE274" i="73" s="1"/>
  <c r="AE307" i="73" s="1"/>
  <c r="H59" i="14"/>
  <c r="H72" i="14"/>
  <c r="H135" i="14"/>
  <c r="H122" i="14"/>
  <c r="AF267" i="74"/>
  <c r="AF273" i="74" s="1"/>
  <c r="AF289" i="74" s="1"/>
  <c r="W267" i="74"/>
  <c r="W273" i="74" s="1"/>
  <c r="AS267" i="74"/>
  <c r="AS273" i="74" s="1"/>
  <c r="AS289" i="74" s="1"/>
  <c r="AA267" i="74"/>
  <c r="AA273" i="74" s="1"/>
  <c r="AC267" i="74"/>
  <c r="AC273" i="74" s="1"/>
  <c r="AC306" i="74" s="1"/>
  <c r="O267" i="74"/>
  <c r="O273" i="74" s="1"/>
  <c r="AK267" i="74"/>
  <c r="AK273" i="74" s="1"/>
  <c r="AK289" i="74" s="1"/>
  <c r="I267" i="74"/>
  <c r="I273" i="74" s="1"/>
  <c r="I306" i="74" s="1"/>
  <c r="AD267" i="74"/>
  <c r="AD273" i="74" s="1"/>
  <c r="AD289" i="74" s="1"/>
  <c r="AM267" i="73"/>
  <c r="AM273" i="73" s="1"/>
  <c r="AM306" i="73" s="1"/>
  <c r="P267" i="73"/>
  <c r="J267" i="73"/>
  <c r="J273" i="73" s="1"/>
  <c r="J306" i="73" s="1"/>
  <c r="AA267" i="73"/>
  <c r="AA273" i="73" s="1"/>
  <c r="AA289" i="73" s="1"/>
  <c r="R267" i="73"/>
  <c r="R273" i="73" s="1"/>
  <c r="R289" i="73" s="1"/>
  <c r="AF267" i="73"/>
  <c r="AF273" i="73" s="1"/>
  <c r="AF289" i="73" s="1"/>
  <c r="AI267" i="73"/>
  <c r="AI273" i="73" s="1"/>
  <c r="AI289" i="73" s="1"/>
  <c r="AV267" i="73"/>
  <c r="AV273" i="73" s="1"/>
  <c r="AV306" i="73" s="1"/>
  <c r="AW267" i="73"/>
  <c r="AW273" i="73" s="1"/>
  <c r="AW306" i="73" s="1"/>
  <c r="AU267" i="73"/>
  <c r="G267" i="73"/>
  <c r="G273" i="73" s="1"/>
  <c r="AG268" i="73"/>
  <c r="AG274" i="73" s="1"/>
  <c r="AG307" i="73" s="1"/>
  <c r="AS268" i="73"/>
  <c r="AS274" i="73" s="1"/>
  <c r="AS307" i="73" s="1"/>
  <c r="AM268" i="73"/>
  <c r="AM274" i="73" s="1"/>
  <c r="AM307" i="73" s="1"/>
  <c r="AC268" i="73"/>
  <c r="AC274" i="73" s="1"/>
  <c r="AC307" i="73" s="1"/>
  <c r="AL268" i="73"/>
  <c r="S268" i="73"/>
  <c r="S274" i="73" s="1"/>
  <c r="W268" i="73"/>
  <c r="W274" i="73" s="1"/>
  <c r="W307" i="73" s="1"/>
  <c r="L268" i="73"/>
  <c r="L274" i="73" s="1"/>
  <c r="L290" i="73" s="1"/>
  <c r="AO268" i="73"/>
  <c r="AO274" i="73" s="1"/>
  <c r="AO307" i="73" s="1"/>
  <c r="N268" i="73"/>
  <c r="F267" i="74"/>
  <c r="F273" i="74" s="1"/>
  <c r="F306" i="74" s="1"/>
  <c r="E267" i="74"/>
  <c r="E273" i="74" s="1"/>
  <c r="E289" i="74" s="1"/>
  <c r="L267" i="74"/>
  <c r="L273" i="74" s="1"/>
  <c r="L289" i="74" s="1"/>
  <c r="H289" i="74"/>
  <c r="T267" i="74"/>
  <c r="T273" i="74" s="1"/>
  <c r="T306" i="74" s="1"/>
  <c r="AN267" i="74"/>
  <c r="AN273" i="74" s="1"/>
  <c r="K267" i="74"/>
  <c r="K273" i="74" s="1"/>
  <c r="M267" i="74"/>
  <c r="M273" i="74" s="1"/>
  <c r="M289" i="74" s="1"/>
  <c r="AL267" i="74"/>
  <c r="AL273" i="74" s="1"/>
  <c r="AL306" i="74" s="1"/>
  <c r="AM267" i="74"/>
  <c r="AM273" i="74" s="1"/>
  <c r="U267" i="74"/>
  <c r="U273" i="74" s="1"/>
  <c r="U289" i="74" s="1"/>
  <c r="AP267" i="74"/>
  <c r="AP273" i="74" s="1"/>
  <c r="AP289" i="74" s="1"/>
  <c r="N267" i="74"/>
  <c r="N273" i="74" s="1"/>
  <c r="N306" i="74" s="1"/>
  <c r="AI267" i="74"/>
  <c r="AI273" i="74" s="1"/>
  <c r="AI289" i="74" s="1"/>
  <c r="E267" i="73"/>
  <c r="K267" i="73"/>
  <c r="K273" i="73" s="1"/>
  <c r="K289" i="73" s="1"/>
  <c r="V267" i="73"/>
  <c r="V273" i="73" s="1"/>
  <c r="V306" i="73" s="1"/>
  <c r="AB267" i="73"/>
  <c r="AB273" i="73" s="1"/>
  <c r="AB289" i="73" s="1"/>
  <c r="AH267" i="73"/>
  <c r="W267" i="73"/>
  <c r="W273" i="73" s="1"/>
  <c r="AR267" i="73"/>
  <c r="AR273" i="73" s="1"/>
  <c r="AR306" i="73" s="1"/>
  <c r="AN267" i="73"/>
  <c r="AN273" i="73" s="1"/>
  <c r="AN306" i="73" s="1"/>
  <c r="AE267" i="73"/>
  <c r="AX267" i="73"/>
  <c r="AX273" i="73" s="1"/>
  <c r="AX289" i="73" s="1"/>
  <c r="I267" i="73"/>
  <c r="I273" i="73" s="1"/>
  <c r="I289" i="73" s="1"/>
  <c r="O267" i="73"/>
  <c r="O273" i="73" s="1"/>
  <c r="O289" i="73" s="1"/>
  <c r="G268" i="73"/>
  <c r="AW268" i="73"/>
  <c r="V268" i="73"/>
  <c r="V274" i="73" s="1"/>
  <c r="V307" i="73" s="1"/>
  <c r="AK268" i="73"/>
  <c r="AK274" i="73" s="1"/>
  <c r="AK307" i="73" s="1"/>
  <c r="AV268" i="73"/>
  <c r="AV274" i="73" s="1"/>
  <c r="AV290" i="73" s="1"/>
  <c r="Q268" i="73"/>
  <c r="Q274" i="73" s="1"/>
  <c r="Q290" i="73" s="1"/>
  <c r="AT268" i="73"/>
  <c r="AT274" i="73" s="1"/>
  <c r="AT290" i="73" s="1"/>
  <c r="AP268" i="73"/>
  <c r="AP274" i="73" s="1"/>
  <c r="AP307" i="73" s="1"/>
  <c r="X268" i="73"/>
  <c r="Y268" i="73"/>
  <c r="Y274" i="73" s="1"/>
  <c r="Y290" i="73" s="1"/>
  <c r="G300" i="96"/>
  <c r="G248" i="96"/>
  <c r="G249" i="96" s="1"/>
  <c r="H148" i="88"/>
  <c r="G224" i="88"/>
  <c r="G300" i="88" s="1"/>
  <c r="G108" i="88"/>
  <c r="H96" i="52"/>
  <c r="H97" i="52" s="1"/>
  <c r="H148" i="52"/>
  <c r="G125" i="14"/>
  <c r="G138" i="14"/>
  <c r="G62" i="14"/>
  <c r="G64" i="14" s="1"/>
  <c r="G75" i="14"/>
  <c r="G77" i="14" s="1"/>
  <c r="G172" i="52"/>
  <c r="G173" i="52" s="1"/>
  <c r="G224" i="52"/>
  <c r="H111" i="14"/>
  <c r="H114" i="14" s="1"/>
  <c r="I101" i="14"/>
  <c r="H48" i="14"/>
  <c r="H50" i="14" s="1"/>
  <c r="I38" i="14"/>
  <c r="E203" i="74"/>
  <c r="H207" i="74"/>
  <c r="J207" i="74" s="1"/>
  <c r="L205" i="5"/>
  <c r="I208" i="73"/>
  <c r="G203" i="73"/>
  <c r="I208" i="74"/>
  <c r="E203" i="73"/>
  <c r="H207" i="73"/>
  <c r="J207" i="73" s="1"/>
  <c r="G274" i="74"/>
  <c r="D266" i="74"/>
  <c r="G277" i="74" s="1"/>
  <c r="AH204" i="74"/>
  <c r="AH205" i="74" s="1"/>
  <c r="K204" i="74"/>
  <c r="K205" i="74" s="1"/>
  <c r="AR200" i="74"/>
  <c r="AR201" i="74" s="1"/>
  <c r="AC200" i="74"/>
  <c r="AC201" i="74" s="1"/>
  <c r="L204" i="74"/>
  <c r="L205" i="74" s="1"/>
  <c r="Z200" i="74"/>
  <c r="Z201" i="74" s="1"/>
  <c r="V200" i="74"/>
  <c r="V201" i="74" s="1"/>
  <c r="O204" i="74"/>
  <c r="O205" i="74" s="1"/>
  <c r="Q204" i="74"/>
  <c r="Q205" i="74" s="1"/>
  <c r="AF204" i="74"/>
  <c r="AF205" i="74" s="1"/>
  <c r="M204" i="74"/>
  <c r="M205" i="74" s="1"/>
  <c r="U200" i="74"/>
  <c r="U201" i="74" s="1"/>
  <c r="K200" i="74"/>
  <c r="K201" i="74" s="1"/>
  <c r="AJ204" i="74"/>
  <c r="AJ205" i="74" s="1"/>
  <c r="AH200" i="74"/>
  <c r="AH201" i="74" s="1"/>
  <c r="AR204" i="74"/>
  <c r="AR205" i="74" s="1"/>
  <c r="T204" i="74"/>
  <c r="T205" i="74" s="1"/>
  <c r="AB204" i="74"/>
  <c r="AB205" i="74" s="1"/>
  <c r="R200" i="74"/>
  <c r="R201" i="74" s="1"/>
  <c r="AT200" i="74"/>
  <c r="AT201" i="74" s="1"/>
  <c r="AE204" i="74"/>
  <c r="AE205" i="74" s="1"/>
  <c r="AK204" i="74"/>
  <c r="AK205" i="74" s="1"/>
  <c r="G204" i="74"/>
  <c r="G205" i="74" s="1"/>
  <c r="AS200" i="74"/>
  <c r="AS201" i="74" s="1"/>
  <c r="AV204" i="74"/>
  <c r="AV205" i="74" s="1"/>
  <c r="AQ204" i="74"/>
  <c r="AQ205" i="74" s="1"/>
  <c r="AX204" i="74"/>
  <c r="AX205" i="74" s="1"/>
  <c r="AN200" i="74"/>
  <c r="AN201" i="74" s="1"/>
  <c r="AU204" i="74"/>
  <c r="AU205" i="74" s="1"/>
  <c r="J204" i="74"/>
  <c r="J205" i="74" s="1"/>
  <c r="U204" i="74"/>
  <c r="U205" i="74" s="1"/>
  <c r="L200" i="74"/>
  <c r="L201" i="74" s="1"/>
  <c r="O200" i="74"/>
  <c r="O201" i="74" s="1"/>
  <c r="V204" i="74"/>
  <c r="V205" i="74" s="1"/>
  <c r="H200" i="74"/>
  <c r="H201" i="74" s="1"/>
  <c r="AA204" i="74"/>
  <c r="AA205" i="74" s="1"/>
  <c r="R204" i="74"/>
  <c r="R205" i="74" s="1"/>
  <c r="AD204" i="74"/>
  <c r="AD205" i="74" s="1"/>
  <c r="AW204" i="74"/>
  <c r="AW205" i="74" s="1"/>
  <c r="N200" i="74"/>
  <c r="N201" i="74" s="1"/>
  <c r="AL204" i="74"/>
  <c r="AL205" i="74" s="1"/>
  <c r="AG200" i="74"/>
  <c r="AG201" i="74" s="1"/>
  <c r="T200" i="74"/>
  <c r="T201" i="74" s="1"/>
  <c r="AJ200" i="74"/>
  <c r="AJ201" i="74" s="1"/>
  <c r="J200" i="74"/>
  <c r="J201" i="74" s="1"/>
  <c r="P200" i="74"/>
  <c r="P201" i="74" s="1"/>
  <c r="AL200" i="74"/>
  <c r="AL201" i="74" s="1"/>
  <c r="AK200" i="74"/>
  <c r="AK201" i="74" s="1"/>
  <c r="I200" i="74"/>
  <c r="I201" i="74" s="1"/>
  <c r="AT204" i="74"/>
  <c r="AT205" i="74" s="1"/>
  <c r="AD200" i="74"/>
  <c r="AD201" i="74" s="1"/>
  <c r="AG204" i="74"/>
  <c r="AG205" i="74" s="1"/>
  <c r="N204" i="74"/>
  <c r="N205" i="74" s="1"/>
  <c r="AF200" i="74"/>
  <c r="AF201" i="74" s="1"/>
  <c r="Q200" i="74"/>
  <c r="Q201" i="74" s="1"/>
  <c r="W200" i="74"/>
  <c r="W201" i="74" s="1"/>
  <c r="M200" i="74"/>
  <c r="M201" i="74" s="1"/>
  <c r="AC204" i="74"/>
  <c r="AC205" i="74" s="1"/>
  <c r="AP200" i="74"/>
  <c r="AP201" i="74" s="1"/>
  <c r="Z204" i="74"/>
  <c r="Z205" i="74" s="1"/>
  <c r="S200" i="74"/>
  <c r="S201" i="74" s="1"/>
  <c r="S204" i="74"/>
  <c r="S205" i="74" s="1"/>
  <c r="AM200" i="74"/>
  <c r="AM201" i="74" s="1"/>
  <c r="E200" i="74"/>
  <c r="AA200" i="74"/>
  <c r="AA201" i="74" s="1"/>
  <c r="AQ200" i="74"/>
  <c r="AQ201" i="74" s="1"/>
  <c r="AX200" i="74"/>
  <c r="AX201" i="74" s="1"/>
  <c r="AI200" i="74"/>
  <c r="AI201" i="74" s="1"/>
  <c r="AB200" i="74"/>
  <c r="AB201" i="74" s="1"/>
  <c r="E204" i="74"/>
  <c r="AE200" i="74"/>
  <c r="AE201" i="74" s="1"/>
  <c r="F200" i="74"/>
  <c r="F201" i="74" s="1"/>
  <c r="W204" i="74"/>
  <c r="W205" i="74" s="1"/>
  <c r="AV200" i="74"/>
  <c r="AV201" i="74" s="1"/>
  <c r="AS204" i="74"/>
  <c r="AS205" i="74" s="1"/>
  <c r="I204" i="74"/>
  <c r="I205" i="74" s="1"/>
  <c r="AP204" i="74"/>
  <c r="AP205" i="74" s="1"/>
  <c r="AM204" i="74"/>
  <c r="AM205" i="74" s="1"/>
  <c r="P204" i="74"/>
  <c r="P205" i="74" s="1"/>
  <c r="AU200" i="74"/>
  <c r="AU201" i="74" s="1"/>
  <c r="AW200" i="74"/>
  <c r="AW201" i="74" s="1"/>
  <c r="AI204" i="74"/>
  <c r="AI205" i="74" s="1"/>
  <c r="AO200" i="74"/>
  <c r="AO201" i="74" s="1"/>
  <c r="F204" i="74"/>
  <c r="F205" i="74" s="1"/>
  <c r="AN204" i="74"/>
  <c r="AN205" i="74" s="1"/>
  <c r="X200" i="74"/>
  <c r="X201" i="74" s="1"/>
  <c r="AO204" i="74"/>
  <c r="AO205" i="74" s="1"/>
  <c r="Y204" i="74"/>
  <c r="Y205" i="74" s="1"/>
  <c r="G200" i="74"/>
  <c r="G201" i="74" s="1"/>
  <c r="Y200" i="74"/>
  <c r="Y201" i="74" s="1"/>
  <c r="X204" i="74"/>
  <c r="X205" i="74" s="1"/>
  <c r="H204" i="74"/>
  <c r="H205" i="74" s="1"/>
  <c r="I211" i="73"/>
  <c r="H203" i="73"/>
  <c r="AA307" i="73"/>
  <c r="AA290" i="73"/>
  <c r="L202" i="5"/>
  <c r="F276" i="73" l="1"/>
  <c r="F292" i="73" s="1"/>
  <c r="F295" i="73" s="1"/>
  <c r="H205" i="73"/>
  <c r="G205" i="73"/>
  <c r="H212" i="73"/>
  <c r="H208" i="73"/>
  <c r="J208" i="73" s="1"/>
  <c r="G104" i="92"/>
  <c r="G107" i="92" s="1"/>
  <c r="G108" i="92" s="1"/>
  <c r="G248" i="92"/>
  <c r="G249" i="92" s="1"/>
  <c r="G256" i="92" s="1"/>
  <c r="G282" i="92" s="1"/>
  <c r="H224" i="92"/>
  <c r="H248" i="92" s="1"/>
  <c r="H249" i="92" s="1"/>
  <c r="H96" i="92"/>
  <c r="H97" i="92" s="1"/>
  <c r="H133" i="92" s="1"/>
  <c r="C39" i="92" s="1"/>
  <c r="H133" i="96"/>
  <c r="C39" i="96" s="1"/>
  <c r="H148" i="96"/>
  <c r="H172" i="96" s="1"/>
  <c r="H173" i="96" s="1"/>
  <c r="I72" i="96"/>
  <c r="I148" i="96" s="1"/>
  <c r="I172" i="96" s="1"/>
  <c r="I173" i="96" s="1"/>
  <c r="G140" i="14"/>
  <c r="G127" i="14"/>
  <c r="H315" i="74"/>
  <c r="I72" i="92"/>
  <c r="I148" i="92" s="1"/>
  <c r="I172" i="92" s="1"/>
  <c r="I173" i="92" s="1"/>
  <c r="H113" i="14"/>
  <c r="H51" i="14"/>
  <c r="T290" i="73"/>
  <c r="T298" i="73" s="1"/>
  <c r="R118" i="52" s="1"/>
  <c r="R194" i="52" s="1"/>
  <c r="H130" i="88"/>
  <c r="H107" i="96"/>
  <c r="H108" i="96" s="1"/>
  <c r="H172" i="88"/>
  <c r="H173" i="88" s="1"/>
  <c r="H209" i="88" s="1"/>
  <c r="H134" i="88"/>
  <c r="C40" i="88" s="1"/>
  <c r="G206" i="88"/>
  <c r="G130" i="52"/>
  <c r="G206" i="92"/>
  <c r="G180" i="52"/>
  <c r="G183" i="52" s="1"/>
  <c r="G184" i="52" s="1"/>
  <c r="G209" i="52"/>
  <c r="G210" i="52" s="1"/>
  <c r="H180" i="92"/>
  <c r="H183" i="92" s="1"/>
  <c r="H209" i="92"/>
  <c r="H104" i="52"/>
  <c r="H130" i="52" s="1"/>
  <c r="H133" i="52"/>
  <c r="C39" i="52" s="1"/>
  <c r="G256" i="96"/>
  <c r="G282" i="96" s="1"/>
  <c r="G285" i="96"/>
  <c r="G286" i="96" s="1"/>
  <c r="G180" i="96"/>
  <c r="G206" i="96" s="1"/>
  <c r="G209" i="96"/>
  <c r="G210" i="96" s="1"/>
  <c r="J72" i="88"/>
  <c r="J148" i="88" s="1"/>
  <c r="J72" i="52"/>
  <c r="T277" i="73"/>
  <c r="T280" i="73" s="1"/>
  <c r="AJ306" i="74"/>
  <c r="AD307" i="73"/>
  <c r="R306" i="73"/>
  <c r="R315" i="73" s="1"/>
  <c r="Q306" i="74"/>
  <c r="AO277" i="73"/>
  <c r="AO280" i="73" s="1"/>
  <c r="Y289" i="73"/>
  <c r="Y298" i="73" s="1"/>
  <c r="W118" i="52" s="1"/>
  <c r="W194" i="52" s="1"/>
  <c r="W270" i="52" s="1"/>
  <c r="W346" i="52" s="1"/>
  <c r="W422" i="52" s="1"/>
  <c r="AV289" i="74"/>
  <c r="U290" i="73"/>
  <c r="AP290" i="73"/>
  <c r="J290" i="73"/>
  <c r="V306" i="74"/>
  <c r="N276" i="73"/>
  <c r="N279" i="73" s="1"/>
  <c r="AH277" i="73"/>
  <c r="AH310" i="73" s="1"/>
  <c r="AH313" i="73" s="1"/>
  <c r="R276" i="73"/>
  <c r="R279" i="73" s="1"/>
  <c r="S289" i="73"/>
  <c r="N289" i="73"/>
  <c r="T306" i="73"/>
  <c r="T315" i="73" s="1"/>
  <c r="V276" i="73"/>
  <c r="V279" i="73" s="1"/>
  <c r="J277" i="73"/>
  <c r="J310" i="73" s="1"/>
  <c r="J313" i="73" s="1"/>
  <c r="AF290" i="73"/>
  <c r="AF298" i="73" s="1"/>
  <c r="AD118" i="52" s="1"/>
  <c r="AD194" i="52" s="1"/>
  <c r="V290" i="73"/>
  <c r="U277" i="73"/>
  <c r="U280" i="73" s="1"/>
  <c r="AV277" i="73"/>
  <c r="AV310" i="73" s="1"/>
  <c r="K307" i="74"/>
  <c r="L307" i="73"/>
  <c r="M276" i="73"/>
  <c r="M279" i="73" s="1"/>
  <c r="AW276" i="73"/>
  <c r="AW279" i="73" s="1"/>
  <c r="AX307" i="73"/>
  <c r="AC289" i="73"/>
  <c r="AR289" i="73"/>
  <c r="AR298" i="73" s="1"/>
  <c r="AP118" i="52" s="1"/>
  <c r="AP194" i="52" s="1"/>
  <c r="O307" i="73"/>
  <c r="AB290" i="73"/>
  <c r="AB298" i="73" s="1"/>
  <c r="Z118" i="52" s="1"/>
  <c r="Z194" i="52" s="1"/>
  <c r="AH290" i="73"/>
  <c r="AW289" i="73"/>
  <c r="AM289" i="73"/>
  <c r="AO276" i="73"/>
  <c r="AO279" i="73" s="1"/>
  <c r="X289" i="73"/>
  <c r="AO289" i="73"/>
  <c r="AR307" i="73"/>
  <c r="AR315" i="73" s="1"/>
  <c r="AR277" i="73"/>
  <c r="AR280" i="73" s="1"/>
  <c r="X276" i="73"/>
  <c r="X279" i="73" s="1"/>
  <c r="M289" i="73"/>
  <c r="Y307" i="74"/>
  <c r="AC290" i="73"/>
  <c r="S276" i="73"/>
  <c r="S279" i="73" s="1"/>
  <c r="Y276" i="73"/>
  <c r="AK276" i="73"/>
  <c r="AK279" i="73" s="1"/>
  <c r="P277" i="73"/>
  <c r="P280" i="73" s="1"/>
  <c r="AK306" i="73"/>
  <c r="AK315" i="73" s="1"/>
  <c r="AT307" i="73"/>
  <c r="AT315" i="73" s="1"/>
  <c r="J306" i="74"/>
  <c r="AC276" i="73"/>
  <c r="AC279" i="73" s="1"/>
  <c r="T276" i="73"/>
  <c r="T279" i="73" s="1"/>
  <c r="AL289" i="74"/>
  <c r="AJ289" i="73"/>
  <c r="AJ298" i="73" s="1"/>
  <c r="AH118" i="52" s="1"/>
  <c r="AH194" i="52" s="1"/>
  <c r="I306" i="73"/>
  <c r="V289" i="73"/>
  <c r="AJ307" i="73"/>
  <c r="AJ315" i="73" s="1"/>
  <c r="AM277" i="73"/>
  <c r="AM280" i="73" s="1"/>
  <c r="H277" i="73"/>
  <c r="H293" i="73" s="1"/>
  <c r="R277" i="73"/>
  <c r="R280" i="73" s="1"/>
  <c r="V277" i="73"/>
  <c r="V280" i="73" s="1"/>
  <c r="R290" i="73"/>
  <c r="R298" i="73" s="1"/>
  <c r="P118" i="52" s="1"/>
  <c r="P307" i="73"/>
  <c r="H290" i="73"/>
  <c r="H298" i="73" s="1"/>
  <c r="AB277" i="73"/>
  <c r="AB280" i="73" s="1"/>
  <c r="AT277" i="73"/>
  <c r="AT280" i="73" s="1"/>
  <c r="AH307" i="74"/>
  <c r="AR276" i="73"/>
  <c r="AR279" i="73" s="1"/>
  <c r="AJ277" i="73"/>
  <c r="AJ280" i="73" s="1"/>
  <c r="AJ276" i="73"/>
  <c r="AJ292" i="73" s="1"/>
  <c r="I276" i="73"/>
  <c r="I292" i="73" s="1"/>
  <c r="I295" i="73" s="1"/>
  <c r="F298" i="73"/>
  <c r="D117" i="52" s="1"/>
  <c r="D193" i="52" s="1"/>
  <c r="R306" i="74"/>
  <c r="AB306" i="74"/>
  <c r="AG306" i="74"/>
  <c r="P307" i="74"/>
  <c r="U306" i="74"/>
  <c r="G289" i="74"/>
  <c r="Q307" i="74"/>
  <c r="AS306" i="74"/>
  <c r="Y306" i="74"/>
  <c r="AL307" i="74"/>
  <c r="T289" i="74"/>
  <c r="F289" i="74"/>
  <c r="AT290" i="74"/>
  <c r="AT298" i="74" s="1"/>
  <c r="AR118" i="92" s="1"/>
  <c r="AR194" i="92" s="1"/>
  <c r="U290" i="74"/>
  <c r="N289" i="74"/>
  <c r="AB290" i="74"/>
  <c r="S307" i="74"/>
  <c r="AN306" i="74"/>
  <c r="AN289" i="74"/>
  <c r="O289" i="74"/>
  <c r="O306" i="74"/>
  <c r="AO306" i="74"/>
  <c r="AO289" i="74"/>
  <c r="AX306" i="74"/>
  <c r="AX289" i="74"/>
  <c r="AX298" i="74" s="1"/>
  <c r="I307" i="74"/>
  <c r="I290" i="74"/>
  <c r="W307" i="74"/>
  <c r="W290" i="74"/>
  <c r="Z290" i="74"/>
  <c r="Z307" i="74"/>
  <c r="AT306" i="74"/>
  <c r="AT315" i="74" s="1"/>
  <c r="F307" i="74"/>
  <c r="AK307" i="74"/>
  <c r="X289" i="74"/>
  <c r="AM289" i="74"/>
  <c r="AM306" i="74"/>
  <c r="W289" i="74"/>
  <c r="W306" i="74"/>
  <c r="AA290" i="74"/>
  <c r="AA307" i="74"/>
  <c r="AQ290" i="74"/>
  <c r="AE289" i="74"/>
  <c r="V290" i="74"/>
  <c r="AU307" i="74"/>
  <c r="E290" i="74"/>
  <c r="E298" i="74" s="1"/>
  <c r="AJ307" i="74"/>
  <c r="AI306" i="74"/>
  <c r="AR289" i="74"/>
  <c r="AR306" i="74"/>
  <c r="S306" i="74"/>
  <c r="AC290" i="74"/>
  <c r="AW306" i="74"/>
  <c r="AW315" i="74" s="1"/>
  <c r="AW289" i="74"/>
  <c r="AP307" i="74"/>
  <c r="AF306" i="74"/>
  <c r="AR307" i="74"/>
  <c r="AQ307" i="73"/>
  <c r="AQ277" i="73"/>
  <c r="AQ280" i="73" s="1"/>
  <c r="Z306" i="73"/>
  <c r="Z315" i="73" s="1"/>
  <c r="AI290" i="73"/>
  <c r="AI298" i="73" s="1"/>
  <c r="AG118" i="52" s="1"/>
  <c r="AG194" i="52" s="1"/>
  <c r="AF306" i="73"/>
  <c r="AF315" i="73" s="1"/>
  <c r="O277" i="73"/>
  <c r="O280" i="73" s="1"/>
  <c r="L277" i="73"/>
  <c r="L280" i="73" s="1"/>
  <c r="AC277" i="73"/>
  <c r="AC280" i="73" s="1"/>
  <c r="AM276" i="73"/>
  <c r="AM279" i="73" s="1"/>
  <c r="AX277" i="73"/>
  <c r="AX280" i="73" s="1"/>
  <c r="Z276" i="73"/>
  <c r="Z292" i="73" s="1"/>
  <c r="Z295" i="73" s="1"/>
  <c r="AF277" i="73"/>
  <c r="AF310" i="73" s="1"/>
  <c r="AF313" i="73" s="1"/>
  <c r="AP289" i="73"/>
  <c r="AN290" i="73"/>
  <c r="AG276" i="73"/>
  <c r="AG279" i="73" s="1"/>
  <c r="AI277" i="73"/>
  <c r="AI293" i="73" s="1"/>
  <c r="H306" i="73"/>
  <c r="H315" i="73" s="1"/>
  <c r="AL289" i="73"/>
  <c r="AN307" i="74"/>
  <c r="Q306" i="73"/>
  <c r="AO290" i="73"/>
  <c r="AG289" i="73"/>
  <c r="L306" i="74"/>
  <c r="H290" i="74"/>
  <c r="AQ289" i="74"/>
  <c r="AQ306" i="73"/>
  <c r="AG290" i="73"/>
  <c r="AP276" i="73"/>
  <c r="AF276" i="73"/>
  <c r="W276" i="73"/>
  <c r="W279" i="73" s="1"/>
  <c r="H276" i="73"/>
  <c r="H279" i="73" s="1"/>
  <c r="AD277" i="73"/>
  <c r="AD310" i="73" s="1"/>
  <c r="F307" i="73"/>
  <c r="F315" i="73" s="1"/>
  <c r="AI290" i="74"/>
  <c r="J307" i="74"/>
  <c r="J289" i="73"/>
  <c r="AE290" i="74"/>
  <c r="AL276" i="73"/>
  <c r="Q276" i="73"/>
  <c r="Q292" i="73" s="1"/>
  <c r="Q295" i="73" s="1"/>
  <c r="AN277" i="73"/>
  <c r="AN280" i="73" s="1"/>
  <c r="F277" i="73"/>
  <c r="F280" i="73" s="1"/>
  <c r="AW290" i="74"/>
  <c r="AW274" i="73"/>
  <c r="AW290" i="73" s="1"/>
  <c r="AW277" i="73"/>
  <c r="W289" i="73"/>
  <c r="W306" i="73"/>
  <c r="W315" i="73" s="1"/>
  <c r="N274" i="73"/>
  <c r="N277" i="73"/>
  <c r="N310" i="73" s="1"/>
  <c r="G306" i="73"/>
  <c r="G289" i="73"/>
  <c r="AA289" i="74"/>
  <c r="AA306" i="74"/>
  <c r="Q307" i="73"/>
  <c r="AI276" i="73"/>
  <c r="K276" i="73"/>
  <c r="K292" i="73" s="1"/>
  <c r="K295" i="73" s="1"/>
  <c r="M306" i="74"/>
  <c r="AU306" i="74"/>
  <c r="X274" i="73"/>
  <c r="X277" i="73"/>
  <c r="X310" i="73" s="1"/>
  <c r="G274" i="73"/>
  <c r="G277" i="73"/>
  <c r="G310" i="73" s="1"/>
  <c r="AE273" i="73"/>
  <c r="AE276" i="73"/>
  <c r="AE292" i="73" s="1"/>
  <c r="AH273" i="73"/>
  <c r="AH276" i="73"/>
  <c r="AH292" i="73" s="1"/>
  <c r="I274" i="73"/>
  <c r="I277" i="73"/>
  <c r="I293" i="73" s="1"/>
  <c r="AD273" i="73"/>
  <c r="AD276" i="73"/>
  <c r="Z289" i="74"/>
  <c r="Z306" i="74"/>
  <c r="M290" i="74"/>
  <c r="M307" i="74"/>
  <c r="AF307" i="74"/>
  <c r="AF290" i="74"/>
  <c r="N307" i="74"/>
  <c r="N315" i="74" s="1"/>
  <c r="N290" i="74"/>
  <c r="Y307" i="73"/>
  <c r="Y315" i="73" s="1"/>
  <c r="AV307" i="73"/>
  <c r="AV315" i="73" s="1"/>
  <c r="U289" i="73"/>
  <c r="AS306" i="73"/>
  <c r="AS315" i="73" s="1"/>
  <c r="AD290" i="74"/>
  <c r="AG277" i="73"/>
  <c r="AU277" i="73"/>
  <c r="AG290" i="74"/>
  <c r="AX307" i="74"/>
  <c r="S290" i="73"/>
  <c r="S307" i="73"/>
  <c r="S315" i="73" s="1"/>
  <c r="L290" i="74"/>
  <c r="L307" i="74"/>
  <c r="AS307" i="74"/>
  <c r="E273" i="73"/>
  <c r="E276" i="73"/>
  <c r="K306" i="74"/>
  <c r="K289" i="74"/>
  <c r="AL274" i="73"/>
  <c r="AL277" i="73"/>
  <c r="AL310" i="73" s="1"/>
  <c r="AU273" i="73"/>
  <c r="AU276" i="73"/>
  <c r="AU292" i="73" s="1"/>
  <c r="P273" i="73"/>
  <c r="P276" i="73"/>
  <c r="P309" i="73" s="1"/>
  <c r="M274" i="73"/>
  <c r="M277" i="73"/>
  <c r="M310" i="73" s="1"/>
  <c r="AO290" i="74"/>
  <c r="AO307" i="74"/>
  <c r="T307" i="74"/>
  <c r="AS276" i="73"/>
  <c r="AS279" i="73" s="1"/>
  <c r="AQ276" i="73"/>
  <c r="AQ279" i="73" s="1"/>
  <c r="AU290" i="73"/>
  <c r="X290" i="74"/>
  <c r="AK306" i="74"/>
  <c r="L306" i="73"/>
  <c r="AS290" i="73"/>
  <c r="AS298" i="73" s="1"/>
  <c r="AQ118" i="52" s="1"/>
  <c r="AQ194" i="52" s="1"/>
  <c r="AX306" i="73"/>
  <c r="K306" i="73"/>
  <c r="R290" i="74"/>
  <c r="AX276" i="73"/>
  <c r="U276" i="73"/>
  <c r="U279" i="73" s="1"/>
  <c r="Z277" i="73"/>
  <c r="Z293" i="73" s="1"/>
  <c r="I289" i="74"/>
  <c r="P306" i="74"/>
  <c r="AI306" i="73"/>
  <c r="AI315" i="73" s="1"/>
  <c r="J276" i="73"/>
  <c r="J279" i="73" s="1"/>
  <c r="S277" i="73"/>
  <c r="S280" i="73" s="1"/>
  <c r="AM307" i="74"/>
  <c r="AV290" i="74"/>
  <c r="O307" i="74"/>
  <c r="AP306" i="74"/>
  <c r="AT289" i="73"/>
  <c r="AT298" i="73" s="1"/>
  <c r="AR118" i="52" s="1"/>
  <c r="AR194" i="52" s="1"/>
  <c r="G276" i="73"/>
  <c r="G279" i="73" s="1"/>
  <c r="Q277" i="73"/>
  <c r="Q310" i="73" s="1"/>
  <c r="AS277" i="73"/>
  <c r="AS280" i="73" s="1"/>
  <c r="Y277" i="73"/>
  <c r="Y293" i="73" s="1"/>
  <c r="Y296" i="73" s="1"/>
  <c r="I212" i="73"/>
  <c r="AK290" i="73"/>
  <c r="AK298" i="73" s="1"/>
  <c r="AI118" i="52" s="1"/>
  <c r="AI194" i="52" s="1"/>
  <c r="E307" i="73"/>
  <c r="W290" i="73"/>
  <c r="AM290" i="73"/>
  <c r="O306" i="73"/>
  <c r="AN289" i="73"/>
  <c r="AB306" i="73"/>
  <c r="AB315" i="73" s="1"/>
  <c r="AP277" i="73"/>
  <c r="O276" i="73"/>
  <c r="O309" i="73" s="1"/>
  <c r="AT276" i="73"/>
  <c r="AT279" i="73" s="1"/>
  <c r="AB276" i="73"/>
  <c r="AB279" i="73" s="1"/>
  <c r="K277" i="73"/>
  <c r="K310" i="73" s="1"/>
  <c r="I212" i="74"/>
  <c r="AE290" i="73"/>
  <c r="Z290" i="73"/>
  <c r="Z298" i="73" s="1"/>
  <c r="X118" i="52" s="1"/>
  <c r="X194" i="52" s="1"/>
  <c r="K307" i="73"/>
  <c r="AD306" i="74"/>
  <c r="AC289" i="74"/>
  <c r="E306" i="74"/>
  <c r="AV289" i="73"/>
  <c r="AV298" i="73" s="1"/>
  <c r="AT118" i="52" s="1"/>
  <c r="AT194" i="52" s="1"/>
  <c r="AT270" i="52" s="1"/>
  <c r="AT346" i="52" s="1"/>
  <c r="AT422" i="52" s="1"/>
  <c r="AA306" i="73"/>
  <c r="AA315" i="73" s="1"/>
  <c r="W277" i="73"/>
  <c r="W293" i="73" s="1"/>
  <c r="AN276" i="73"/>
  <c r="AN279" i="73" s="1"/>
  <c r="E277" i="73"/>
  <c r="E280" i="73" s="1"/>
  <c r="AV276" i="73"/>
  <c r="AV279" i="73" s="1"/>
  <c r="AA276" i="73"/>
  <c r="AA279" i="73" s="1"/>
  <c r="AH306" i="74"/>
  <c r="I59" i="14"/>
  <c r="I72" i="14"/>
  <c r="AK277" i="73"/>
  <c r="AK280" i="73" s="1"/>
  <c r="AE277" i="73"/>
  <c r="AE310" i="73" s="1"/>
  <c r="AE313" i="73" s="1"/>
  <c r="L276" i="73"/>
  <c r="L309" i="73" s="1"/>
  <c r="I135" i="14"/>
  <c r="I122" i="14"/>
  <c r="G376" i="96"/>
  <c r="G400" i="96" s="1"/>
  <c r="G401" i="96" s="1"/>
  <c r="G324" i="96"/>
  <c r="G325" i="96" s="1"/>
  <c r="H224" i="88"/>
  <c r="H300" i="88" s="1"/>
  <c r="G248" i="88"/>
  <c r="G249" i="88" s="1"/>
  <c r="G184" i="92"/>
  <c r="G376" i="92"/>
  <c r="G400" i="92" s="1"/>
  <c r="G401" i="92" s="1"/>
  <c r="G324" i="92"/>
  <c r="G325" i="92" s="1"/>
  <c r="I96" i="88"/>
  <c r="I97" i="88" s="1"/>
  <c r="H108" i="88"/>
  <c r="G184" i="88"/>
  <c r="G376" i="88"/>
  <c r="G400" i="88" s="1"/>
  <c r="G401" i="88" s="1"/>
  <c r="G324" i="88"/>
  <c r="G325" i="88" s="1"/>
  <c r="I224" i="88"/>
  <c r="I172" i="88"/>
  <c r="I173" i="88" s="1"/>
  <c r="H62" i="14"/>
  <c r="H64" i="14" s="1"/>
  <c r="H75" i="14"/>
  <c r="H77" i="14" s="1"/>
  <c r="H125" i="14"/>
  <c r="H138" i="14"/>
  <c r="H172" i="52"/>
  <c r="H173" i="52" s="1"/>
  <c r="H224" i="52"/>
  <c r="G300" i="52"/>
  <c r="G248" i="52"/>
  <c r="G249" i="52" s="1"/>
  <c r="I148" i="52"/>
  <c r="I96" i="52"/>
  <c r="I97" i="52" s="1"/>
  <c r="J101" i="14"/>
  <c r="J38" i="14"/>
  <c r="I48" i="14"/>
  <c r="I50" i="14" s="1"/>
  <c r="I111" i="14"/>
  <c r="I114" i="14" s="1"/>
  <c r="L206" i="5"/>
  <c r="I209" i="73"/>
  <c r="I209" i="74"/>
  <c r="AE315" i="74"/>
  <c r="O298" i="73"/>
  <c r="M118" i="52" s="1"/>
  <c r="M194" i="52" s="1"/>
  <c r="K298" i="73"/>
  <c r="I118" i="52" s="1"/>
  <c r="I194" i="52" s="1"/>
  <c r="AA298" i="73"/>
  <c r="Y118" i="52" s="1"/>
  <c r="Y194" i="52" s="1"/>
  <c r="AA293" i="73"/>
  <c r="AA296" i="73" s="1"/>
  <c r="AA310" i="73"/>
  <c r="AA313" i="73" s="1"/>
  <c r="Q298" i="73"/>
  <c r="O118" i="52" s="1"/>
  <c r="O194" i="52" s="1"/>
  <c r="AK298" i="74"/>
  <c r="AI118" i="92" s="1"/>
  <c r="AI194" i="92" s="1"/>
  <c r="AA280" i="73"/>
  <c r="V315" i="73"/>
  <c r="AO315" i="73"/>
  <c r="Y298" i="74"/>
  <c r="W118" i="92" s="1"/>
  <c r="W194" i="92" s="1"/>
  <c r="W270" i="92" s="1"/>
  <c r="W346" i="92" s="1"/>
  <c r="W422" i="92" s="1"/>
  <c r="J298" i="74"/>
  <c r="H118" i="92" s="1"/>
  <c r="H194" i="92" s="1"/>
  <c r="Q298" i="74"/>
  <c r="O118" i="92" s="1"/>
  <c r="O194" i="92" s="1"/>
  <c r="AN315" i="73"/>
  <c r="P298" i="74"/>
  <c r="N118" i="92" s="1"/>
  <c r="N194" i="92" s="1"/>
  <c r="AM315" i="73"/>
  <c r="E201" i="74"/>
  <c r="H209" i="74" s="1"/>
  <c r="H208" i="74"/>
  <c r="J208" i="74" s="1"/>
  <c r="L276" i="74"/>
  <c r="E276" i="74"/>
  <c r="AA277" i="74"/>
  <c r="AH276" i="74"/>
  <c r="S276" i="74"/>
  <c r="AV276" i="74"/>
  <c r="AW277" i="74"/>
  <c r="AQ277" i="74"/>
  <c r="AE277" i="74"/>
  <c r="AL277" i="74"/>
  <c r="AC277" i="74"/>
  <c r="AG276" i="74"/>
  <c r="T276" i="74"/>
  <c r="AO277" i="74"/>
  <c r="K276" i="74"/>
  <c r="Y277" i="74"/>
  <c r="Z277" i="74"/>
  <c r="O276" i="74"/>
  <c r="M276" i="74"/>
  <c r="N277" i="74"/>
  <c r="AU277" i="74"/>
  <c r="AW276" i="74"/>
  <c r="AM276" i="74"/>
  <c r="AI277" i="74"/>
  <c r="AH277" i="74"/>
  <c r="V277" i="74"/>
  <c r="Y276" i="74"/>
  <c r="Z276" i="74"/>
  <c r="AL276" i="74"/>
  <c r="AC276" i="74"/>
  <c r="AM277" i="74"/>
  <c r="AX277" i="74"/>
  <c r="U277" i="74"/>
  <c r="M277" i="74"/>
  <c r="AK277" i="74"/>
  <c r="AT277" i="74"/>
  <c r="AS276" i="74"/>
  <c r="S277" i="74"/>
  <c r="AA276" i="74"/>
  <c r="AO276" i="74"/>
  <c r="AF276" i="74"/>
  <c r="J277" i="74"/>
  <c r="I277" i="74"/>
  <c r="X276" i="74"/>
  <c r="F276" i="74"/>
  <c r="AB276" i="74"/>
  <c r="L277" i="74"/>
  <c r="AD276" i="74"/>
  <c r="P276" i="74"/>
  <c r="Q277" i="74"/>
  <c r="R277" i="74"/>
  <c r="AP277" i="74"/>
  <c r="AJ276" i="74"/>
  <c r="AN277" i="74"/>
  <c r="AU276" i="74"/>
  <c r="P277" i="74"/>
  <c r="AR277" i="74"/>
  <c r="U276" i="74"/>
  <c r="E277" i="74"/>
  <c r="R276" i="74"/>
  <c r="AE276" i="74"/>
  <c r="J276" i="74"/>
  <c r="AP276" i="74"/>
  <c r="N276" i="74"/>
  <c r="AV277" i="74"/>
  <c r="AJ277" i="74"/>
  <c r="H276" i="74"/>
  <c r="I276" i="74"/>
  <c r="X277" i="74"/>
  <c r="O277" i="74"/>
  <c r="AS277" i="74"/>
  <c r="T277" i="74"/>
  <c r="AF277" i="74"/>
  <c r="AR276" i="74"/>
  <c r="AI276" i="74"/>
  <c r="F277" i="74"/>
  <c r="AB277" i="74"/>
  <c r="W276" i="74"/>
  <c r="AQ276" i="74"/>
  <c r="G276" i="74"/>
  <c r="K277" i="74"/>
  <c r="H277" i="74"/>
  <c r="V276" i="74"/>
  <c r="AD277" i="74"/>
  <c r="AG277" i="74"/>
  <c r="AT276" i="74"/>
  <c r="W277" i="74"/>
  <c r="AK276" i="74"/>
  <c r="Q276" i="74"/>
  <c r="AX276" i="74"/>
  <c r="AN276" i="74"/>
  <c r="H209" i="73"/>
  <c r="AG315" i="73"/>
  <c r="AC315" i="74"/>
  <c r="AS298" i="74"/>
  <c r="AQ118" i="92" s="1"/>
  <c r="AQ194" i="92" s="1"/>
  <c r="E205" i="74"/>
  <c r="H213" i="74" s="1"/>
  <c r="H211" i="74"/>
  <c r="J211" i="74" s="1"/>
  <c r="L298" i="73"/>
  <c r="J118" i="52" s="1"/>
  <c r="J194" i="52" s="1"/>
  <c r="AX298" i="73"/>
  <c r="AQ298" i="73"/>
  <c r="AO118" i="52" s="1"/>
  <c r="AO194" i="52" s="1"/>
  <c r="E205" i="73"/>
  <c r="H211" i="73"/>
  <c r="J211" i="73" s="1"/>
  <c r="AU298" i="74"/>
  <c r="AS118" i="92" s="1"/>
  <c r="AS194" i="92" s="1"/>
  <c r="U315" i="73"/>
  <c r="AV315" i="74"/>
  <c r="AQ315" i="74"/>
  <c r="S298" i="74"/>
  <c r="Q118" i="92" s="1"/>
  <c r="Q194" i="92" s="1"/>
  <c r="J315" i="73"/>
  <c r="H212" i="74"/>
  <c r="G280" i="74"/>
  <c r="G290" i="74"/>
  <c r="G307" i="74"/>
  <c r="AP315" i="73"/>
  <c r="AH298" i="74"/>
  <c r="AF118" i="92" s="1"/>
  <c r="AF194" i="92" s="1"/>
  <c r="X315" i="74"/>
  <c r="AC315" i="73"/>
  <c r="AJ298" i="74"/>
  <c r="AH118" i="92" s="1"/>
  <c r="AH194" i="92" s="1"/>
  <c r="G310" i="74"/>
  <c r="G293" i="74"/>
  <c r="AP298" i="74"/>
  <c r="AN118" i="92" s="1"/>
  <c r="AN194" i="92" s="1"/>
  <c r="AN270" i="92" s="1"/>
  <c r="AN346" i="92" s="1"/>
  <c r="AN422" i="92" s="1"/>
  <c r="F309" i="73" l="1"/>
  <c r="F312" i="73" s="1"/>
  <c r="F279" i="73"/>
  <c r="J212" i="73"/>
  <c r="H213" i="73"/>
  <c r="AI296" i="73"/>
  <c r="H224" i="96"/>
  <c r="H248" i="96" s="1"/>
  <c r="H249" i="96" s="1"/>
  <c r="H285" i="96" s="1"/>
  <c r="G130" i="92"/>
  <c r="G285" i="92"/>
  <c r="G286" i="92" s="1"/>
  <c r="H300" i="92"/>
  <c r="H324" i="92" s="1"/>
  <c r="H325" i="92" s="1"/>
  <c r="I224" i="92"/>
  <c r="I300" i="92" s="1"/>
  <c r="AU315" i="74"/>
  <c r="I224" i="96"/>
  <c r="I300" i="96" s="1"/>
  <c r="H104" i="92"/>
  <c r="H130" i="92" s="1"/>
  <c r="H134" i="96"/>
  <c r="C40" i="96" s="1"/>
  <c r="I96" i="96"/>
  <c r="I97" i="96" s="1"/>
  <c r="I104" i="96" s="1"/>
  <c r="I107" i="96" s="1"/>
  <c r="I108" i="96" s="1"/>
  <c r="J72" i="92"/>
  <c r="J96" i="92" s="1"/>
  <c r="J97" i="92" s="1"/>
  <c r="J104" i="92" s="1"/>
  <c r="J130" i="92" s="1"/>
  <c r="I96" i="92"/>
  <c r="I97" i="92" s="1"/>
  <c r="I104" i="92" s="1"/>
  <c r="I107" i="92" s="1"/>
  <c r="I108" i="92" s="1"/>
  <c r="J72" i="96"/>
  <c r="J96" i="96" s="1"/>
  <c r="J97" i="96" s="1"/>
  <c r="J104" i="96" s="1"/>
  <c r="J107" i="96" s="1"/>
  <c r="C11" i="88"/>
  <c r="L210" i="5"/>
  <c r="C11" i="96"/>
  <c r="M210" i="5"/>
  <c r="E315" i="74"/>
  <c r="AG298" i="74"/>
  <c r="AE118" i="92" s="1"/>
  <c r="AE194" i="92" s="1"/>
  <c r="AE270" i="92" s="1"/>
  <c r="M298" i="74"/>
  <c r="K118" i="92" s="1"/>
  <c r="K194" i="92" s="1"/>
  <c r="K196" i="92" s="1"/>
  <c r="H298" i="74"/>
  <c r="F117" i="92" s="1"/>
  <c r="F193" i="92" s="1"/>
  <c r="AI315" i="74"/>
  <c r="V298" i="74"/>
  <c r="T118" i="92" s="1"/>
  <c r="T194" i="92" s="1"/>
  <c r="T270" i="92" s="1"/>
  <c r="AN298" i="74"/>
  <c r="AL118" i="92" s="1"/>
  <c r="AL194" i="92" s="1"/>
  <c r="AL270" i="92" s="1"/>
  <c r="AL346" i="92" s="1"/>
  <c r="AL422" i="92" s="1"/>
  <c r="U315" i="74"/>
  <c r="AG315" i="74"/>
  <c r="AL298" i="74"/>
  <c r="AJ118" i="92" s="1"/>
  <c r="AJ194" i="92" s="1"/>
  <c r="AJ270" i="92" s="1"/>
  <c r="AJ346" i="92" s="1"/>
  <c r="AJ422" i="92" s="1"/>
  <c r="AF298" i="74"/>
  <c r="AD118" i="92" s="1"/>
  <c r="AD194" i="92" s="1"/>
  <c r="AD196" i="92" s="1"/>
  <c r="AD315" i="74"/>
  <c r="R298" i="74"/>
  <c r="P118" i="92" s="1"/>
  <c r="V83" i="92" s="1"/>
  <c r="T315" i="74"/>
  <c r="K298" i="74"/>
  <c r="I118" i="92" s="1"/>
  <c r="I194" i="92" s="1"/>
  <c r="I196" i="92" s="1"/>
  <c r="AD298" i="74"/>
  <c r="AB118" i="92" s="1"/>
  <c r="AB194" i="92" s="1"/>
  <c r="AB270" i="92" s="1"/>
  <c r="AI298" i="74"/>
  <c r="AG118" i="92" s="1"/>
  <c r="AG194" i="92" s="1"/>
  <c r="AG270" i="92" s="1"/>
  <c r="AR298" i="74"/>
  <c r="AP118" i="92" s="1"/>
  <c r="AP194" i="92" s="1"/>
  <c r="AP270" i="92" s="1"/>
  <c r="C117" i="92"/>
  <c r="C193" i="92" s="1"/>
  <c r="U298" i="74"/>
  <c r="S118" i="92" s="1"/>
  <c r="S194" i="92" s="1"/>
  <c r="S196" i="92" s="1"/>
  <c r="F298" i="74"/>
  <c r="D117" i="92" s="1"/>
  <c r="D193" i="92" s="1"/>
  <c r="AB315" i="74"/>
  <c r="H127" i="14"/>
  <c r="H140" i="14"/>
  <c r="L298" i="74"/>
  <c r="J118" i="92" s="1"/>
  <c r="J194" i="92" s="1"/>
  <c r="J196" i="92" s="1"/>
  <c r="AM298" i="74"/>
  <c r="AK118" i="92" s="1"/>
  <c r="AK194" i="92" s="1"/>
  <c r="AK270" i="92" s="1"/>
  <c r="I315" i="74"/>
  <c r="T298" i="74"/>
  <c r="R118" i="92" s="1"/>
  <c r="R194" i="92" s="1"/>
  <c r="R270" i="92" s="1"/>
  <c r="R315" i="74"/>
  <c r="F315" i="74"/>
  <c r="O298" i="74"/>
  <c r="M118" i="92" s="1"/>
  <c r="AB298" i="74"/>
  <c r="Z118" i="92" s="1"/>
  <c r="Z194" i="92" s="1"/>
  <c r="Z270" i="92" s="1"/>
  <c r="AL315" i="74"/>
  <c r="V315" i="74"/>
  <c r="P194" i="52"/>
  <c r="P270" i="52" s="1"/>
  <c r="I113" i="14"/>
  <c r="I51" i="14"/>
  <c r="T293" i="73"/>
  <c r="T296" i="73" s="1"/>
  <c r="G206" i="52"/>
  <c r="T310" i="73"/>
  <c r="T313" i="73" s="1"/>
  <c r="J298" i="73"/>
  <c r="H118" i="52" s="1"/>
  <c r="H194" i="52" s="1"/>
  <c r="H196" i="52" s="1"/>
  <c r="AP298" i="73"/>
  <c r="AN118" i="52" s="1"/>
  <c r="AN194" i="52" s="1"/>
  <c r="AN270" i="52" s="1"/>
  <c r="AN346" i="52" s="1"/>
  <c r="AN422" i="52" s="1"/>
  <c r="H180" i="88"/>
  <c r="H183" i="88" s="1"/>
  <c r="H184" i="88" s="1"/>
  <c r="H270" i="92"/>
  <c r="H196" i="92"/>
  <c r="O270" i="52"/>
  <c r="O196" i="52"/>
  <c r="AI270" i="52"/>
  <c r="AI196" i="52"/>
  <c r="AH270" i="52"/>
  <c r="AH196" i="52"/>
  <c r="AP270" i="52"/>
  <c r="AP196" i="52"/>
  <c r="AS270" i="92"/>
  <c r="AS196" i="92"/>
  <c r="AQ270" i="92"/>
  <c r="AQ196" i="92"/>
  <c r="O270" i="92"/>
  <c r="O196" i="92"/>
  <c r="R270" i="52"/>
  <c r="R196" i="52"/>
  <c r="AR270" i="52"/>
  <c r="AR196" i="52"/>
  <c r="AW298" i="73"/>
  <c r="AD270" i="52"/>
  <c r="AD196" i="52"/>
  <c r="X270" i="52"/>
  <c r="X196" i="52"/>
  <c r="AH270" i="92"/>
  <c r="AH196" i="92"/>
  <c r="AO270" i="52"/>
  <c r="AO196" i="52"/>
  <c r="Y270" i="52"/>
  <c r="Y196" i="52"/>
  <c r="I270" i="52"/>
  <c r="I196" i="52"/>
  <c r="V298" i="73"/>
  <c r="T118" i="52" s="1"/>
  <c r="T194" i="52" s="1"/>
  <c r="H210" i="92"/>
  <c r="C45" i="92" s="1"/>
  <c r="C44" i="92"/>
  <c r="Q270" i="92"/>
  <c r="Q196" i="92"/>
  <c r="AI270" i="92"/>
  <c r="AI196" i="92"/>
  <c r="AF270" i="92"/>
  <c r="AF196" i="92"/>
  <c r="J270" i="52"/>
  <c r="J196" i="52"/>
  <c r="N270" i="92"/>
  <c r="N196" i="92"/>
  <c r="M270" i="52"/>
  <c r="M196" i="52"/>
  <c r="AQ270" i="52"/>
  <c r="AQ196" i="52"/>
  <c r="AG270" i="52"/>
  <c r="AG196" i="52"/>
  <c r="AR270" i="92"/>
  <c r="AR196" i="92"/>
  <c r="Z270" i="52"/>
  <c r="Z196" i="52"/>
  <c r="H210" i="88"/>
  <c r="C45" i="88" s="1"/>
  <c r="C44" i="88"/>
  <c r="G259" i="92"/>
  <c r="G260" i="92" s="1"/>
  <c r="H206" i="92"/>
  <c r="H134" i="92"/>
  <c r="C40" i="92" s="1"/>
  <c r="H134" i="52"/>
  <c r="C40" i="52" s="1"/>
  <c r="G183" i="96"/>
  <c r="G184" i="96" s="1"/>
  <c r="G256" i="52"/>
  <c r="G282" i="52" s="1"/>
  <c r="G285" i="52"/>
  <c r="G286" i="52" s="1"/>
  <c r="I180" i="92"/>
  <c r="I206" i="92" s="1"/>
  <c r="I209" i="92"/>
  <c r="I210" i="92" s="1"/>
  <c r="G332" i="96"/>
  <c r="G358" i="96" s="1"/>
  <c r="G361" i="96"/>
  <c r="G362" i="96" s="1"/>
  <c r="H107" i="52"/>
  <c r="H108" i="52" s="1"/>
  <c r="G408" i="88"/>
  <c r="G411" i="88" s="1"/>
  <c r="G437" i="88"/>
  <c r="G438" i="88" s="1"/>
  <c r="I104" i="88"/>
  <c r="I130" i="88" s="1"/>
  <c r="I133" i="88"/>
  <c r="I134" i="88" s="1"/>
  <c r="G408" i="96"/>
  <c r="G434" i="96" s="1"/>
  <c r="G437" i="96"/>
  <c r="G438" i="96" s="1"/>
  <c r="G259" i="96"/>
  <c r="G260" i="96" s="1"/>
  <c r="H180" i="96"/>
  <c r="H183" i="96" s="1"/>
  <c r="H184" i="96" s="1"/>
  <c r="H209" i="96"/>
  <c r="G408" i="92"/>
  <c r="G434" i="92" s="1"/>
  <c r="G437" i="92"/>
  <c r="G438" i="92" s="1"/>
  <c r="G256" i="88"/>
  <c r="G282" i="88" s="1"/>
  <c r="G285" i="88"/>
  <c r="G286" i="88" s="1"/>
  <c r="I104" i="52"/>
  <c r="I130" i="52" s="1"/>
  <c r="I133" i="52"/>
  <c r="I134" i="52" s="1"/>
  <c r="H180" i="52"/>
  <c r="H206" i="52" s="1"/>
  <c r="H209" i="52"/>
  <c r="G332" i="88"/>
  <c r="G335" i="88" s="1"/>
  <c r="G361" i="88"/>
  <c r="G362" i="88" s="1"/>
  <c r="H256" i="92"/>
  <c r="H282" i="92" s="1"/>
  <c r="H285" i="92"/>
  <c r="I180" i="88"/>
  <c r="I206" i="88" s="1"/>
  <c r="I209" i="88"/>
  <c r="I210" i="88" s="1"/>
  <c r="G332" i="92"/>
  <c r="G358" i="92" s="1"/>
  <c r="G361" i="92"/>
  <c r="G362" i="92" s="1"/>
  <c r="I180" i="96"/>
  <c r="I183" i="96" s="1"/>
  <c r="I209" i="96"/>
  <c r="I210" i="96" s="1"/>
  <c r="K72" i="52"/>
  <c r="K72" i="88"/>
  <c r="K96" i="88" s="1"/>
  <c r="K97" i="88" s="1"/>
  <c r="AP315" i="74"/>
  <c r="K315" i="74"/>
  <c r="AM315" i="74"/>
  <c r="AX315" i="73"/>
  <c r="K279" i="73"/>
  <c r="R292" i="73"/>
  <c r="R295" i="73" s="1"/>
  <c r="Q309" i="73"/>
  <c r="Q312" i="73" s="1"/>
  <c r="R293" i="73"/>
  <c r="R296" i="73" s="1"/>
  <c r="AD313" i="73"/>
  <c r="AJ315" i="74"/>
  <c r="U298" i="73"/>
  <c r="Q315" i="74"/>
  <c r="AO310" i="73"/>
  <c r="AO313" i="73" s="1"/>
  <c r="AO293" i="73"/>
  <c r="AO296" i="73" s="1"/>
  <c r="V309" i="73"/>
  <c r="V312" i="73" s="1"/>
  <c r="AV298" i="74"/>
  <c r="AT118" i="92" s="1"/>
  <c r="AT194" i="92" s="1"/>
  <c r="AT270" i="92" s="1"/>
  <c r="AT346" i="92" s="1"/>
  <c r="AT422" i="92" s="1"/>
  <c r="AL293" i="73"/>
  <c r="AC310" i="73"/>
  <c r="AC313" i="73" s="1"/>
  <c r="N292" i="73"/>
  <c r="N295" i="73" s="1"/>
  <c r="AS310" i="73"/>
  <c r="AS313" i="73" s="1"/>
  <c r="N309" i="73"/>
  <c r="N312" i="73" s="1"/>
  <c r="AH280" i="73"/>
  <c r="AF280" i="73"/>
  <c r="AC293" i="73"/>
  <c r="AC296" i="73" s="1"/>
  <c r="T292" i="73"/>
  <c r="T295" i="73" s="1"/>
  <c r="AH293" i="73"/>
  <c r="AH296" i="73" s="1"/>
  <c r="T309" i="73"/>
  <c r="T312" i="73" s="1"/>
  <c r="AF293" i="73"/>
  <c r="AF296" i="73" s="1"/>
  <c r="AO309" i="73"/>
  <c r="AO312" i="73" s="1"/>
  <c r="AH315" i="74"/>
  <c r="W298" i="73"/>
  <c r="U118" i="52" s="1"/>
  <c r="AK293" i="73"/>
  <c r="AK296" i="73" s="1"/>
  <c r="AK292" i="73"/>
  <c r="AK295" i="73" s="1"/>
  <c r="AR309" i="73"/>
  <c r="AR312" i="73" s="1"/>
  <c r="AO292" i="73"/>
  <c r="AO295" i="73" s="1"/>
  <c r="L315" i="73"/>
  <c r="R309" i="73"/>
  <c r="R312" i="73" s="1"/>
  <c r="AK309" i="73"/>
  <c r="AK312" i="73" s="1"/>
  <c r="AR292" i="73"/>
  <c r="AR295" i="73" s="1"/>
  <c r="R310" i="73"/>
  <c r="R313" i="73" s="1"/>
  <c r="AI310" i="73"/>
  <c r="AI313" i="73" s="1"/>
  <c r="AI280" i="73"/>
  <c r="I279" i="73"/>
  <c r="I309" i="73"/>
  <c r="I312" i="73" s="1"/>
  <c r="H280" i="73"/>
  <c r="H310" i="73"/>
  <c r="H313" i="73" s="1"/>
  <c r="Y279" i="73"/>
  <c r="Y292" i="73"/>
  <c r="Y295" i="73" s="1"/>
  <c r="Y299" i="73" s="1"/>
  <c r="W118" i="88" s="1"/>
  <c r="W194" i="88" s="1"/>
  <c r="W270" i="88" s="1"/>
  <c r="W346" i="88" s="1"/>
  <c r="W422" i="88" s="1"/>
  <c r="Y309" i="73"/>
  <c r="Y312" i="73" s="1"/>
  <c r="X292" i="73"/>
  <c r="X295" i="73" s="1"/>
  <c r="X309" i="73"/>
  <c r="X312" i="73" s="1"/>
  <c r="AV280" i="73"/>
  <c r="AV293" i="73"/>
  <c r="AV296" i="73" s="1"/>
  <c r="O315" i="73"/>
  <c r="AQ315" i="73"/>
  <c r="AJ295" i="73"/>
  <c r="J280" i="73"/>
  <c r="J293" i="73"/>
  <c r="J296" i="73" s="1"/>
  <c r="AM298" i="73"/>
  <c r="V292" i="73"/>
  <c r="V295" i="73" s="1"/>
  <c r="S298" i="73"/>
  <c r="Y315" i="74"/>
  <c r="AO298" i="73"/>
  <c r="AM118" i="52" s="1"/>
  <c r="AM194" i="52" s="1"/>
  <c r="AM270" i="52" s="1"/>
  <c r="AM346" i="52" s="1"/>
  <c r="AM422" i="52" s="1"/>
  <c r="AC298" i="73"/>
  <c r="H292" i="73"/>
  <c r="H295" i="73" s="1"/>
  <c r="Z279" i="73"/>
  <c r="P310" i="73"/>
  <c r="P313" i="73" s="1"/>
  <c r="U310" i="73"/>
  <c r="U313" i="73" s="1"/>
  <c r="M309" i="73"/>
  <c r="M312" i="73" s="1"/>
  <c r="W309" i="73"/>
  <c r="W312" i="73" s="1"/>
  <c r="P293" i="73"/>
  <c r="P296" i="73" s="1"/>
  <c r="AR293" i="73"/>
  <c r="AR296" i="73" s="1"/>
  <c r="U293" i="73"/>
  <c r="U296" i="73" s="1"/>
  <c r="M292" i="73"/>
  <c r="M295" i="73" s="1"/>
  <c r="G293" i="73"/>
  <c r="AJ293" i="73"/>
  <c r="AJ296" i="73" s="1"/>
  <c r="S309" i="73"/>
  <c r="S312" i="73" s="1"/>
  <c r="AT293" i="73"/>
  <c r="AT296" i="73" s="1"/>
  <c r="S293" i="73"/>
  <c r="S296" i="73" s="1"/>
  <c r="AW309" i="73"/>
  <c r="AW312" i="73" s="1"/>
  <c r="AQ292" i="73"/>
  <c r="AQ295" i="73" s="1"/>
  <c r="AX310" i="73"/>
  <c r="AX313" i="73" s="1"/>
  <c r="Q293" i="73"/>
  <c r="Q296" i="73" s="1"/>
  <c r="Q299" i="73" s="1"/>
  <c r="O118" i="88" s="1"/>
  <c r="O194" i="88" s="1"/>
  <c r="S292" i="73"/>
  <c r="S295" i="73" s="1"/>
  <c r="AJ279" i="73"/>
  <c r="AR310" i="73"/>
  <c r="AR313" i="73" s="1"/>
  <c r="AM310" i="73"/>
  <c r="AM313" i="73" s="1"/>
  <c r="AW292" i="73"/>
  <c r="AW295" i="73" s="1"/>
  <c r="AS293" i="73"/>
  <c r="AS296" i="73" s="1"/>
  <c r="AC309" i="73"/>
  <c r="AC312" i="73" s="1"/>
  <c r="L310" i="73"/>
  <c r="L313" i="73" s="1"/>
  <c r="AT310" i="73"/>
  <c r="AT313" i="73" s="1"/>
  <c r="AM293" i="73"/>
  <c r="AM296" i="73" s="1"/>
  <c r="E310" i="73"/>
  <c r="E313" i="73" s="1"/>
  <c r="AJ310" i="73"/>
  <c r="AJ313" i="73" s="1"/>
  <c r="V310" i="73"/>
  <c r="V313" i="73" s="1"/>
  <c r="AB310" i="73"/>
  <c r="AB313" i="73" s="1"/>
  <c r="Z309" i="73"/>
  <c r="Z312" i="73" s="1"/>
  <c r="AJ309" i="73"/>
  <c r="AJ312" i="73" s="1"/>
  <c r="AK315" i="74"/>
  <c r="I310" i="73"/>
  <c r="AV309" i="73"/>
  <c r="AV312" i="73" s="1"/>
  <c r="AC292" i="73"/>
  <c r="AC295" i="73" s="1"/>
  <c r="L293" i="73"/>
  <c r="L296" i="73" s="1"/>
  <c r="V293" i="73"/>
  <c r="V296" i="73" s="1"/>
  <c r="AB293" i="73"/>
  <c r="AB296" i="73" s="1"/>
  <c r="AG292" i="73"/>
  <c r="AG295" i="73" s="1"/>
  <c r="H296" i="73"/>
  <c r="O310" i="73"/>
  <c r="O313" i="73" s="1"/>
  <c r="Z296" i="73"/>
  <c r="Z299" i="73" s="1"/>
  <c r="X118" i="88" s="1"/>
  <c r="X194" i="88" s="1"/>
  <c r="J315" i="74"/>
  <c r="P315" i="74"/>
  <c r="AC298" i="74"/>
  <c r="AA118" i="92" s="1"/>
  <c r="AO315" i="74"/>
  <c r="AS315" i="74"/>
  <c r="AA315" i="74"/>
  <c r="AN315" i="74"/>
  <c r="S315" i="74"/>
  <c r="AO298" i="74"/>
  <c r="AQ298" i="74"/>
  <c r="AO118" i="92" s="1"/>
  <c r="AO194" i="92" s="1"/>
  <c r="AE298" i="74"/>
  <c r="AC118" i="92" s="1"/>
  <c r="AC194" i="92" s="1"/>
  <c r="I298" i="74"/>
  <c r="G118" i="92" s="1"/>
  <c r="G194" i="92" s="1"/>
  <c r="X298" i="74"/>
  <c r="V118" i="92" s="1"/>
  <c r="V194" i="92" s="1"/>
  <c r="V270" i="92" s="1"/>
  <c r="V346" i="92" s="1"/>
  <c r="V422" i="92" s="1"/>
  <c r="N298" i="74"/>
  <c r="L118" i="92" s="1"/>
  <c r="L194" i="92" s="1"/>
  <c r="Z315" i="74"/>
  <c r="AX315" i="74"/>
  <c r="AF315" i="74"/>
  <c r="Z298" i="74"/>
  <c r="X118" i="92" s="1"/>
  <c r="X194" i="92" s="1"/>
  <c r="AR315" i="74"/>
  <c r="W298" i="74"/>
  <c r="W315" i="74"/>
  <c r="O315" i="74"/>
  <c r="AW298" i="74"/>
  <c r="AA298" i="74"/>
  <c r="Y118" i="92" s="1"/>
  <c r="Y194" i="92" s="1"/>
  <c r="N293" i="73"/>
  <c r="W292" i="73"/>
  <c r="W295" i="73" s="1"/>
  <c r="AV292" i="73"/>
  <c r="AV295" i="73" s="1"/>
  <c r="Z280" i="73"/>
  <c r="AU309" i="73"/>
  <c r="AQ310" i="73"/>
  <c r="AQ313" i="73" s="1"/>
  <c r="Q279" i="73"/>
  <c r="AM309" i="73"/>
  <c r="AM312" i="73" s="1"/>
  <c r="AN298" i="73"/>
  <c r="AQ309" i="73"/>
  <c r="AQ312" i="73" s="1"/>
  <c r="AX293" i="73"/>
  <c r="AX296" i="73" s="1"/>
  <c r="AN293" i="73"/>
  <c r="AN296" i="73" s="1"/>
  <c r="AQ293" i="73"/>
  <c r="AQ296" i="73" s="1"/>
  <c r="O293" i="73"/>
  <c r="O296" i="73" s="1"/>
  <c r="AM292" i="73"/>
  <c r="AM295" i="73" s="1"/>
  <c r="AG298" i="73"/>
  <c r="Z310" i="73"/>
  <c r="Z313" i="73" s="1"/>
  <c r="U309" i="73"/>
  <c r="U312" i="73" s="1"/>
  <c r="W296" i="73"/>
  <c r="AW307" i="73"/>
  <c r="AW315" i="73" s="1"/>
  <c r="L315" i="74"/>
  <c r="AH309" i="73"/>
  <c r="AG309" i="73"/>
  <c r="AG312" i="73" s="1"/>
  <c r="J309" i="73"/>
  <c r="J312" i="73" s="1"/>
  <c r="J316" i="73" s="1"/>
  <c r="H309" i="73"/>
  <c r="H312" i="73" s="1"/>
  <c r="E293" i="73"/>
  <c r="E296" i="73" s="1"/>
  <c r="AN310" i="73"/>
  <c r="AN313" i="73" s="1"/>
  <c r="U292" i="73"/>
  <c r="U295" i="73" s="1"/>
  <c r="J292" i="73"/>
  <c r="J295" i="73" s="1"/>
  <c r="D120" i="52"/>
  <c r="D127" i="52" s="1"/>
  <c r="D136" i="52" s="1"/>
  <c r="Q315" i="73"/>
  <c r="AG280" i="73"/>
  <c r="AG293" i="73"/>
  <c r="AG296" i="73" s="1"/>
  <c r="AW280" i="73"/>
  <c r="AW310" i="73"/>
  <c r="AL279" i="73"/>
  <c r="AL309" i="73"/>
  <c r="AL312" i="73" s="1"/>
  <c r="AF279" i="73"/>
  <c r="AF309" i="73"/>
  <c r="AF312" i="73" s="1"/>
  <c r="AF316" i="73" s="1"/>
  <c r="AF292" i="73"/>
  <c r="AF295" i="73" s="1"/>
  <c r="AA292" i="73"/>
  <c r="AA295" i="73" s="1"/>
  <c r="AA299" i="73" s="1"/>
  <c r="Y118" i="88" s="1"/>
  <c r="Y194" i="88" s="1"/>
  <c r="AL292" i="73"/>
  <c r="AL295" i="73" s="1"/>
  <c r="AD120" i="52"/>
  <c r="K315" i="73"/>
  <c r="AI309" i="73"/>
  <c r="AI312" i="73" s="1"/>
  <c r="AI292" i="73"/>
  <c r="AI295" i="73" s="1"/>
  <c r="AI279" i="73"/>
  <c r="F310" i="73"/>
  <c r="F313" i="73" s="1"/>
  <c r="F316" i="73" s="1"/>
  <c r="F293" i="73"/>
  <c r="F296" i="73" s="1"/>
  <c r="F299" i="73" s="1"/>
  <c r="D117" i="88" s="1"/>
  <c r="AD280" i="73"/>
  <c r="AD293" i="73"/>
  <c r="AD296" i="73" s="1"/>
  <c r="AP292" i="73"/>
  <c r="AP295" i="73" s="1"/>
  <c r="AP309" i="73"/>
  <c r="AP312" i="73" s="1"/>
  <c r="P292" i="73"/>
  <c r="AK310" i="73"/>
  <c r="AK313" i="73" s="1"/>
  <c r="AA309" i="73"/>
  <c r="AA312" i="73" s="1"/>
  <c r="AA316" i="73" s="1"/>
  <c r="Y280" i="73"/>
  <c r="AP279" i="73"/>
  <c r="AV313" i="73"/>
  <c r="AT309" i="73"/>
  <c r="AT312" i="73" s="1"/>
  <c r="AW293" i="73"/>
  <c r="AW296" i="73" s="1"/>
  <c r="Y310" i="73"/>
  <c r="Y313" i="73" s="1"/>
  <c r="G292" i="73"/>
  <c r="G295" i="73" s="1"/>
  <c r="W280" i="73"/>
  <c r="W310" i="73"/>
  <c r="W313" i="73" s="1"/>
  <c r="AG310" i="73"/>
  <c r="AG313" i="73" s="1"/>
  <c r="J212" i="74"/>
  <c r="K309" i="73"/>
  <c r="K312" i="73" s="1"/>
  <c r="M293" i="73"/>
  <c r="AT292" i="73"/>
  <c r="AT295" i="73" s="1"/>
  <c r="G309" i="73"/>
  <c r="G312" i="73" s="1"/>
  <c r="K313" i="73"/>
  <c r="AD279" i="73"/>
  <c r="AE279" i="73"/>
  <c r="M315" i="74"/>
  <c r="AU289" i="73"/>
  <c r="AU298" i="73" s="1"/>
  <c r="AU306" i="73"/>
  <c r="AU315" i="73" s="1"/>
  <c r="AU280" i="73"/>
  <c r="AU293" i="73"/>
  <c r="AU296" i="73" s="1"/>
  <c r="AU310" i="73"/>
  <c r="AU313" i="73" s="1"/>
  <c r="N290" i="73"/>
  <c r="N298" i="73" s="1"/>
  <c r="N307" i="73"/>
  <c r="N315" i="73" s="1"/>
  <c r="AD292" i="73"/>
  <c r="AE309" i="73"/>
  <c r="AS292" i="73"/>
  <c r="AS295" i="73" s="1"/>
  <c r="L312" i="73"/>
  <c r="AP280" i="73"/>
  <c r="AP310" i="73"/>
  <c r="AP313" i="73" s="1"/>
  <c r="Q313" i="73"/>
  <c r="AU279" i="73"/>
  <c r="I307" i="73"/>
  <c r="I315" i="73" s="1"/>
  <c r="I290" i="73"/>
  <c r="AH306" i="73"/>
  <c r="AH289" i="73"/>
  <c r="AH298" i="73" s="1"/>
  <c r="G307" i="73"/>
  <c r="G315" i="73" s="1"/>
  <c r="G290" i="73"/>
  <c r="G298" i="73" s="1"/>
  <c r="E117" i="52" s="1"/>
  <c r="E193" i="52" s="1"/>
  <c r="N280" i="73"/>
  <c r="E279" i="73"/>
  <c r="E292" i="73"/>
  <c r="X280" i="73"/>
  <c r="X293" i="73"/>
  <c r="AX279" i="73"/>
  <c r="AX292" i="73"/>
  <c r="AX295" i="73" s="1"/>
  <c r="AX309" i="73"/>
  <c r="AX312" i="73" s="1"/>
  <c r="AD309" i="73"/>
  <c r="AS309" i="73"/>
  <c r="AS312" i="73" s="1"/>
  <c r="E309" i="73"/>
  <c r="O279" i="73"/>
  <c r="O292" i="73"/>
  <c r="O295" i="73" s="1"/>
  <c r="M280" i="73"/>
  <c r="AL280" i="73"/>
  <c r="E306" i="73"/>
  <c r="E315" i="73" s="1"/>
  <c r="E289" i="73"/>
  <c r="E298" i="73" s="1"/>
  <c r="C117" i="52" s="1"/>
  <c r="AD289" i="73"/>
  <c r="AD298" i="73" s="1"/>
  <c r="AD306" i="73"/>
  <c r="AD315" i="73" s="1"/>
  <c r="AE289" i="73"/>
  <c r="AE306" i="73"/>
  <c r="AE315" i="73" s="1"/>
  <c r="X290" i="73"/>
  <c r="X298" i="73" s="1"/>
  <c r="V118" i="52" s="1"/>
  <c r="V194" i="52" s="1"/>
  <c r="V270" i="52" s="1"/>
  <c r="V346" i="52" s="1"/>
  <c r="V422" i="52" s="1"/>
  <c r="X307" i="73"/>
  <c r="X315" i="73" s="1"/>
  <c r="M290" i="73"/>
  <c r="M298" i="73" s="1"/>
  <c r="M307" i="73"/>
  <c r="M315" i="73" s="1"/>
  <c r="P306" i="73"/>
  <c r="P315" i="73" s="1"/>
  <c r="P289" i="73"/>
  <c r="P298" i="73" s="1"/>
  <c r="P279" i="73"/>
  <c r="AL307" i="73"/>
  <c r="AL315" i="73" s="1"/>
  <c r="AL290" i="73"/>
  <c r="AL298" i="73" s="1"/>
  <c r="AJ118" i="52" s="1"/>
  <c r="AJ194" i="52" s="1"/>
  <c r="AJ270" i="52" s="1"/>
  <c r="AJ346" i="52" s="1"/>
  <c r="AJ422" i="52" s="1"/>
  <c r="I280" i="73"/>
  <c r="AH279" i="73"/>
  <c r="G280" i="73"/>
  <c r="K280" i="73"/>
  <c r="K293" i="73"/>
  <c r="K296" i="73" s="1"/>
  <c r="K299" i="73" s="1"/>
  <c r="I118" i="88" s="1"/>
  <c r="I194" i="88" s="1"/>
  <c r="L292" i="73"/>
  <c r="L295" i="73" s="1"/>
  <c r="Q280" i="73"/>
  <c r="L279" i="73"/>
  <c r="S310" i="73"/>
  <c r="S313" i="73" s="1"/>
  <c r="AP293" i="73"/>
  <c r="AP296" i="73" s="1"/>
  <c r="O312" i="73"/>
  <c r="AI120" i="52"/>
  <c r="AI120" i="92"/>
  <c r="AG120" i="52"/>
  <c r="F117" i="52"/>
  <c r="F193" i="52" s="1"/>
  <c r="AN120" i="92"/>
  <c r="AR120" i="52"/>
  <c r="AR120" i="92"/>
  <c r="AE280" i="73"/>
  <c r="W120" i="92"/>
  <c r="R120" i="52"/>
  <c r="Z120" i="52"/>
  <c r="D196" i="52"/>
  <c r="D269" i="52"/>
  <c r="AQ120" i="52"/>
  <c r="AQ120" i="92"/>
  <c r="AN309" i="73"/>
  <c r="AN312" i="73" s="1"/>
  <c r="H120" i="92"/>
  <c r="AO120" i="52"/>
  <c r="J120" i="52"/>
  <c r="AB309" i="73"/>
  <c r="AB312" i="73" s="1"/>
  <c r="P120" i="52"/>
  <c r="O120" i="52"/>
  <c r="O120" i="92"/>
  <c r="AE293" i="73"/>
  <c r="AE296" i="73" s="1"/>
  <c r="Y120" i="52"/>
  <c r="AN292" i="73"/>
  <c r="AN295" i="73" s="1"/>
  <c r="AP120" i="52"/>
  <c r="X120" i="52"/>
  <c r="AB292" i="73"/>
  <c r="AB295" i="73" s="1"/>
  <c r="I120" i="52"/>
  <c r="M120" i="52"/>
  <c r="I213" i="74"/>
  <c r="J213" i="74" s="1"/>
  <c r="AH120" i="52"/>
  <c r="AH120" i="92"/>
  <c r="J72" i="14"/>
  <c r="J59" i="14"/>
  <c r="K101" i="14"/>
  <c r="J122" i="14"/>
  <c r="J135" i="14"/>
  <c r="I282" i="73"/>
  <c r="I213" i="73"/>
  <c r="H248" i="88"/>
  <c r="H249" i="88" s="1"/>
  <c r="H184" i="92"/>
  <c r="J96" i="88"/>
  <c r="J97" i="88" s="1"/>
  <c r="I300" i="88"/>
  <c r="I248" i="88"/>
  <c r="I249" i="88" s="1"/>
  <c r="H324" i="88"/>
  <c r="H325" i="88" s="1"/>
  <c r="H376" i="88"/>
  <c r="H400" i="88" s="1"/>
  <c r="H401" i="88" s="1"/>
  <c r="J224" i="88"/>
  <c r="J172" i="88"/>
  <c r="J173" i="88" s="1"/>
  <c r="I62" i="14"/>
  <c r="I64" i="14" s="1"/>
  <c r="I75" i="14"/>
  <c r="I77" i="14" s="1"/>
  <c r="I172" i="52"/>
  <c r="I173" i="52" s="1"/>
  <c r="I224" i="52"/>
  <c r="G324" i="52"/>
  <c r="G325" i="52" s="1"/>
  <c r="G376" i="52"/>
  <c r="G400" i="52" s="1"/>
  <c r="G401" i="52" s="1"/>
  <c r="H300" i="52"/>
  <c r="H248" i="52"/>
  <c r="H249" i="52" s="1"/>
  <c r="I125" i="14"/>
  <c r="I138" i="14"/>
  <c r="J96" i="52"/>
  <c r="J97" i="52" s="1"/>
  <c r="J148" i="52"/>
  <c r="J111" i="14"/>
  <c r="J113" i="14" s="1"/>
  <c r="K38" i="14"/>
  <c r="J48" i="14"/>
  <c r="J50" i="14" s="1"/>
  <c r="I282" i="74"/>
  <c r="J209" i="73"/>
  <c r="G296" i="74"/>
  <c r="Q309" i="74"/>
  <c r="Q312" i="74" s="1"/>
  <c r="Q292" i="74"/>
  <c r="Q295" i="74" s="1"/>
  <c r="Q279" i="74"/>
  <c r="AB310" i="74"/>
  <c r="AB313" i="74" s="1"/>
  <c r="AB293" i="74"/>
  <c r="AB296" i="74" s="1"/>
  <c r="AB280" i="74"/>
  <c r="AV310" i="74"/>
  <c r="AV313" i="74" s="1"/>
  <c r="AV293" i="74"/>
  <c r="AV296" i="74" s="1"/>
  <c r="AV280" i="74"/>
  <c r="AJ309" i="74"/>
  <c r="AJ312" i="74" s="1"/>
  <c r="AJ292" i="74"/>
  <c r="AJ295" i="74" s="1"/>
  <c r="AJ279" i="74"/>
  <c r="F292" i="74"/>
  <c r="F295" i="74" s="1"/>
  <c r="F309" i="74"/>
  <c r="F312" i="74" s="1"/>
  <c r="F279" i="74"/>
  <c r="AS309" i="74"/>
  <c r="AS312" i="74" s="1"/>
  <c r="AS292" i="74"/>
  <c r="AS295" i="74" s="1"/>
  <c r="AS279" i="74"/>
  <c r="AH310" i="74"/>
  <c r="AH313" i="74" s="1"/>
  <c r="AH293" i="74"/>
  <c r="AH296" i="74" s="1"/>
  <c r="AH280" i="74"/>
  <c r="T309" i="74"/>
  <c r="T312" i="74" s="1"/>
  <c r="T292" i="74"/>
  <c r="T295" i="74" s="1"/>
  <c r="T279" i="74"/>
  <c r="S309" i="74"/>
  <c r="S312" i="74" s="1"/>
  <c r="S292" i="74"/>
  <c r="S295" i="74" s="1"/>
  <c r="S279" i="74"/>
  <c r="G313" i="74"/>
  <c r="AX309" i="74"/>
  <c r="AX312" i="74" s="1"/>
  <c r="AX292" i="74"/>
  <c r="AX295" i="74" s="1"/>
  <c r="AX279" i="74"/>
  <c r="AT309" i="74"/>
  <c r="AT312" i="74" s="1"/>
  <c r="AT292" i="74"/>
  <c r="AT295" i="74" s="1"/>
  <c r="AT279" i="74"/>
  <c r="H310" i="74"/>
  <c r="H313" i="74" s="1"/>
  <c r="H293" i="74"/>
  <c r="H296" i="74" s="1"/>
  <c r="H280" i="74"/>
  <c r="W309" i="74"/>
  <c r="W312" i="74" s="1"/>
  <c r="W292" i="74"/>
  <c r="W295" i="74" s="1"/>
  <c r="W279" i="74"/>
  <c r="AR309" i="74"/>
  <c r="AR312" i="74" s="1"/>
  <c r="AR292" i="74"/>
  <c r="AR295" i="74" s="1"/>
  <c r="AR279" i="74"/>
  <c r="O310" i="74"/>
  <c r="O313" i="74" s="1"/>
  <c r="O293" i="74"/>
  <c r="O296" i="74" s="1"/>
  <c r="O280" i="74"/>
  <c r="AJ310" i="74"/>
  <c r="AJ313" i="74" s="1"/>
  <c r="AJ293" i="74"/>
  <c r="AJ296" i="74" s="1"/>
  <c r="AJ280" i="74"/>
  <c r="J292" i="74"/>
  <c r="J295" i="74" s="1"/>
  <c r="J309" i="74"/>
  <c r="J312" i="74" s="1"/>
  <c r="J279" i="74"/>
  <c r="U292" i="74"/>
  <c r="U295" i="74" s="1"/>
  <c r="U309" i="74"/>
  <c r="U312" i="74" s="1"/>
  <c r="U279" i="74"/>
  <c r="AN310" i="74"/>
  <c r="AN313" i="74" s="1"/>
  <c r="AN293" i="74"/>
  <c r="AN296" i="74" s="1"/>
  <c r="AN280" i="74"/>
  <c r="Q310" i="74"/>
  <c r="Q313" i="74" s="1"/>
  <c r="Q293" i="74"/>
  <c r="Q296" i="74" s="1"/>
  <c r="Q280" i="74"/>
  <c r="AB309" i="74"/>
  <c r="AB312" i="74" s="1"/>
  <c r="AB292" i="74"/>
  <c r="AB295" i="74" s="1"/>
  <c r="AB279" i="74"/>
  <c r="J293" i="74"/>
  <c r="J296" i="74" s="1"/>
  <c r="J310" i="74"/>
  <c r="J313" i="74" s="1"/>
  <c r="J280" i="74"/>
  <c r="S310" i="74"/>
  <c r="S313" i="74" s="1"/>
  <c r="S293" i="74"/>
  <c r="S296" i="74" s="1"/>
  <c r="S280" i="74"/>
  <c r="M293" i="74"/>
  <c r="M296" i="74" s="1"/>
  <c r="M310" i="74"/>
  <c r="M313" i="74" s="1"/>
  <c r="M280" i="74"/>
  <c r="AC309" i="74"/>
  <c r="AC312" i="74" s="1"/>
  <c r="AC292" i="74"/>
  <c r="AC295" i="74" s="1"/>
  <c r="AC279" i="74"/>
  <c r="V280" i="74"/>
  <c r="V310" i="74"/>
  <c r="V313" i="74" s="1"/>
  <c r="V293" i="74"/>
  <c r="V296" i="74" s="1"/>
  <c r="AW309" i="74"/>
  <c r="AW312" i="74" s="1"/>
  <c r="AW292" i="74"/>
  <c r="AW295" i="74" s="1"/>
  <c r="AW279" i="74"/>
  <c r="O309" i="74"/>
  <c r="O312" i="74" s="1"/>
  <c r="O292" i="74"/>
  <c r="O295" i="74" s="1"/>
  <c r="O279" i="74"/>
  <c r="AO293" i="74"/>
  <c r="AO296" i="74" s="1"/>
  <c r="AO310" i="74"/>
  <c r="AO313" i="74" s="1"/>
  <c r="AO280" i="74"/>
  <c r="AL310" i="74"/>
  <c r="AL313" i="74" s="1"/>
  <c r="AL293" i="74"/>
  <c r="AL296" i="74" s="1"/>
  <c r="AL280" i="74"/>
  <c r="AV309" i="74"/>
  <c r="AV312" i="74" s="1"/>
  <c r="AV292" i="74"/>
  <c r="AV295" i="74" s="1"/>
  <c r="AV279" i="74"/>
  <c r="E292" i="74"/>
  <c r="E295" i="74" s="1"/>
  <c r="E309" i="74"/>
  <c r="E312" i="74" s="1"/>
  <c r="E279" i="74"/>
  <c r="AG310" i="74"/>
  <c r="AG313" i="74" s="1"/>
  <c r="AG293" i="74"/>
  <c r="AG296" i="74" s="1"/>
  <c r="AG280" i="74"/>
  <c r="AF310" i="74"/>
  <c r="AF313" i="74" s="1"/>
  <c r="AF293" i="74"/>
  <c r="AF296" i="74" s="1"/>
  <c r="AF280" i="74"/>
  <c r="AR310" i="74"/>
  <c r="AR313" i="74" s="1"/>
  <c r="AR293" i="74"/>
  <c r="AR296" i="74" s="1"/>
  <c r="AR280" i="74"/>
  <c r="P292" i="74"/>
  <c r="P295" i="74" s="1"/>
  <c r="P309" i="74"/>
  <c r="P312" i="74" s="1"/>
  <c r="P279" i="74"/>
  <c r="U310" i="74"/>
  <c r="U313" i="74" s="1"/>
  <c r="U293" i="74"/>
  <c r="U296" i="74" s="1"/>
  <c r="U280" i="74"/>
  <c r="AU293" i="74"/>
  <c r="AU296" i="74" s="1"/>
  <c r="AU310" i="74"/>
  <c r="AU313" i="74" s="1"/>
  <c r="AU280" i="74"/>
  <c r="AE310" i="74"/>
  <c r="AE313" i="74" s="1"/>
  <c r="AE293" i="74"/>
  <c r="AE296" i="74" s="1"/>
  <c r="AE280" i="74"/>
  <c r="AK292" i="74"/>
  <c r="AK295" i="74" s="1"/>
  <c r="AK309" i="74"/>
  <c r="AK312" i="74" s="1"/>
  <c r="AK279" i="74"/>
  <c r="AD310" i="74"/>
  <c r="AD313" i="74" s="1"/>
  <c r="AD293" i="74"/>
  <c r="AD296" i="74" s="1"/>
  <c r="AD280" i="74"/>
  <c r="G309" i="74"/>
  <c r="G312" i="74" s="1"/>
  <c r="G292" i="74"/>
  <c r="G295" i="74" s="1"/>
  <c r="G279" i="74"/>
  <c r="F310" i="74"/>
  <c r="F313" i="74" s="1"/>
  <c r="F293" i="74"/>
  <c r="F296" i="74" s="1"/>
  <c r="F280" i="74"/>
  <c r="T310" i="74"/>
  <c r="T313" i="74" s="1"/>
  <c r="T293" i="74"/>
  <c r="T296" i="74" s="1"/>
  <c r="T280" i="74"/>
  <c r="I292" i="74"/>
  <c r="I295" i="74" s="1"/>
  <c r="I309" i="74"/>
  <c r="I312" i="74" s="1"/>
  <c r="I279" i="74"/>
  <c r="N309" i="74"/>
  <c r="N312" i="74" s="1"/>
  <c r="N292" i="74"/>
  <c r="N295" i="74" s="1"/>
  <c r="N279" i="74"/>
  <c r="R309" i="74"/>
  <c r="R312" i="74" s="1"/>
  <c r="R292" i="74"/>
  <c r="R295" i="74" s="1"/>
  <c r="R279" i="74"/>
  <c r="P310" i="74"/>
  <c r="P313" i="74" s="1"/>
  <c r="P293" i="74"/>
  <c r="P296" i="74" s="1"/>
  <c r="P280" i="74"/>
  <c r="AP310" i="74"/>
  <c r="AP313" i="74" s="1"/>
  <c r="AP293" i="74"/>
  <c r="AP296" i="74" s="1"/>
  <c r="AP280" i="74"/>
  <c r="AD309" i="74"/>
  <c r="AD312" i="74" s="1"/>
  <c r="AD292" i="74"/>
  <c r="AD295" i="74" s="1"/>
  <c r="AD279" i="74"/>
  <c r="X309" i="74"/>
  <c r="X312" i="74" s="1"/>
  <c r="X292" i="74"/>
  <c r="X295" i="74" s="1"/>
  <c r="X279" i="74"/>
  <c r="AO309" i="74"/>
  <c r="AO312" i="74" s="1"/>
  <c r="AO292" i="74"/>
  <c r="AO295" i="74" s="1"/>
  <c r="AO279" i="74"/>
  <c r="AT310" i="74"/>
  <c r="AT313" i="74" s="1"/>
  <c r="AT293" i="74"/>
  <c r="AT296" i="74" s="1"/>
  <c r="AT280" i="74"/>
  <c r="AX310" i="74"/>
  <c r="AX313" i="74" s="1"/>
  <c r="AX293" i="74"/>
  <c r="AX296" i="74" s="1"/>
  <c r="AX280" i="74"/>
  <c r="Z292" i="74"/>
  <c r="Z295" i="74" s="1"/>
  <c r="Z309" i="74"/>
  <c r="Z312" i="74" s="1"/>
  <c r="Z279" i="74"/>
  <c r="AI310" i="74"/>
  <c r="AI313" i="74" s="1"/>
  <c r="AI293" i="74"/>
  <c r="AI296" i="74" s="1"/>
  <c r="AI280" i="74"/>
  <c r="N293" i="74"/>
  <c r="N296" i="74" s="1"/>
  <c r="N310" i="74"/>
  <c r="N313" i="74" s="1"/>
  <c r="N280" i="74"/>
  <c r="Y310" i="74"/>
  <c r="Y313" i="74" s="1"/>
  <c r="Y293" i="74"/>
  <c r="Y296" i="74" s="1"/>
  <c r="Y280" i="74"/>
  <c r="AG309" i="74"/>
  <c r="AG312" i="74" s="1"/>
  <c r="AG292" i="74"/>
  <c r="AG295" i="74" s="1"/>
  <c r="AG279" i="74"/>
  <c r="AQ293" i="74"/>
  <c r="AQ296" i="74" s="1"/>
  <c r="AQ310" i="74"/>
  <c r="AQ313" i="74" s="1"/>
  <c r="AQ280" i="74"/>
  <c r="AH309" i="74"/>
  <c r="AH312" i="74" s="1"/>
  <c r="AH292" i="74"/>
  <c r="AH295" i="74" s="1"/>
  <c r="AH279" i="74"/>
  <c r="G298" i="74"/>
  <c r="K310" i="74"/>
  <c r="K313" i="74" s="1"/>
  <c r="K293" i="74"/>
  <c r="K296" i="74" s="1"/>
  <c r="K280" i="74"/>
  <c r="X310" i="74"/>
  <c r="X313" i="74" s="1"/>
  <c r="X293" i="74"/>
  <c r="X296" i="74" s="1"/>
  <c r="X280" i="74"/>
  <c r="AE309" i="74"/>
  <c r="AE312" i="74" s="1"/>
  <c r="AE292" i="74"/>
  <c r="AE295" i="74" s="1"/>
  <c r="AE279" i="74"/>
  <c r="AF309" i="74"/>
  <c r="AF312" i="74" s="1"/>
  <c r="AF292" i="74"/>
  <c r="AF295" i="74" s="1"/>
  <c r="AF279" i="74"/>
  <c r="AL309" i="74"/>
  <c r="AL312" i="74" s="1"/>
  <c r="AL292" i="74"/>
  <c r="AL295" i="74" s="1"/>
  <c r="AL279" i="74"/>
  <c r="Z310" i="74"/>
  <c r="Z313" i="74" s="1"/>
  <c r="Z293" i="74"/>
  <c r="Z296" i="74" s="1"/>
  <c r="Z280" i="74"/>
  <c r="L309" i="74"/>
  <c r="L312" i="74" s="1"/>
  <c r="L292" i="74"/>
  <c r="L295" i="74" s="1"/>
  <c r="L279" i="74"/>
  <c r="AN309" i="74"/>
  <c r="AN312" i="74" s="1"/>
  <c r="AN292" i="74"/>
  <c r="AN295" i="74" s="1"/>
  <c r="AN279" i="74"/>
  <c r="W293" i="74"/>
  <c r="W296" i="74" s="1"/>
  <c r="W310" i="74"/>
  <c r="W313" i="74" s="1"/>
  <c r="W280" i="74"/>
  <c r="V309" i="74"/>
  <c r="V312" i="74" s="1"/>
  <c r="V292" i="74"/>
  <c r="V295" i="74" s="1"/>
  <c r="V279" i="74"/>
  <c r="AQ309" i="74"/>
  <c r="AQ312" i="74" s="1"/>
  <c r="AQ292" i="74"/>
  <c r="AQ295" i="74" s="1"/>
  <c r="AQ279" i="74"/>
  <c r="AI309" i="74"/>
  <c r="AI312" i="74" s="1"/>
  <c r="AI292" i="74"/>
  <c r="AI295" i="74" s="1"/>
  <c r="AI279" i="74"/>
  <c r="AS293" i="74"/>
  <c r="AS296" i="74" s="1"/>
  <c r="AS310" i="74"/>
  <c r="AS313" i="74" s="1"/>
  <c r="AS280" i="74"/>
  <c r="H292" i="74"/>
  <c r="H295" i="74" s="1"/>
  <c r="H309" i="74"/>
  <c r="H312" i="74" s="1"/>
  <c r="H279" i="74"/>
  <c r="AP309" i="74"/>
  <c r="AP312" i="74" s="1"/>
  <c r="AP292" i="74"/>
  <c r="AP295" i="74" s="1"/>
  <c r="AP279" i="74"/>
  <c r="E310" i="74"/>
  <c r="E313" i="74" s="1"/>
  <c r="E293" i="74"/>
  <c r="E296" i="74" s="1"/>
  <c r="E280" i="74"/>
  <c r="AU309" i="74"/>
  <c r="AU312" i="74" s="1"/>
  <c r="AU292" i="74"/>
  <c r="AU295" i="74" s="1"/>
  <c r="AU279" i="74"/>
  <c r="R310" i="74"/>
  <c r="R313" i="74" s="1"/>
  <c r="R293" i="74"/>
  <c r="R296" i="74" s="1"/>
  <c r="R280" i="74"/>
  <c r="L293" i="74"/>
  <c r="L296" i="74" s="1"/>
  <c r="L310" i="74"/>
  <c r="L313" i="74" s="1"/>
  <c r="L280" i="74"/>
  <c r="I310" i="74"/>
  <c r="I313" i="74" s="1"/>
  <c r="I293" i="74"/>
  <c r="I296" i="74" s="1"/>
  <c r="I280" i="74"/>
  <c r="AA309" i="74"/>
  <c r="AA312" i="74" s="1"/>
  <c r="AA292" i="74"/>
  <c r="AA295" i="74" s="1"/>
  <c r="AA279" i="74"/>
  <c r="AK293" i="74"/>
  <c r="AK296" i="74" s="1"/>
  <c r="AK310" i="74"/>
  <c r="AK313" i="74" s="1"/>
  <c r="AK280" i="74"/>
  <c r="AM310" i="74"/>
  <c r="AM313" i="74" s="1"/>
  <c r="AM293" i="74"/>
  <c r="AM296" i="74" s="1"/>
  <c r="AM280" i="74"/>
  <c r="Y309" i="74"/>
  <c r="Y312" i="74" s="1"/>
  <c r="Y292" i="74"/>
  <c r="Y295" i="74" s="1"/>
  <c r="Y279" i="74"/>
  <c r="AM309" i="74"/>
  <c r="AM312" i="74" s="1"/>
  <c r="AM292" i="74"/>
  <c r="AM295" i="74" s="1"/>
  <c r="AM279" i="74"/>
  <c r="M309" i="74"/>
  <c r="M312" i="74" s="1"/>
  <c r="M292" i="74"/>
  <c r="M295" i="74" s="1"/>
  <c r="M279" i="74"/>
  <c r="K292" i="74"/>
  <c r="K295" i="74" s="1"/>
  <c r="K309" i="74"/>
  <c r="K312" i="74" s="1"/>
  <c r="K279" i="74"/>
  <c r="AC280" i="74"/>
  <c r="AC310" i="74"/>
  <c r="AC313" i="74" s="1"/>
  <c r="AC293" i="74"/>
  <c r="AC296" i="74" s="1"/>
  <c r="AW310" i="74"/>
  <c r="AW313" i="74" s="1"/>
  <c r="AW293" i="74"/>
  <c r="AW296" i="74" s="1"/>
  <c r="AW280" i="74"/>
  <c r="AA310" i="74"/>
  <c r="AA313" i="74" s="1"/>
  <c r="AA293" i="74"/>
  <c r="AA296" i="74" s="1"/>
  <c r="AA280" i="74"/>
  <c r="J209" i="74"/>
  <c r="G315" i="74"/>
  <c r="J213" i="73" l="1"/>
  <c r="H256" i="96"/>
  <c r="H282" i="96" s="1"/>
  <c r="H300" i="96"/>
  <c r="H324" i="96" s="1"/>
  <c r="H325" i="96" s="1"/>
  <c r="H361" i="96" s="1"/>
  <c r="AI299" i="73"/>
  <c r="AG118" i="88" s="1"/>
  <c r="AG194" i="88" s="1"/>
  <c r="AG196" i="88" s="1"/>
  <c r="H376" i="92"/>
  <c r="H400" i="92" s="1"/>
  <c r="H401" i="92" s="1"/>
  <c r="H408" i="92" s="1"/>
  <c r="H434" i="92" s="1"/>
  <c r="I248" i="92"/>
  <c r="I249" i="92" s="1"/>
  <c r="I256" i="92" s="1"/>
  <c r="I282" i="92" s="1"/>
  <c r="I133" i="96"/>
  <c r="I134" i="96" s="1"/>
  <c r="I248" i="96"/>
  <c r="I249" i="96" s="1"/>
  <c r="I285" i="96" s="1"/>
  <c r="I286" i="96" s="1"/>
  <c r="J133" i="92"/>
  <c r="J134" i="92" s="1"/>
  <c r="J148" i="92"/>
  <c r="J172" i="92" s="1"/>
  <c r="J173" i="92" s="1"/>
  <c r="J209" i="92" s="1"/>
  <c r="J210" i="92" s="1"/>
  <c r="H107" i="92"/>
  <c r="H108" i="92" s="1"/>
  <c r="J133" i="96"/>
  <c r="J134" i="96" s="1"/>
  <c r="J148" i="96"/>
  <c r="J224" i="96" s="1"/>
  <c r="J248" i="96" s="1"/>
  <c r="J249" i="96" s="1"/>
  <c r="I133" i="92"/>
  <c r="I134" i="92" s="1"/>
  <c r="D120" i="92"/>
  <c r="D127" i="92" s="1"/>
  <c r="D136" i="92" s="1"/>
  <c r="R83" i="92"/>
  <c r="R387" i="92" s="1"/>
  <c r="P120" i="92"/>
  <c r="AL120" i="92"/>
  <c r="K270" i="92"/>
  <c r="K346" i="92" s="1"/>
  <c r="AB83" i="92"/>
  <c r="AB159" i="92" s="1"/>
  <c r="K72" i="96"/>
  <c r="K148" i="96" s="1"/>
  <c r="K172" i="96" s="1"/>
  <c r="K173" i="96" s="1"/>
  <c r="R120" i="92"/>
  <c r="AE196" i="92"/>
  <c r="S83" i="92"/>
  <c r="S159" i="92" s="1"/>
  <c r="Z196" i="92"/>
  <c r="AD270" i="92"/>
  <c r="AD346" i="92" s="1"/>
  <c r="AP120" i="92"/>
  <c r="AG120" i="92"/>
  <c r="K72" i="92"/>
  <c r="K96" i="92" s="1"/>
  <c r="K97" i="92" s="1"/>
  <c r="K104" i="92" s="1"/>
  <c r="K107" i="92" s="1"/>
  <c r="S270" i="92"/>
  <c r="S346" i="92" s="1"/>
  <c r="T120" i="92"/>
  <c r="AD120" i="92"/>
  <c r="I270" i="92"/>
  <c r="I272" i="92" s="1"/>
  <c r="U83" i="92"/>
  <c r="U311" i="92" s="1"/>
  <c r="R84" i="92"/>
  <c r="R312" i="92" s="1"/>
  <c r="J270" i="92"/>
  <c r="J346" i="92" s="1"/>
  <c r="Y83" i="92"/>
  <c r="Y159" i="92" s="1"/>
  <c r="P194" i="92"/>
  <c r="P196" i="92" s="1"/>
  <c r="M194" i="92"/>
  <c r="M120" i="92"/>
  <c r="J120" i="92"/>
  <c r="C120" i="92"/>
  <c r="C124" i="92" s="1"/>
  <c r="R196" i="92"/>
  <c r="AK196" i="92"/>
  <c r="W83" i="92"/>
  <c r="W311" i="92" s="1"/>
  <c r="T83" i="92"/>
  <c r="T311" i="92" s="1"/>
  <c r="Z83" i="92"/>
  <c r="Z311" i="92" s="1"/>
  <c r="I120" i="92"/>
  <c r="AA83" i="92"/>
  <c r="AA311" i="92" s="1"/>
  <c r="X83" i="92"/>
  <c r="X311" i="92" s="1"/>
  <c r="Z120" i="92"/>
  <c r="T196" i="92"/>
  <c r="AP196" i="92"/>
  <c r="AG196" i="92"/>
  <c r="E299" i="74"/>
  <c r="C117" i="96" s="1"/>
  <c r="I140" i="14"/>
  <c r="AB196" i="92"/>
  <c r="I127" i="14"/>
  <c r="L72" i="92" s="1"/>
  <c r="L148" i="92" s="1"/>
  <c r="G77" i="52"/>
  <c r="J114" i="14"/>
  <c r="V311" i="92"/>
  <c r="V387" i="92"/>
  <c r="V159" i="92"/>
  <c r="V235" i="92"/>
  <c r="P196" i="52"/>
  <c r="AA194" i="92"/>
  <c r="AA196" i="92" s="1"/>
  <c r="AG87" i="92"/>
  <c r="AK87" i="92"/>
  <c r="AC87" i="92"/>
  <c r="AC88" i="92"/>
  <c r="AD87" i="92"/>
  <c r="AI87" i="92"/>
  <c r="AE87" i="92"/>
  <c r="AJ87" i="92"/>
  <c r="AF87" i="92"/>
  <c r="AL87" i="92"/>
  <c r="AH87" i="92"/>
  <c r="AM87" i="92"/>
  <c r="I81" i="52"/>
  <c r="K81" i="52"/>
  <c r="J80" i="52"/>
  <c r="N80" i="52"/>
  <c r="H81" i="52"/>
  <c r="H80" i="52"/>
  <c r="M80" i="52"/>
  <c r="T79" i="52"/>
  <c r="K79" i="52"/>
  <c r="O79" i="52"/>
  <c r="J81" i="52"/>
  <c r="K80" i="52"/>
  <c r="U79" i="52"/>
  <c r="H79" i="52"/>
  <c r="M79" i="52"/>
  <c r="P80" i="52"/>
  <c r="Q79" i="52"/>
  <c r="I79" i="52"/>
  <c r="P79" i="52"/>
  <c r="K77" i="52"/>
  <c r="O77" i="52"/>
  <c r="S77" i="52"/>
  <c r="W77" i="52"/>
  <c r="AA77" i="52"/>
  <c r="AE77" i="52"/>
  <c r="AI77" i="52"/>
  <c r="AM77" i="52"/>
  <c r="AQ77" i="52"/>
  <c r="H78" i="52"/>
  <c r="L78" i="52"/>
  <c r="P78" i="52"/>
  <c r="T78" i="52"/>
  <c r="X78" i="52"/>
  <c r="AB78" i="52"/>
  <c r="AF78" i="52"/>
  <c r="AJ78" i="52"/>
  <c r="AN78" i="52"/>
  <c r="AR78" i="52"/>
  <c r="I80" i="52"/>
  <c r="R79" i="52"/>
  <c r="J79" i="52"/>
  <c r="L80" i="52"/>
  <c r="H77" i="52"/>
  <c r="M77" i="52"/>
  <c r="R77" i="52"/>
  <c r="X77" i="52"/>
  <c r="AC77" i="52"/>
  <c r="AH77" i="52"/>
  <c r="AN77" i="52"/>
  <c r="AN381" i="52" s="1"/>
  <c r="AS77" i="52"/>
  <c r="K78" i="52"/>
  <c r="Q78" i="52"/>
  <c r="V78" i="52"/>
  <c r="AA78" i="52"/>
  <c r="AG78" i="52"/>
  <c r="AL78" i="52"/>
  <c r="AQ78" i="52"/>
  <c r="G81" i="52"/>
  <c r="G79" i="52"/>
  <c r="O80" i="52"/>
  <c r="I77" i="52"/>
  <c r="N77" i="52"/>
  <c r="T77" i="52"/>
  <c r="Y77" i="52"/>
  <c r="AD77" i="52"/>
  <c r="AJ77" i="52"/>
  <c r="AO77" i="52"/>
  <c r="AT77" i="52"/>
  <c r="M78" i="52"/>
  <c r="R78" i="52"/>
  <c r="W78" i="52"/>
  <c r="AC78" i="52"/>
  <c r="AH78" i="52"/>
  <c r="AM78" i="52"/>
  <c r="AS78" i="52"/>
  <c r="S79" i="52"/>
  <c r="L79" i="52"/>
  <c r="J77" i="52"/>
  <c r="P77" i="52"/>
  <c r="U77" i="52"/>
  <c r="Z77" i="52"/>
  <c r="AF77" i="52"/>
  <c r="AK77" i="52"/>
  <c r="AP77" i="52"/>
  <c r="I78" i="52"/>
  <c r="N78" i="52"/>
  <c r="S78" i="52"/>
  <c r="Y78" i="52"/>
  <c r="AD78" i="52"/>
  <c r="AI78" i="52"/>
  <c r="AO78" i="52"/>
  <c r="AT78" i="52"/>
  <c r="G80" i="52"/>
  <c r="G78" i="52"/>
  <c r="N79" i="52"/>
  <c r="L77" i="52"/>
  <c r="Q77" i="52"/>
  <c r="V77" i="52"/>
  <c r="AB77" i="52"/>
  <c r="AG77" i="52"/>
  <c r="AL77" i="52"/>
  <c r="AR77" i="52"/>
  <c r="J78" i="52"/>
  <c r="O78" i="52"/>
  <c r="U78" i="52"/>
  <c r="Z78" i="52"/>
  <c r="AE78" i="52"/>
  <c r="AK78" i="52"/>
  <c r="AP78" i="52"/>
  <c r="J51" i="14"/>
  <c r="K111" i="14"/>
  <c r="K113" i="14" s="1"/>
  <c r="T299" i="73"/>
  <c r="R118" i="88" s="1"/>
  <c r="R194" i="88" s="1"/>
  <c r="R270" i="88" s="1"/>
  <c r="T316" i="73"/>
  <c r="U194" i="52"/>
  <c r="U270" i="52" s="1"/>
  <c r="U346" i="52" s="1"/>
  <c r="U422" i="52" s="1"/>
  <c r="AA85" i="52"/>
  <c r="AE85" i="52"/>
  <c r="AI85" i="52"/>
  <c r="Y85" i="52"/>
  <c r="AK85" i="52"/>
  <c r="AB85" i="52"/>
  <c r="AF85" i="52"/>
  <c r="AJ85" i="52"/>
  <c r="AG85" i="52"/>
  <c r="Z85" i="52"/>
  <c r="AD85" i="52"/>
  <c r="AH85" i="52"/>
  <c r="AL85" i="52"/>
  <c r="AC85" i="52"/>
  <c r="X85" i="52"/>
  <c r="X389" i="52" s="1"/>
  <c r="X120" i="92"/>
  <c r="AO120" i="92"/>
  <c r="H120" i="52"/>
  <c r="H270" i="52"/>
  <c r="H272" i="52" s="1"/>
  <c r="H206" i="88"/>
  <c r="Y120" i="92"/>
  <c r="X120" i="88"/>
  <c r="T120" i="52"/>
  <c r="Y120" i="88"/>
  <c r="I270" i="88"/>
  <c r="I196" i="88"/>
  <c r="N118" i="52"/>
  <c r="N194" i="52" s="1"/>
  <c r="AB118" i="52"/>
  <c r="AB194" i="52" s="1"/>
  <c r="AS120" i="92"/>
  <c r="AS118" i="52"/>
  <c r="AS194" i="52" s="1"/>
  <c r="AE118" i="52"/>
  <c r="AE194" i="52" s="1"/>
  <c r="L270" i="92"/>
  <c r="L196" i="92"/>
  <c r="G270" i="92"/>
  <c r="G196" i="92"/>
  <c r="AC270" i="92"/>
  <c r="AC196" i="92"/>
  <c r="O270" i="88"/>
  <c r="O196" i="88"/>
  <c r="Q118" i="52"/>
  <c r="H286" i="96"/>
  <c r="C50" i="96" s="1"/>
  <c r="C49" i="96"/>
  <c r="H210" i="52"/>
  <c r="C45" i="52" s="1"/>
  <c r="C44" i="52"/>
  <c r="H210" i="96"/>
  <c r="C45" i="96" s="1"/>
  <c r="C44" i="96"/>
  <c r="AR346" i="92"/>
  <c r="AR272" i="92"/>
  <c r="T270" i="52"/>
  <c r="T196" i="52"/>
  <c r="Z346" i="92"/>
  <c r="Z272" i="92"/>
  <c r="I346" i="52"/>
  <c r="I272" i="52"/>
  <c r="AO346" i="52"/>
  <c r="AO272" i="52"/>
  <c r="AH346" i="92"/>
  <c r="AH272" i="92"/>
  <c r="AD346" i="52"/>
  <c r="AD272" i="52"/>
  <c r="I120" i="88"/>
  <c r="K118" i="52"/>
  <c r="K194" i="52" s="1"/>
  <c r="AK118" i="52"/>
  <c r="AK194" i="52" s="1"/>
  <c r="S118" i="52"/>
  <c r="S194" i="52" s="1"/>
  <c r="J346" i="52"/>
  <c r="J272" i="52"/>
  <c r="AF346" i="92"/>
  <c r="AF272" i="92"/>
  <c r="AI346" i="92"/>
  <c r="AI272" i="92"/>
  <c r="AQ346" i="92"/>
  <c r="AQ272" i="92"/>
  <c r="AI346" i="52"/>
  <c r="AI272" i="52"/>
  <c r="O120" i="88"/>
  <c r="Y270" i="92"/>
  <c r="Y196" i="92"/>
  <c r="AO270" i="92"/>
  <c r="AO196" i="92"/>
  <c r="AA118" i="52"/>
  <c r="H286" i="92"/>
  <c r="C50" i="92" s="1"/>
  <c r="C49" i="92"/>
  <c r="Z346" i="52"/>
  <c r="Z272" i="52"/>
  <c r="T346" i="92"/>
  <c r="T272" i="92"/>
  <c r="AG346" i="52"/>
  <c r="AG272" i="52"/>
  <c r="AE346" i="92"/>
  <c r="AE272" i="92"/>
  <c r="Y346" i="52"/>
  <c r="Y272" i="52"/>
  <c r="P346" i="52"/>
  <c r="P272" i="52"/>
  <c r="X346" i="52"/>
  <c r="X272" i="52"/>
  <c r="AP346" i="92"/>
  <c r="AP272" i="92"/>
  <c r="AG346" i="92"/>
  <c r="AG272" i="92"/>
  <c r="R346" i="92"/>
  <c r="R272" i="92"/>
  <c r="AK346" i="92"/>
  <c r="AK272" i="92"/>
  <c r="H346" i="92"/>
  <c r="H272" i="92"/>
  <c r="AF118" i="52"/>
  <c r="AF194" i="52" s="1"/>
  <c r="L118" i="52"/>
  <c r="L194" i="52" s="1"/>
  <c r="Y270" i="88"/>
  <c r="Y196" i="88"/>
  <c r="X270" i="88"/>
  <c r="X196" i="88"/>
  <c r="AQ346" i="52"/>
  <c r="AQ272" i="52"/>
  <c r="M346" i="52"/>
  <c r="M272" i="52"/>
  <c r="N346" i="92"/>
  <c r="N272" i="92"/>
  <c r="Q346" i="92"/>
  <c r="Q272" i="92"/>
  <c r="AB346" i="92"/>
  <c r="AB272" i="92"/>
  <c r="AR346" i="52"/>
  <c r="AR272" i="52"/>
  <c r="R346" i="52"/>
  <c r="R272" i="52"/>
  <c r="O346" i="92"/>
  <c r="O272" i="92"/>
  <c r="AS346" i="92"/>
  <c r="AS272" i="92"/>
  <c r="AP346" i="52"/>
  <c r="AP272" i="52"/>
  <c r="AH346" i="52"/>
  <c r="AH272" i="52"/>
  <c r="O346" i="52"/>
  <c r="O272" i="52"/>
  <c r="X270" i="92"/>
  <c r="X196" i="92"/>
  <c r="AM118" i="92"/>
  <c r="U118" i="92"/>
  <c r="AL118" i="52"/>
  <c r="H259" i="92"/>
  <c r="H260" i="92" s="1"/>
  <c r="I107" i="88"/>
  <c r="I108" i="88" s="1"/>
  <c r="I130" i="96"/>
  <c r="I183" i="88"/>
  <c r="I184" i="88" s="1"/>
  <c r="J130" i="96"/>
  <c r="J107" i="92"/>
  <c r="J108" i="92" s="1"/>
  <c r="H206" i="96"/>
  <c r="G434" i="88"/>
  <c r="I206" i="96"/>
  <c r="G358" i="88"/>
  <c r="G411" i="92"/>
  <c r="G412" i="92" s="1"/>
  <c r="I107" i="52"/>
  <c r="I108" i="52" s="1"/>
  <c r="G335" i="96"/>
  <c r="G336" i="96" s="1"/>
  <c r="I183" i="92"/>
  <c r="I184" i="92" s="1"/>
  <c r="I180" i="52"/>
  <c r="I206" i="52" s="1"/>
  <c r="I209" i="52"/>
  <c r="I210" i="52" s="1"/>
  <c r="I256" i="88"/>
  <c r="I259" i="88" s="1"/>
  <c r="I285" i="88"/>
  <c r="I286" i="88" s="1"/>
  <c r="H256" i="88"/>
  <c r="H259" i="88" s="1"/>
  <c r="H260" i="88" s="1"/>
  <c r="H285" i="88"/>
  <c r="G408" i="52"/>
  <c r="G434" i="52" s="1"/>
  <c r="G437" i="52"/>
  <c r="G438" i="52" s="1"/>
  <c r="K104" i="88"/>
  <c r="K130" i="88" s="1"/>
  <c r="K133" i="88"/>
  <c r="K134" i="88" s="1"/>
  <c r="G335" i="92"/>
  <c r="G336" i="92" s="1"/>
  <c r="G259" i="52"/>
  <c r="G260" i="52" s="1"/>
  <c r="H183" i="52"/>
  <c r="H184" i="52" s="1"/>
  <c r="G332" i="52"/>
  <c r="G358" i="52" s="1"/>
  <c r="G361" i="52"/>
  <c r="G362" i="52" s="1"/>
  <c r="H408" i="88"/>
  <c r="H434" i="88" s="1"/>
  <c r="H437" i="88"/>
  <c r="G411" i="96"/>
  <c r="G412" i="96" s="1"/>
  <c r="I130" i="92"/>
  <c r="J104" i="52"/>
  <c r="J130" i="52" s="1"/>
  <c r="J133" i="52"/>
  <c r="J134" i="52" s="1"/>
  <c r="H256" i="52"/>
  <c r="H259" i="52" s="1"/>
  <c r="H285" i="52"/>
  <c r="J180" i="88"/>
  <c r="J206" i="88" s="1"/>
  <c r="J209" i="88"/>
  <c r="J210" i="88" s="1"/>
  <c r="H332" i="92"/>
  <c r="H358" i="92" s="1"/>
  <c r="H361" i="92"/>
  <c r="G259" i="88"/>
  <c r="G260" i="88" s="1"/>
  <c r="H332" i="88"/>
  <c r="H335" i="88" s="1"/>
  <c r="H361" i="88"/>
  <c r="J104" i="88"/>
  <c r="J130" i="88" s="1"/>
  <c r="J133" i="88"/>
  <c r="J134" i="88" s="1"/>
  <c r="L72" i="88"/>
  <c r="L96" i="88" s="1"/>
  <c r="L97" i="88" s="1"/>
  <c r="L72" i="52"/>
  <c r="F120" i="92"/>
  <c r="F127" i="92" s="1"/>
  <c r="F136" i="92" s="1"/>
  <c r="F196" i="92"/>
  <c r="F203" i="92" s="1"/>
  <c r="F212" i="92" s="1"/>
  <c r="F269" i="92"/>
  <c r="F272" i="92" s="1"/>
  <c r="E117" i="92"/>
  <c r="C120" i="52"/>
  <c r="R299" i="73"/>
  <c r="P118" i="88" s="1"/>
  <c r="S120" i="92"/>
  <c r="AO316" i="73"/>
  <c r="H316" i="73"/>
  <c r="AP316" i="73"/>
  <c r="AR316" i="73"/>
  <c r="V316" i="73"/>
  <c r="Y316" i="73"/>
  <c r="J299" i="73"/>
  <c r="H118" i="88" s="1"/>
  <c r="U299" i="73"/>
  <c r="S118" i="88" s="1"/>
  <c r="S194" i="88" s="1"/>
  <c r="R316" i="73"/>
  <c r="AO299" i="73"/>
  <c r="AM118" i="88" s="1"/>
  <c r="AM194" i="88" s="1"/>
  <c r="AM270" i="88" s="1"/>
  <c r="AM346" i="88" s="1"/>
  <c r="AM422" i="88" s="1"/>
  <c r="AC316" i="73"/>
  <c r="AC299" i="73"/>
  <c r="AA118" i="88" s="1"/>
  <c r="N120" i="92"/>
  <c r="AF299" i="73"/>
  <c r="AD118" i="88" s="1"/>
  <c r="H299" i="73"/>
  <c r="F117" i="88" s="1"/>
  <c r="F120" i="88" s="1"/>
  <c r="Q120" i="92"/>
  <c r="AV299" i="73"/>
  <c r="AT118" i="88" s="1"/>
  <c r="AT194" i="88" s="1"/>
  <c r="AT270" i="88" s="1"/>
  <c r="AT346" i="88" s="1"/>
  <c r="AT422" i="88" s="1"/>
  <c r="AS316" i="73"/>
  <c r="V299" i="73"/>
  <c r="T118" i="88" s="1"/>
  <c r="O316" i="73"/>
  <c r="AR299" i="73"/>
  <c r="AP118" i="88" s="1"/>
  <c r="AJ299" i="73"/>
  <c r="AH118" i="88" s="1"/>
  <c r="AK299" i="73"/>
  <c r="AI118" i="88" s="1"/>
  <c r="AV316" i="73"/>
  <c r="S299" i="73"/>
  <c r="Q118" i="88" s="1"/>
  <c r="Q194" i="88" s="1"/>
  <c r="U120" i="52"/>
  <c r="AK120" i="92"/>
  <c r="AS299" i="73"/>
  <c r="AQ118" i="88" s="1"/>
  <c r="AK316" i="73"/>
  <c r="AA120" i="92"/>
  <c r="AT299" i="73"/>
  <c r="AR118" i="88" s="1"/>
  <c r="AJ316" i="73"/>
  <c r="AI316" i="73"/>
  <c r="AG299" i="73"/>
  <c r="AE118" i="88" s="1"/>
  <c r="AE194" i="88" s="1"/>
  <c r="AQ299" i="73"/>
  <c r="AO118" i="88" s="1"/>
  <c r="AB299" i="73"/>
  <c r="Z118" i="88" s="1"/>
  <c r="U316" i="73"/>
  <c r="AM316" i="73"/>
  <c r="L299" i="73"/>
  <c r="J118" i="88" s="1"/>
  <c r="AN299" i="73"/>
  <c r="AL118" i="88" s="1"/>
  <c r="AB316" i="73"/>
  <c r="K316" i="73"/>
  <c r="AX316" i="73"/>
  <c r="AW299" i="73"/>
  <c r="S316" i="73"/>
  <c r="L316" i="73"/>
  <c r="AQ316" i="73"/>
  <c r="Z316" i="73"/>
  <c r="AE298" i="73"/>
  <c r="AE295" i="73"/>
  <c r="AE299" i="73" s="1"/>
  <c r="AC118" i="88" s="1"/>
  <c r="AC194" i="88" s="1"/>
  <c r="AE120" i="92"/>
  <c r="K120" i="92"/>
  <c r="W316" i="73"/>
  <c r="AT316" i="73"/>
  <c r="AN316" i="73"/>
  <c r="AX299" i="73"/>
  <c r="H282" i="73"/>
  <c r="J282" i="73" s="1"/>
  <c r="Q316" i="73"/>
  <c r="AM299" i="73"/>
  <c r="AK118" i="88" s="1"/>
  <c r="AK194" i="88" s="1"/>
  <c r="V120" i="92"/>
  <c r="D124" i="52"/>
  <c r="AF120" i="92"/>
  <c r="G313" i="73"/>
  <c r="G316" i="73" s="1"/>
  <c r="O299" i="73"/>
  <c r="M118" i="88" s="1"/>
  <c r="AG316" i="73"/>
  <c r="AP299" i="73"/>
  <c r="AN118" i="88" s="1"/>
  <c r="AN194" i="88" s="1"/>
  <c r="AN270" i="88" s="1"/>
  <c r="AN346" i="88" s="1"/>
  <c r="AN422" i="88" s="1"/>
  <c r="P295" i="73"/>
  <c r="P299" i="73" s="1"/>
  <c r="N118" i="88" s="1"/>
  <c r="N194" i="88" s="1"/>
  <c r="I313" i="73"/>
  <c r="I316" i="73" s="1"/>
  <c r="M296" i="73"/>
  <c r="M299" i="73" s="1"/>
  <c r="K118" i="88" s="1"/>
  <c r="K194" i="88" s="1"/>
  <c r="P312" i="73"/>
  <c r="P316" i="73" s="1"/>
  <c r="W299" i="73"/>
  <c r="AW313" i="73"/>
  <c r="AW316" i="73" s="1"/>
  <c r="N296" i="73"/>
  <c r="N299" i="73" s="1"/>
  <c r="L118" i="88" s="1"/>
  <c r="L194" i="88" s="1"/>
  <c r="L101" i="14"/>
  <c r="AU312" i="73"/>
  <c r="AU316" i="73" s="1"/>
  <c r="AL313" i="73"/>
  <c r="AL316" i="73" s="1"/>
  <c r="X313" i="73"/>
  <c r="X316" i="73" s="1"/>
  <c r="L120" i="92"/>
  <c r="AU295" i="73"/>
  <c r="AU299" i="73" s="1"/>
  <c r="AS118" i="88" s="1"/>
  <c r="AS194" i="88" s="1"/>
  <c r="I298" i="73"/>
  <c r="G118" i="52" s="1"/>
  <c r="G194" i="52" s="1"/>
  <c r="I296" i="73"/>
  <c r="I299" i="73" s="1"/>
  <c r="G118" i="88" s="1"/>
  <c r="G194" i="88" s="1"/>
  <c r="AD312" i="73"/>
  <c r="AD316" i="73" s="1"/>
  <c r="AB120" i="92"/>
  <c r="N313" i="73"/>
  <c r="N316" i="73" s="1"/>
  <c r="G296" i="73"/>
  <c r="G299" i="73" s="1"/>
  <c r="E117" i="88" s="1"/>
  <c r="E120" i="88" s="1"/>
  <c r="C193" i="52"/>
  <c r="C196" i="52" s="1"/>
  <c r="AH315" i="73"/>
  <c r="AH312" i="73"/>
  <c r="AH316" i="73" s="1"/>
  <c r="AE312" i="73"/>
  <c r="AE316" i="73" s="1"/>
  <c r="E312" i="73"/>
  <c r="E316" i="73" s="1"/>
  <c r="E295" i="73"/>
  <c r="E299" i="73" s="1"/>
  <c r="C117" i="88" s="1"/>
  <c r="AD295" i="73"/>
  <c r="AD299" i="73" s="1"/>
  <c r="AB118" i="88" s="1"/>
  <c r="AB194" i="88" s="1"/>
  <c r="M313" i="73"/>
  <c r="M316" i="73" s="1"/>
  <c r="AL296" i="73"/>
  <c r="AL299" i="73" s="1"/>
  <c r="AJ118" i="88" s="1"/>
  <c r="AJ194" i="88" s="1"/>
  <c r="AJ270" i="88" s="1"/>
  <c r="AJ346" i="88" s="1"/>
  <c r="AJ422" i="88" s="1"/>
  <c r="X296" i="73"/>
  <c r="X299" i="73" s="1"/>
  <c r="V118" i="88" s="1"/>
  <c r="V194" i="88" s="1"/>
  <c r="V270" i="88" s="1"/>
  <c r="V346" i="88" s="1"/>
  <c r="V422" i="88" s="1"/>
  <c r="AH295" i="73"/>
  <c r="AH299" i="73" s="1"/>
  <c r="AF118" i="88" s="1"/>
  <c r="AF194" i="88" s="1"/>
  <c r="D196" i="92"/>
  <c r="D269" i="92"/>
  <c r="D200" i="52"/>
  <c r="D203" i="52"/>
  <c r="D212" i="52" s="1"/>
  <c r="C269" i="92"/>
  <c r="C196" i="92"/>
  <c r="F120" i="52"/>
  <c r="K59" i="14"/>
  <c r="K72" i="14"/>
  <c r="V196" i="92"/>
  <c r="W196" i="92"/>
  <c r="E120" i="52"/>
  <c r="AN196" i="92"/>
  <c r="E196" i="52"/>
  <c r="E269" i="52"/>
  <c r="D193" i="88"/>
  <c r="D120" i="88"/>
  <c r="W120" i="88"/>
  <c r="K122" i="14"/>
  <c r="K135" i="14"/>
  <c r="AL196" i="92"/>
  <c r="D272" i="52"/>
  <c r="D345" i="52"/>
  <c r="F196" i="52"/>
  <c r="F269" i="52"/>
  <c r="I376" i="96"/>
  <c r="I400" i="96" s="1"/>
  <c r="I401" i="96" s="1"/>
  <c r="I324" i="96"/>
  <c r="I325" i="96" s="1"/>
  <c r="I184" i="96"/>
  <c r="J108" i="96"/>
  <c r="I376" i="92"/>
  <c r="I400" i="92" s="1"/>
  <c r="I401" i="92" s="1"/>
  <c r="I324" i="92"/>
  <c r="I325" i="92" s="1"/>
  <c r="K148" i="88"/>
  <c r="K172" i="88" s="1"/>
  <c r="K173" i="88" s="1"/>
  <c r="V120" i="52"/>
  <c r="AM120" i="52"/>
  <c r="I376" i="88"/>
  <c r="I400" i="88" s="1"/>
  <c r="I401" i="88" s="1"/>
  <c r="I324" i="88"/>
  <c r="I325" i="88" s="1"/>
  <c r="G412" i="88"/>
  <c r="G336" i="88"/>
  <c r="J300" i="88"/>
  <c r="J248" i="88"/>
  <c r="J249" i="88" s="1"/>
  <c r="J224" i="52"/>
  <c r="J172" i="52"/>
  <c r="J173" i="52" s="1"/>
  <c r="J125" i="14"/>
  <c r="J138" i="14"/>
  <c r="K96" i="52"/>
  <c r="K97" i="52" s="1"/>
  <c r="K148" i="52"/>
  <c r="H324" i="52"/>
  <c r="H325" i="52" s="1"/>
  <c r="H376" i="52"/>
  <c r="H400" i="52" s="1"/>
  <c r="H401" i="52" s="1"/>
  <c r="I248" i="52"/>
  <c r="I249" i="52" s="1"/>
  <c r="I300" i="52"/>
  <c r="J62" i="14"/>
  <c r="J64" i="14" s="1"/>
  <c r="J75" i="14"/>
  <c r="J77" i="14" s="1"/>
  <c r="W120" i="52"/>
  <c r="AO85" i="52"/>
  <c r="AO86" i="52" s="1"/>
  <c r="AP85" i="52" s="1"/>
  <c r="AP86" i="52" s="1"/>
  <c r="AQ85" i="52" s="1"/>
  <c r="AQ86" i="52" s="1"/>
  <c r="AR85" i="52" s="1"/>
  <c r="AR86" i="52" s="1"/>
  <c r="AS85" i="52" s="1"/>
  <c r="AS86" i="52" s="1"/>
  <c r="AT85" i="52" s="1"/>
  <c r="AT86" i="52" s="1"/>
  <c r="W196" i="52"/>
  <c r="AM196" i="52"/>
  <c r="V196" i="52"/>
  <c r="AN196" i="52"/>
  <c r="AN120" i="52"/>
  <c r="L38" i="14"/>
  <c r="K48" i="14"/>
  <c r="K50" i="14" s="1"/>
  <c r="Y299" i="74"/>
  <c r="W118" i="96" s="1"/>
  <c r="W194" i="96" s="1"/>
  <c r="W270" i="96" s="1"/>
  <c r="W346" i="96" s="1"/>
  <c r="W422" i="96" s="1"/>
  <c r="AP316" i="74"/>
  <c r="Y316" i="74"/>
  <c r="M299" i="74"/>
  <c r="K118" i="96" s="1"/>
  <c r="K194" i="96" s="1"/>
  <c r="H316" i="74"/>
  <c r="V299" i="74"/>
  <c r="T118" i="96" s="1"/>
  <c r="AL299" i="74"/>
  <c r="AJ118" i="96" s="1"/>
  <c r="AJ194" i="96" s="1"/>
  <c r="AJ270" i="96" s="1"/>
  <c r="AJ346" i="96" s="1"/>
  <c r="AJ422" i="96" s="1"/>
  <c r="AG299" i="74"/>
  <c r="AE118" i="96" s="1"/>
  <c r="AE194" i="96" s="1"/>
  <c r="AP299" i="74"/>
  <c r="AN118" i="96" s="1"/>
  <c r="AN194" i="96" s="1"/>
  <c r="AN270" i="96" s="1"/>
  <c r="AN346" i="96" s="1"/>
  <c r="AN422" i="96" s="1"/>
  <c r="AQ299" i="74"/>
  <c r="AO118" i="96" s="1"/>
  <c r="AF316" i="74"/>
  <c r="AO316" i="74"/>
  <c r="AB316" i="74"/>
  <c r="AV299" i="74"/>
  <c r="AT118" i="96" s="1"/>
  <c r="AT194" i="96" s="1"/>
  <c r="AT270" i="96" s="1"/>
  <c r="AT346" i="96" s="1"/>
  <c r="AT422" i="96" s="1"/>
  <c r="AN299" i="74"/>
  <c r="AL118" i="96" s="1"/>
  <c r="AH316" i="74"/>
  <c r="AL316" i="74"/>
  <c r="G299" i="74"/>
  <c r="E117" i="96" s="1"/>
  <c r="AV316" i="74"/>
  <c r="AU316" i="74"/>
  <c r="AG316" i="74"/>
  <c r="K316" i="74"/>
  <c r="V316" i="74"/>
  <c r="AH299" i="74"/>
  <c r="AF118" i="96" s="1"/>
  <c r="AF194" i="96" s="1"/>
  <c r="AB299" i="74"/>
  <c r="Z118" i="96" s="1"/>
  <c r="S299" i="74"/>
  <c r="Q118" i="96" s="1"/>
  <c r="Q194" i="96" s="1"/>
  <c r="T316" i="74"/>
  <c r="AJ316" i="74"/>
  <c r="Z299" i="74"/>
  <c r="X118" i="96" s="1"/>
  <c r="AO299" i="74"/>
  <c r="AM118" i="96" s="1"/>
  <c r="AM194" i="96" s="1"/>
  <c r="AM270" i="96" s="1"/>
  <c r="AM346" i="96" s="1"/>
  <c r="AM422" i="96" s="1"/>
  <c r="X316" i="74"/>
  <c r="E316" i="74"/>
  <c r="O299" i="74"/>
  <c r="M118" i="96" s="1"/>
  <c r="O316" i="74"/>
  <c r="AT316" i="74"/>
  <c r="M316" i="74"/>
  <c r="H299" i="74"/>
  <c r="F117" i="96" s="1"/>
  <c r="AA299" i="74"/>
  <c r="Y118" i="96" s="1"/>
  <c r="AU299" i="74"/>
  <c r="AS118" i="96" s="1"/>
  <c r="AS194" i="96" s="1"/>
  <c r="AI316" i="74"/>
  <c r="AF299" i="74"/>
  <c r="AD118" i="96" s="1"/>
  <c r="AK316" i="74"/>
  <c r="AW316" i="74"/>
  <c r="K299" i="74"/>
  <c r="I118" i="96" s="1"/>
  <c r="AD299" i="74"/>
  <c r="AB118" i="96" s="1"/>
  <c r="AB194" i="96" s="1"/>
  <c r="P316" i="74"/>
  <c r="J299" i="74"/>
  <c r="H118" i="96" s="1"/>
  <c r="R316" i="74"/>
  <c r="AM299" i="74"/>
  <c r="AK118" i="96" s="1"/>
  <c r="AK194" i="96" s="1"/>
  <c r="AN316" i="74"/>
  <c r="AM316" i="74"/>
  <c r="AA316" i="74"/>
  <c r="L299" i="74"/>
  <c r="J118" i="96" s="1"/>
  <c r="Z316" i="74"/>
  <c r="X299" i="74"/>
  <c r="V118" i="96" s="1"/>
  <c r="V194" i="96" s="1"/>
  <c r="V270" i="96" s="1"/>
  <c r="V346" i="96" s="1"/>
  <c r="V422" i="96" s="1"/>
  <c r="AD316" i="74"/>
  <c r="R299" i="74"/>
  <c r="P118" i="96" s="1"/>
  <c r="N316" i="74"/>
  <c r="G316" i="74"/>
  <c r="AE299" i="74"/>
  <c r="AC118" i="96" s="1"/>
  <c r="AC194" i="96" s="1"/>
  <c r="H282" i="74"/>
  <c r="J282" i="74" s="1"/>
  <c r="AW299" i="74"/>
  <c r="U299" i="74"/>
  <c r="S118" i="96" s="1"/>
  <c r="S194" i="96" s="1"/>
  <c r="AR316" i="74"/>
  <c r="AT299" i="74"/>
  <c r="AR118" i="96" s="1"/>
  <c r="AX316" i="74"/>
  <c r="T299" i="74"/>
  <c r="R118" i="96" s="1"/>
  <c r="AJ299" i="74"/>
  <c r="AH118" i="96" s="1"/>
  <c r="AE316" i="74"/>
  <c r="F316" i="74"/>
  <c r="Q299" i="74"/>
  <c r="O118" i="96" s="1"/>
  <c r="AI299" i="74"/>
  <c r="AG118" i="96" s="1"/>
  <c r="AQ316" i="74"/>
  <c r="I316" i="74"/>
  <c r="AK299" i="74"/>
  <c r="AI118" i="96" s="1"/>
  <c r="P299" i="74"/>
  <c r="N118" i="96" s="1"/>
  <c r="N194" i="96" s="1"/>
  <c r="AC299" i="74"/>
  <c r="AA118" i="96" s="1"/>
  <c r="J316" i="74"/>
  <c r="W299" i="74"/>
  <c r="U118" i="96" s="1"/>
  <c r="S316" i="74"/>
  <c r="AS299" i="74"/>
  <c r="AQ118" i="96" s="1"/>
  <c r="F299" i="74"/>
  <c r="D117" i="96" s="1"/>
  <c r="Q316" i="74"/>
  <c r="L316" i="74"/>
  <c r="N299" i="74"/>
  <c r="L118" i="96" s="1"/>
  <c r="L194" i="96" s="1"/>
  <c r="I299" i="74"/>
  <c r="G118" i="96" s="1"/>
  <c r="G194" i="96" s="1"/>
  <c r="AC316" i="74"/>
  <c r="U316" i="74"/>
  <c r="AR299" i="74"/>
  <c r="AP118" i="96" s="1"/>
  <c r="W316" i="74"/>
  <c r="AX299" i="74"/>
  <c r="AS316" i="74"/>
  <c r="AG270" i="88" l="1"/>
  <c r="AG346" i="88" s="1"/>
  <c r="H259" i="96"/>
  <c r="H260" i="96" s="1"/>
  <c r="H332" i="96"/>
  <c r="H335" i="96" s="1"/>
  <c r="H336" i="96" s="1"/>
  <c r="H376" i="96"/>
  <c r="H400" i="96" s="1"/>
  <c r="H401" i="96" s="1"/>
  <c r="H437" i="96" s="1"/>
  <c r="H438" i="96" s="1"/>
  <c r="C60" i="96" s="1"/>
  <c r="AG120" i="88"/>
  <c r="AB311" i="92"/>
  <c r="H437" i="92"/>
  <c r="C59" i="92" s="1"/>
  <c r="J180" i="92"/>
  <c r="J206" i="92" s="1"/>
  <c r="I256" i="96"/>
  <c r="I259" i="96" s="1"/>
  <c r="I260" i="96" s="1"/>
  <c r="J224" i="92"/>
  <c r="J300" i="92" s="1"/>
  <c r="J324" i="92" s="1"/>
  <c r="J325" i="92" s="1"/>
  <c r="I285" i="92"/>
  <c r="I286" i="92" s="1"/>
  <c r="K224" i="96"/>
  <c r="K248" i="96" s="1"/>
  <c r="K249" i="96" s="1"/>
  <c r="J172" i="96"/>
  <c r="J173" i="96" s="1"/>
  <c r="J209" i="96" s="1"/>
  <c r="J210" i="96" s="1"/>
  <c r="AB387" i="92"/>
  <c r="AB235" i="92"/>
  <c r="K96" i="96"/>
  <c r="K97" i="96" s="1"/>
  <c r="K104" i="96" s="1"/>
  <c r="K130" i="96" s="1"/>
  <c r="S272" i="92"/>
  <c r="D124" i="92"/>
  <c r="K272" i="92"/>
  <c r="R311" i="92"/>
  <c r="S387" i="92"/>
  <c r="R235" i="92"/>
  <c r="S235" i="92"/>
  <c r="R159" i="92"/>
  <c r="S311" i="92"/>
  <c r="P270" i="92"/>
  <c r="P272" i="92" s="1"/>
  <c r="T235" i="92"/>
  <c r="U235" i="92"/>
  <c r="U159" i="92"/>
  <c r="L72" i="96"/>
  <c r="L148" i="96" s="1"/>
  <c r="L224" i="96" s="1"/>
  <c r="C127" i="92"/>
  <c r="C136" i="92" s="1"/>
  <c r="D137" i="92" s="1"/>
  <c r="J272" i="92"/>
  <c r="AD272" i="92"/>
  <c r="Y387" i="92"/>
  <c r="AA235" i="92"/>
  <c r="AA387" i="92"/>
  <c r="K133" i="92"/>
  <c r="K134" i="92" s="1"/>
  <c r="S84" i="92"/>
  <c r="S388" i="92" s="1"/>
  <c r="T387" i="92"/>
  <c r="U387" i="92"/>
  <c r="K148" i="92"/>
  <c r="K172" i="92" s="1"/>
  <c r="K173" i="92" s="1"/>
  <c r="K209" i="92" s="1"/>
  <c r="K210" i="92" s="1"/>
  <c r="R160" i="92"/>
  <c r="Z235" i="92"/>
  <c r="AA159" i="92"/>
  <c r="Z387" i="92"/>
  <c r="R388" i="92"/>
  <c r="Z159" i="92"/>
  <c r="R236" i="92"/>
  <c r="I346" i="92"/>
  <c r="I348" i="92" s="1"/>
  <c r="Y235" i="92"/>
  <c r="Y311" i="92"/>
  <c r="W235" i="92"/>
  <c r="X235" i="92"/>
  <c r="X387" i="92"/>
  <c r="W387" i="92"/>
  <c r="M196" i="92"/>
  <c r="M270" i="92"/>
  <c r="T159" i="92"/>
  <c r="W159" i="92"/>
  <c r="X159" i="92"/>
  <c r="J140" i="14"/>
  <c r="J127" i="14"/>
  <c r="AG313" i="52"/>
  <c r="AG389" i="52"/>
  <c r="AK313" i="52"/>
  <c r="AK389" i="52"/>
  <c r="U306" i="52"/>
  <c r="U382" i="52"/>
  <c r="G308" i="52"/>
  <c r="G384" i="52"/>
  <c r="I306" i="52"/>
  <c r="I382" i="52"/>
  <c r="L307" i="52"/>
  <c r="L383" i="52"/>
  <c r="M306" i="52"/>
  <c r="M382" i="52"/>
  <c r="I305" i="52"/>
  <c r="I381" i="52"/>
  <c r="AA306" i="52"/>
  <c r="AA382" i="52"/>
  <c r="X305" i="52"/>
  <c r="X381" i="52"/>
  <c r="AR306" i="52"/>
  <c r="AR382" i="52"/>
  <c r="L306" i="52"/>
  <c r="L382" i="52"/>
  <c r="I307" i="52"/>
  <c r="I383" i="52"/>
  <c r="H308" i="52"/>
  <c r="H384" i="52"/>
  <c r="AJ315" i="92"/>
  <c r="AJ391" i="92"/>
  <c r="AH313" i="52"/>
  <c r="AH389" i="52"/>
  <c r="Y313" i="52"/>
  <c r="Y389" i="52"/>
  <c r="O306" i="52"/>
  <c r="O382" i="52"/>
  <c r="L305" i="52"/>
  <c r="L381" i="52"/>
  <c r="Y306" i="52"/>
  <c r="Y382" i="52"/>
  <c r="U305" i="52"/>
  <c r="U381" i="52"/>
  <c r="AT305" i="52"/>
  <c r="AT381" i="52"/>
  <c r="J307" i="52"/>
  <c r="J383" i="52"/>
  <c r="X306" i="52"/>
  <c r="X382" i="52"/>
  <c r="AE305" i="52"/>
  <c r="AE381" i="52"/>
  <c r="U307" i="52"/>
  <c r="U383" i="52"/>
  <c r="H309" i="52"/>
  <c r="H385" i="52"/>
  <c r="AH315" i="92"/>
  <c r="AH391" i="92"/>
  <c r="AC315" i="92"/>
  <c r="AC391" i="92"/>
  <c r="K138" i="14"/>
  <c r="AD313" i="52"/>
  <c r="AD389" i="52"/>
  <c r="AF313" i="52"/>
  <c r="AF389" i="52"/>
  <c r="AI313" i="52"/>
  <c r="AI389" i="52"/>
  <c r="K114" i="14"/>
  <c r="AE306" i="52"/>
  <c r="AE382" i="52"/>
  <c r="J306" i="52"/>
  <c r="J382" i="52"/>
  <c r="AB305" i="52"/>
  <c r="AB381" i="52"/>
  <c r="N307" i="52"/>
  <c r="N383" i="52"/>
  <c r="AO306" i="52"/>
  <c r="AO382" i="52"/>
  <c r="S306" i="52"/>
  <c r="S382" i="52"/>
  <c r="AK305" i="52"/>
  <c r="AK381" i="52"/>
  <c r="P305" i="52"/>
  <c r="P381" i="52"/>
  <c r="AS306" i="52"/>
  <c r="AS382" i="52"/>
  <c r="W306" i="52"/>
  <c r="W382" i="52"/>
  <c r="AO305" i="52"/>
  <c r="AO381" i="52"/>
  <c r="T305" i="52"/>
  <c r="T381" i="52"/>
  <c r="G305" i="52"/>
  <c r="G381" i="52"/>
  <c r="AL306" i="52"/>
  <c r="AL382" i="52"/>
  <c r="Q306" i="52"/>
  <c r="Q382" i="52"/>
  <c r="AH305" i="52"/>
  <c r="AH381" i="52"/>
  <c r="M305" i="52"/>
  <c r="M381" i="52"/>
  <c r="R307" i="52"/>
  <c r="R383" i="52"/>
  <c r="AJ306" i="52"/>
  <c r="AJ382" i="52"/>
  <c r="T306" i="52"/>
  <c r="T382" i="52"/>
  <c r="AQ305" i="52"/>
  <c r="AQ381" i="52"/>
  <c r="AA305" i="52"/>
  <c r="AA381" i="52"/>
  <c r="K305" i="52"/>
  <c r="K381" i="52"/>
  <c r="P308" i="52"/>
  <c r="P384" i="52"/>
  <c r="K308" i="52"/>
  <c r="K384" i="52"/>
  <c r="T307" i="52"/>
  <c r="T383" i="52"/>
  <c r="N308" i="52"/>
  <c r="N384" i="52"/>
  <c r="AL315" i="92"/>
  <c r="AL391" i="92"/>
  <c r="AI315" i="92"/>
  <c r="AI391" i="92"/>
  <c r="AK315" i="92"/>
  <c r="AK391" i="92"/>
  <c r="AL313" i="52"/>
  <c r="AL389" i="52"/>
  <c r="AA313" i="52"/>
  <c r="AA389" i="52"/>
  <c r="AP306" i="52"/>
  <c r="AP382" i="52"/>
  <c r="AL305" i="52"/>
  <c r="AL381" i="52"/>
  <c r="Q305" i="52"/>
  <c r="Q381" i="52"/>
  <c r="AD306" i="52"/>
  <c r="AD382" i="52"/>
  <c r="Z305" i="52"/>
  <c r="Z381" i="52"/>
  <c r="AH306" i="52"/>
  <c r="AH382" i="52"/>
  <c r="AD305" i="52"/>
  <c r="AD381" i="52"/>
  <c r="G309" i="52"/>
  <c r="G385" i="52"/>
  <c r="AS305" i="52"/>
  <c r="AS381" i="52"/>
  <c r="L308" i="52"/>
  <c r="L384" i="52"/>
  <c r="AB306" i="52"/>
  <c r="AB382" i="52"/>
  <c r="AI305" i="52"/>
  <c r="AI381" i="52"/>
  <c r="S305" i="52"/>
  <c r="S381" i="52"/>
  <c r="H307" i="52"/>
  <c r="H383" i="52"/>
  <c r="O307" i="52"/>
  <c r="O383" i="52"/>
  <c r="K309" i="52"/>
  <c r="K385" i="52"/>
  <c r="AM315" i="92"/>
  <c r="AM391" i="92"/>
  <c r="AC316" i="92"/>
  <c r="AC392" i="92"/>
  <c r="AJ313" i="52"/>
  <c r="AJ389" i="52"/>
  <c r="AK306" i="52"/>
  <c r="AK382" i="52"/>
  <c r="AG305" i="52"/>
  <c r="AG381" i="52"/>
  <c r="AT306" i="52"/>
  <c r="AT382" i="52"/>
  <c r="AP305" i="52"/>
  <c r="AP381" i="52"/>
  <c r="S307" i="52"/>
  <c r="S383" i="52"/>
  <c r="AC306" i="52"/>
  <c r="AC382" i="52"/>
  <c r="Y305" i="52"/>
  <c r="Y381" i="52"/>
  <c r="O308" i="52"/>
  <c r="O384" i="52"/>
  <c r="AQ306" i="52"/>
  <c r="AQ382" i="52"/>
  <c r="V306" i="52"/>
  <c r="V382" i="52"/>
  <c r="R305" i="52"/>
  <c r="R381" i="52"/>
  <c r="AN306" i="52"/>
  <c r="AN382" i="52"/>
  <c r="AN395" i="52" s="1"/>
  <c r="H306" i="52"/>
  <c r="H382" i="52"/>
  <c r="O305" i="52"/>
  <c r="O381" i="52"/>
  <c r="Q307" i="52"/>
  <c r="Q383" i="52"/>
  <c r="K307" i="52"/>
  <c r="K383" i="52"/>
  <c r="I309" i="52"/>
  <c r="I385" i="52"/>
  <c r="AE315" i="92"/>
  <c r="AE391" i="92"/>
  <c r="K125" i="14"/>
  <c r="AC313" i="52"/>
  <c r="AC389" i="52"/>
  <c r="Z313" i="52"/>
  <c r="Z389" i="52"/>
  <c r="AB313" i="52"/>
  <c r="AB389" i="52"/>
  <c r="AE313" i="52"/>
  <c r="AE389" i="52"/>
  <c r="Z306" i="52"/>
  <c r="Z382" i="52"/>
  <c r="AR305" i="52"/>
  <c r="AR381" i="52"/>
  <c r="V305" i="52"/>
  <c r="V381" i="52"/>
  <c r="G306" i="52"/>
  <c r="G382" i="52"/>
  <c r="AI306" i="52"/>
  <c r="AI382" i="52"/>
  <c r="N306" i="52"/>
  <c r="N382" i="52"/>
  <c r="AF305" i="52"/>
  <c r="AF381" i="52"/>
  <c r="J305" i="52"/>
  <c r="J381" i="52"/>
  <c r="AM306" i="52"/>
  <c r="AM382" i="52"/>
  <c r="R306" i="52"/>
  <c r="R382" i="52"/>
  <c r="AJ305" i="52"/>
  <c r="AJ381" i="52"/>
  <c r="N305" i="52"/>
  <c r="N381" i="52"/>
  <c r="G307" i="52"/>
  <c r="G383" i="52"/>
  <c r="AG306" i="52"/>
  <c r="AG382" i="52"/>
  <c r="K306" i="52"/>
  <c r="K382" i="52"/>
  <c r="AC305" i="52"/>
  <c r="AC381" i="52"/>
  <c r="H305" i="52"/>
  <c r="H381" i="52"/>
  <c r="I308" i="52"/>
  <c r="I384" i="52"/>
  <c r="AF306" i="52"/>
  <c r="AF382" i="52"/>
  <c r="P306" i="52"/>
  <c r="P382" i="52"/>
  <c r="AM305" i="52"/>
  <c r="AM381" i="52"/>
  <c r="W305" i="52"/>
  <c r="W381" i="52"/>
  <c r="P307" i="52"/>
  <c r="P383" i="52"/>
  <c r="M307" i="52"/>
  <c r="M383" i="52"/>
  <c r="J309" i="52"/>
  <c r="J385" i="52"/>
  <c r="M308" i="52"/>
  <c r="M384" i="52"/>
  <c r="J308" i="52"/>
  <c r="J384" i="52"/>
  <c r="AF315" i="92"/>
  <c r="AF391" i="92"/>
  <c r="AD315" i="92"/>
  <c r="AD391" i="92"/>
  <c r="AG315" i="92"/>
  <c r="AG391" i="92"/>
  <c r="X237" i="52"/>
  <c r="X313" i="52"/>
  <c r="AN229" i="52"/>
  <c r="AN305" i="52"/>
  <c r="AH161" i="52"/>
  <c r="AH237" i="52"/>
  <c r="AP154" i="52"/>
  <c r="AP230" i="52"/>
  <c r="AL153" i="52"/>
  <c r="AL229" i="52"/>
  <c r="G156" i="52"/>
  <c r="G232" i="52"/>
  <c r="Z153" i="52"/>
  <c r="Z229" i="52"/>
  <c r="L155" i="52"/>
  <c r="L231" i="52"/>
  <c r="AD153" i="52"/>
  <c r="AD229" i="52"/>
  <c r="G157" i="52"/>
  <c r="G233" i="52"/>
  <c r="AS153" i="52"/>
  <c r="AS229" i="52"/>
  <c r="L156" i="52"/>
  <c r="L232" i="52"/>
  <c r="AB154" i="52"/>
  <c r="AB230" i="52"/>
  <c r="S153" i="52"/>
  <c r="S229" i="52"/>
  <c r="O155" i="52"/>
  <c r="O231" i="52"/>
  <c r="AH163" i="92"/>
  <c r="AH239" i="92"/>
  <c r="AC163" i="92"/>
  <c r="AC239" i="92"/>
  <c r="AL161" i="52"/>
  <c r="AL237" i="52"/>
  <c r="AG161" i="52"/>
  <c r="AG237" i="52"/>
  <c r="AK161" i="52"/>
  <c r="AK237" i="52"/>
  <c r="AA161" i="52"/>
  <c r="AA237" i="52"/>
  <c r="Z154" i="52"/>
  <c r="Z230" i="52"/>
  <c r="AR153" i="52"/>
  <c r="AR229" i="52"/>
  <c r="V153" i="52"/>
  <c r="V229" i="52"/>
  <c r="G154" i="52"/>
  <c r="G230" i="52"/>
  <c r="AI154" i="52"/>
  <c r="AI230" i="52"/>
  <c r="N154" i="52"/>
  <c r="N230" i="52"/>
  <c r="AF153" i="52"/>
  <c r="AF229" i="52"/>
  <c r="J153" i="52"/>
  <c r="J229" i="52"/>
  <c r="AM154" i="52"/>
  <c r="AM230" i="52"/>
  <c r="R154" i="52"/>
  <c r="R230" i="52"/>
  <c r="AJ153" i="52"/>
  <c r="AJ229" i="52"/>
  <c r="N153" i="52"/>
  <c r="N229" i="52"/>
  <c r="G155" i="52"/>
  <c r="G231" i="52"/>
  <c r="AG154" i="52"/>
  <c r="AG230" i="52"/>
  <c r="K154" i="52"/>
  <c r="K230" i="52"/>
  <c r="AC153" i="52"/>
  <c r="AC229" i="52"/>
  <c r="H153" i="52"/>
  <c r="H229" i="52"/>
  <c r="I156" i="52"/>
  <c r="I232" i="52"/>
  <c r="AF154" i="52"/>
  <c r="AF230" i="52"/>
  <c r="P154" i="52"/>
  <c r="P230" i="52"/>
  <c r="AM153" i="52"/>
  <c r="AM229" i="52"/>
  <c r="W153" i="52"/>
  <c r="W229" i="52"/>
  <c r="P155" i="52"/>
  <c r="P231" i="52"/>
  <c r="M155" i="52"/>
  <c r="M231" i="52"/>
  <c r="J157" i="52"/>
  <c r="J233" i="52"/>
  <c r="M156" i="52"/>
  <c r="M232" i="52"/>
  <c r="J156" i="52"/>
  <c r="J232" i="52"/>
  <c r="AM163" i="92"/>
  <c r="AM239" i="92"/>
  <c r="AJ163" i="92"/>
  <c r="AJ239" i="92"/>
  <c r="AC164" i="92"/>
  <c r="AC240" i="92"/>
  <c r="Y161" i="52"/>
  <c r="Y237" i="52"/>
  <c r="Q153" i="52"/>
  <c r="Q229" i="52"/>
  <c r="I154" i="52"/>
  <c r="I230" i="52"/>
  <c r="M154" i="52"/>
  <c r="M230" i="52"/>
  <c r="AA154" i="52"/>
  <c r="AA230" i="52"/>
  <c r="AR154" i="52"/>
  <c r="AR230" i="52"/>
  <c r="AI153" i="52"/>
  <c r="AI229" i="52"/>
  <c r="H155" i="52"/>
  <c r="H231" i="52"/>
  <c r="H156" i="52"/>
  <c r="H232" i="52"/>
  <c r="AD161" i="52"/>
  <c r="AD237" i="52"/>
  <c r="AF161" i="52"/>
  <c r="AF237" i="52"/>
  <c r="AI161" i="52"/>
  <c r="AI237" i="52"/>
  <c r="AK154" i="52"/>
  <c r="AK230" i="52"/>
  <c r="O154" i="52"/>
  <c r="O230" i="52"/>
  <c r="AG153" i="52"/>
  <c r="AG229" i="52"/>
  <c r="L153" i="52"/>
  <c r="L229" i="52"/>
  <c r="AT154" i="52"/>
  <c r="AT230" i="52"/>
  <c r="Y154" i="52"/>
  <c r="Y230" i="52"/>
  <c r="AP153" i="52"/>
  <c r="AP229" i="52"/>
  <c r="U153" i="52"/>
  <c r="U229" i="52"/>
  <c r="S155" i="52"/>
  <c r="S231" i="52"/>
  <c r="AC154" i="52"/>
  <c r="AC230" i="52"/>
  <c r="AT153" i="52"/>
  <c r="AT229" i="52"/>
  <c r="Y153" i="52"/>
  <c r="Y229" i="52"/>
  <c r="O156" i="52"/>
  <c r="O232" i="52"/>
  <c r="AQ154" i="52"/>
  <c r="AQ230" i="52"/>
  <c r="V154" i="52"/>
  <c r="V230" i="52"/>
  <c r="R153" i="52"/>
  <c r="R229" i="52"/>
  <c r="J155" i="52"/>
  <c r="J231" i="52"/>
  <c r="AN154" i="52"/>
  <c r="AN230" i="52"/>
  <c r="X154" i="52"/>
  <c r="X230" i="52"/>
  <c r="H154" i="52"/>
  <c r="H230" i="52"/>
  <c r="AE153" i="52"/>
  <c r="AE229" i="52"/>
  <c r="O153" i="52"/>
  <c r="O229" i="52"/>
  <c r="Q155" i="52"/>
  <c r="Q231" i="52"/>
  <c r="U155" i="52"/>
  <c r="U231" i="52"/>
  <c r="K155" i="52"/>
  <c r="K231" i="52"/>
  <c r="H157" i="52"/>
  <c r="H233" i="52"/>
  <c r="I157" i="52"/>
  <c r="I233" i="52"/>
  <c r="AL163" i="92"/>
  <c r="AL239" i="92"/>
  <c r="AI163" i="92"/>
  <c r="AI239" i="92"/>
  <c r="AK163" i="92"/>
  <c r="AK239" i="92"/>
  <c r="AJ161" i="52"/>
  <c r="AJ237" i="52"/>
  <c r="U154" i="52"/>
  <c r="U230" i="52"/>
  <c r="AD154" i="52"/>
  <c r="AD230" i="52"/>
  <c r="AH154" i="52"/>
  <c r="AH230" i="52"/>
  <c r="I153" i="52"/>
  <c r="I229" i="52"/>
  <c r="X153" i="52"/>
  <c r="X229" i="52"/>
  <c r="L154" i="52"/>
  <c r="L230" i="52"/>
  <c r="I155" i="52"/>
  <c r="I231" i="52"/>
  <c r="K157" i="52"/>
  <c r="K233" i="52"/>
  <c r="AE163" i="92"/>
  <c r="AE239" i="92"/>
  <c r="AC161" i="52"/>
  <c r="AC237" i="52"/>
  <c r="Z161" i="52"/>
  <c r="Z237" i="52"/>
  <c r="AB161" i="52"/>
  <c r="AB237" i="52"/>
  <c r="AE161" i="52"/>
  <c r="AE237" i="52"/>
  <c r="AE154" i="52"/>
  <c r="AE230" i="52"/>
  <c r="J154" i="52"/>
  <c r="J230" i="52"/>
  <c r="AB153" i="52"/>
  <c r="AB229" i="52"/>
  <c r="N155" i="52"/>
  <c r="N231" i="52"/>
  <c r="AO154" i="52"/>
  <c r="AO230" i="52"/>
  <c r="S154" i="52"/>
  <c r="S230" i="52"/>
  <c r="AK153" i="52"/>
  <c r="AK229" i="52"/>
  <c r="P153" i="52"/>
  <c r="P229" i="52"/>
  <c r="AS154" i="52"/>
  <c r="AS230" i="52"/>
  <c r="W154" i="52"/>
  <c r="W230" i="52"/>
  <c r="AO153" i="52"/>
  <c r="AO229" i="52"/>
  <c r="T153" i="52"/>
  <c r="T229" i="52"/>
  <c r="G153" i="52"/>
  <c r="G229" i="52"/>
  <c r="AL154" i="52"/>
  <c r="AL230" i="52"/>
  <c r="Q154" i="52"/>
  <c r="Q230" i="52"/>
  <c r="AH153" i="52"/>
  <c r="AH229" i="52"/>
  <c r="M153" i="52"/>
  <c r="M229" i="52"/>
  <c r="R155" i="52"/>
  <c r="R231" i="52"/>
  <c r="AJ154" i="52"/>
  <c r="AJ230" i="52"/>
  <c r="T154" i="52"/>
  <c r="T230" i="52"/>
  <c r="AQ153" i="52"/>
  <c r="AQ229" i="52"/>
  <c r="AA153" i="52"/>
  <c r="AA229" i="52"/>
  <c r="K153" i="52"/>
  <c r="K229" i="52"/>
  <c r="P156" i="52"/>
  <c r="P232" i="52"/>
  <c r="K156" i="52"/>
  <c r="K232" i="52"/>
  <c r="T155" i="52"/>
  <c r="T231" i="52"/>
  <c r="N156" i="52"/>
  <c r="N232" i="52"/>
  <c r="AF163" i="92"/>
  <c r="AF239" i="92"/>
  <c r="AD163" i="92"/>
  <c r="AD239" i="92"/>
  <c r="AG163" i="92"/>
  <c r="AG239" i="92"/>
  <c r="AN91" i="52"/>
  <c r="AN153" i="52"/>
  <c r="X86" i="52"/>
  <c r="X390" i="52" s="1"/>
  <c r="X161" i="52"/>
  <c r="AA270" i="92"/>
  <c r="AA346" i="92" s="1"/>
  <c r="H91" i="52"/>
  <c r="AD88" i="92"/>
  <c r="AD392" i="92" s="1"/>
  <c r="J91" i="52"/>
  <c r="L91" i="52"/>
  <c r="Q91" i="52"/>
  <c r="V83" i="88"/>
  <c r="Z83" i="88"/>
  <c r="W83" i="88"/>
  <c r="AB83" i="88"/>
  <c r="R84" i="88"/>
  <c r="S83" i="88"/>
  <c r="X83" i="88"/>
  <c r="R83" i="88"/>
  <c r="T83" i="88"/>
  <c r="Y83" i="88"/>
  <c r="U83" i="88"/>
  <c r="AA83" i="88"/>
  <c r="Q194" i="52"/>
  <c r="Q270" i="52" s="1"/>
  <c r="R84" i="52"/>
  <c r="U83" i="52"/>
  <c r="U387" i="52" s="1"/>
  <c r="S83" i="52"/>
  <c r="S387" i="52" s="1"/>
  <c r="T83" i="52"/>
  <c r="T387" i="52" s="1"/>
  <c r="AA83" i="52"/>
  <c r="AA387" i="52" s="1"/>
  <c r="X83" i="52"/>
  <c r="X387" i="52" s="1"/>
  <c r="V83" i="52"/>
  <c r="V387" i="52" s="1"/>
  <c r="Y83" i="52"/>
  <c r="Y387" i="52" s="1"/>
  <c r="W83" i="52"/>
  <c r="W91" i="52" s="1"/>
  <c r="Z83" i="52"/>
  <c r="Z387" i="52" s="1"/>
  <c r="R83" i="52"/>
  <c r="R387" i="52" s="1"/>
  <c r="AB83" i="52"/>
  <c r="AB387" i="52" s="1"/>
  <c r="AO89" i="92"/>
  <c r="AS89" i="92"/>
  <c r="AP89" i="92"/>
  <c r="AQ89" i="92"/>
  <c r="AT89" i="92"/>
  <c r="AR89" i="92"/>
  <c r="P91" i="52"/>
  <c r="G91" i="52"/>
  <c r="G131" i="52" s="1"/>
  <c r="M91" i="52"/>
  <c r="K91" i="52"/>
  <c r="AA194" i="88"/>
  <c r="AA196" i="88" s="1"/>
  <c r="AG87" i="88"/>
  <c r="AK87" i="88"/>
  <c r="AH87" i="88"/>
  <c r="AM87" i="88"/>
  <c r="AD87" i="88"/>
  <c r="AI87" i="88"/>
  <c r="AC87" i="88"/>
  <c r="AC88" i="88"/>
  <c r="AE87" i="88"/>
  <c r="AJ87" i="88"/>
  <c r="AF87" i="88"/>
  <c r="AL87" i="88"/>
  <c r="N91" i="52"/>
  <c r="AA194" i="96"/>
  <c r="AA270" i="96" s="1"/>
  <c r="AG87" i="96"/>
  <c r="AK87" i="96"/>
  <c r="AC87" i="96"/>
  <c r="AC88" i="96"/>
  <c r="AF87" i="96"/>
  <c r="AL87" i="96"/>
  <c r="AH87" i="96"/>
  <c r="AM87" i="96"/>
  <c r="AD87" i="96"/>
  <c r="AI87" i="96"/>
  <c r="AE87" i="96"/>
  <c r="AJ87" i="96"/>
  <c r="AR89" i="88"/>
  <c r="AS89" i="88"/>
  <c r="AT89" i="88"/>
  <c r="AP89" i="88"/>
  <c r="AQ89" i="88"/>
  <c r="AO89" i="88"/>
  <c r="AO393" i="88" s="1"/>
  <c r="AR89" i="52"/>
  <c r="AR393" i="52" s="1"/>
  <c r="AT89" i="52"/>
  <c r="AT393" i="52" s="1"/>
  <c r="AP89" i="52"/>
  <c r="AQ89" i="52"/>
  <c r="AQ393" i="52" s="1"/>
  <c r="AO89" i="52"/>
  <c r="AO393" i="52" s="1"/>
  <c r="AS89" i="52"/>
  <c r="AS393" i="52" s="1"/>
  <c r="AA194" i="52"/>
  <c r="AA196" i="52" s="1"/>
  <c r="AG87" i="52"/>
  <c r="AG391" i="52" s="1"/>
  <c r="AK87" i="52"/>
  <c r="AK391" i="52" s="1"/>
  <c r="AE87" i="52"/>
  <c r="AE391" i="52" s="1"/>
  <c r="AJ87" i="52"/>
  <c r="AJ391" i="52" s="1"/>
  <c r="AC87" i="52"/>
  <c r="AC391" i="52" s="1"/>
  <c r="AC88" i="52"/>
  <c r="AF87" i="52"/>
  <c r="AF391" i="52" s="1"/>
  <c r="AL87" i="52"/>
  <c r="AL391" i="52" s="1"/>
  <c r="AH87" i="52"/>
  <c r="AH391" i="52" s="1"/>
  <c r="AM87" i="52"/>
  <c r="AM391" i="52" s="1"/>
  <c r="AD87" i="52"/>
  <c r="AD391" i="52" s="1"/>
  <c r="AI87" i="52"/>
  <c r="AI391" i="52" s="1"/>
  <c r="I91" i="52"/>
  <c r="R84" i="96"/>
  <c r="V83" i="96"/>
  <c r="Z83" i="96"/>
  <c r="R83" i="96"/>
  <c r="U83" i="96"/>
  <c r="AA83" i="96"/>
  <c r="W83" i="96"/>
  <c r="AB83" i="96"/>
  <c r="S83" i="96"/>
  <c r="X83" i="96"/>
  <c r="T83" i="96"/>
  <c r="Y83" i="96"/>
  <c r="AP89" i="96"/>
  <c r="AT89" i="96"/>
  <c r="AO89" i="96"/>
  <c r="AO393" i="96" s="1"/>
  <c r="AQ89" i="96"/>
  <c r="AR89" i="96"/>
  <c r="AS89" i="96"/>
  <c r="O91" i="52"/>
  <c r="G82" i="52"/>
  <c r="G386" i="52" s="1"/>
  <c r="G396" i="52" s="1"/>
  <c r="I81" i="96"/>
  <c r="H80" i="96"/>
  <c r="L80" i="96"/>
  <c r="P80" i="96"/>
  <c r="H81" i="96"/>
  <c r="K80" i="96"/>
  <c r="I80" i="96"/>
  <c r="O80" i="96"/>
  <c r="R79" i="96"/>
  <c r="I79" i="96"/>
  <c r="M79" i="96"/>
  <c r="J81" i="96"/>
  <c r="J80" i="96"/>
  <c r="U79" i="96"/>
  <c r="K79" i="96"/>
  <c r="P79" i="96"/>
  <c r="J77" i="96"/>
  <c r="N77" i="96"/>
  <c r="R77" i="96"/>
  <c r="V77" i="96"/>
  <c r="Z77" i="96"/>
  <c r="AD77" i="96"/>
  <c r="AH77" i="96"/>
  <c r="AL77" i="96"/>
  <c r="AP77" i="96"/>
  <c r="AT77" i="96"/>
  <c r="K78" i="96"/>
  <c r="O78" i="96"/>
  <c r="S78" i="96"/>
  <c r="W78" i="96"/>
  <c r="AA78" i="96"/>
  <c r="AE78" i="96"/>
  <c r="AI78" i="96"/>
  <c r="AM78" i="96"/>
  <c r="AQ78" i="96"/>
  <c r="N79" i="96"/>
  <c r="K77" i="96"/>
  <c r="P77" i="96"/>
  <c r="U77" i="96"/>
  <c r="AA77" i="96"/>
  <c r="AF77" i="96"/>
  <c r="AK77" i="96"/>
  <c r="AQ77" i="96"/>
  <c r="I78" i="96"/>
  <c r="N78" i="96"/>
  <c r="T78" i="96"/>
  <c r="Y78" i="96"/>
  <c r="AD78" i="96"/>
  <c r="AJ78" i="96"/>
  <c r="AO78" i="96"/>
  <c r="AT78" i="96"/>
  <c r="G81" i="96"/>
  <c r="G80" i="96"/>
  <c r="G79" i="96"/>
  <c r="G78" i="96"/>
  <c r="G77" i="96"/>
  <c r="K81" i="96"/>
  <c r="Q79" i="96"/>
  <c r="H79" i="96"/>
  <c r="O79" i="96"/>
  <c r="M80" i="96"/>
  <c r="I77" i="96"/>
  <c r="Q77" i="96"/>
  <c r="X77" i="96"/>
  <c r="AE77" i="96"/>
  <c r="AM77" i="96"/>
  <c r="AS77" i="96"/>
  <c r="M78" i="96"/>
  <c r="U78" i="96"/>
  <c r="AB78" i="96"/>
  <c r="AH78" i="96"/>
  <c r="AP78" i="96"/>
  <c r="N80" i="96"/>
  <c r="L77" i="96"/>
  <c r="S77" i="96"/>
  <c r="Y77" i="96"/>
  <c r="AG77" i="96"/>
  <c r="AN77" i="96"/>
  <c r="H78" i="96"/>
  <c r="P78" i="96"/>
  <c r="V78" i="96"/>
  <c r="AC78" i="96"/>
  <c r="AK78" i="96"/>
  <c r="AR78" i="96"/>
  <c r="S79" i="96"/>
  <c r="J79" i="96"/>
  <c r="M77" i="96"/>
  <c r="T77" i="96"/>
  <c r="AB77" i="96"/>
  <c r="AI77" i="96"/>
  <c r="AO77" i="96"/>
  <c r="J78" i="96"/>
  <c r="Q78" i="96"/>
  <c r="X78" i="96"/>
  <c r="AF78" i="96"/>
  <c r="AL78" i="96"/>
  <c r="AS78" i="96"/>
  <c r="T79" i="96"/>
  <c r="L79" i="96"/>
  <c r="H77" i="96"/>
  <c r="O77" i="96"/>
  <c r="W77" i="96"/>
  <c r="AC77" i="96"/>
  <c r="AJ77" i="96"/>
  <c r="AR77" i="96"/>
  <c r="L78" i="96"/>
  <c r="R78" i="96"/>
  <c r="Z78" i="96"/>
  <c r="AG78" i="96"/>
  <c r="AN78" i="96"/>
  <c r="P80" i="92"/>
  <c r="J81" i="92"/>
  <c r="M79" i="92"/>
  <c r="J77" i="92"/>
  <c r="Z77" i="92"/>
  <c r="AP77" i="92"/>
  <c r="S78" i="92"/>
  <c r="AI78" i="92"/>
  <c r="N80" i="92"/>
  <c r="M77" i="92"/>
  <c r="AI77" i="92"/>
  <c r="Q78" i="92"/>
  <c r="AL78" i="92"/>
  <c r="G79" i="92"/>
  <c r="P79" i="92"/>
  <c r="Y77" i="92"/>
  <c r="H78" i="92"/>
  <c r="AC78" i="92"/>
  <c r="K79" i="92"/>
  <c r="I78" i="92"/>
  <c r="S79" i="92"/>
  <c r="AM77" i="92"/>
  <c r="AP78" i="92"/>
  <c r="AF77" i="92"/>
  <c r="AJ78" i="92"/>
  <c r="W77" i="92"/>
  <c r="Z78" i="92"/>
  <c r="I81" i="92"/>
  <c r="H81" i="92"/>
  <c r="I80" i="92"/>
  <c r="T79" i="92"/>
  <c r="N77" i="92"/>
  <c r="AD77" i="92"/>
  <c r="AT77" i="92"/>
  <c r="W78" i="92"/>
  <c r="AM78" i="92"/>
  <c r="U79" i="92"/>
  <c r="S77" i="92"/>
  <c r="AN77" i="92"/>
  <c r="V78" i="92"/>
  <c r="AR78" i="92"/>
  <c r="G78" i="92"/>
  <c r="I77" i="92"/>
  <c r="AE77" i="92"/>
  <c r="M78" i="92"/>
  <c r="AH78" i="92"/>
  <c r="P77" i="92"/>
  <c r="T78" i="92"/>
  <c r="L79" i="92"/>
  <c r="J78" i="92"/>
  <c r="K80" i="92"/>
  <c r="AQ77" i="92"/>
  <c r="AS78" i="92"/>
  <c r="AG77" i="92"/>
  <c r="AK78" i="92"/>
  <c r="L80" i="92"/>
  <c r="O80" i="92"/>
  <c r="O79" i="92"/>
  <c r="AL77" i="92"/>
  <c r="AE78" i="92"/>
  <c r="H77" i="92"/>
  <c r="L78" i="92"/>
  <c r="G80" i="92"/>
  <c r="T77" i="92"/>
  <c r="X78" i="92"/>
  <c r="AK77" i="92"/>
  <c r="AB77" i="92"/>
  <c r="U77" i="92"/>
  <c r="L77" i="92"/>
  <c r="R79" i="92"/>
  <c r="R77" i="92"/>
  <c r="K78" i="92"/>
  <c r="AQ78" i="92"/>
  <c r="X77" i="92"/>
  <c r="AB78" i="92"/>
  <c r="G77" i="92"/>
  <c r="AJ77" i="92"/>
  <c r="AN78" i="92"/>
  <c r="AD78" i="92"/>
  <c r="U78" i="92"/>
  <c r="N78" i="92"/>
  <c r="AR77" i="92"/>
  <c r="H80" i="92"/>
  <c r="I79" i="92"/>
  <c r="V77" i="92"/>
  <c r="O78" i="92"/>
  <c r="K81" i="92"/>
  <c r="AC77" i="92"/>
  <c r="AG78" i="92"/>
  <c r="H79" i="92"/>
  <c r="AO77" i="92"/>
  <c r="Q79" i="92"/>
  <c r="AO78" i="92"/>
  <c r="AF78" i="92"/>
  <c r="Y78" i="92"/>
  <c r="P78" i="92"/>
  <c r="J80" i="92"/>
  <c r="J79" i="92"/>
  <c r="AH77" i="92"/>
  <c r="AA78" i="92"/>
  <c r="N79" i="92"/>
  <c r="AS77" i="92"/>
  <c r="G81" i="92"/>
  <c r="O77" i="92"/>
  <c r="R78" i="92"/>
  <c r="AA77" i="92"/>
  <c r="Q77" i="92"/>
  <c r="K77" i="92"/>
  <c r="M80" i="92"/>
  <c r="AT78" i="92"/>
  <c r="I81" i="88"/>
  <c r="J80" i="88"/>
  <c r="N80" i="88"/>
  <c r="K81" i="88"/>
  <c r="L80" i="88"/>
  <c r="J81" i="88"/>
  <c r="M80" i="88"/>
  <c r="T79" i="88"/>
  <c r="K79" i="88"/>
  <c r="O79" i="88"/>
  <c r="H80" i="88"/>
  <c r="P80" i="88"/>
  <c r="S79" i="88"/>
  <c r="L79" i="88"/>
  <c r="J77" i="88"/>
  <c r="N77" i="88"/>
  <c r="R77" i="88"/>
  <c r="V77" i="88"/>
  <c r="Z77" i="88"/>
  <c r="AD77" i="88"/>
  <c r="AH77" i="88"/>
  <c r="AL77" i="88"/>
  <c r="AP77" i="88"/>
  <c r="AT77" i="88"/>
  <c r="K78" i="88"/>
  <c r="O78" i="88"/>
  <c r="S78" i="88"/>
  <c r="W78" i="88"/>
  <c r="AA78" i="88"/>
  <c r="AE78" i="88"/>
  <c r="AI78" i="88"/>
  <c r="AM78" i="88"/>
  <c r="AQ78" i="88"/>
  <c r="I80" i="88"/>
  <c r="Q79" i="88"/>
  <c r="J79" i="88"/>
  <c r="I77" i="88"/>
  <c r="O77" i="88"/>
  <c r="T77" i="88"/>
  <c r="Y77" i="88"/>
  <c r="AE77" i="88"/>
  <c r="AJ77" i="88"/>
  <c r="AO77" i="88"/>
  <c r="H78" i="88"/>
  <c r="M78" i="88"/>
  <c r="R78" i="88"/>
  <c r="X78" i="88"/>
  <c r="AC78" i="88"/>
  <c r="AH78" i="88"/>
  <c r="AN78" i="88"/>
  <c r="AS78" i="88"/>
  <c r="H81" i="88"/>
  <c r="K80" i="88"/>
  <c r="R79" i="88"/>
  <c r="M79" i="88"/>
  <c r="K77" i="88"/>
  <c r="P77" i="88"/>
  <c r="U77" i="88"/>
  <c r="AA77" i="88"/>
  <c r="AF77" i="88"/>
  <c r="AK77" i="88"/>
  <c r="AQ77" i="88"/>
  <c r="I78" i="88"/>
  <c r="N78" i="88"/>
  <c r="T78" i="88"/>
  <c r="Y78" i="88"/>
  <c r="AD78" i="88"/>
  <c r="AJ78" i="88"/>
  <c r="AO78" i="88"/>
  <c r="AT78" i="88"/>
  <c r="O80" i="88"/>
  <c r="N79" i="88"/>
  <c r="L77" i="88"/>
  <c r="W77" i="88"/>
  <c r="AG77" i="88"/>
  <c r="AR77" i="88"/>
  <c r="P78" i="88"/>
  <c r="Z78" i="88"/>
  <c r="AK78" i="88"/>
  <c r="P79" i="88"/>
  <c r="M77" i="88"/>
  <c r="X77" i="88"/>
  <c r="AI77" i="88"/>
  <c r="AS77" i="88"/>
  <c r="Q78" i="88"/>
  <c r="AB78" i="88"/>
  <c r="AL78" i="88"/>
  <c r="G81" i="88"/>
  <c r="G79" i="88"/>
  <c r="G77" i="88"/>
  <c r="U79" i="88"/>
  <c r="H79" i="88"/>
  <c r="Q77" i="88"/>
  <c r="AB77" i="88"/>
  <c r="AM77" i="88"/>
  <c r="J78" i="88"/>
  <c r="U78" i="88"/>
  <c r="AF78" i="88"/>
  <c r="AP78" i="88"/>
  <c r="I79" i="88"/>
  <c r="H77" i="88"/>
  <c r="S77" i="88"/>
  <c r="AC77" i="88"/>
  <c r="AN77" i="88"/>
  <c r="L78" i="88"/>
  <c r="V78" i="88"/>
  <c r="AG78" i="88"/>
  <c r="AR78" i="88"/>
  <c r="G80" i="88"/>
  <c r="G78" i="88"/>
  <c r="R196" i="88"/>
  <c r="R120" i="88"/>
  <c r="K51" i="14"/>
  <c r="L135" i="14"/>
  <c r="U196" i="52"/>
  <c r="N120" i="88"/>
  <c r="AE120" i="88"/>
  <c r="AL194" i="52"/>
  <c r="AL270" i="52" s="1"/>
  <c r="AL346" i="52" s="1"/>
  <c r="AL422" i="52" s="1"/>
  <c r="U194" i="96"/>
  <c r="U270" i="96" s="1"/>
  <c r="U346" i="96" s="1"/>
  <c r="U422" i="96" s="1"/>
  <c r="AA85" i="96"/>
  <c r="AE85" i="96"/>
  <c r="AI85" i="96"/>
  <c r="X85" i="96"/>
  <c r="AG85" i="96"/>
  <c r="AK85" i="96"/>
  <c r="AB85" i="96"/>
  <c r="AF85" i="96"/>
  <c r="AJ85" i="96"/>
  <c r="Y85" i="96"/>
  <c r="Z85" i="96"/>
  <c r="AD85" i="96"/>
  <c r="AH85" i="96"/>
  <c r="AL85" i="96"/>
  <c r="AC85" i="96"/>
  <c r="AL194" i="88"/>
  <c r="AL270" i="88" s="1"/>
  <c r="AL346" i="88" s="1"/>
  <c r="AL422" i="88" s="1"/>
  <c r="U194" i="92"/>
  <c r="U270" i="92" s="1"/>
  <c r="U346" i="92" s="1"/>
  <c r="U422" i="92" s="1"/>
  <c r="AA85" i="92"/>
  <c r="AE85" i="92"/>
  <c r="AI85" i="92"/>
  <c r="X85" i="92"/>
  <c r="Y85" i="92"/>
  <c r="AK85" i="92"/>
  <c r="AB85" i="92"/>
  <c r="AF85" i="92"/>
  <c r="AJ85" i="92"/>
  <c r="AC85" i="92"/>
  <c r="Z85" i="92"/>
  <c r="AD85" i="92"/>
  <c r="AH85" i="92"/>
  <c r="AL85" i="92"/>
  <c r="AG85" i="92"/>
  <c r="AL194" i="96"/>
  <c r="AL270" i="96" s="1"/>
  <c r="AL346" i="96" s="1"/>
  <c r="AL422" i="96" s="1"/>
  <c r="AM194" i="92"/>
  <c r="AM270" i="92" s="1"/>
  <c r="AM346" i="92" s="1"/>
  <c r="AM422" i="92" s="1"/>
  <c r="H346" i="52"/>
  <c r="H422" i="52" s="1"/>
  <c r="H424" i="52" s="1"/>
  <c r="K120" i="52"/>
  <c r="H282" i="52"/>
  <c r="L120" i="88"/>
  <c r="Q120" i="52"/>
  <c r="AK120" i="96"/>
  <c r="L120" i="52"/>
  <c r="AS120" i="96"/>
  <c r="K120" i="96"/>
  <c r="AF120" i="52"/>
  <c r="L120" i="96"/>
  <c r="AA120" i="52"/>
  <c r="AE120" i="52"/>
  <c r="S120" i="96"/>
  <c r="AB120" i="52"/>
  <c r="AK120" i="52"/>
  <c r="AA120" i="88"/>
  <c r="G411" i="52"/>
  <c r="G412" i="52" s="1"/>
  <c r="AS120" i="52"/>
  <c r="N120" i="52"/>
  <c r="AB120" i="88"/>
  <c r="AE120" i="96"/>
  <c r="U120" i="92"/>
  <c r="AP194" i="96"/>
  <c r="AP120" i="96"/>
  <c r="R194" i="96"/>
  <c r="R120" i="96"/>
  <c r="AS270" i="88"/>
  <c r="AS196" i="88"/>
  <c r="K270" i="88"/>
  <c r="K196" i="88"/>
  <c r="M194" i="88"/>
  <c r="M120" i="88"/>
  <c r="AH194" i="88"/>
  <c r="AH120" i="88"/>
  <c r="H286" i="88"/>
  <c r="C50" i="88" s="1"/>
  <c r="C49" i="88"/>
  <c r="O422" i="92"/>
  <c r="O424" i="92" s="1"/>
  <c r="O348" i="92"/>
  <c r="Y346" i="88"/>
  <c r="Y272" i="88"/>
  <c r="AO346" i="92"/>
  <c r="AO272" i="92"/>
  <c r="AI422" i="92"/>
  <c r="AI424" i="92" s="1"/>
  <c r="AI348" i="92"/>
  <c r="AG194" i="96"/>
  <c r="AG120" i="96"/>
  <c r="H194" i="96"/>
  <c r="H120" i="96"/>
  <c r="Z194" i="96"/>
  <c r="Z120" i="96"/>
  <c r="K270" i="96"/>
  <c r="K196" i="96"/>
  <c r="AF270" i="88"/>
  <c r="AF196" i="88"/>
  <c r="AK270" i="88"/>
  <c r="AK196" i="88"/>
  <c r="K120" i="88"/>
  <c r="AC118" i="52"/>
  <c r="AC194" i="52" s="1"/>
  <c r="AQ194" i="96"/>
  <c r="AQ120" i="96"/>
  <c r="AC270" i="96"/>
  <c r="AC196" i="96"/>
  <c r="I194" i="96"/>
  <c r="I120" i="96"/>
  <c r="AH194" i="96"/>
  <c r="AH120" i="96"/>
  <c r="AR194" i="96"/>
  <c r="AR120" i="96"/>
  <c r="P194" i="96"/>
  <c r="P120" i="96"/>
  <c r="AK270" i="96"/>
  <c r="AK196" i="96"/>
  <c r="AD194" i="96"/>
  <c r="AD120" i="96"/>
  <c r="Y194" i="96"/>
  <c r="Y120" i="96"/>
  <c r="M194" i="96"/>
  <c r="M120" i="96"/>
  <c r="Q270" i="96"/>
  <c r="Q196" i="96"/>
  <c r="AF270" i="96"/>
  <c r="AF196" i="96"/>
  <c r="AE270" i="96"/>
  <c r="AE196" i="96"/>
  <c r="T194" i="96"/>
  <c r="T120" i="96"/>
  <c r="G270" i="52"/>
  <c r="G196" i="52"/>
  <c r="N120" i="96"/>
  <c r="L270" i="88"/>
  <c r="L196" i="88"/>
  <c r="N270" i="88"/>
  <c r="N196" i="88"/>
  <c r="AS120" i="88"/>
  <c r="J194" i="88"/>
  <c r="J120" i="88"/>
  <c r="AE270" i="88"/>
  <c r="AE196" i="88"/>
  <c r="T194" i="88"/>
  <c r="T120" i="88"/>
  <c r="P194" i="88"/>
  <c r="P120" i="88"/>
  <c r="AK422" i="92"/>
  <c r="AK424" i="92" s="1"/>
  <c r="AK348" i="92"/>
  <c r="AG422" i="92"/>
  <c r="AG424" i="92" s="1"/>
  <c r="AG348" i="92"/>
  <c r="Y422" i="52"/>
  <c r="Y424" i="52" s="1"/>
  <c r="Y348" i="52"/>
  <c r="AG422" i="52"/>
  <c r="AG424" i="52" s="1"/>
  <c r="AG348" i="52"/>
  <c r="T422" i="92"/>
  <c r="T424" i="92" s="1"/>
  <c r="T348" i="92"/>
  <c r="K270" i="52"/>
  <c r="K196" i="52"/>
  <c r="S422" i="92"/>
  <c r="S424" i="92" s="1"/>
  <c r="S348" i="92"/>
  <c r="AD422" i="52"/>
  <c r="AD424" i="52" s="1"/>
  <c r="AD348" i="52"/>
  <c r="AH422" i="92"/>
  <c r="AH424" i="92" s="1"/>
  <c r="AH348" i="92"/>
  <c r="I422" i="52"/>
  <c r="I424" i="52" s="1"/>
  <c r="I348" i="52"/>
  <c r="Z422" i="92"/>
  <c r="Z424" i="92" s="1"/>
  <c r="Z348" i="92"/>
  <c r="T346" i="52"/>
  <c r="T272" i="52"/>
  <c r="G346" i="92"/>
  <c r="G272" i="92"/>
  <c r="G270" i="96"/>
  <c r="G196" i="96"/>
  <c r="AB270" i="96"/>
  <c r="AB196" i="96"/>
  <c r="AR194" i="88"/>
  <c r="AR120" i="88"/>
  <c r="S270" i="88"/>
  <c r="S196" i="88"/>
  <c r="H438" i="88"/>
  <c r="C60" i="88" s="1"/>
  <c r="C59" i="88"/>
  <c r="AH422" i="52"/>
  <c r="AH424" i="52" s="1"/>
  <c r="AH348" i="52"/>
  <c r="Q422" i="92"/>
  <c r="Q424" i="92" s="1"/>
  <c r="Q348" i="92"/>
  <c r="AQ422" i="52"/>
  <c r="AQ424" i="52" s="1"/>
  <c r="AQ348" i="52"/>
  <c r="N270" i="96"/>
  <c r="N196" i="96"/>
  <c r="S270" i="96"/>
  <c r="S196" i="96"/>
  <c r="J194" i="96"/>
  <c r="J120" i="96"/>
  <c r="AK120" i="88"/>
  <c r="AQ194" i="88"/>
  <c r="AQ120" i="88"/>
  <c r="AA120" i="96"/>
  <c r="Q270" i="88"/>
  <c r="Q196" i="88"/>
  <c r="AP194" i="88"/>
  <c r="AP120" i="88"/>
  <c r="H194" i="88"/>
  <c r="H120" i="88"/>
  <c r="Q120" i="96"/>
  <c r="H362" i="88"/>
  <c r="C55" i="88" s="1"/>
  <c r="C54" i="88"/>
  <c r="H422" i="92"/>
  <c r="H424" i="92" s="1"/>
  <c r="H348" i="92"/>
  <c r="R422" i="92"/>
  <c r="R424" i="92" s="1"/>
  <c r="R348" i="92"/>
  <c r="AP422" i="92"/>
  <c r="AP424" i="92" s="1"/>
  <c r="AP348" i="92"/>
  <c r="X422" i="52"/>
  <c r="X424" i="52" s="1"/>
  <c r="X348" i="52"/>
  <c r="P422" i="52"/>
  <c r="P424" i="52" s="1"/>
  <c r="P348" i="52"/>
  <c r="AE422" i="92"/>
  <c r="AE424" i="92" s="1"/>
  <c r="AE348" i="92"/>
  <c r="Z422" i="52"/>
  <c r="Z424" i="52" s="1"/>
  <c r="Z348" i="52"/>
  <c r="S270" i="52"/>
  <c r="S196" i="52"/>
  <c r="AK270" i="52"/>
  <c r="AK196" i="52"/>
  <c r="AO422" i="52"/>
  <c r="AO424" i="52" s="1"/>
  <c r="AO348" i="52"/>
  <c r="AD422" i="92"/>
  <c r="AD424" i="92" s="1"/>
  <c r="AD348" i="92"/>
  <c r="AR422" i="92"/>
  <c r="AR424" i="92" s="1"/>
  <c r="AR348" i="92"/>
  <c r="O346" i="88"/>
  <c r="O272" i="88"/>
  <c r="AC346" i="92"/>
  <c r="AC272" i="92"/>
  <c r="L346" i="92"/>
  <c r="L272" i="92"/>
  <c r="I346" i="88"/>
  <c r="I272" i="88"/>
  <c r="AC270" i="88"/>
  <c r="AC196" i="88"/>
  <c r="N422" i="92"/>
  <c r="N424" i="92" s="1"/>
  <c r="N348" i="92"/>
  <c r="AQ422" i="92"/>
  <c r="AQ424" i="92" s="1"/>
  <c r="AQ348" i="92"/>
  <c r="AF422" i="92"/>
  <c r="AF424" i="92" s="1"/>
  <c r="AF348" i="92"/>
  <c r="L270" i="96"/>
  <c r="L196" i="96"/>
  <c r="AI194" i="96"/>
  <c r="AI120" i="96"/>
  <c r="AO194" i="96"/>
  <c r="AO120" i="96"/>
  <c r="AF120" i="88"/>
  <c r="O194" i="96"/>
  <c r="O120" i="96"/>
  <c r="AS270" i="96"/>
  <c r="AS196" i="96"/>
  <c r="AB270" i="88"/>
  <c r="AB196" i="88"/>
  <c r="AB120" i="96"/>
  <c r="G270" i="88"/>
  <c r="G196" i="88"/>
  <c r="AF120" i="96"/>
  <c r="Z194" i="88"/>
  <c r="Z120" i="88"/>
  <c r="AO194" i="88"/>
  <c r="AO120" i="88"/>
  <c r="AI194" i="88"/>
  <c r="AI120" i="88"/>
  <c r="Q120" i="88"/>
  <c r="AD194" i="88"/>
  <c r="AD120" i="88"/>
  <c r="S120" i="88"/>
  <c r="H362" i="92"/>
  <c r="C55" i="92" s="1"/>
  <c r="C54" i="92"/>
  <c r="H286" i="52"/>
  <c r="C50" i="52" s="1"/>
  <c r="C49" i="52"/>
  <c r="H362" i="96"/>
  <c r="C55" i="96" s="1"/>
  <c r="C54" i="96"/>
  <c r="O422" i="52"/>
  <c r="O424" i="52" s="1"/>
  <c r="O348" i="52"/>
  <c r="J422" i="92"/>
  <c r="J424" i="92" s="1"/>
  <c r="J348" i="92"/>
  <c r="AP422" i="52"/>
  <c r="AP424" i="52" s="1"/>
  <c r="AP348" i="52"/>
  <c r="AS422" i="92"/>
  <c r="AS424" i="92" s="1"/>
  <c r="AS348" i="92"/>
  <c r="R422" i="52"/>
  <c r="R424" i="52" s="1"/>
  <c r="R348" i="52"/>
  <c r="AR422" i="52"/>
  <c r="AR424" i="52" s="1"/>
  <c r="AR348" i="52"/>
  <c r="AB422" i="92"/>
  <c r="AB424" i="92" s="1"/>
  <c r="AB348" i="92"/>
  <c r="M422" i="52"/>
  <c r="M424" i="52" s="1"/>
  <c r="M348" i="52"/>
  <c r="R346" i="88"/>
  <c r="R272" i="88"/>
  <c r="X346" i="88"/>
  <c r="X272" i="88"/>
  <c r="L270" i="52"/>
  <c r="L196" i="52"/>
  <c r="AF270" i="52"/>
  <c r="AF196" i="52"/>
  <c r="Y346" i="92"/>
  <c r="Y272" i="92"/>
  <c r="AI422" i="52"/>
  <c r="AI424" i="52" s="1"/>
  <c r="AI348" i="52"/>
  <c r="J422" i="52"/>
  <c r="J424" i="52" s="1"/>
  <c r="J348" i="52"/>
  <c r="K422" i="92"/>
  <c r="K424" i="92" s="1"/>
  <c r="K348" i="92"/>
  <c r="S120" i="52"/>
  <c r="AE270" i="52"/>
  <c r="AE196" i="52"/>
  <c r="AS270" i="52"/>
  <c r="AS196" i="52"/>
  <c r="AB270" i="52"/>
  <c r="AB196" i="52"/>
  <c r="N270" i="52"/>
  <c r="N196" i="52"/>
  <c r="AM120" i="92"/>
  <c r="X194" i="96"/>
  <c r="X120" i="96"/>
  <c r="X346" i="92"/>
  <c r="X272" i="92"/>
  <c r="AL120" i="52"/>
  <c r="U118" i="88"/>
  <c r="J107" i="88"/>
  <c r="J108" i="88" s="1"/>
  <c r="G335" i="52"/>
  <c r="G336" i="52" s="1"/>
  <c r="H335" i="92"/>
  <c r="H336" i="92" s="1"/>
  <c r="H282" i="88"/>
  <c r="H411" i="92"/>
  <c r="H412" i="92" s="1"/>
  <c r="K130" i="92"/>
  <c r="K107" i="88"/>
  <c r="K108" i="88" s="1"/>
  <c r="J107" i="52"/>
  <c r="J108" i="52" s="1"/>
  <c r="I183" i="52"/>
  <c r="I184" i="52" s="1"/>
  <c r="J183" i="88"/>
  <c r="J184" i="88" s="1"/>
  <c r="I256" i="52"/>
  <c r="I282" i="52" s="1"/>
  <c r="I285" i="52"/>
  <c r="I286" i="52" s="1"/>
  <c r="I408" i="96"/>
  <c r="I434" i="96" s="1"/>
  <c r="I437" i="96"/>
  <c r="I438" i="96" s="1"/>
  <c r="J256" i="96"/>
  <c r="J259" i="96" s="1"/>
  <c r="J285" i="96"/>
  <c r="J286" i="96" s="1"/>
  <c r="K180" i="88"/>
  <c r="K206" i="88" s="1"/>
  <c r="K209" i="88"/>
  <c r="K210" i="88" s="1"/>
  <c r="I332" i="92"/>
  <c r="I358" i="92" s="1"/>
  <c r="I361" i="92"/>
  <c r="I362" i="92" s="1"/>
  <c r="H408" i="52"/>
  <c r="H411" i="52" s="1"/>
  <c r="H412" i="52" s="1"/>
  <c r="H437" i="52"/>
  <c r="J180" i="52"/>
  <c r="J183" i="52" s="1"/>
  <c r="J209" i="52"/>
  <c r="J210" i="52" s="1"/>
  <c r="H358" i="88"/>
  <c r="I282" i="88"/>
  <c r="I408" i="88"/>
  <c r="I411" i="88" s="1"/>
  <c r="I437" i="88"/>
  <c r="I438" i="88" s="1"/>
  <c r="I332" i="96"/>
  <c r="I358" i="96" s="1"/>
  <c r="I361" i="96"/>
  <c r="I362" i="96" s="1"/>
  <c r="H332" i="52"/>
  <c r="H358" i="52" s="1"/>
  <c r="H361" i="52"/>
  <c r="J256" i="88"/>
  <c r="J259" i="88" s="1"/>
  <c r="J285" i="88"/>
  <c r="J286" i="88" s="1"/>
  <c r="L104" i="88"/>
  <c r="L130" i="88" s="1"/>
  <c r="L133" i="88"/>
  <c r="L134" i="88" s="1"/>
  <c r="H411" i="88"/>
  <c r="H412" i="88" s="1"/>
  <c r="I259" i="92"/>
  <c r="I260" i="92" s="1"/>
  <c r="K180" i="96"/>
  <c r="K183" i="96" s="1"/>
  <c r="K209" i="96"/>
  <c r="K210" i="96" s="1"/>
  <c r="K104" i="52"/>
  <c r="K130" i="52" s="1"/>
  <c r="K133" i="52"/>
  <c r="K134" i="52" s="1"/>
  <c r="I332" i="88"/>
  <c r="I335" i="88" s="1"/>
  <c r="I361" i="88"/>
  <c r="I362" i="88" s="1"/>
  <c r="I408" i="92"/>
  <c r="I434" i="92" s="1"/>
  <c r="I437" i="92"/>
  <c r="I438" i="92" s="1"/>
  <c r="F345" i="92"/>
  <c r="F348" i="92" s="1"/>
  <c r="M72" i="88"/>
  <c r="M96" i="88" s="1"/>
  <c r="M97" i="88" s="1"/>
  <c r="M72" i="52"/>
  <c r="F200" i="92"/>
  <c r="F124" i="92"/>
  <c r="E120" i="92"/>
  <c r="F122" i="92" s="1"/>
  <c r="C12" i="92" s="1"/>
  <c r="C13" i="92" s="1"/>
  <c r="E193" i="92"/>
  <c r="E269" i="92" s="1"/>
  <c r="F198" i="52"/>
  <c r="F122" i="52"/>
  <c r="C12" i="52" s="1"/>
  <c r="C13" i="52" s="1"/>
  <c r="C127" i="52"/>
  <c r="C124" i="52"/>
  <c r="J300" i="96"/>
  <c r="J376" i="96" s="1"/>
  <c r="J400" i="96" s="1"/>
  <c r="J401" i="96" s="1"/>
  <c r="L96" i="92"/>
  <c r="L97" i="92" s="1"/>
  <c r="AM120" i="88"/>
  <c r="F193" i="88"/>
  <c r="F196" i="88" s="1"/>
  <c r="AL120" i="88"/>
  <c r="AC120" i="92"/>
  <c r="AN120" i="88"/>
  <c r="AN196" i="88"/>
  <c r="AC120" i="96"/>
  <c r="AC120" i="88"/>
  <c r="L111" i="14"/>
  <c r="L138" i="14" s="1"/>
  <c r="L122" i="14"/>
  <c r="M101" i="14"/>
  <c r="C193" i="88"/>
  <c r="C196" i="88" s="1"/>
  <c r="C120" i="88"/>
  <c r="V120" i="88"/>
  <c r="E193" i="88"/>
  <c r="E269" i="88" s="1"/>
  <c r="C269" i="52"/>
  <c r="G120" i="88"/>
  <c r="G120" i="92"/>
  <c r="G120" i="52"/>
  <c r="G120" i="96"/>
  <c r="AL120" i="96"/>
  <c r="D124" i="88"/>
  <c r="D127" i="88"/>
  <c r="D136" i="88" s="1"/>
  <c r="E127" i="52"/>
  <c r="E136" i="52" s="1"/>
  <c r="E124" i="52"/>
  <c r="D203" i="92"/>
  <c r="D212" i="92" s="1"/>
  <c r="D200" i="92"/>
  <c r="AM196" i="88"/>
  <c r="D120" i="96"/>
  <c r="D193" i="96"/>
  <c r="V120" i="96"/>
  <c r="AM120" i="96"/>
  <c r="E120" i="96"/>
  <c r="E193" i="96"/>
  <c r="F345" i="52"/>
  <c r="F272" i="52"/>
  <c r="E200" i="52"/>
  <c r="E203" i="52"/>
  <c r="E212" i="52" s="1"/>
  <c r="W272" i="92"/>
  <c r="F279" i="92"/>
  <c r="F288" i="92" s="1"/>
  <c r="F276" i="92"/>
  <c r="D345" i="92"/>
  <c r="D272" i="92"/>
  <c r="C203" i="52"/>
  <c r="C212" i="52" s="1"/>
  <c r="C200" i="52"/>
  <c r="W120" i="96"/>
  <c r="C200" i="92"/>
  <c r="C203" i="92"/>
  <c r="C212" i="92" s="1"/>
  <c r="E127" i="88"/>
  <c r="E136" i="88" s="1"/>
  <c r="E124" i="88"/>
  <c r="C120" i="96"/>
  <c r="C193" i="96"/>
  <c r="D276" i="52"/>
  <c r="D279" i="52"/>
  <c r="D288" i="52" s="1"/>
  <c r="AL272" i="92"/>
  <c r="D196" i="88"/>
  <c r="D269" i="88"/>
  <c r="AO85" i="92"/>
  <c r="AO86" i="92" s="1"/>
  <c r="C345" i="92"/>
  <c r="C272" i="92"/>
  <c r="F203" i="52"/>
  <c r="F212" i="52" s="1"/>
  <c r="F200" i="52"/>
  <c r="D348" i="52"/>
  <c r="D421" i="52"/>
  <c r="D424" i="52" s="1"/>
  <c r="AN272" i="92"/>
  <c r="F124" i="52"/>
  <c r="F127" i="52"/>
  <c r="F136" i="52" s="1"/>
  <c r="AN120" i="96"/>
  <c r="AO85" i="96"/>
  <c r="AO86" i="96" s="1"/>
  <c r="AP85" i="96" s="1"/>
  <c r="AP86" i="96" s="1"/>
  <c r="AQ85" i="96" s="1"/>
  <c r="AQ86" i="96" s="1"/>
  <c r="AR85" i="96" s="1"/>
  <c r="AR86" i="96" s="1"/>
  <c r="AS85" i="96" s="1"/>
  <c r="AS86" i="96" s="1"/>
  <c r="AT85" i="96" s="1"/>
  <c r="AT86" i="96" s="1"/>
  <c r="U120" i="96"/>
  <c r="F120" i="96"/>
  <c r="F193" i="96"/>
  <c r="L59" i="14"/>
  <c r="L72" i="14"/>
  <c r="W196" i="88"/>
  <c r="E272" i="52"/>
  <c r="E345" i="52"/>
  <c r="V272" i="92"/>
  <c r="F124" i="88"/>
  <c r="F127" i="88"/>
  <c r="F136" i="88" s="1"/>
  <c r="K224" i="88"/>
  <c r="K248" i="88" s="1"/>
  <c r="K249" i="88" s="1"/>
  <c r="L148" i="88"/>
  <c r="L224" i="88" s="1"/>
  <c r="K108" i="92"/>
  <c r="L224" i="92"/>
  <c r="L172" i="92"/>
  <c r="L173" i="92" s="1"/>
  <c r="I260" i="88"/>
  <c r="J324" i="88"/>
  <c r="J325" i="88" s="1"/>
  <c r="J376" i="88"/>
  <c r="J400" i="88" s="1"/>
  <c r="J401" i="88" s="1"/>
  <c r="H336" i="88"/>
  <c r="K224" i="52"/>
  <c r="K172" i="52"/>
  <c r="K173" i="52" s="1"/>
  <c r="L96" i="52"/>
  <c r="L97" i="52" s="1"/>
  <c r="L148" i="52"/>
  <c r="J248" i="52"/>
  <c r="J249" i="52" s="1"/>
  <c r="J300" i="52"/>
  <c r="I324" i="52"/>
  <c r="I325" i="52" s="1"/>
  <c r="I376" i="52"/>
  <c r="I400" i="52" s="1"/>
  <c r="I401" i="52" s="1"/>
  <c r="H260" i="52"/>
  <c r="K62" i="14"/>
  <c r="K64" i="14" s="1"/>
  <c r="K75" i="14"/>
  <c r="K77" i="14" s="1"/>
  <c r="V272" i="52"/>
  <c r="U272" i="52"/>
  <c r="AN272" i="52"/>
  <c r="W272" i="52"/>
  <c r="AM272" i="52"/>
  <c r="L48" i="14"/>
  <c r="L51" i="14" s="1"/>
  <c r="M38" i="14"/>
  <c r="AG272" i="88" l="1"/>
  <c r="H358" i="96"/>
  <c r="C59" i="96"/>
  <c r="H408" i="96"/>
  <c r="H434" i="96" s="1"/>
  <c r="H438" i="92"/>
  <c r="C60" i="92" s="1"/>
  <c r="J183" i="92"/>
  <c r="J184" i="92" s="1"/>
  <c r="I282" i="96"/>
  <c r="J376" i="92"/>
  <c r="J400" i="92" s="1"/>
  <c r="J401" i="92" s="1"/>
  <c r="J437" i="92" s="1"/>
  <c r="J438" i="92" s="1"/>
  <c r="K300" i="96"/>
  <c r="K376" i="96" s="1"/>
  <c r="K400" i="96" s="1"/>
  <c r="K401" i="96" s="1"/>
  <c r="J248" i="92"/>
  <c r="J249" i="92" s="1"/>
  <c r="J256" i="92" s="1"/>
  <c r="J259" i="92" s="1"/>
  <c r="J260" i="92" s="1"/>
  <c r="J180" i="96"/>
  <c r="J206" i="96" s="1"/>
  <c r="K107" i="96"/>
  <c r="K108" i="96" s="1"/>
  <c r="K133" i="96"/>
  <c r="K134" i="96" s="1"/>
  <c r="P346" i="92"/>
  <c r="P422" i="92" s="1"/>
  <c r="P424" i="92" s="1"/>
  <c r="C137" i="92"/>
  <c r="L96" i="96"/>
  <c r="L97" i="96" s="1"/>
  <c r="L104" i="96" s="1"/>
  <c r="L130" i="96" s="1"/>
  <c r="S160" i="92"/>
  <c r="S312" i="92"/>
  <c r="K180" i="92"/>
  <c r="K183" i="92" s="1"/>
  <c r="K184" i="92" s="1"/>
  <c r="T84" i="92"/>
  <c r="T388" i="92" s="1"/>
  <c r="S236" i="92"/>
  <c r="K140" i="14"/>
  <c r="C136" i="52"/>
  <c r="C137" i="52" s="1"/>
  <c r="L172" i="96"/>
  <c r="L173" i="96" s="1"/>
  <c r="L209" i="96" s="1"/>
  <c r="L210" i="96" s="1"/>
  <c r="M72" i="96"/>
  <c r="M96" i="96" s="1"/>
  <c r="M97" i="96" s="1"/>
  <c r="M133" i="96" s="1"/>
  <c r="D39" i="96" s="1"/>
  <c r="I422" i="92"/>
  <c r="I424" i="92" s="1"/>
  <c r="K127" i="14"/>
  <c r="K224" i="92"/>
  <c r="K248" i="92" s="1"/>
  <c r="K249" i="92" s="1"/>
  <c r="K285" i="92" s="1"/>
  <c r="K286" i="92" s="1"/>
  <c r="M72" i="92"/>
  <c r="M148" i="92" s="1"/>
  <c r="M224" i="92" s="1"/>
  <c r="N319" i="52"/>
  <c r="M272" i="92"/>
  <c r="M346" i="92"/>
  <c r="I319" i="52"/>
  <c r="Q319" i="52"/>
  <c r="J319" i="52"/>
  <c r="K319" i="52"/>
  <c r="O319" i="52"/>
  <c r="H319" i="52"/>
  <c r="X395" i="52"/>
  <c r="AM395" i="52"/>
  <c r="AA395" i="52"/>
  <c r="AH395" i="52"/>
  <c r="U395" i="52"/>
  <c r="L395" i="52"/>
  <c r="AN319" i="52"/>
  <c r="M319" i="52"/>
  <c r="G319" i="52"/>
  <c r="G337" i="52" s="1"/>
  <c r="G341" i="52" s="1"/>
  <c r="AS395" i="52"/>
  <c r="I395" i="52"/>
  <c r="P319" i="52"/>
  <c r="L319" i="52"/>
  <c r="Z313" i="92"/>
  <c r="Z389" i="92"/>
  <c r="AI313" i="92"/>
  <c r="AI389" i="92"/>
  <c r="AF313" i="96"/>
  <c r="AF389" i="96"/>
  <c r="G306" i="88"/>
  <c r="G382" i="88"/>
  <c r="S305" i="88"/>
  <c r="S381" i="88"/>
  <c r="AF306" i="88"/>
  <c r="AF382" i="88"/>
  <c r="G305" i="88"/>
  <c r="G381" i="88"/>
  <c r="X305" i="88"/>
  <c r="X381" i="88"/>
  <c r="W305" i="88"/>
  <c r="W381" i="88"/>
  <c r="AQ305" i="88"/>
  <c r="AQ381" i="88"/>
  <c r="R307" i="88"/>
  <c r="R383" i="88"/>
  <c r="R306" i="88"/>
  <c r="R382" i="88"/>
  <c r="O305" i="88"/>
  <c r="O381" i="88"/>
  <c r="AE306" i="88"/>
  <c r="AE382" i="88"/>
  <c r="AL305" i="88"/>
  <c r="AL381" i="88"/>
  <c r="V305" i="88"/>
  <c r="V381" i="88"/>
  <c r="O307" i="88"/>
  <c r="O383" i="88"/>
  <c r="J308" i="88"/>
  <c r="J384" i="88"/>
  <c r="O305" i="92"/>
  <c r="O381" i="92"/>
  <c r="P306" i="92"/>
  <c r="P382" i="92"/>
  <c r="AC305" i="92"/>
  <c r="AC381" i="92"/>
  <c r="U306" i="92"/>
  <c r="U382" i="92"/>
  <c r="K306" i="92"/>
  <c r="K382" i="92"/>
  <c r="T305" i="92"/>
  <c r="T381" i="92"/>
  <c r="L308" i="92"/>
  <c r="L384" i="92"/>
  <c r="AE305" i="92"/>
  <c r="AE381" i="92"/>
  <c r="AM306" i="92"/>
  <c r="AM382" i="92"/>
  <c r="I309" i="92"/>
  <c r="I385" i="92"/>
  <c r="I306" i="92"/>
  <c r="I382" i="92"/>
  <c r="Q306" i="92"/>
  <c r="Q382" i="92"/>
  <c r="J305" i="92"/>
  <c r="J381" i="92"/>
  <c r="R306" i="96"/>
  <c r="R382" i="96"/>
  <c r="L307" i="96"/>
  <c r="L383" i="96"/>
  <c r="AO305" i="96"/>
  <c r="AO381" i="96"/>
  <c r="H306" i="96"/>
  <c r="H382" i="96"/>
  <c r="AH306" i="96"/>
  <c r="AH382" i="96"/>
  <c r="Q305" i="96"/>
  <c r="Q381" i="96"/>
  <c r="H307" i="96"/>
  <c r="H383" i="96"/>
  <c r="AT306" i="96"/>
  <c r="AT382" i="96"/>
  <c r="Y306" i="96"/>
  <c r="Y382" i="96"/>
  <c r="U305" i="96"/>
  <c r="U381" i="96"/>
  <c r="AA306" i="96"/>
  <c r="AA382" i="96"/>
  <c r="AH305" i="96"/>
  <c r="AH381" i="96"/>
  <c r="R305" i="96"/>
  <c r="R381" i="96"/>
  <c r="M307" i="96"/>
  <c r="M383" i="96"/>
  <c r="L308" i="96"/>
  <c r="L384" i="96"/>
  <c r="AT317" i="96"/>
  <c r="AT393" i="96"/>
  <c r="AA311" i="96"/>
  <c r="AA387" i="96"/>
  <c r="AR317" i="88"/>
  <c r="AR393" i="88"/>
  <c r="AF315" i="96"/>
  <c r="AF391" i="96"/>
  <c r="AC315" i="88"/>
  <c r="AC391" i="88"/>
  <c r="AQ317" i="92"/>
  <c r="AQ393" i="92"/>
  <c r="T311" i="88"/>
  <c r="T387" i="88"/>
  <c r="V311" i="88"/>
  <c r="V387" i="88"/>
  <c r="AC313" i="92"/>
  <c r="AC389" i="92"/>
  <c r="AE313" i="92"/>
  <c r="AE389" i="92"/>
  <c r="Z313" i="96"/>
  <c r="Z389" i="96"/>
  <c r="AB313" i="96"/>
  <c r="AB389" i="96"/>
  <c r="AI313" i="96"/>
  <c r="AI389" i="96"/>
  <c r="L50" i="14"/>
  <c r="L306" i="88"/>
  <c r="L382" i="88"/>
  <c r="U306" i="88"/>
  <c r="U382" i="88"/>
  <c r="G307" i="88"/>
  <c r="G383" i="88"/>
  <c r="M305" i="88"/>
  <c r="M381" i="88"/>
  <c r="L305" i="88"/>
  <c r="L381" i="88"/>
  <c r="T306" i="88"/>
  <c r="T382" i="88"/>
  <c r="P305" i="88"/>
  <c r="P381" i="88"/>
  <c r="AH306" i="88"/>
  <c r="AH382" i="88"/>
  <c r="AE305" i="88"/>
  <c r="AE381" i="88"/>
  <c r="AQ306" i="88"/>
  <c r="AQ382" i="88"/>
  <c r="K306" i="88"/>
  <c r="K382" i="88"/>
  <c r="R305" i="88"/>
  <c r="R381" i="88"/>
  <c r="K307" i="88"/>
  <c r="K383" i="88"/>
  <c r="I309" i="88"/>
  <c r="I385" i="88"/>
  <c r="Q305" i="92"/>
  <c r="Q381" i="92"/>
  <c r="AH305" i="92"/>
  <c r="AH381" i="92"/>
  <c r="K309" i="92"/>
  <c r="K385" i="92"/>
  <c r="AD306" i="92"/>
  <c r="AD382" i="92"/>
  <c r="R305" i="92"/>
  <c r="R381" i="92"/>
  <c r="G308" i="92"/>
  <c r="G384" i="92"/>
  <c r="AK306" i="92"/>
  <c r="AK382" i="92"/>
  <c r="P305" i="92"/>
  <c r="P381" i="92"/>
  <c r="AN305" i="92"/>
  <c r="AN381" i="92"/>
  <c r="T307" i="92"/>
  <c r="T383" i="92"/>
  <c r="AP306" i="92"/>
  <c r="AP382" i="92"/>
  <c r="P307" i="92"/>
  <c r="P383" i="92"/>
  <c r="S306" i="92"/>
  <c r="S382" i="92"/>
  <c r="AN306" i="96"/>
  <c r="AN382" i="96"/>
  <c r="W305" i="96"/>
  <c r="W381" i="96"/>
  <c r="X306" i="96"/>
  <c r="X382" i="96"/>
  <c r="J307" i="96"/>
  <c r="J383" i="96"/>
  <c r="AN305" i="96"/>
  <c r="AN319" i="96" s="1"/>
  <c r="AN381" i="96"/>
  <c r="AB306" i="96"/>
  <c r="AB382" i="96"/>
  <c r="I305" i="96"/>
  <c r="I381" i="96"/>
  <c r="G307" i="96"/>
  <c r="G383" i="96"/>
  <c r="T306" i="96"/>
  <c r="T382" i="96"/>
  <c r="P305" i="96"/>
  <c r="P381" i="96"/>
  <c r="W306" i="96"/>
  <c r="W382" i="96"/>
  <c r="AD305" i="96"/>
  <c r="AD381" i="96"/>
  <c r="N305" i="96"/>
  <c r="N381" i="96"/>
  <c r="I307" i="96"/>
  <c r="I383" i="96"/>
  <c r="H308" i="96"/>
  <c r="H384" i="96"/>
  <c r="AR317" i="96"/>
  <c r="AR393" i="96"/>
  <c r="S311" i="96"/>
  <c r="S387" i="96"/>
  <c r="AP317" i="88"/>
  <c r="AP393" i="88"/>
  <c r="AM315" i="96"/>
  <c r="AM391" i="96"/>
  <c r="AI315" i="88"/>
  <c r="AI391" i="88"/>
  <c r="AA311" i="88"/>
  <c r="AA387" i="88"/>
  <c r="AB311" i="88"/>
  <c r="AB387" i="88"/>
  <c r="AJ395" i="52"/>
  <c r="AF395" i="52"/>
  <c r="R395" i="52"/>
  <c r="AH313" i="92"/>
  <c r="AH389" i="92"/>
  <c r="AJ313" i="92"/>
  <c r="AJ389" i="92"/>
  <c r="Y313" i="92"/>
  <c r="Y389" i="92"/>
  <c r="AA313" i="92"/>
  <c r="AA389" i="92"/>
  <c r="AL313" i="96"/>
  <c r="AL389" i="96"/>
  <c r="Y313" i="96"/>
  <c r="Y389" i="96"/>
  <c r="AK313" i="96"/>
  <c r="AK389" i="96"/>
  <c r="AE313" i="96"/>
  <c r="AE389" i="96"/>
  <c r="AR306" i="88"/>
  <c r="AR382" i="88"/>
  <c r="AN305" i="88"/>
  <c r="AN381" i="88"/>
  <c r="I307" i="88"/>
  <c r="I383" i="88"/>
  <c r="J306" i="88"/>
  <c r="J382" i="88"/>
  <c r="H307" i="88"/>
  <c r="H383" i="88"/>
  <c r="G309" i="88"/>
  <c r="G385" i="88"/>
  <c r="AS305" i="88"/>
  <c r="AS381" i="88"/>
  <c r="P307" i="88"/>
  <c r="P383" i="88"/>
  <c r="AR305" i="88"/>
  <c r="AR381" i="88"/>
  <c r="N307" i="88"/>
  <c r="N383" i="88"/>
  <c r="AJ306" i="88"/>
  <c r="AJ382" i="88"/>
  <c r="N306" i="88"/>
  <c r="N382" i="88"/>
  <c r="AF305" i="88"/>
  <c r="AF381" i="88"/>
  <c r="K305" i="88"/>
  <c r="K381" i="88"/>
  <c r="H309" i="88"/>
  <c r="H385" i="88"/>
  <c r="AC306" i="88"/>
  <c r="AC382" i="88"/>
  <c r="H306" i="88"/>
  <c r="H382" i="88"/>
  <c r="Y305" i="88"/>
  <c r="Y381" i="88"/>
  <c r="J307" i="88"/>
  <c r="J383" i="88"/>
  <c r="AM306" i="88"/>
  <c r="AM382" i="88"/>
  <c r="W306" i="88"/>
  <c r="W382" i="88"/>
  <c r="AT305" i="88"/>
  <c r="AT381" i="88"/>
  <c r="AD305" i="88"/>
  <c r="AD381" i="88"/>
  <c r="N305" i="88"/>
  <c r="N381" i="88"/>
  <c r="P308" i="88"/>
  <c r="P384" i="88"/>
  <c r="T307" i="88"/>
  <c r="T383" i="88"/>
  <c r="K309" i="88"/>
  <c r="K385" i="88"/>
  <c r="AT306" i="92"/>
  <c r="AT382" i="92"/>
  <c r="AA305" i="92"/>
  <c r="AA381" i="92"/>
  <c r="AS305" i="92"/>
  <c r="AS381" i="92"/>
  <c r="J307" i="92"/>
  <c r="J383" i="92"/>
  <c r="AF306" i="92"/>
  <c r="AF382" i="92"/>
  <c r="H307" i="92"/>
  <c r="H383" i="92"/>
  <c r="O306" i="92"/>
  <c r="O382" i="92"/>
  <c r="AR305" i="92"/>
  <c r="AR381" i="92"/>
  <c r="AN306" i="92"/>
  <c r="AN382" i="92"/>
  <c r="X305" i="92"/>
  <c r="X381" i="92"/>
  <c r="R307" i="92"/>
  <c r="R383" i="92"/>
  <c r="AK305" i="92"/>
  <c r="AK381" i="92"/>
  <c r="L306" i="92"/>
  <c r="L382" i="92"/>
  <c r="O307" i="92"/>
  <c r="O383" i="92"/>
  <c r="AG305" i="92"/>
  <c r="AG381" i="92"/>
  <c r="J306" i="92"/>
  <c r="J382" i="92"/>
  <c r="AH306" i="92"/>
  <c r="AH382" i="92"/>
  <c r="G306" i="92"/>
  <c r="G382" i="92"/>
  <c r="S305" i="92"/>
  <c r="S381" i="92"/>
  <c r="AT305" i="92"/>
  <c r="AT381" i="92"/>
  <c r="I308" i="92"/>
  <c r="I384" i="92"/>
  <c r="W305" i="92"/>
  <c r="W381" i="92"/>
  <c r="AM305" i="92"/>
  <c r="AM381" i="92"/>
  <c r="AC306" i="92"/>
  <c r="AC382" i="92"/>
  <c r="G307" i="92"/>
  <c r="G383" i="92"/>
  <c r="M305" i="92"/>
  <c r="M381" i="92"/>
  <c r="AP305" i="92"/>
  <c r="AP381" i="92"/>
  <c r="J309" i="92"/>
  <c r="J385" i="92"/>
  <c r="AG306" i="96"/>
  <c r="AG382" i="96"/>
  <c r="AR305" i="96"/>
  <c r="AR381" i="96"/>
  <c r="O305" i="96"/>
  <c r="O381" i="96"/>
  <c r="AS306" i="96"/>
  <c r="AS382" i="96"/>
  <c r="Q306" i="96"/>
  <c r="Q382" i="96"/>
  <c r="AB305" i="96"/>
  <c r="AB381" i="96"/>
  <c r="S307" i="96"/>
  <c r="S383" i="96"/>
  <c r="V306" i="96"/>
  <c r="V382" i="96"/>
  <c r="AG305" i="96"/>
  <c r="AG381" i="96"/>
  <c r="N308" i="96"/>
  <c r="N384" i="96"/>
  <c r="U306" i="96"/>
  <c r="U382" i="96"/>
  <c r="AE305" i="96"/>
  <c r="AE381" i="96"/>
  <c r="M308" i="96"/>
  <c r="M384" i="96"/>
  <c r="K309" i="96"/>
  <c r="K385" i="96"/>
  <c r="G308" i="96"/>
  <c r="G384" i="96"/>
  <c r="AJ306" i="96"/>
  <c r="AJ382" i="96"/>
  <c r="N306" i="96"/>
  <c r="N382" i="96"/>
  <c r="AF305" i="96"/>
  <c r="AF381" i="96"/>
  <c r="K305" i="96"/>
  <c r="K381" i="96"/>
  <c r="AI306" i="96"/>
  <c r="AI382" i="96"/>
  <c r="S306" i="96"/>
  <c r="S382" i="96"/>
  <c r="AP305" i="96"/>
  <c r="AP381" i="96"/>
  <c r="Z305" i="96"/>
  <c r="Z381" i="96"/>
  <c r="J305" i="96"/>
  <c r="J381" i="96"/>
  <c r="J308" i="96"/>
  <c r="J384" i="96"/>
  <c r="R307" i="96"/>
  <c r="R383" i="96"/>
  <c r="H309" i="96"/>
  <c r="H385" i="96"/>
  <c r="I309" i="96"/>
  <c r="I385" i="96"/>
  <c r="AQ317" i="96"/>
  <c r="AQ393" i="96"/>
  <c r="Y311" i="96"/>
  <c r="Y387" i="96"/>
  <c r="AB311" i="96"/>
  <c r="AB387" i="96"/>
  <c r="R311" i="96"/>
  <c r="R387" i="96"/>
  <c r="AC316" i="52"/>
  <c r="AC392" i="52"/>
  <c r="AP317" i="52"/>
  <c r="AP319" i="52" s="1"/>
  <c r="AP393" i="52"/>
  <c r="AP395" i="52" s="1"/>
  <c r="AT317" i="88"/>
  <c r="AT393" i="88"/>
  <c r="AE315" i="96"/>
  <c r="AE391" i="96"/>
  <c r="AH315" i="96"/>
  <c r="AH391" i="96"/>
  <c r="AC315" i="96"/>
  <c r="AC391" i="96"/>
  <c r="AE315" i="88"/>
  <c r="AE391" i="88"/>
  <c r="AD315" i="88"/>
  <c r="AD391" i="88"/>
  <c r="AG315" i="88"/>
  <c r="AG391" i="88"/>
  <c r="AR317" i="92"/>
  <c r="AR393" i="92"/>
  <c r="AS317" i="92"/>
  <c r="AS393" i="92"/>
  <c r="U311" i="88"/>
  <c r="U387" i="88"/>
  <c r="X311" i="88"/>
  <c r="X387" i="88"/>
  <c r="W311" i="88"/>
  <c r="W387" i="88"/>
  <c r="K395" i="52"/>
  <c r="AQ395" i="52"/>
  <c r="M395" i="52"/>
  <c r="G395" i="52"/>
  <c r="G413" i="52" s="1"/>
  <c r="G417" i="52" s="1"/>
  <c r="AO395" i="52"/>
  <c r="AK395" i="52"/>
  <c r="AB395" i="52"/>
  <c r="AT395" i="52"/>
  <c r="AG313" i="92"/>
  <c r="AG389" i="92"/>
  <c r="AB313" i="92"/>
  <c r="AB389" i="92"/>
  <c r="AD313" i="96"/>
  <c r="AD389" i="96"/>
  <c r="X313" i="96"/>
  <c r="X389" i="96"/>
  <c r="V306" i="88"/>
  <c r="V382" i="88"/>
  <c r="AB305" i="88"/>
  <c r="AB381" i="88"/>
  <c r="AB306" i="88"/>
  <c r="AB382" i="88"/>
  <c r="Z306" i="88"/>
  <c r="Z382" i="88"/>
  <c r="AT306" i="88"/>
  <c r="AT382" i="88"/>
  <c r="Y306" i="88"/>
  <c r="Y382" i="88"/>
  <c r="U305" i="88"/>
  <c r="U381" i="88"/>
  <c r="AN306" i="88"/>
  <c r="AN382" i="88"/>
  <c r="AJ305" i="88"/>
  <c r="AJ381" i="88"/>
  <c r="I308" i="88"/>
  <c r="I384" i="88"/>
  <c r="O306" i="88"/>
  <c r="O382" i="88"/>
  <c r="L307" i="88"/>
  <c r="L383" i="88"/>
  <c r="J309" i="88"/>
  <c r="J385" i="88"/>
  <c r="K305" i="92"/>
  <c r="K381" i="92"/>
  <c r="AA306" i="92"/>
  <c r="AA382" i="92"/>
  <c r="Q307" i="92"/>
  <c r="Q383" i="92"/>
  <c r="I307" i="92"/>
  <c r="I383" i="92"/>
  <c r="G305" i="92"/>
  <c r="G381" i="92"/>
  <c r="U305" i="92"/>
  <c r="U381" i="92"/>
  <c r="AE306" i="92"/>
  <c r="AE382" i="92"/>
  <c r="AQ305" i="92"/>
  <c r="AQ381" i="92"/>
  <c r="T306" i="92"/>
  <c r="T382" i="92"/>
  <c r="V306" i="92"/>
  <c r="V382" i="92"/>
  <c r="N305" i="92"/>
  <c r="N381" i="92"/>
  <c r="AF305" i="92"/>
  <c r="AF381" i="92"/>
  <c r="Y305" i="92"/>
  <c r="Y381" i="92"/>
  <c r="AI306" i="92"/>
  <c r="AI382" i="92"/>
  <c r="AC305" i="96"/>
  <c r="AC381" i="96"/>
  <c r="AF306" i="96"/>
  <c r="AF382" i="96"/>
  <c r="M305" i="96"/>
  <c r="M381" i="96"/>
  <c r="AK306" i="96"/>
  <c r="AK382" i="96"/>
  <c r="S305" i="96"/>
  <c r="S381" i="96"/>
  <c r="AS305" i="96"/>
  <c r="AS381" i="96"/>
  <c r="G306" i="96"/>
  <c r="G382" i="96"/>
  <c r="AQ305" i="96"/>
  <c r="AQ381" i="96"/>
  <c r="AQ306" i="96"/>
  <c r="AQ382" i="96"/>
  <c r="K306" i="96"/>
  <c r="K382" i="96"/>
  <c r="K307" i="96"/>
  <c r="K383" i="96"/>
  <c r="I308" i="96"/>
  <c r="I384" i="96"/>
  <c r="AS317" i="96"/>
  <c r="AS393" i="96"/>
  <c r="X311" i="96"/>
  <c r="X387" i="96"/>
  <c r="V311" i="96"/>
  <c r="V387" i="96"/>
  <c r="AQ317" i="88"/>
  <c r="AQ393" i="88"/>
  <c r="AD315" i="96"/>
  <c r="AD391" i="96"/>
  <c r="AG315" i="96"/>
  <c r="AG391" i="96"/>
  <c r="AF315" i="88"/>
  <c r="AF391" i="88"/>
  <c r="AH315" i="88"/>
  <c r="AH391" i="88"/>
  <c r="R312" i="88"/>
  <c r="R388" i="88"/>
  <c r="T395" i="52"/>
  <c r="P395" i="52"/>
  <c r="AL313" i="92"/>
  <c r="AL389" i="92"/>
  <c r="AK313" i="92"/>
  <c r="AK389" i="92"/>
  <c r="AC313" i="96"/>
  <c r="AC389" i="96"/>
  <c r="G308" i="88"/>
  <c r="G384" i="88"/>
  <c r="H305" i="88"/>
  <c r="H381" i="88"/>
  <c r="Q305" i="88"/>
  <c r="Q381" i="88"/>
  <c r="Q306" i="88"/>
  <c r="Q382" i="88"/>
  <c r="P306" i="88"/>
  <c r="P382" i="88"/>
  <c r="AO306" i="88"/>
  <c r="AO382" i="88"/>
  <c r="AK305" i="88"/>
  <c r="AK381" i="88"/>
  <c r="K308" i="88"/>
  <c r="K384" i="88"/>
  <c r="M306" i="88"/>
  <c r="M382" i="88"/>
  <c r="I305" i="88"/>
  <c r="I381" i="88"/>
  <c r="AA306" i="88"/>
  <c r="AA382" i="88"/>
  <c r="AH305" i="88"/>
  <c r="AH381" i="88"/>
  <c r="S307" i="88"/>
  <c r="S383" i="88"/>
  <c r="L308" i="88"/>
  <c r="L384" i="88"/>
  <c r="G309" i="92"/>
  <c r="G385" i="92"/>
  <c r="Y306" i="92"/>
  <c r="Y382" i="92"/>
  <c r="AO305" i="92"/>
  <c r="AO381" i="92"/>
  <c r="H308" i="92"/>
  <c r="H384" i="92"/>
  <c r="AB306" i="92"/>
  <c r="AB382" i="92"/>
  <c r="AB305" i="92"/>
  <c r="AB381" i="92"/>
  <c r="AL305" i="92"/>
  <c r="AL381" i="92"/>
  <c r="K308" i="92"/>
  <c r="K384" i="92"/>
  <c r="I305" i="92"/>
  <c r="I381" i="92"/>
  <c r="W306" i="92"/>
  <c r="W382" i="92"/>
  <c r="Z306" i="92"/>
  <c r="Z382" i="92"/>
  <c r="K307" i="92"/>
  <c r="K383" i="92"/>
  <c r="AI305" i="92"/>
  <c r="AI381" i="92"/>
  <c r="M307" i="92"/>
  <c r="M383" i="92"/>
  <c r="L306" i="96"/>
  <c r="L382" i="96"/>
  <c r="T307" i="96"/>
  <c r="T383" i="96"/>
  <c r="AI305" i="96"/>
  <c r="AI381" i="96"/>
  <c r="AC306" i="96"/>
  <c r="AC382" i="96"/>
  <c r="L305" i="96"/>
  <c r="L381" i="96"/>
  <c r="AM305" i="96"/>
  <c r="AM381" i="96"/>
  <c r="Q307" i="96"/>
  <c r="Q383" i="96"/>
  <c r="AO306" i="96"/>
  <c r="AO382" i="96"/>
  <c r="AK305" i="96"/>
  <c r="AK381" i="96"/>
  <c r="AM306" i="96"/>
  <c r="AM382" i="96"/>
  <c r="AT305" i="96"/>
  <c r="AT381" i="96"/>
  <c r="U307" i="96"/>
  <c r="U383" i="96"/>
  <c r="K308" i="96"/>
  <c r="K384" i="96"/>
  <c r="AP317" i="96"/>
  <c r="AP393" i="96"/>
  <c r="U311" i="96"/>
  <c r="U387" i="96"/>
  <c r="R312" i="96"/>
  <c r="R388" i="96"/>
  <c r="AJ315" i="96"/>
  <c r="AJ391" i="96"/>
  <c r="AC316" i="96"/>
  <c r="AC392" i="96"/>
  <c r="AJ315" i="88"/>
  <c r="AJ391" i="88"/>
  <c r="AK315" i="88"/>
  <c r="AK391" i="88"/>
  <c r="AP317" i="92"/>
  <c r="AP393" i="92"/>
  <c r="R311" i="88"/>
  <c r="R387" i="88"/>
  <c r="H395" i="52"/>
  <c r="V395" i="52"/>
  <c r="Y395" i="52"/>
  <c r="S395" i="52"/>
  <c r="AD395" i="52"/>
  <c r="Z395" i="52"/>
  <c r="Q395" i="52"/>
  <c r="AD313" i="92"/>
  <c r="AD389" i="92"/>
  <c r="AF313" i="92"/>
  <c r="AF389" i="92"/>
  <c r="X313" i="92"/>
  <c r="X389" i="92"/>
  <c r="AH313" i="96"/>
  <c r="AH389" i="96"/>
  <c r="AJ313" i="96"/>
  <c r="AJ389" i="96"/>
  <c r="AG313" i="96"/>
  <c r="AG389" i="96"/>
  <c r="AA313" i="96"/>
  <c r="AA389" i="96"/>
  <c r="AG306" i="88"/>
  <c r="AG382" i="88"/>
  <c r="AC305" i="88"/>
  <c r="AC381" i="88"/>
  <c r="AP306" i="88"/>
  <c r="AP382" i="88"/>
  <c r="AM305" i="88"/>
  <c r="AM381" i="88"/>
  <c r="U307" i="88"/>
  <c r="U383" i="88"/>
  <c r="AL306" i="88"/>
  <c r="AL382" i="88"/>
  <c r="AI305" i="88"/>
  <c r="AI381" i="88"/>
  <c r="AK306" i="88"/>
  <c r="AK382" i="88"/>
  <c r="AG305" i="88"/>
  <c r="AG381" i="88"/>
  <c r="O308" i="88"/>
  <c r="O384" i="88"/>
  <c r="AD306" i="88"/>
  <c r="AD382" i="88"/>
  <c r="I306" i="88"/>
  <c r="I382" i="88"/>
  <c r="AA305" i="88"/>
  <c r="AA381" i="88"/>
  <c r="M307" i="88"/>
  <c r="M383" i="88"/>
  <c r="AS306" i="88"/>
  <c r="AS382" i="88"/>
  <c r="X306" i="88"/>
  <c r="X382" i="88"/>
  <c r="AO305" i="88"/>
  <c r="AO381" i="88"/>
  <c r="T305" i="88"/>
  <c r="T381" i="88"/>
  <c r="Q307" i="88"/>
  <c r="Q383" i="88"/>
  <c r="AI306" i="88"/>
  <c r="AI382" i="88"/>
  <c r="S306" i="88"/>
  <c r="S382" i="88"/>
  <c r="AP305" i="88"/>
  <c r="AP381" i="88"/>
  <c r="Z305" i="88"/>
  <c r="Z381" i="88"/>
  <c r="J305" i="88"/>
  <c r="J381" i="88"/>
  <c r="H308" i="88"/>
  <c r="H384" i="88"/>
  <c r="M308" i="88"/>
  <c r="M384" i="88"/>
  <c r="N308" i="88"/>
  <c r="N384" i="88"/>
  <c r="M308" i="92"/>
  <c r="M384" i="92"/>
  <c r="R306" i="92"/>
  <c r="R382" i="92"/>
  <c r="N307" i="92"/>
  <c r="N383" i="92"/>
  <c r="J308" i="92"/>
  <c r="J384" i="92"/>
  <c r="AO306" i="92"/>
  <c r="AO382" i="92"/>
  <c r="AG306" i="92"/>
  <c r="AG382" i="92"/>
  <c r="V305" i="92"/>
  <c r="V381" i="92"/>
  <c r="N306" i="92"/>
  <c r="N382" i="92"/>
  <c r="AJ305" i="92"/>
  <c r="AJ381" i="92"/>
  <c r="AQ306" i="92"/>
  <c r="AQ382" i="92"/>
  <c r="L305" i="92"/>
  <c r="L381" i="92"/>
  <c r="X306" i="92"/>
  <c r="X382" i="92"/>
  <c r="H305" i="92"/>
  <c r="H381" i="92"/>
  <c r="O308" i="92"/>
  <c r="O384" i="92"/>
  <c r="AS306" i="92"/>
  <c r="AS382" i="92"/>
  <c r="L307" i="92"/>
  <c r="L383" i="92"/>
  <c r="M306" i="92"/>
  <c r="M382" i="92"/>
  <c r="AR306" i="92"/>
  <c r="AR382" i="92"/>
  <c r="U307" i="92"/>
  <c r="U383" i="92"/>
  <c r="AD305" i="92"/>
  <c r="AD381" i="92"/>
  <c r="H309" i="92"/>
  <c r="H385" i="92"/>
  <c r="AJ306" i="92"/>
  <c r="AJ382" i="92"/>
  <c r="S307" i="92"/>
  <c r="S383" i="92"/>
  <c r="H306" i="92"/>
  <c r="H382" i="92"/>
  <c r="AL306" i="92"/>
  <c r="AL382" i="92"/>
  <c r="N308" i="92"/>
  <c r="N384" i="92"/>
  <c r="Z305" i="92"/>
  <c r="Z381" i="92"/>
  <c r="P308" i="92"/>
  <c r="P384" i="92"/>
  <c r="Z306" i="96"/>
  <c r="Z382" i="96"/>
  <c r="AJ305" i="96"/>
  <c r="AJ381" i="96"/>
  <c r="H305" i="96"/>
  <c r="H381" i="96"/>
  <c r="AL306" i="96"/>
  <c r="AL382" i="96"/>
  <c r="J306" i="96"/>
  <c r="J382" i="96"/>
  <c r="T305" i="96"/>
  <c r="T381" i="96"/>
  <c r="AR306" i="96"/>
  <c r="AR382" i="96"/>
  <c r="P306" i="96"/>
  <c r="P382" i="96"/>
  <c r="Y305" i="96"/>
  <c r="Y381" i="96"/>
  <c r="AP306" i="96"/>
  <c r="AP382" i="96"/>
  <c r="M306" i="96"/>
  <c r="M382" i="96"/>
  <c r="X305" i="96"/>
  <c r="X381" i="96"/>
  <c r="O307" i="96"/>
  <c r="O383" i="96"/>
  <c r="G305" i="96"/>
  <c r="G381" i="96"/>
  <c r="G309" i="96"/>
  <c r="G385" i="96"/>
  <c r="AD306" i="96"/>
  <c r="AD382" i="96"/>
  <c r="I306" i="96"/>
  <c r="I382" i="96"/>
  <c r="AA305" i="96"/>
  <c r="AA381" i="96"/>
  <c r="N307" i="96"/>
  <c r="N383" i="96"/>
  <c r="AE306" i="96"/>
  <c r="AE382" i="96"/>
  <c r="O306" i="96"/>
  <c r="O382" i="96"/>
  <c r="AL305" i="96"/>
  <c r="AL381" i="96"/>
  <c r="V305" i="96"/>
  <c r="V381" i="96"/>
  <c r="P307" i="96"/>
  <c r="P383" i="96"/>
  <c r="J309" i="96"/>
  <c r="J385" i="96"/>
  <c r="O308" i="96"/>
  <c r="O384" i="96"/>
  <c r="P308" i="96"/>
  <c r="P384" i="96"/>
  <c r="T311" i="96"/>
  <c r="T387" i="96"/>
  <c r="W311" i="96"/>
  <c r="W387" i="96"/>
  <c r="Z311" i="96"/>
  <c r="Z387" i="96"/>
  <c r="AS317" i="88"/>
  <c r="AS393" i="88"/>
  <c r="AI315" i="96"/>
  <c r="AI391" i="96"/>
  <c r="AL315" i="96"/>
  <c r="AL391" i="96"/>
  <c r="AK315" i="96"/>
  <c r="AK391" i="96"/>
  <c r="AL315" i="88"/>
  <c r="AL391" i="88"/>
  <c r="AC316" i="88"/>
  <c r="AC392" i="88"/>
  <c r="AM315" i="88"/>
  <c r="AM391" i="88"/>
  <c r="AT317" i="92"/>
  <c r="AT393" i="92"/>
  <c r="AO317" i="92"/>
  <c r="AO393" i="92"/>
  <c r="W311" i="52"/>
  <c r="W319" i="52" s="1"/>
  <c r="W387" i="52"/>
  <c r="W395" i="52" s="1"/>
  <c r="R312" i="52"/>
  <c r="R388" i="52"/>
  <c r="Y311" i="88"/>
  <c r="Y387" i="88"/>
  <c r="S311" i="88"/>
  <c r="S387" i="88"/>
  <c r="Z311" i="88"/>
  <c r="Z387" i="88"/>
  <c r="AC395" i="52"/>
  <c r="N395" i="52"/>
  <c r="J395" i="52"/>
  <c r="AR395" i="52"/>
  <c r="O395" i="52"/>
  <c r="AG395" i="52"/>
  <c r="AI395" i="52"/>
  <c r="AL395" i="52"/>
  <c r="AE395" i="52"/>
  <c r="AN243" i="52"/>
  <c r="J167" i="52"/>
  <c r="AK239" i="52"/>
  <c r="AK243" i="52" s="1"/>
  <c r="AK315" i="52"/>
  <c r="AK319" i="52" s="1"/>
  <c r="R235" i="52"/>
  <c r="R243" i="52" s="1"/>
  <c r="R311" i="52"/>
  <c r="R319" i="52" s="1"/>
  <c r="Y86" i="52"/>
  <c r="Y162" i="52" s="1"/>
  <c r="X314" i="52"/>
  <c r="G234" i="52"/>
  <c r="G244" i="52" s="1"/>
  <c r="G310" i="52"/>
  <c r="G320" i="52" s="1"/>
  <c r="AD239" i="52"/>
  <c r="AD243" i="52" s="1"/>
  <c r="AD315" i="52"/>
  <c r="AD319" i="52" s="1"/>
  <c r="AF239" i="52"/>
  <c r="AF243" i="52" s="1"/>
  <c r="AF315" i="52"/>
  <c r="AF319" i="52" s="1"/>
  <c r="AE239" i="52"/>
  <c r="AE243" i="52" s="1"/>
  <c r="AE315" i="52"/>
  <c r="AE319" i="52" s="1"/>
  <c r="AQ241" i="52"/>
  <c r="AQ243" i="52" s="1"/>
  <c r="AQ317" i="52"/>
  <c r="AQ319" i="52" s="1"/>
  <c r="AB235" i="52"/>
  <c r="AB243" i="52" s="1"/>
  <c r="AB311" i="52"/>
  <c r="AB319" i="52" s="1"/>
  <c r="Y235" i="52"/>
  <c r="Y243" i="52" s="1"/>
  <c r="Y311" i="52"/>
  <c r="Y319" i="52" s="1"/>
  <c r="T235" i="52"/>
  <c r="T243" i="52" s="1"/>
  <c r="T311" i="52"/>
  <c r="T319" i="52" s="1"/>
  <c r="AD240" i="92"/>
  <c r="AD316" i="92"/>
  <c r="AM239" i="52"/>
  <c r="AM243" i="52" s="1"/>
  <c r="AM315" i="52"/>
  <c r="AM319" i="52" s="1"/>
  <c r="V235" i="52"/>
  <c r="V243" i="52" s="1"/>
  <c r="V311" i="52"/>
  <c r="V319" i="52" s="1"/>
  <c r="AO241" i="96"/>
  <c r="AO317" i="96"/>
  <c r="AH239" i="52"/>
  <c r="AH243" i="52" s="1"/>
  <c r="AH315" i="52"/>
  <c r="AH319" i="52" s="1"/>
  <c r="AC239" i="52"/>
  <c r="AC243" i="52" s="1"/>
  <c r="AC315" i="52"/>
  <c r="AC319" i="52" s="1"/>
  <c r="AG239" i="52"/>
  <c r="AG243" i="52" s="1"/>
  <c r="AG315" i="52"/>
  <c r="AG319" i="52" s="1"/>
  <c r="AS241" i="52"/>
  <c r="AS243" i="52" s="1"/>
  <c r="AS317" i="52"/>
  <c r="AS319" i="52" s="1"/>
  <c r="AT241" i="52"/>
  <c r="AT243" i="52" s="1"/>
  <c r="AT317" i="52"/>
  <c r="AT319" i="52" s="1"/>
  <c r="AO241" i="88"/>
  <c r="AO317" i="88"/>
  <c r="Z235" i="52"/>
  <c r="Z243" i="52" s="1"/>
  <c r="Z311" i="52"/>
  <c r="Z319" i="52" s="1"/>
  <c r="X235" i="52"/>
  <c r="X243" i="52" s="1"/>
  <c r="X311" i="52"/>
  <c r="X319" i="52" s="1"/>
  <c r="U235" i="52"/>
  <c r="U243" i="52" s="1"/>
  <c r="U311" i="52"/>
  <c r="U319" i="52" s="1"/>
  <c r="AN167" i="52"/>
  <c r="S235" i="52"/>
  <c r="S243" i="52" s="1"/>
  <c r="S311" i="52"/>
  <c r="S319" i="52" s="1"/>
  <c r="AI239" i="52"/>
  <c r="AI243" i="52" s="1"/>
  <c r="AI315" i="52"/>
  <c r="AI319" i="52" s="1"/>
  <c r="AL239" i="52"/>
  <c r="AL243" i="52" s="1"/>
  <c r="AL315" i="52"/>
  <c r="AL319" i="52" s="1"/>
  <c r="AJ239" i="52"/>
  <c r="AJ243" i="52" s="1"/>
  <c r="AJ315" i="52"/>
  <c r="AJ319" i="52" s="1"/>
  <c r="AO241" i="52"/>
  <c r="AO243" i="52" s="1"/>
  <c r="AO317" i="52"/>
  <c r="AO319" i="52" s="1"/>
  <c r="AR241" i="52"/>
  <c r="AR243" i="52" s="1"/>
  <c r="AR317" i="52"/>
  <c r="AR319" i="52" s="1"/>
  <c r="AA235" i="52"/>
  <c r="AA243" i="52" s="1"/>
  <c r="AA311" i="52"/>
  <c r="AA319" i="52" s="1"/>
  <c r="P167" i="52"/>
  <c r="M167" i="52"/>
  <c r="Q167" i="52"/>
  <c r="K167" i="52"/>
  <c r="H167" i="52"/>
  <c r="G243" i="52"/>
  <c r="G261" i="52" s="1"/>
  <c r="L167" i="52"/>
  <c r="O167" i="52"/>
  <c r="N167" i="52"/>
  <c r="I167" i="52"/>
  <c r="AG161" i="92"/>
  <c r="AG237" i="92"/>
  <c r="AI161" i="92"/>
  <c r="AI237" i="92"/>
  <c r="AL161" i="96"/>
  <c r="AL237" i="96"/>
  <c r="AK161" i="96"/>
  <c r="AK237" i="96"/>
  <c r="AP154" i="88"/>
  <c r="AP230" i="88"/>
  <c r="U155" i="88"/>
  <c r="U231" i="88"/>
  <c r="AL154" i="88"/>
  <c r="AL230" i="88"/>
  <c r="AK154" i="88"/>
  <c r="AK230" i="88"/>
  <c r="AD154" i="88"/>
  <c r="AD230" i="88"/>
  <c r="AD161" i="92"/>
  <c r="AD237" i="92"/>
  <c r="AF161" i="92"/>
  <c r="AF237" i="92"/>
  <c r="X161" i="92"/>
  <c r="X237" i="92"/>
  <c r="AC161" i="96"/>
  <c r="AC237" i="96"/>
  <c r="Z161" i="96"/>
  <c r="Z237" i="96"/>
  <c r="AB161" i="96"/>
  <c r="AB237" i="96"/>
  <c r="AI161" i="96"/>
  <c r="AI237" i="96"/>
  <c r="AR154" i="88"/>
  <c r="AR230" i="88"/>
  <c r="AN153" i="88"/>
  <c r="AN229" i="88"/>
  <c r="I155" i="88"/>
  <c r="I231" i="88"/>
  <c r="J154" i="88"/>
  <c r="J230" i="88"/>
  <c r="H155" i="88"/>
  <c r="H231" i="88"/>
  <c r="G157" i="88"/>
  <c r="G233" i="88"/>
  <c r="AS153" i="88"/>
  <c r="AS229" i="88"/>
  <c r="P155" i="88"/>
  <c r="P231" i="88"/>
  <c r="AR153" i="88"/>
  <c r="AR229" i="88"/>
  <c r="N155" i="88"/>
  <c r="N231" i="88"/>
  <c r="AJ154" i="88"/>
  <c r="AJ230" i="88"/>
  <c r="N154" i="88"/>
  <c r="N230" i="88"/>
  <c r="AF153" i="88"/>
  <c r="AF229" i="88"/>
  <c r="K153" i="88"/>
  <c r="K229" i="88"/>
  <c r="H157" i="88"/>
  <c r="H233" i="88"/>
  <c r="AC154" i="88"/>
  <c r="AC230" i="88"/>
  <c r="H154" i="88"/>
  <c r="H230" i="88"/>
  <c r="Y153" i="88"/>
  <c r="Y229" i="88"/>
  <c r="J155" i="88"/>
  <c r="J231" i="88"/>
  <c r="AM154" i="88"/>
  <c r="AM230" i="88"/>
  <c r="W154" i="88"/>
  <c r="W230" i="88"/>
  <c r="AT153" i="88"/>
  <c r="AT229" i="88"/>
  <c r="AD153" i="88"/>
  <c r="AD229" i="88"/>
  <c r="N153" i="88"/>
  <c r="N229" i="88"/>
  <c r="P156" i="88"/>
  <c r="P232" i="88"/>
  <c r="T155" i="88"/>
  <c r="T231" i="88"/>
  <c r="K157" i="88"/>
  <c r="K233" i="88"/>
  <c r="AT154" i="92"/>
  <c r="AT230" i="92"/>
  <c r="AA153" i="92"/>
  <c r="AA229" i="92"/>
  <c r="AS153" i="92"/>
  <c r="AS229" i="92"/>
  <c r="J155" i="92"/>
  <c r="J231" i="92"/>
  <c r="AF154" i="92"/>
  <c r="AF230" i="92"/>
  <c r="H155" i="92"/>
  <c r="H231" i="92"/>
  <c r="O154" i="92"/>
  <c r="O230" i="92"/>
  <c r="AR153" i="92"/>
  <c r="AR229" i="92"/>
  <c r="AN154" i="92"/>
  <c r="AN230" i="92"/>
  <c r="X153" i="92"/>
  <c r="X229" i="92"/>
  <c r="R155" i="92"/>
  <c r="R231" i="92"/>
  <c r="AK153" i="92"/>
  <c r="AK229" i="92"/>
  <c r="L154" i="92"/>
  <c r="L230" i="92"/>
  <c r="O155" i="92"/>
  <c r="O231" i="92"/>
  <c r="AG153" i="92"/>
  <c r="AG229" i="92"/>
  <c r="J154" i="92"/>
  <c r="J230" i="92"/>
  <c r="AH154" i="92"/>
  <c r="AH230" i="92"/>
  <c r="G154" i="92"/>
  <c r="G230" i="92"/>
  <c r="S153" i="92"/>
  <c r="S229" i="92"/>
  <c r="AT153" i="92"/>
  <c r="AT229" i="92"/>
  <c r="I156" i="92"/>
  <c r="I232" i="92"/>
  <c r="W153" i="92"/>
  <c r="W229" i="92"/>
  <c r="AM153" i="92"/>
  <c r="AM229" i="92"/>
  <c r="AC154" i="92"/>
  <c r="AC230" i="92"/>
  <c r="G155" i="92"/>
  <c r="G231" i="92"/>
  <c r="M153" i="92"/>
  <c r="M229" i="92"/>
  <c r="AP153" i="92"/>
  <c r="AP229" i="92"/>
  <c r="J157" i="92"/>
  <c r="J233" i="92"/>
  <c r="AG154" i="96"/>
  <c r="AG230" i="96"/>
  <c r="AR153" i="96"/>
  <c r="AR229" i="96"/>
  <c r="O153" i="96"/>
  <c r="O229" i="96"/>
  <c r="AS154" i="96"/>
  <c r="AS230" i="96"/>
  <c r="Q154" i="96"/>
  <c r="Q230" i="96"/>
  <c r="AB153" i="96"/>
  <c r="AB229" i="96"/>
  <c r="S155" i="96"/>
  <c r="S231" i="96"/>
  <c r="V154" i="96"/>
  <c r="V230" i="96"/>
  <c r="AG153" i="96"/>
  <c r="AG229" i="96"/>
  <c r="N156" i="96"/>
  <c r="N232" i="96"/>
  <c r="U154" i="96"/>
  <c r="U230" i="96"/>
  <c r="AE153" i="96"/>
  <c r="AE229" i="96"/>
  <c r="M156" i="96"/>
  <c r="M232" i="96"/>
  <c r="K157" i="96"/>
  <c r="K233" i="96"/>
  <c r="G156" i="96"/>
  <c r="G232" i="96"/>
  <c r="AJ154" i="96"/>
  <c r="AJ230" i="96"/>
  <c r="N154" i="96"/>
  <c r="N230" i="96"/>
  <c r="AF153" i="96"/>
  <c r="AF229" i="96"/>
  <c r="K153" i="96"/>
  <c r="K229" i="96"/>
  <c r="AI154" i="96"/>
  <c r="AI230" i="96"/>
  <c r="S154" i="96"/>
  <c r="S230" i="96"/>
  <c r="AP153" i="96"/>
  <c r="AP229" i="96"/>
  <c r="Z153" i="96"/>
  <c r="Z229" i="96"/>
  <c r="J153" i="96"/>
  <c r="J229" i="96"/>
  <c r="J156" i="96"/>
  <c r="J232" i="96"/>
  <c r="R155" i="96"/>
  <c r="R231" i="96"/>
  <c r="H157" i="96"/>
  <c r="H233" i="96"/>
  <c r="I157" i="96"/>
  <c r="I233" i="96"/>
  <c r="AR165" i="96"/>
  <c r="AR241" i="96"/>
  <c r="AP165" i="96"/>
  <c r="AP241" i="96"/>
  <c r="S159" i="96"/>
  <c r="S235" i="96"/>
  <c r="U159" i="96"/>
  <c r="U235" i="96"/>
  <c r="R160" i="96"/>
  <c r="R236" i="96"/>
  <c r="AP165" i="88"/>
  <c r="AP241" i="88"/>
  <c r="AJ163" i="96"/>
  <c r="AJ239" i="96"/>
  <c r="AM163" i="96"/>
  <c r="AM239" i="96"/>
  <c r="AC164" i="96"/>
  <c r="AC240" i="96"/>
  <c r="AJ163" i="88"/>
  <c r="AJ239" i="88"/>
  <c r="AI163" i="88"/>
  <c r="AI239" i="88"/>
  <c r="AK163" i="88"/>
  <c r="AK239" i="88"/>
  <c r="AQ165" i="92"/>
  <c r="AQ241" i="92"/>
  <c r="T159" i="88"/>
  <c r="T235" i="88"/>
  <c r="R160" i="88"/>
  <c r="R236" i="88"/>
  <c r="V159" i="88"/>
  <c r="V235" i="88"/>
  <c r="Z161" i="92"/>
  <c r="Z237" i="92"/>
  <c r="Y161" i="96"/>
  <c r="Y237" i="96"/>
  <c r="AE161" i="96"/>
  <c r="AE237" i="96"/>
  <c r="AG154" i="88"/>
  <c r="AG230" i="88"/>
  <c r="AC153" i="88"/>
  <c r="AC229" i="88"/>
  <c r="AM153" i="88"/>
  <c r="AM229" i="88"/>
  <c r="AI153" i="88"/>
  <c r="AI229" i="88"/>
  <c r="AG153" i="88"/>
  <c r="AG229" i="88"/>
  <c r="O156" i="88"/>
  <c r="O232" i="88"/>
  <c r="X162" i="52"/>
  <c r="X238" i="52"/>
  <c r="AL161" i="92"/>
  <c r="AL237" i="92"/>
  <c r="AC161" i="92"/>
  <c r="AC237" i="92"/>
  <c r="AK161" i="92"/>
  <c r="AK237" i="92"/>
  <c r="AE161" i="92"/>
  <c r="AE237" i="92"/>
  <c r="AH161" i="96"/>
  <c r="AH237" i="96"/>
  <c r="AJ161" i="96"/>
  <c r="AJ237" i="96"/>
  <c r="AG161" i="96"/>
  <c r="AG237" i="96"/>
  <c r="AA161" i="96"/>
  <c r="AA237" i="96"/>
  <c r="G154" i="88"/>
  <c r="G230" i="88"/>
  <c r="V154" i="88"/>
  <c r="V230" i="88"/>
  <c r="S153" i="88"/>
  <c r="S229" i="88"/>
  <c r="AF154" i="88"/>
  <c r="AF230" i="88"/>
  <c r="AB153" i="88"/>
  <c r="AB229" i="88"/>
  <c r="G153" i="88"/>
  <c r="G229" i="88"/>
  <c r="AB154" i="88"/>
  <c r="AB230" i="88"/>
  <c r="X153" i="88"/>
  <c r="X229" i="88"/>
  <c r="Z154" i="88"/>
  <c r="Z230" i="88"/>
  <c r="W153" i="88"/>
  <c r="W229" i="88"/>
  <c r="AT154" i="88"/>
  <c r="AT230" i="88"/>
  <c r="Y154" i="88"/>
  <c r="Y230" i="88"/>
  <c r="AQ153" i="88"/>
  <c r="AQ229" i="88"/>
  <c r="U153" i="88"/>
  <c r="U229" i="88"/>
  <c r="R155" i="88"/>
  <c r="R231" i="88"/>
  <c r="Q243" i="52"/>
  <c r="G167" i="52"/>
  <c r="G207" i="52" s="1"/>
  <c r="AB161" i="92"/>
  <c r="AB237" i="92"/>
  <c r="AH161" i="92"/>
  <c r="AH237" i="92"/>
  <c r="AJ161" i="92"/>
  <c r="AJ237" i="92"/>
  <c r="Y161" i="92"/>
  <c r="Y237" i="92"/>
  <c r="AA161" i="92"/>
  <c r="AA237" i="92"/>
  <c r="AD161" i="96"/>
  <c r="AD237" i="96"/>
  <c r="AF161" i="96"/>
  <c r="AF237" i="96"/>
  <c r="X161" i="96"/>
  <c r="X237" i="96"/>
  <c r="G156" i="88"/>
  <c r="G232" i="88"/>
  <c r="L154" i="88"/>
  <c r="L230" i="88"/>
  <c r="H153" i="88"/>
  <c r="H229" i="88"/>
  <c r="U154" i="88"/>
  <c r="U230" i="88"/>
  <c r="Q153" i="88"/>
  <c r="Q229" i="88"/>
  <c r="G155" i="88"/>
  <c r="G231" i="88"/>
  <c r="Q154" i="88"/>
  <c r="Q230" i="88"/>
  <c r="M153" i="88"/>
  <c r="M229" i="88"/>
  <c r="P154" i="88"/>
  <c r="P230" i="88"/>
  <c r="L153" i="88"/>
  <c r="L229" i="88"/>
  <c r="AO154" i="88"/>
  <c r="AO230" i="88"/>
  <c r="T154" i="88"/>
  <c r="T230" i="88"/>
  <c r="AK153" i="88"/>
  <c r="AK229" i="88"/>
  <c r="P153" i="88"/>
  <c r="P229" i="88"/>
  <c r="K156" i="88"/>
  <c r="K232" i="88"/>
  <c r="AH154" i="88"/>
  <c r="AH230" i="88"/>
  <c r="M154" i="88"/>
  <c r="M230" i="88"/>
  <c r="AE153" i="88"/>
  <c r="AE229" i="88"/>
  <c r="I153" i="88"/>
  <c r="I229" i="88"/>
  <c r="AQ154" i="88"/>
  <c r="AQ230" i="88"/>
  <c r="AA154" i="88"/>
  <c r="AA230" i="88"/>
  <c r="K154" i="88"/>
  <c r="K230" i="88"/>
  <c r="AH153" i="88"/>
  <c r="AH229" i="88"/>
  <c r="R153" i="88"/>
  <c r="R229" i="88"/>
  <c r="S155" i="88"/>
  <c r="S231" i="88"/>
  <c r="K155" i="88"/>
  <c r="K231" i="88"/>
  <c r="L156" i="88"/>
  <c r="L232" i="88"/>
  <c r="I157" i="88"/>
  <c r="I233" i="88"/>
  <c r="Q153" i="92"/>
  <c r="Q229" i="92"/>
  <c r="G157" i="92"/>
  <c r="G233" i="92"/>
  <c r="AH153" i="92"/>
  <c r="AH229" i="92"/>
  <c r="Y154" i="92"/>
  <c r="Y230" i="92"/>
  <c r="AO153" i="92"/>
  <c r="AO229" i="92"/>
  <c r="K157" i="92"/>
  <c r="K233" i="92"/>
  <c r="H156" i="92"/>
  <c r="H232" i="92"/>
  <c r="AD154" i="92"/>
  <c r="AD230" i="92"/>
  <c r="AB154" i="92"/>
  <c r="AB230" i="92"/>
  <c r="R153" i="92"/>
  <c r="R229" i="92"/>
  <c r="AB153" i="92"/>
  <c r="AB229" i="92"/>
  <c r="G156" i="92"/>
  <c r="G232" i="92"/>
  <c r="AL153" i="92"/>
  <c r="AL229" i="92"/>
  <c r="AK154" i="92"/>
  <c r="AK230" i="92"/>
  <c r="K156" i="92"/>
  <c r="K232" i="92"/>
  <c r="P153" i="92"/>
  <c r="P229" i="92"/>
  <c r="I153" i="92"/>
  <c r="I229" i="92"/>
  <c r="AN153" i="92"/>
  <c r="AN229" i="92"/>
  <c r="W154" i="92"/>
  <c r="W230" i="92"/>
  <c r="T155" i="92"/>
  <c r="T231" i="92"/>
  <c r="Z154" i="92"/>
  <c r="Z230" i="92"/>
  <c r="AP154" i="92"/>
  <c r="AP230" i="92"/>
  <c r="K155" i="92"/>
  <c r="K231" i="92"/>
  <c r="P155" i="92"/>
  <c r="P231" i="92"/>
  <c r="AI153" i="92"/>
  <c r="AI229" i="92"/>
  <c r="S154" i="92"/>
  <c r="S230" i="92"/>
  <c r="M155" i="92"/>
  <c r="M231" i="92"/>
  <c r="AN154" i="96"/>
  <c r="AN230" i="96"/>
  <c r="L154" i="96"/>
  <c r="L230" i="96"/>
  <c r="W153" i="96"/>
  <c r="W229" i="96"/>
  <c r="T155" i="96"/>
  <c r="T231" i="96"/>
  <c r="X154" i="96"/>
  <c r="X230" i="96"/>
  <c r="AI153" i="96"/>
  <c r="AI229" i="96"/>
  <c r="J155" i="96"/>
  <c r="J231" i="96"/>
  <c r="AC154" i="96"/>
  <c r="AC230" i="96"/>
  <c r="AN153" i="96"/>
  <c r="AN167" i="96" s="1"/>
  <c r="AN229" i="96"/>
  <c r="AN243" i="96" s="1"/>
  <c r="L153" i="96"/>
  <c r="L229" i="96"/>
  <c r="AB154" i="96"/>
  <c r="AB230" i="96"/>
  <c r="AM153" i="96"/>
  <c r="AM229" i="96"/>
  <c r="I153" i="96"/>
  <c r="I229" i="96"/>
  <c r="Q155" i="96"/>
  <c r="Q231" i="96"/>
  <c r="G155" i="96"/>
  <c r="G231" i="96"/>
  <c r="AO154" i="96"/>
  <c r="AO230" i="96"/>
  <c r="T154" i="96"/>
  <c r="T230" i="96"/>
  <c r="AK153" i="96"/>
  <c r="AK229" i="96"/>
  <c r="P153" i="96"/>
  <c r="P229" i="96"/>
  <c r="AM154" i="96"/>
  <c r="AM230" i="96"/>
  <c r="W154" i="96"/>
  <c r="W230" i="96"/>
  <c r="AT153" i="96"/>
  <c r="AT229" i="96"/>
  <c r="AD153" i="96"/>
  <c r="AD229" i="96"/>
  <c r="N153" i="96"/>
  <c r="N229" i="96"/>
  <c r="U155" i="96"/>
  <c r="U231" i="96"/>
  <c r="I155" i="96"/>
  <c r="I231" i="96"/>
  <c r="K156" i="96"/>
  <c r="K232" i="96"/>
  <c r="H156" i="96"/>
  <c r="H232" i="96"/>
  <c r="AS165" i="96"/>
  <c r="AS241" i="96"/>
  <c r="AT165" i="96"/>
  <c r="AT241" i="96"/>
  <c r="X159" i="96"/>
  <c r="X235" i="96"/>
  <c r="AA159" i="96"/>
  <c r="AA235" i="96"/>
  <c r="V159" i="96"/>
  <c r="V235" i="96"/>
  <c r="AQ165" i="88"/>
  <c r="AQ241" i="88"/>
  <c r="AR165" i="88"/>
  <c r="AR241" i="88"/>
  <c r="AD163" i="96"/>
  <c r="AD239" i="96"/>
  <c r="AF163" i="96"/>
  <c r="AF239" i="96"/>
  <c r="AG163" i="96"/>
  <c r="AG239" i="96"/>
  <c r="AF163" i="88"/>
  <c r="AF239" i="88"/>
  <c r="AC163" i="88"/>
  <c r="AC239" i="88"/>
  <c r="AH163" i="88"/>
  <c r="AH239" i="88"/>
  <c r="AT165" i="92"/>
  <c r="AT241" i="92"/>
  <c r="AO165" i="92"/>
  <c r="AO241" i="92"/>
  <c r="W159" i="52"/>
  <c r="W167" i="52" s="1"/>
  <c r="W235" i="52"/>
  <c r="W243" i="52" s="1"/>
  <c r="R160" i="52"/>
  <c r="R236" i="52"/>
  <c r="Y159" i="88"/>
  <c r="Y235" i="88"/>
  <c r="S159" i="88"/>
  <c r="S235" i="88"/>
  <c r="Z159" i="88"/>
  <c r="Z235" i="88"/>
  <c r="P243" i="52"/>
  <c r="L243" i="52"/>
  <c r="H243" i="52"/>
  <c r="I154" i="88"/>
  <c r="I230" i="88"/>
  <c r="AA153" i="88"/>
  <c r="AA229" i="88"/>
  <c r="M155" i="88"/>
  <c r="M231" i="88"/>
  <c r="AS154" i="88"/>
  <c r="AS230" i="88"/>
  <c r="X154" i="88"/>
  <c r="X230" i="88"/>
  <c r="AO153" i="88"/>
  <c r="AO229" i="88"/>
  <c r="T153" i="88"/>
  <c r="T229" i="88"/>
  <c r="Q155" i="88"/>
  <c r="Q231" i="88"/>
  <c r="AI154" i="88"/>
  <c r="AI230" i="88"/>
  <c r="S154" i="88"/>
  <c r="S230" i="88"/>
  <c r="AP153" i="88"/>
  <c r="AP229" i="88"/>
  <c r="Z153" i="88"/>
  <c r="Z229" i="88"/>
  <c r="J153" i="88"/>
  <c r="J229" i="88"/>
  <c r="H156" i="88"/>
  <c r="H232" i="88"/>
  <c r="M156" i="88"/>
  <c r="M232" i="88"/>
  <c r="N156" i="88"/>
  <c r="N232" i="88"/>
  <c r="M156" i="92"/>
  <c r="M232" i="92"/>
  <c r="R154" i="92"/>
  <c r="R230" i="92"/>
  <c r="N155" i="92"/>
  <c r="N231" i="92"/>
  <c r="J156" i="92"/>
  <c r="J232" i="92"/>
  <c r="AO154" i="92"/>
  <c r="AO230" i="92"/>
  <c r="AG154" i="92"/>
  <c r="AG230" i="92"/>
  <c r="V153" i="92"/>
  <c r="V229" i="92"/>
  <c r="N154" i="92"/>
  <c r="N230" i="92"/>
  <c r="AJ153" i="92"/>
  <c r="AJ229" i="92"/>
  <c r="AQ154" i="92"/>
  <c r="AQ230" i="92"/>
  <c r="L153" i="92"/>
  <c r="L229" i="92"/>
  <c r="X154" i="92"/>
  <c r="X230" i="92"/>
  <c r="H153" i="92"/>
  <c r="H229" i="92"/>
  <c r="O156" i="92"/>
  <c r="O232" i="92"/>
  <c r="AS154" i="92"/>
  <c r="AS230" i="92"/>
  <c r="L155" i="92"/>
  <c r="L231" i="92"/>
  <c r="M154" i="92"/>
  <c r="M230" i="92"/>
  <c r="AR154" i="92"/>
  <c r="AR230" i="92"/>
  <c r="U155" i="92"/>
  <c r="U231" i="92"/>
  <c r="AD153" i="92"/>
  <c r="AD229" i="92"/>
  <c r="H157" i="92"/>
  <c r="H233" i="92"/>
  <c r="AJ154" i="92"/>
  <c r="AJ230" i="92"/>
  <c r="S155" i="92"/>
  <c r="S231" i="92"/>
  <c r="H154" i="92"/>
  <c r="H230" i="92"/>
  <c r="AL154" i="92"/>
  <c r="AL230" i="92"/>
  <c r="N156" i="92"/>
  <c r="N232" i="92"/>
  <c r="Z153" i="92"/>
  <c r="Z229" i="92"/>
  <c r="P156" i="92"/>
  <c r="P232" i="92"/>
  <c r="Z154" i="96"/>
  <c r="Z230" i="96"/>
  <c r="AJ153" i="96"/>
  <c r="AJ229" i="96"/>
  <c r="H153" i="96"/>
  <c r="H229" i="96"/>
  <c r="AL154" i="96"/>
  <c r="AL230" i="96"/>
  <c r="J154" i="96"/>
  <c r="J230" i="96"/>
  <c r="T153" i="96"/>
  <c r="T229" i="96"/>
  <c r="AR154" i="96"/>
  <c r="AR230" i="96"/>
  <c r="P154" i="96"/>
  <c r="P230" i="96"/>
  <c r="Y153" i="96"/>
  <c r="Y229" i="96"/>
  <c r="AP154" i="96"/>
  <c r="AP230" i="96"/>
  <c r="M154" i="96"/>
  <c r="M230" i="96"/>
  <c r="X153" i="96"/>
  <c r="X229" i="96"/>
  <c r="O155" i="96"/>
  <c r="O231" i="96"/>
  <c r="G153" i="96"/>
  <c r="G229" i="96"/>
  <c r="G157" i="96"/>
  <c r="G233" i="96"/>
  <c r="AD154" i="96"/>
  <c r="AD230" i="96"/>
  <c r="I154" i="96"/>
  <c r="I230" i="96"/>
  <c r="AA153" i="96"/>
  <c r="AA229" i="96"/>
  <c r="N155" i="96"/>
  <c r="N231" i="96"/>
  <c r="AE154" i="96"/>
  <c r="AE230" i="96"/>
  <c r="O154" i="96"/>
  <c r="O230" i="96"/>
  <c r="AL153" i="96"/>
  <c r="AL229" i="96"/>
  <c r="V153" i="96"/>
  <c r="V229" i="96"/>
  <c r="P155" i="96"/>
  <c r="P231" i="96"/>
  <c r="J157" i="96"/>
  <c r="J233" i="96"/>
  <c r="O156" i="96"/>
  <c r="O232" i="96"/>
  <c r="P156" i="96"/>
  <c r="P232" i="96"/>
  <c r="AQ165" i="96"/>
  <c r="AQ241" i="96"/>
  <c r="Y159" i="96"/>
  <c r="Y235" i="96"/>
  <c r="AB159" i="96"/>
  <c r="AB235" i="96"/>
  <c r="R159" i="96"/>
  <c r="R235" i="96"/>
  <c r="AC164" i="52"/>
  <c r="AC240" i="52"/>
  <c r="AP165" i="52"/>
  <c r="AP167" i="52" s="1"/>
  <c r="AP241" i="52"/>
  <c r="AP243" i="52" s="1"/>
  <c r="AT165" i="88"/>
  <c r="AT241" i="88"/>
  <c r="AE163" i="96"/>
  <c r="AE239" i="96"/>
  <c r="AH163" i="96"/>
  <c r="AH239" i="96"/>
  <c r="AC163" i="96"/>
  <c r="AC239" i="96"/>
  <c r="AE163" i="88"/>
  <c r="AE239" i="88"/>
  <c r="AD163" i="88"/>
  <c r="AD239" i="88"/>
  <c r="AG163" i="88"/>
  <c r="AG239" i="88"/>
  <c r="AP165" i="92"/>
  <c r="AP241" i="92"/>
  <c r="AA159" i="88"/>
  <c r="AA235" i="88"/>
  <c r="R159" i="88"/>
  <c r="R235" i="88"/>
  <c r="AB159" i="88"/>
  <c r="AB235" i="88"/>
  <c r="K243" i="52"/>
  <c r="M243" i="52"/>
  <c r="I243" i="52"/>
  <c r="N243" i="52"/>
  <c r="J243" i="52"/>
  <c r="AN154" i="88"/>
  <c r="AN230" i="88"/>
  <c r="R154" i="88"/>
  <c r="R230" i="88"/>
  <c r="AJ153" i="88"/>
  <c r="AJ229" i="88"/>
  <c r="O153" i="88"/>
  <c r="O229" i="88"/>
  <c r="I156" i="88"/>
  <c r="I232" i="88"/>
  <c r="AE154" i="88"/>
  <c r="AE230" i="88"/>
  <c r="O154" i="88"/>
  <c r="O230" i="88"/>
  <c r="AL153" i="88"/>
  <c r="AL229" i="88"/>
  <c r="V153" i="88"/>
  <c r="V229" i="88"/>
  <c r="L155" i="88"/>
  <c r="L231" i="88"/>
  <c r="O155" i="88"/>
  <c r="O231" i="88"/>
  <c r="J157" i="88"/>
  <c r="J233" i="88"/>
  <c r="J156" i="88"/>
  <c r="J232" i="88"/>
  <c r="K153" i="92"/>
  <c r="K229" i="92"/>
  <c r="O153" i="92"/>
  <c r="O229" i="92"/>
  <c r="AA154" i="92"/>
  <c r="AA230" i="92"/>
  <c r="P154" i="92"/>
  <c r="P230" i="92"/>
  <c r="Q155" i="92"/>
  <c r="Q231" i="92"/>
  <c r="AC153" i="92"/>
  <c r="AC229" i="92"/>
  <c r="I155" i="92"/>
  <c r="I231" i="92"/>
  <c r="U154" i="92"/>
  <c r="U230" i="92"/>
  <c r="G153" i="92"/>
  <c r="G229" i="92"/>
  <c r="K154" i="92"/>
  <c r="K230" i="92"/>
  <c r="U153" i="92"/>
  <c r="U229" i="92"/>
  <c r="T153" i="92"/>
  <c r="T229" i="92"/>
  <c r="AE154" i="92"/>
  <c r="AE230" i="92"/>
  <c r="L156" i="92"/>
  <c r="L232" i="92"/>
  <c r="AQ153" i="92"/>
  <c r="AQ229" i="92"/>
  <c r="T154" i="92"/>
  <c r="T230" i="92"/>
  <c r="AE153" i="92"/>
  <c r="AE229" i="92"/>
  <c r="V154" i="92"/>
  <c r="V230" i="92"/>
  <c r="AM154" i="92"/>
  <c r="AM230" i="92"/>
  <c r="N153" i="92"/>
  <c r="N229" i="92"/>
  <c r="I157" i="92"/>
  <c r="I233" i="92"/>
  <c r="AF153" i="92"/>
  <c r="AF229" i="92"/>
  <c r="I154" i="92"/>
  <c r="I230" i="92"/>
  <c r="Y153" i="92"/>
  <c r="Y229" i="92"/>
  <c r="Q154" i="92"/>
  <c r="Q230" i="92"/>
  <c r="AI154" i="92"/>
  <c r="AI230" i="92"/>
  <c r="J153" i="92"/>
  <c r="J229" i="92"/>
  <c r="R154" i="96"/>
  <c r="R230" i="96"/>
  <c r="AC153" i="96"/>
  <c r="AC229" i="96"/>
  <c r="L155" i="96"/>
  <c r="L231" i="96"/>
  <c r="AF154" i="96"/>
  <c r="AF230" i="96"/>
  <c r="AO153" i="96"/>
  <c r="AO229" i="96"/>
  <c r="M153" i="96"/>
  <c r="M229" i="96"/>
  <c r="AK154" i="96"/>
  <c r="AK230" i="96"/>
  <c r="H154" i="96"/>
  <c r="H230" i="96"/>
  <c r="S153" i="96"/>
  <c r="S229" i="96"/>
  <c r="AH154" i="96"/>
  <c r="AH230" i="96"/>
  <c r="AS153" i="96"/>
  <c r="AS229" i="96"/>
  <c r="Q153" i="96"/>
  <c r="Q229" i="96"/>
  <c r="H155" i="96"/>
  <c r="H231" i="96"/>
  <c r="G154" i="96"/>
  <c r="G230" i="96"/>
  <c r="AT154" i="96"/>
  <c r="AT230" i="96"/>
  <c r="Y154" i="96"/>
  <c r="Y230" i="96"/>
  <c r="AQ153" i="96"/>
  <c r="AQ229" i="96"/>
  <c r="U153" i="96"/>
  <c r="U229" i="96"/>
  <c r="AQ154" i="96"/>
  <c r="AQ230" i="96"/>
  <c r="AA154" i="96"/>
  <c r="AA230" i="96"/>
  <c r="K154" i="96"/>
  <c r="K230" i="96"/>
  <c r="AH153" i="96"/>
  <c r="AH229" i="96"/>
  <c r="R153" i="96"/>
  <c r="R229" i="96"/>
  <c r="K155" i="96"/>
  <c r="K231" i="96"/>
  <c r="M155" i="96"/>
  <c r="M231" i="96"/>
  <c r="I156" i="96"/>
  <c r="I232" i="96"/>
  <c r="L156" i="96"/>
  <c r="L232" i="96"/>
  <c r="T159" i="96"/>
  <c r="T235" i="96"/>
  <c r="W159" i="96"/>
  <c r="W235" i="96"/>
  <c r="Z159" i="96"/>
  <c r="Z235" i="96"/>
  <c r="AS165" i="88"/>
  <c r="AS241" i="88"/>
  <c r="AI163" i="96"/>
  <c r="AI239" i="96"/>
  <c r="AL163" i="96"/>
  <c r="AL239" i="96"/>
  <c r="AK163" i="96"/>
  <c r="AK239" i="96"/>
  <c r="AL163" i="88"/>
  <c r="AL239" i="88"/>
  <c r="AC164" i="88"/>
  <c r="AC240" i="88"/>
  <c r="AM163" i="88"/>
  <c r="AM239" i="88"/>
  <c r="AR165" i="92"/>
  <c r="AR241" i="92"/>
  <c r="AS165" i="92"/>
  <c r="AS241" i="92"/>
  <c r="U159" i="88"/>
  <c r="U235" i="88"/>
  <c r="X159" i="88"/>
  <c r="X235" i="88"/>
  <c r="W159" i="88"/>
  <c r="W235" i="88"/>
  <c r="O243" i="52"/>
  <c r="Q196" i="52"/>
  <c r="AD91" i="52"/>
  <c r="AD163" i="52"/>
  <c r="AD167" i="52" s="1"/>
  <c r="AF91" i="52"/>
  <c r="AF163" i="52"/>
  <c r="AF167" i="52" s="1"/>
  <c r="AE91" i="52"/>
  <c r="AE163" i="52"/>
  <c r="AE167" i="52" s="1"/>
  <c r="AQ91" i="52"/>
  <c r="AQ165" i="52"/>
  <c r="AQ167" i="52" s="1"/>
  <c r="Z91" i="52"/>
  <c r="Z159" i="52"/>
  <c r="Z167" i="52" s="1"/>
  <c r="X91" i="52"/>
  <c r="X159" i="52"/>
  <c r="X167" i="52" s="1"/>
  <c r="U91" i="52"/>
  <c r="U159" i="52"/>
  <c r="U167" i="52" s="1"/>
  <c r="AM91" i="52"/>
  <c r="AM163" i="52"/>
  <c r="AM167" i="52" s="1"/>
  <c r="AK91" i="52"/>
  <c r="AK163" i="52"/>
  <c r="AK167" i="52" s="1"/>
  <c r="AA91" i="52"/>
  <c r="AA159" i="52"/>
  <c r="AA167" i="52" s="1"/>
  <c r="G158" i="52"/>
  <c r="G168" i="52" s="1"/>
  <c r="AP91" i="52"/>
  <c r="AO90" i="96"/>
  <c r="AO165" i="96"/>
  <c r="AH91" i="52"/>
  <c r="AH163" i="52"/>
  <c r="AH167" i="52" s="1"/>
  <c r="AC91" i="52"/>
  <c r="AC163" i="52"/>
  <c r="AC167" i="52" s="1"/>
  <c r="AG91" i="52"/>
  <c r="AG163" i="52"/>
  <c r="AG167" i="52" s="1"/>
  <c r="AS91" i="52"/>
  <c r="AS165" i="52"/>
  <c r="AS167" i="52" s="1"/>
  <c r="AT91" i="52"/>
  <c r="AT165" i="52"/>
  <c r="AT167" i="52" s="1"/>
  <c r="AO90" i="88"/>
  <c r="AO165" i="88"/>
  <c r="AB91" i="52"/>
  <c r="AB159" i="52"/>
  <c r="AB167" i="52" s="1"/>
  <c r="Y91" i="52"/>
  <c r="Y159" i="52"/>
  <c r="Y167" i="52" s="1"/>
  <c r="T91" i="52"/>
  <c r="T159" i="52"/>
  <c r="T167" i="52" s="1"/>
  <c r="AA272" i="92"/>
  <c r="AI91" i="52"/>
  <c r="AI163" i="52"/>
  <c r="AI167" i="52" s="1"/>
  <c r="AL91" i="52"/>
  <c r="AL163" i="52"/>
  <c r="AL167" i="52" s="1"/>
  <c r="AJ91" i="52"/>
  <c r="AJ163" i="52"/>
  <c r="AJ167" i="52" s="1"/>
  <c r="AO91" i="52"/>
  <c r="AO165" i="52"/>
  <c r="AO167" i="52" s="1"/>
  <c r="AR91" i="52"/>
  <c r="AR165" i="52"/>
  <c r="AR167" i="52" s="1"/>
  <c r="R91" i="52"/>
  <c r="R159" i="52"/>
  <c r="R167" i="52" s="1"/>
  <c r="V91" i="52"/>
  <c r="V159" i="52"/>
  <c r="V167" i="52" s="1"/>
  <c r="S91" i="52"/>
  <c r="S159" i="52"/>
  <c r="S167" i="52" s="1"/>
  <c r="AE88" i="92"/>
  <c r="AE392" i="92" s="1"/>
  <c r="AD164" i="92"/>
  <c r="AS91" i="92"/>
  <c r="AR91" i="92"/>
  <c r="O91" i="96"/>
  <c r="W91" i="96"/>
  <c r="AM91" i="96"/>
  <c r="S91" i="92"/>
  <c r="M91" i="92"/>
  <c r="AA196" i="96"/>
  <c r="K91" i="88"/>
  <c r="W91" i="92"/>
  <c r="K91" i="92"/>
  <c r="T91" i="92"/>
  <c r="AO91" i="96"/>
  <c r="AQ91" i="96"/>
  <c r="AD88" i="96"/>
  <c r="S84" i="88"/>
  <c r="S388" i="88" s="1"/>
  <c r="AA270" i="88"/>
  <c r="AA346" i="88" s="1"/>
  <c r="AA270" i="52"/>
  <c r="AA346" i="52" s="1"/>
  <c r="H91" i="88"/>
  <c r="Q91" i="88"/>
  <c r="M91" i="88"/>
  <c r="AO91" i="92"/>
  <c r="P91" i="96"/>
  <c r="S91" i="88"/>
  <c r="W91" i="88"/>
  <c r="AQ91" i="88"/>
  <c r="U91" i="88"/>
  <c r="O91" i="88"/>
  <c r="O91" i="92"/>
  <c r="AC91" i="92"/>
  <c r="G91" i="92"/>
  <c r="G131" i="92" s="1"/>
  <c r="AQ91" i="92"/>
  <c r="N91" i="92"/>
  <c r="AF91" i="92"/>
  <c r="J91" i="92"/>
  <c r="M91" i="96"/>
  <c r="S91" i="96"/>
  <c r="AS91" i="96"/>
  <c r="Q91" i="96"/>
  <c r="U91" i="96"/>
  <c r="Y91" i="92"/>
  <c r="AC91" i="96"/>
  <c r="R91" i="96"/>
  <c r="S84" i="96"/>
  <c r="S388" i="96" s="1"/>
  <c r="L91" i="88"/>
  <c r="P91" i="88"/>
  <c r="I91" i="88"/>
  <c r="G91" i="88"/>
  <c r="G109" i="88" s="1"/>
  <c r="V91" i="88"/>
  <c r="U91" i="92"/>
  <c r="AE91" i="92"/>
  <c r="AH91" i="96"/>
  <c r="AN91" i="88"/>
  <c r="AS91" i="88"/>
  <c r="AR91" i="88"/>
  <c r="AT91" i="88"/>
  <c r="AM91" i="88"/>
  <c r="AO91" i="88"/>
  <c r="T91" i="88"/>
  <c r="AP91" i="88"/>
  <c r="J91" i="88"/>
  <c r="V91" i="92"/>
  <c r="AJ91" i="92"/>
  <c r="L91" i="92"/>
  <c r="H91" i="92"/>
  <c r="AD91" i="92"/>
  <c r="Z91" i="92"/>
  <c r="AJ91" i="96"/>
  <c r="H91" i="96"/>
  <c r="T91" i="96"/>
  <c r="Y91" i="96"/>
  <c r="X91" i="96"/>
  <c r="G91" i="96"/>
  <c r="AA91" i="96"/>
  <c r="AL91" i="96"/>
  <c r="V91" i="96"/>
  <c r="G92" i="52"/>
  <c r="AD88" i="88"/>
  <c r="AD392" i="88" s="1"/>
  <c r="R91" i="88"/>
  <c r="Q91" i="92"/>
  <c r="AH91" i="92"/>
  <c r="R91" i="92"/>
  <c r="AB91" i="92"/>
  <c r="AL91" i="92"/>
  <c r="P91" i="92"/>
  <c r="I91" i="92"/>
  <c r="AN91" i="92"/>
  <c r="AI91" i="92"/>
  <c r="AI91" i="96"/>
  <c r="AN91" i="96"/>
  <c r="L91" i="96"/>
  <c r="I91" i="96"/>
  <c r="AK91" i="96"/>
  <c r="AT91" i="96"/>
  <c r="AD91" i="96"/>
  <c r="N91" i="96"/>
  <c r="AD88" i="52"/>
  <c r="AD392" i="52" s="1"/>
  <c r="S84" i="52"/>
  <c r="S388" i="52" s="1"/>
  <c r="N91" i="88"/>
  <c r="AA91" i="92"/>
  <c r="X91" i="92"/>
  <c r="AK91" i="92"/>
  <c r="AG91" i="92"/>
  <c r="AT91" i="92"/>
  <c r="AM91" i="92"/>
  <c r="AP91" i="92"/>
  <c r="AR91" i="96"/>
  <c r="AB91" i="96"/>
  <c r="AG91" i="96"/>
  <c r="AE91" i="96"/>
  <c r="AF91" i="96"/>
  <c r="K91" i="96"/>
  <c r="AP91" i="96"/>
  <c r="Z91" i="96"/>
  <c r="J91" i="96"/>
  <c r="G82" i="92"/>
  <c r="H82" i="52"/>
  <c r="H386" i="52" s="1"/>
  <c r="H396" i="52" s="1"/>
  <c r="G82" i="88"/>
  <c r="G82" i="96"/>
  <c r="M122" i="14"/>
  <c r="L114" i="14"/>
  <c r="L140" i="14"/>
  <c r="L113" i="14"/>
  <c r="AM272" i="92"/>
  <c r="AM196" i="92"/>
  <c r="U196" i="92"/>
  <c r="U272" i="92"/>
  <c r="H348" i="52"/>
  <c r="AL272" i="52"/>
  <c r="AL196" i="52"/>
  <c r="AO90" i="92"/>
  <c r="X86" i="92"/>
  <c r="AL196" i="88"/>
  <c r="U194" i="88"/>
  <c r="U270" i="88" s="1"/>
  <c r="U346" i="88" s="1"/>
  <c r="U422" i="88" s="1"/>
  <c r="AA85" i="88"/>
  <c r="AA389" i="88" s="1"/>
  <c r="AE85" i="88"/>
  <c r="AE389" i="88" s="1"/>
  <c r="AI85" i="88"/>
  <c r="AI389" i="88" s="1"/>
  <c r="Y85" i="88"/>
  <c r="Y389" i="88" s="1"/>
  <c r="AK85" i="88"/>
  <c r="AK389" i="88" s="1"/>
  <c r="AB85" i="88"/>
  <c r="AB389" i="88" s="1"/>
  <c r="AF85" i="88"/>
  <c r="AF389" i="88" s="1"/>
  <c r="AJ85" i="88"/>
  <c r="AJ389" i="88" s="1"/>
  <c r="AG85" i="88"/>
  <c r="AG389" i="88" s="1"/>
  <c r="X85" i="88"/>
  <c r="X389" i="88" s="1"/>
  <c r="Z85" i="88"/>
  <c r="Z389" i="88" s="1"/>
  <c r="AD85" i="88"/>
  <c r="AD389" i="88" s="1"/>
  <c r="AH85" i="88"/>
  <c r="AH389" i="88" s="1"/>
  <c r="AL85" i="88"/>
  <c r="AL389" i="88" s="1"/>
  <c r="AC85" i="88"/>
  <c r="AC389" i="88" s="1"/>
  <c r="X86" i="96"/>
  <c r="AO90" i="52"/>
  <c r="H434" i="52"/>
  <c r="J282" i="96"/>
  <c r="AC120" i="52"/>
  <c r="N346" i="52"/>
  <c r="N272" i="52"/>
  <c r="Z270" i="88"/>
  <c r="Z196" i="88"/>
  <c r="AC346" i="88"/>
  <c r="AC272" i="88"/>
  <c r="AG422" i="88"/>
  <c r="AG424" i="88" s="1"/>
  <c r="AG348" i="88"/>
  <c r="L422" i="92"/>
  <c r="L424" i="92" s="1"/>
  <c r="L348" i="92"/>
  <c r="AQ270" i="88"/>
  <c r="AQ196" i="88"/>
  <c r="AA422" i="92"/>
  <c r="AA424" i="92" s="1"/>
  <c r="AA348" i="92"/>
  <c r="AF346" i="88"/>
  <c r="AF272" i="88"/>
  <c r="AH270" i="88"/>
  <c r="AH196" i="88"/>
  <c r="M270" i="88"/>
  <c r="M196" i="88"/>
  <c r="AS346" i="88"/>
  <c r="AS272" i="88"/>
  <c r="Y422" i="92"/>
  <c r="Y424" i="92" s="1"/>
  <c r="Y348" i="92"/>
  <c r="AF346" i="52"/>
  <c r="AF272" i="52"/>
  <c r="X422" i="88"/>
  <c r="X424" i="88" s="1"/>
  <c r="X348" i="88"/>
  <c r="R422" i="88"/>
  <c r="R424" i="88" s="1"/>
  <c r="R348" i="88"/>
  <c r="AD270" i="88"/>
  <c r="AD196" i="88"/>
  <c r="AS346" i="96"/>
  <c r="AS272" i="96"/>
  <c r="O270" i="96"/>
  <c r="O196" i="96"/>
  <c r="H270" i="88"/>
  <c r="H196" i="88"/>
  <c r="AP270" i="88"/>
  <c r="AP196" i="88"/>
  <c r="S346" i="96"/>
  <c r="S272" i="96"/>
  <c r="AR270" i="88"/>
  <c r="AR196" i="88"/>
  <c r="AB346" i="96"/>
  <c r="AB272" i="96"/>
  <c r="G422" i="92"/>
  <c r="G424" i="92" s="1"/>
  <c r="G348" i="92"/>
  <c r="AE346" i="88"/>
  <c r="AE272" i="88"/>
  <c r="T270" i="96"/>
  <c r="T196" i="96"/>
  <c r="AF346" i="96"/>
  <c r="AF272" i="96"/>
  <c r="M270" i="96"/>
  <c r="M196" i="96"/>
  <c r="AD270" i="96"/>
  <c r="AD196" i="96"/>
  <c r="AK346" i="96"/>
  <c r="AK272" i="96"/>
  <c r="AR270" i="96"/>
  <c r="AR196" i="96"/>
  <c r="AH270" i="96"/>
  <c r="AH196" i="96"/>
  <c r="AC346" i="96"/>
  <c r="AC272" i="96"/>
  <c r="AQ270" i="96"/>
  <c r="AQ196" i="96"/>
  <c r="AC270" i="52"/>
  <c r="AC196" i="52"/>
  <c r="H362" i="52"/>
  <c r="C55" i="52" s="1"/>
  <c r="C54" i="52"/>
  <c r="AS346" i="52"/>
  <c r="AS272" i="52"/>
  <c r="L346" i="96"/>
  <c r="L272" i="96"/>
  <c r="O422" i="88"/>
  <c r="O424" i="88" s="1"/>
  <c r="O348" i="88"/>
  <c r="AK346" i="52"/>
  <c r="AK272" i="52"/>
  <c r="T270" i="88"/>
  <c r="T196" i="88"/>
  <c r="K346" i="96"/>
  <c r="K272" i="96"/>
  <c r="H270" i="96"/>
  <c r="H196" i="96"/>
  <c r="Y422" i="88"/>
  <c r="Y424" i="88" s="1"/>
  <c r="Y348" i="88"/>
  <c r="L346" i="52"/>
  <c r="L272" i="52"/>
  <c r="AI270" i="88"/>
  <c r="AI196" i="88"/>
  <c r="AA346" i="96"/>
  <c r="AA272" i="96"/>
  <c r="Q346" i="88"/>
  <c r="Q272" i="88"/>
  <c r="J270" i="96"/>
  <c r="J196" i="96"/>
  <c r="N346" i="96"/>
  <c r="N272" i="96"/>
  <c r="S346" i="88"/>
  <c r="S272" i="88"/>
  <c r="G346" i="96"/>
  <c r="G272" i="96"/>
  <c r="P270" i="88"/>
  <c r="P196" i="88"/>
  <c r="J270" i="88"/>
  <c r="J196" i="88"/>
  <c r="L346" i="88"/>
  <c r="L272" i="88"/>
  <c r="AE346" i="96"/>
  <c r="AE272" i="96"/>
  <c r="Q346" i="96"/>
  <c r="Q272" i="96"/>
  <c r="Y270" i="96"/>
  <c r="Y196" i="96"/>
  <c r="P270" i="96"/>
  <c r="P196" i="96"/>
  <c r="I270" i="96"/>
  <c r="I196" i="96"/>
  <c r="AK346" i="88"/>
  <c r="AK272" i="88"/>
  <c r="AB346" i="88"/>
  <c r="AB272" i="88"/>
  <c r="I422" i="88"/>
  <c r="I424" i="88" s="1"/>
  <c r="I348" i="88"/>
  <c r="K346" i="52"/>
  <c r="K272" i="52"/>
  <c r="R270" i="96"/>
  <c r="R196" i="96"/>
  <c r="H438" i="52"/>
  <c r="C60" i="52" s="1"/>
  <c r="C59" i="52"/>
  <c r="AB346" i="52"/>
  <c r="AB272" i="52"/>
  <c r="AE346" i="52"/>
  <c r="AE272" i="52"/>
  <c r="Q346" i="52"/>
  <c r="Q272" i="52"/>
  <c r="AO270" i="88"/>
  <c r="AO196" i="88"/>
  <c r="G346" i="88"/>
  <c r="G272" i="88"/>
  <c r="AO270" i="96"/>
  <c r="AO196" i="96"/>
  <c r="AI270" i="96"/>
  <c r="AI196" i="96"/>
  <c r="AC422" i="92"/>
  <c r="AC424" i="92" s="1"/>
  <c r="AC348" i="92"/>
  <c r="S346" i="52"/>
  <c r="S272" i="52"/>
  <c r="T422" i="52"/>
  <c r="T424" i="52" s="1"/>
  <c r="T348" i="52"/>
  <c r="N346" i="88"/>
  <c r="N272" i="88"/>
  <c r="G346" i="52"/>
  <c r="G272" i="52"/>
  <c r="Z270" i="96"/>
  <c r="Z196" i="96"/>
  <c r="AG270" i="96"/>
  <c r="AG196" i="96"/>
  <c r="AO422" i="92"/>
  <c r="AO424" i="92" s="1"/>
  <c r="AO348" i="92"/>
  <c r="K346" i="88"/>
  <c r="K272" i="88"/>
  <c r="AP270" i="96"/>
  <c r="AP196" i="96"/>
  <c r="X422" i="92"/>
  <c r="X424" i="92" s="1"/>
  <c r="X348" i="92"/>
  <c r="X270" i="96"/>
  <c r="X196" i="96"/>
  <c r="AO85" i="88"/>
  <c r="AO86" i="88" s="1"/>
  <c r="AP85" i="88" s="1"/>
  <c r="AP86" i="88" s="1"/>
  <c r="AQ85" i="88" s="1"/>
  <c r="AQ86" i="88" s="1"/>
  <c r="AR85" i="88" s="1"/>
  <c r="AR86" i="88" s="1"/>
  <c r="AS85" i="88" s="1"/>
  <c r="AS86" i="88" s="1"/>
  <c r="AT85" i="88" s="1"/>
  <c r="AT86" i="88" s="1"/>
  <c r="U120" i="88"/>
  <c r="I434" i="88"/>
  <c r="L107" i="88"/>
  <c r="L108" i="88" s="1"/>
  <c r="J282" i="88"/>
  <c r="K206" i="96"/>
  <c r="K107" i="52"/>
  <c r="K108" i="52" s="1"/>
  <c r="K183" i="88"/>
  <c r="K184" i="88" s="1"/>
  <c r="I411" i="92"/>
  <c r="I412" i="92" s="1"/>
  <c r="J206" i="52"/>
  <c r="H335" i="52"/>
  <c r="H336" i="52" s="1"/>
  <c r="I259" i="52"/>
  <c r="I260" i="52" s="1"/>
  <c r="I335" i="96"/>
  <c r="I336" i="96" s="1"/>
  <c r="F421" i="92"/>
  <c r="F424" i="92" s="1"/>
  <c r="F431" i="92" s="1"/>
  <c r="F440" i="92" s="1"/>
  <c r="I335" i="92"/>
  <c r="I336" i="92" s="1"/>
  <c r="K180" i="52"/>
  <c r="K206" i="52" s="1"/>
  <c r="K209" i="52"/>
  <c r="K210" i="52" s="1"/>
  <c r="J256" i="52"/>
  <c r="J259" i="52" s="1"/>
  <c r="J285" i="52"/>
  <c r="J286" i="52" s="1"/>
  <c r="I358" i="88"/>
  <c r="J408" i="88"/>
  <c r="J411" i="88" s="1"/>
  <c r="J437" i="88"/>
  <c r="J438" i="88" s="1"/>
  <c r="L180" i="92"/>
  <c r="L206" i="92" s="1"/>
  <c r="L209" i="92"/>
  <c r="L210" i="92" s="1"/>
  <c r="J332" i="92"/>
  <c r="J335" i="92" s="1"/>
  <c r="J361" i="92"/>
  <c r="J362" i="92" s="1"/>
  <c r="I411" i="96"/>
  <c r="I412" i="96" s="1"/>
  <c r="L104" i="92"/>
  <c r="L107" i="92" s="1"/>
  <c r="L108" i="92" s="1"/>
  <c r="L133" i="92"/>
  <c r="L134" i="92" s="1"/>
  <c r="I332" i="52"/>
  <c r="I358" i="52" s="1"/>
  <c r="I361" i="52"/>
  <c r="I362" i="52" s="1"/>
  <c r="L104" i="52"/>
  <c r="L130" i="52" s="1"/>
  <c r="L133" i="52"/>
  <c r="L134" i="52" s="1"/>
  <c r="M104" i="88"/>
  <c r="M107" i="88" s="1"/>
  <c r="M133" i="88"/>
  <c r="D39" i="88" s="1"/>
  <c r="I408" i="52"/>
  <c r="I411" i="52" s="1"/>
  <c r="I412" i="52" s="1"/>
  <c r="I437" i="52"/>
  <c r="I438" i="52" s="1"/>
  <c r="J332" i="88"/>
  <c r="J358" i="88" s="1"/>
  <c r="J361" i="88"/>
  <c r="J362" i="88" s="1"/>
  <c r="K256" i="88"/>
  <c r="K259" i="88" s="1"/>
  <c r="K285" i="88"/>
  <c r="K286" i="88" s="1"/>
  <c r="K256" i="96"/>
  <c r="K259" i="96" s="1"/>
  <c r="K285" i="96"/>
  <c r="K286" i="96" s="1"/>
  <c r="J408" i="96"/>
  <c r="J434" i="96" s="1"/>
  <c r="J437" i="96"/>
  <c r="J438" i="96" s="1"/>
  <c r="N72" i="88"/>
  <c r="N148" i="88" s="1"/>
  <c r="N72" i="52"/>
  <c r="E124" i="92"/>
  <c r="E127" i="92"/>
  <c r="E136" i="92" s="1"/>
  <c r="E137" i="92" s="1"/>
  <c r="E196" i="92"/>
  <c r="F198" i="92" s="1"/>
  <c r="J324" i="96"/>
  <c r="J325" i="96" s="1"/>
  <c r="F122" i="96"/>
  <c r="C12" i="96" s="1"/>
  <c r="C13" i="96" s="1"/>
  <c r="C127" i="88"/>
  <c r="F122" i="88"/>
  <c r="C12" i="88" s="1"/>
  <c r="C13" i="88" s="1"/>
  <c r="F273" i="92"/>
  <c r="F269" i="88"/>
  <c r="F345" i="88" s="1"/>
  <c r="C269" i="88"/>
  <c r="C272" i="88" s="1"/>
  <c r="G109" i="52"/>
  <c r="G110" i="52" s="1"/>
  <c r="G111" i="52" s="1"/>
  <c r="G112" i="52" s="1"/>
  <c r="E196" i="88"/>
  <c r="E203" i="88" s="1"/>
  <c r="E212" i="88" s="1"/>
  <c r="M135" i="14"/>
  <c r="M111" i="14"/>
  <c r="M125" i="14" s="1"/>
  <c r="N101" i="14"/>
  <c r="V196" i="88"/>
  <c r="L125" i="14"/>
  <c r="C124" i="88"/>
  <c r="C272" i="52"/>
  <c r="C345" i="52"/>
  <c r="C348" i="52" s="1"/>
  <c r="AP85" i="92"/>
  <c r="AP86" i="92" s="1"/>
  <c r="AQ85" i="92" s="1"/>
  <c r="AQ86" i="92" s="1"/>
  <c r="AR85" i="92" s="1"/>
  <c r="AR86" i="92" s="1"/>
  <c r="AL272" i="88"/>
  <c r="AN424" i="92"/>
  <c r="AN348" i="92"/>
  <c r="C213" i="92"/>
  <c r="D213" i="92"/>
  <c r="AM424" i="92"/>
  <c r="AM348" i="92"/>
  <c r="W196" i="96"/>
  <c r="F276" i="52"/>
  <c r="F279" i="52"/>
  <c r="F288" i="52" s="1"/>
  <c r="E196" i="96"/>
  <c r="E269" i="96"/>
  <c r="D196" i="96"/>
  <c r="D269" i="96"/>
  <c r="N38" i="14"/>
  <c r="M72" i="14"/>
  <c r="M59" i="14"/>
  <c r="V272" i="88"/>
  <c r="F124" i="96"/>
  <c r="F127" i="96"/>
  <c r="F136" i="96" s="1"/>
  <c r="AN196" i="96"/>
  <c r="D428" i="52"/>
  <c r="D431" i="52"/>
  <c r="D440" i="52" s="1"/>
  <c r="E345" i="88"/>
  <c r="E272" i="88"/>
  <c r="C421" i="92"/>
  <c r="C348" i="92"/>
  <c r="AM272" i="88"/>
  <c r="D352" i="52"/>
  <c r="D355" i="52"/>
  <c r="D364" i="52" s="1"/>
  <c r="C269" i="96"/>
  <c r="C196" i="96"/>
  <c r="C127" i="96"/>
  <c r="C136" i="96" s="1"/>
  <c r="C124" i="96"/>
  <c r="D276" i="92"/>
  <c r="D279" i="92"/>
  <c r="D288" i="92" s="1"/>
  <c r="AL196" i="96"/>
  <c r="V348" i="92"/>
  <c r="V424" i="92"/>
  <c r="E348" i="52"/>
  <c r="E421" i="52"/>
  <c r="E424" i="52" s="1"/>
  <c r="F352" i="92"/>
  <c r="F355" i="92"/>
  <c r="F364" i="92" s="1"/>
  <c r="D272" i="88"/>
  <c r="D345" i="88"/>
  <c r="AL348" i="92"/>
  <c r="F200" i="88"/>
  <c r="F203" i="88"/>
  <c r="F212" i="88" s="1"/>
  <c r="C213" i="52"/>
  <c r="E213" i="52"/>
  <c r="D213" i="52"/>
  <c r="F213" i="52"/>
  <c r="D421" i="92"/>
  <c r="D424" i="92" s="1"/>
  <c r="D348" i="92"/>
  <c r="F348" i="52"/>
  <c r="F421" i="52"/>
  <c r="F424" i="52" s="1"/>
  <c r="E127" i="96"/>
  <c r="E136" i="96" s="1"/>
  <c r="E124" i="96"/>
  <c r="V196" i="96"/>
  <c r="D127" i="96"/>
  <c r="D136" i="96" s="1"/>
  <c r="D124" i="96"/>
  <c r="C200" i="88"/>
  <c r="C203" i="88"/>
  <c r="C212" i="88" s="1"/>
  <c r="U348" i="92"/>
  <c r="E276" i="52"/>
  <c r="E279" i="52"/>
  <c r="E288" i="52" s="1"/>
  <c r="W272" i="88"/>
  <c r="F269" i="96"/>
  <c r="F196" i="96"/>
  <c r="U196" i="96"/>
  <c r="C276" i="92"/>
  <c r="C279" i="92"/>
  <c r="C288" i="92" s="1"/>
  <c r="D203" i="88"/>
  <c r="D212" i="88" s="1"/>
  <c r="D200" i="88"/>
  <c r="E272" i="92"/>
  <c r="F274" i="92" s="1"/>
  <c r="E345" i="92"/>
  <c r="W424" i="92"/>
  <c r="W348" i="92"/>
  <c r="AM196" i="96"/>
  <c r="K300" i="88"/>
  <c r="K324" i="88" s="1"/>
  <c r="K325" i="88" s="1"/>
  <c r="J260" i="96"/>
  <c r="L300" i="96"/>
  <c r="L248" i="96"/>
  <c r="L249" i="96" s="1"/>
  <c r="K184" i="96"/>
  <c r="L172" i="88"/>
  <c r="L173" i="88" s="1"/>
  <c r="L300" i="92"/>
  <c r="L248" i="92"/>
  <c r="L249" i="92" s="1"/>
  <c r="M148" i="88"/>
  <c r="L248" i="88"/>
  <c r="L249" i="88" s="1"/>
  <c r="L300" i="88"/>
  <c r="I336" i="88"/>
  <c r="I412" i="88"/>
  <c r="J260" i="88"/>
  <c r="L62" i="14"/>
  <c r="L64" i="14" s="1"/>
  <c r="L75" i="14"/>
  <c r="L77" i="14" s="1"/>
  <c r="J376" i="52"/>
  <c r="J400" i="52" s="1"/>
  <c r="J401" i="52" s="1"/>
  <c r="J324" i="52"/>
  <c r="J325" i="52" s="1"/>
  <c r="J184" i="52"/>
  <c r="K248" i="52"/>
  <c r="K249" i="52" s="1"/>
  <c r="K300" i="52"/>
  <c r="M96" i="52"/>
  <c r="M97" i="52" s="1"/>
  <c r="M148" i="52"/>
  <c r="L224" i="52"/>
  <c r="L172" i="52"/>
  <c r="L173" i="52" s="1"/>
  <c r="U348" i="52"/>
  <c r="AM348" i="52"/>
  <c r="AM424" i="52"/>
  <c r="W348" i="52"/>
  <c r="W424" i="52"/>
  <c r="AN348" i="52"/>
  <c r="AN424" i="52"/>
  <c r="V348" i="52"/>
  <c r="V424" i="52"/>
  <c r="AL348" i="52"/>
  <c r="H109" i="52"/>
  <c r="H131" i="52"/>
  <c r="M48" i="14"/>
  <c r="M50" i="14" s="1"/>
  <c r="AN395" i="96" l="1"/>
  <c r="H411" i="96"/>
  <c r="H412" i="96" s="1"/>
  <c r="J285" i="92"/>
  <c r="J286" i="92" s="1"/>
  <c r="J408" i="92"/>
  <c r="J434" i="92" s="1"/>
  <c r="K324" i="96"/>
  <c r="K325" i="96" s="1"/>
  <c r="K361" i="96" s="1"/>
  <c r="K362" i="96" s="1"/>
  <c r="J183" i="96"/>
  <c r="J184" i="96" s="1"/>
  <c r="M172" i="92"/>
  <c r="M173" i="92" s="1"/>
  <c r="M209" i="92" s="1"/>
  <c r="N72" i="92"/>
  <c r="N148" i="92" s="1"/>
  <c r="N172" i="92" s="1"/>
  <c r="N173" i="92" s="1"/>
  <c r="T160" i="92"/>
  <c r="U84" i="92"/>
  <c r="U388" i="92" s="1"/>
  <c r="F137" i="52"/>
  <c r="E137" i="52"/>
  <c r="P348" i="92"/>
  <c r="L133" i="96"/>
  <c r="L134" i="96" s="1"/>
  <c r="L180" i="96"/>
  <c r="L183" i="96" s="1"/>
  <c r="L184" i="96" s="1"/>
  <c r="K206" i="92"/>
  <c r="AT319" i="96"/>
  <c r="M96" i="92"/>
  <c r="M97" i="92" s="1"/>
  <c r="M104" i="92" s="1"/>
  <c r="M130" i="92" s="1"/>
  <c r="M104" i="96"/>
  <c r="M107" i="96" s="1"/>
  <c r="M108" i="96" s="1"/>
  <c r="T312" i="92"/>
  <c r="M148" i="96"/>
  <c r="M224" i="96" s="1"/>
  <c r="M300" i="96" s="1"/>
  <c r="N72" i="96"/>
  <c r="N148" i="96" s="1"/>
  <c r="N172" i="96" s="1"/>
  <c r="N173" i="96" s="1"/>
  <c r="T236" i="92"/>
  <c r="D137" i="52"/>
  <c r="C136" i="88"/>
  <c r="E137" i="88" s="1"/>
  <c r="K256" i="92"/>
  <c r="K259" i="92" s="1"/>
  <c r="K260" i="92" s="1"/>
  <c r="V319" i="96"/>
  <c r="AE243" i="92"/>
  <c r="AN167" i="92"/>
  <c r="AM319" i="92"/>
  <c r="K300" i="92"/>
  <c r="K376" i="92" s="1"/>
  <c r="K400" i="92" s="1"/>
  <c r="K401" i="92" s="1"/>
  <c r="K437" i="92" s="1"/>
  <c r="K438" i="92" s="1"/>
  <c r="V395" i="96"/>
  <c r="L319" i="96"/>
  <c r="M348" i="92"/>
  <c r="M422" i="92"/>
  <c r="M424" i="92" s="1"/>
  <c r="W319" i="88"/>
  <c r="AC319" i="92"/>
  <c r="AQ319" i="88"/>
  <c r="P319" i="88"/>
  <c r="AN319" i="88"/>
  <c r="T319" i="96"/>
  <c r="L127" i="14"/>
  <c r="AG319" i="96"/>
  <c r="AL319" i="92"/>
  <c r="Q319" i="92"/>
  <c r="AA319" i="96"/>
  <c r="AE319" i="92"/>
  <c r="G319" i="88"/>
  <c r="G337" i="88" s="1"/>
  <c r="G338" i="88" s="1"/>
  <c r="G339" i="88" s="1"/>
  <c r="G340" i="88" s="1"/>
  <c r="AS319" i="88"/>
  <c r="Z319" i="96"/>
  <c r="H319" i="92"/>
  <c r="AJ319" i="92"/>
  <c r="AR319" i="92"/>
  <c r="L319" i="92"/>
  <c r="J319" i="92"/>
  <c r="K319" i="88"/>
  <c r="AQ319" i="96"/>
  <c r="AT319" i="88"/>
  <c r="G359" i="52"/>
  <c r="G338" i="52"/>
  <c r="G339" i="52" s="1"/>
  <c r="G340" i="52" s="1"/>
  <c r="G342" i="52" s="1"/>
  <c r="W167" i="88"/>
  <c r="P319" i="96"/>
  <c r="Y319" i="96"/>
  <c r="H319" i="96"/>
  <c r="AD319" i="92"/>
  <c r="R319" i="92"/>
  <c r="J319" i="88"/>
  <c r="AP319" i="88"/>
  <c r="T319" i="88"/>
  <c r="I319" i="88"/>
  <c r="AM319" i="88"/>
  <c r="M319" i="92"/>
  <c r="H319" i="88"/>
  <c r="S319" i="96"/>
  <c r="AC319" i="96"/>
  <c r="AI319" i="92"/>
  <c r="AF319" i="92"/>
  <c r="V319" i="92"/>
  <c r="U319" i="92"/>
  <c r="V319" i="88"/>
  <c r="AF319" i="96"/>
  <c r="AJ319" i="96"/>
  <c r="G319" i="92"/>
  <c r="G359" i="92" s="1"/>
  <c r="S319" i="92"/>
  <c r="AN319" i="92"/>
  <c r="AS319" i="92"/>
  <c r="AH395" i="92"/>
  <c r="AE395" i="88"/>
  <c r="L395" i="88"/>
  <c r="AO395" i="88"/>
  <c r="W395" i="92"/>
  <c r="X319" i="96"/>
  <c r="T319" i="92"/>
  <c r="AH319" i="96"/>
  <c r="U319" i="96"/>
  <c r="R319" i="88"/>
  <c r="S319" i="88"/>
  <c r="J319" i="96"/>
  <c r="M319" i="96"/>
  <c r="AQ319" i="92"/>
  <c r="R319" i="96"/>
  <c r="AS319" i="96"/>
  <c r="AL319" i="96"/>
  <c r="N319" i="92"/>
  <c r="G319" i="96"/>
  <c r="G337" i="96" s="1"/>
  <c r="AP319" i="96"/>
  <c r="AE319" i="96"/>
  <c r="AR319" i="96"/>
  <c r="AG319" i="92"/>
  <c r="AK319" i="96"/>
  <c r="Y319" i="92"/>
  <c r="AH319" i="92"/>
  <c r="AL395" i="92"/>
  <c r="Q395" i="88"/>
  <c r="AB319" i="92"/>
  <c r="M395" i="92"/>
  <c r="N395" i="88"/>
  <c r="K395" i="88"/>
  <c r="N319" i="96"/>
  <c r="AO319" i="88"/>
  <c r="AI395" i="92"/>
  <c r="I395" i="92"/>
  <c r="AO395" i="92"/>
  <c r="AD319" i="96"/>
  <c r="AG395" i="96"/>
  <c r="AN395" i="88"/>
  <c r="W319" i="96"/>
  <c r="I319" i="96"/>
  <c r="P319" i="92"/>
  <c r="AI319" i="96"/>
  <c r="AR319" i="88"/>
  <c r="Q319" i="96"/>
  <c r="K319" i="92"/>
  <c r="O319" i="92"/>
  <c r="O319" i="88"/>
  <c r="AP319" i="92"/>
  <c r="Z319" i="92"/>
  <c r="I319" i="92"/>
  <c r="AO319" i="92"/>
  <c r="M319" i="88"/>
  <c r="Q319" i="88"/>
  <c r="L319" i="88"/>
  <c r="U319" i="88"/>
  <c r="AB319" i="96"/>
  <c r="K319" i="96"/>
  <c r="O319" i="96"/>
  <c r="W319" i="92"/>
  <c r="AT319" i="92"/>
  <c r="AK319" i="92"/>
  <c r="X319" i="92"/>
  <c r="AA319" i="92"/>
  <c r="N319" i="88"/>
  <c r="Y395" i="96"/>
  <c r="H395" i="96"/>
  <c r="AD395" i="92"/>
  <c r="J395" i="88"/>
  <c r="AP395" i="88"/>
  <c r="T395" i="88"/>
  <c r="AM395" i="88"/>
  <c r="AC395" i="88"/>
  <c r="S395" i="96"/>
  <c r="AF395" i="92"/>
  <c r="U395" i="92"/>
  <c r="AO318" i="88"/>
  <c r="AO394" i="88"/>
  <c r="AO318" i="96"/>
  <c r="AO394" i="96"/>
  <c r="X314" i="96"/>
  <c r="X390" i="96"/>
  <c r="X314" i="92"/>
  <c r="X390" i="92"/>
  <c r="AD316" i="96"/>
  <c r="AD392" i="96"/>
  <c r="AM167" i="92"/>
  <c r="AO319" i="96"/>
  <c r="AL395" i="96"/>
  <c r="AA395" i="96"/>
  <c r="G395" i="96"/>
  <c r="G435" i="96" s="1"/>
  <c r="X395" i="96"/>
  <c r="T395" i="96"/>
  <c r="AJ395" i="96"/>
  <c r="Z395" i="92"/>
  <c r="H395" i="92"/>
  <c r="L395" i="92"/>
  <c r="AJ395" i="92"/>
  <c r="V395" i="92"/>
  <c r="Z395" i="88"/>
  <c r="AA395" i="88"/>
  <c r="AG395" i="88"/>
  <c r="AI395" i="88"/>
  <c r="AT395" i="96"/>
  <c r="AK395" i="96"/>
  <c r="L395" i="96"/>
  <c r="AI395" i="96"/>
  <c r="AB395" i="92"/>
  <c r="AH395" i="88"/>
  <c r="I395" i="88"/>
  <c r="H395" i="88"/>
  <c r="AQ395" i="96"/>
  <c r="AS395" i="96"/>
  <c r="Y395" i="92"/>
  <c r="N395" i="92"/>
  <c r="G395" i="92"/>
  <c r="G435" i="92" s="1"/>
  <c r="K395" i="92"/>
  <c r="J395" i="96"/>
  <c r="AP395" i="96"/>
  <c r="AF395" i="96"/>
  <c r="AE395" i="96"/>
  <c r="AB395" i="96"/>
  <c r="AR395" i="96"/>
  <c r="AP395" i="92"/>
  <c r="AM395" i="92"/>
  <c r="S395" i="92"/>
  <c r="AG395" i="92"/>
  <c r="AS395" i="92"/>
  <c r="AD395" i="88"/>
  <c r="AF395" i="88"/>
  <c r="AR395" i="88"/>
  <c r="AS395" i="88"/>
  <c r="AD395" i="96"/>
  <c r="P395" i="96"/>
  <c r="W395" i="96"/>
  <c r="AN395" i="92"/>
  <c r="R395" i="92"/>
  <c r="Q395" i="92"/>
  <c r="R395" i="88"/>
  <c r="M395" i="88"/>
  <c r="R395" i="96"/>
  <c r="AO395" i="96"/>
  <c r="AE395" i="92"/>
  <c r="T395" i="92"/>
  <c r="V395" i="88"/>
  <c r="AQ395" i="88"/>
  <c r="X395" i="88"/>
  <c r="G310" i="92"/>
  <c r="G320" i="92" s="1"/>
  <c r="G386" i="92"/>
  <c r="G396" i="92" s="1"/>
  <c r="AM395" i="96"/>
  <c r="AK395" i="88"/>
  <c r="M395" i="96"/>
  <c r="AC395" i="96"/>
  <c r="AQ395" i="92"/>
  <c r="Z395" i="96"/>
  <c r="K395" i="96"/>
  <c r="O395" i="96"/>
  <c r="AT395" i="92"/>
  <c r="AK395" i="92"/>
  <c r="X395" i="92"/>
  <c r="AR395" i="92"/>
  <c r="AA395" i="92"/>
  <c r="AT395" i="88"/>
  <c r="Y395" i="88"/>
  <c r="N395" i="96"/>
  <c r="I395" i="96"/>
  <c r="P395" i="92"/>
  <c r="P395" i="88"/>
  <c r="AH395" i="96"/>
  <c r="U395" i="96"/>
  <c r="Q395" i="96"/>
  <c r="J395" i="92"/>
  <c r="AC395" i="92"/>
  <c r="O395" i="92"/>
  <c r="AL395" i="88"/>
  <c r="O395" i="88"/>
  <c r="W395" i="88"/>
  <c r="G395" i="88"/>
  <c r="G413" i="88" s="1"/>
  <c r="G414" i="88" s="1"/>
  <c r="G415" i="88" s="1"/>
  <c r="G416" i="88" s="1"/>
  <c r="S395" i="88"/>
  <c r="AO318" i="92"/>
  <c r="AO394" i="92"/>
  <c r="AM319" i="96"/>
  <c r="AJ395" i="88"/>
  <c r="U395" i="88"/>
  <c r="G435" i="52"/>
  <c r="G414" i="52"/>
  <c r="G415" i="52" s="1"/>
  <c r="G416" i="52" s="1"/>
  <c r="G418" i="52" s="1"/>
  <c r="AO318" i="52"/>
  <c r="AO394" i="52"/>
  <c r="G310" i="96"/>
  <c r="G320" i="96" s="1"/>
  <c r="G386" i="96"/>
  <c r="G396" i="96" s="1"/>
  <c r="G310" i="88"/>
  <c r="G320" i="88" s="1"/>
  <c r="G386" i="88"/>
  <c r="G396" i="88" s="1"/>
  <c r="Y314" i="52"/>
  <c r="Y390" i="52"/>
  <c r="AB395" i="88"/>
  <c r="Z167" i="92"/>
  <c r="AQ167" i="88"/>
  <c r="W167" i="92"/>
  <c r="Z86" i="52"/>
  <c r="Y238" i="52"/>
  <c r="Y243" i="92"/>
  <c r="AQ167" i="92"/>
  <c r="U167" i="96"/>
  <c r="AB243" i="92"/>
  <c r="AE88" i="96"/>
  <c r="V167" i="88"/>
  <c r="AN167" i="88"/>
  <c r="Z167" i="96"/>
  <c r="X167" i="92"/>
  <c r="AP167" i="88"/>
  <c r="G283" i="52"/>
  <c r="S167" i="96"/>
  <c r="AA167" i="92"/>
  <c r="AT167" i="88"/>
  <c r="O167" i="96"/>
  <c r="G167" i="96"/>
  <c r="G185" i="96" s="1"/>
  <c r="AP167" i="96"/>
  <c r="V167" i="92"/>
  <c r="N167" i="92"/>
  <c r="N167" i="88"/>
  <c r="G185" i="52"/>
  <c r="G189" i="52" s="1"/>
  <c r="AR167" i="92"/>
  <c r="M167" i="96"/>
  <c r="R167" i="96"/>
  <c r="J167" i="92"/>
  <c r="AL167" i="96"/>
  <c r="AS167" i="88"/>
  <c r="AQ167" i="96"/>
  <c r="AT167" i="96"/>
  <c r="R167" i="88"/>
  <c r="AO243" i="88"/>
  <c r="V243" i="96"/>
  <c r="AD243" i="92"/>
  <c r="AS243" i="96"/>
  <c r="AO243" i="96"/>
  <c r="P167" i="96"/>
  <c r="M167" i="92"/>
  <c r="I167" i="92"/>
  <c r="H167" i="92"/>
  <c r="H185" i="92" s="1"/>
  <c r="H189" i="92" s="1"/>
  <c r="Q167" i="92"/>
  <c r="T167" i="88"/>
  <c r="U167" i="88"/>
  <c r="AJ167" i="92"/>
  <c r="AG167" i="96"/>
  <c r="AK167" i="92"/>
  <c r="Y167" i="96"/>
  <c r="AH237" i="88"/>
  <c r="AH243" i="88" s="1"/>
  <c r="AH313" i="88"/>
  <c r="AH319" i="88" s="1"/>
  <c r="AA237" i="88"/>
  <c r="AA243" i="88" s="1"/>
  <c r="AA313" i="88"/>
  <c r="AA319" i="88" s="1"/>
  <c r="AL237" i="88"/>
  <c r="AL243" i="88" s="1"/>
  <c r="AL313" i="88"/>
  <c r="AL319" i="88" s="1"/>
  <c r="X237" i="88"/>
  <c r="X243" i="88" s="1"/>
  <c r="X313" i="88"/>
  <c r="X319" i="88" s="1"/>
  <c r="AB237" i="88"/>
  <c r="AB243" i="88" s="1"/>
  <c r="AB313" i="88"/>
  <c r="AB319" i="88" s="1"/>
  <c r="AE237" i="88"/>
  <c r="AE243" i="88" s="1"/>
  <c r="AE313" i="88"/>
  <c r="AE319" i="88" s="1"/>
  <c r="AD240" i="88"/>
  <c r="AD316" i="88"/>
  <c r="S236" i="96"/>
  <c r="S312" i="96"/>
  <c r="AE240" i="92"/>
  <c r="AE316" i="92"/>
  <c r="S243" i="96"/>
  <c r="G243" i="92"/>
  <c r="G283" i="92" s="1"/>
  <c r="AG237" i="88"/>
  <c r="AG243" i="88" s="1"/>
  <c r="AG313" i="88"/>
  <c r="AG319" i="88" s="1"/>
  <c r="AD237" i="88"/>
  <c r="AD243" i="88" s="1"/>
  <c r="AD313" i="88"/>
  <c r="AD319" i="88" s="1"/>
  <c r="AJ237" i="88"/>
  <c r="AJ243" i="88" s="1"/>
  <c r="AJ313" i="88"/>
  <c r="AJ319" i="88" s="1"/>
  <c r="Y237" i="88"/>
  <c r="Y243" i="88" s="1"/>
  <c r="Y313" i="88"/>
  <c r="Y319" i="88" s="1"/>
  <c r="AD240" i="52"/>
  <c r="AD316" i="52"/>
  <c r="S236" i="88"/>
  <c r="S312" i="88"/>
  <c r="AH243" i="96"/>
  <c r="U243" i="96"/>
  <c r="Q243" i="96"/>
  <c r="AC243" i="92"/>
  <c r="V243" i="88"/>
  <c r="AK237" i="88"/>
  <c r="AK243" i="88" s="1"/>
  <c r="AK313" i="88"/>
  <c r="AK319" i="88" s="1"/>
  <c r="S236" i="52"/>
  <c r="S312" i="52"/>
  <c r="AC237" i="88"/>
  <c r="AC243" i="88" s="1"/>
  <c r="AC313" i="88"/>
  <c r="AC319" i="88" s="1"/>
  <c r="Z237" i="88"/>
  <c r="Z243" i="88" s="1"/>
  <c r="Z313" i="88"/>
  <c r="Z319" i="88" s="1"/>
  <c r="AF237" i="88"/>
  <c r="AF243" i="88" s="1"/>
  <c r="AF313" i="88"/>
  <c r="AF319" i="88" s="1"/>
  <c r="AI237" i="88"/>
  <c r="AI243" i="88" s="1"/>
  <c r="AI313" i="88"/>
  <c r="AI319" i="88" s="1"/>
  <c r="H234" i="52"/>
  <c r="H244" i="52" s="1"/>
  <c r="H310" i="52"/>
  <c r="H320" i="52" s="1"/>
  <c r="AP243" i="88"/>
  <c r="T243" i="88"/>
  <c r="V167" i="96"/>
  <c r="H167" i="96"/>
  <c r="AM167" i="96"/>
  <c r="L167" i="96"/>
  <c r="Y167" i="92"/>
  <c r="P167" i="88"/>
  <c r="Q167" i="88"/>
  <c r="AC167" i="92"/>
  <c r="AN243" i="92"/>
  <c r="AS167" i="96"/>
  <c r="AE167" i="92"/>
  <c r="G167" i="92"/>
  <c r="G207" i="92" s="1"/>
  <c r="AH243" i="92"/>
  <c r="J167" i="88"/>
  <c r="O167" i="88"/>
  <c r="X243" i="96"/>
  <c r="AJ243" i="96"/>
  <c r="AO167" i="92"/>
  <c r="AD167" i="96"/>
  <c r="AA167" i="96"/>
  <c r="K167" i="96"/>
  <c r="U167" i="92"/>
  <c r="K167" i="92"/>
  <c r="O243" i="88"/>
  <c r="H243" i="96"/>
  <c r="X167" i="96"/>
  <c r="I167" i="96"/>
  <c r="N167" i="96"/>
  <c r="AK167" i="96"/>
  <c r="Q167" i="96"/>
  <c r="AC167" i="96"/>
  <c r="AI167" i="96"/>
  <c r="T167" i="96"/>
  <c r="T167" i="92"/>
  <c r="P167" i="92"/>
  <c r="R167" i="92"/>
  <c r="AD167" i="92"/>
  <c r="L167" i="88"/>
  <c r="S167" i="88"/>
  <c r="I167" i="88"/>
  <c r="M167" i="88"/>
  <c r="K167" i="88"/>
  <c r="H167" i="88"/>
  <c r="H185" i="88" s="1"/>
  <c r="G167" i="88"/>
  <c r="G185" i="88" s="1"/>
  <c r="G186" i="88" s="1"/>
  <c r="G187" i="88" s="1"/>
  <c r="G188" i="88" s="1"/>
  <c r="AB167" i="92"/>
  <c r="AQ243" i="88"/>
  <c r="S243" i="88"/>
  <c r="AI167" i="92"/>
  <c r="AH167" i="96"/>
  <c r="AL167" i="92"/>
  <c r="AM167" i="88"/>
  <c r="J167" i="96"/>
  <c r="AF167" i="96"/>
  <c r="AJ167" i="96"/>
  <c r="AE167" i="96"/>
  <c r="AB167" i="96"/>
  <c r="AR167" i="96"/>
  <c r="AP167" i="92"/>
  <c r="S167" i="92"/>
  <c r="AH167" i="92"/>
  <c r="AG167" i="92"/>
  <c r="L167" i="92"/>
  <c r="O167" i="92"/>
  <c r="AF167" i="92"/>
  <c r="AS167" i="92"/>
  <c r="AT167" i="92"/>
  <c r="AR167" i="88"/>
  <c r="G158" i="96"/>
  <c r="G168" i="96" s="1"/>
  <c r="G234" i="96"/>
  <c r="G244" i="96" s="1"/>
  <c r="J243" i="88"/>
  <c r="AO166" i="52"/>
  <c r="AO242" i="52"/>
  <c r="X162" i="96"/>
  <c r="X238" i="96"/>
  <c r="AO166" i="92"/>
  <c r="AO242" i="92"/>
  <c r="AO166" i="88"/>
  <c r="AO242" i="88"/>
  <c r="AO166" i="96"/>
  <c r="AO242" i="96"/>
  <c r="R243" i="96"/>
  <c r="AQ243" i="96"/>
  <c r="J243" i="92"/>
  <c r="AQ243" i="92"/>
  <c r="U243" i="92"/>
  <c r="K243" i="92"/>
  <c r="N243" i="96"/>
  <c r="AT243" i="96"/>
  <c r="AK243" i="96"/>
  <c r="AM243" i="96"/>
  <c r="L243" i="96"/>
  <c r="AI243" i="96"/>
  <c r="P243" i="92"/>
  <c r="R243" i="92"/>
  <c r="I243" i="88"/>
  <c r="Q243" i="88"/>
  <c r="H243" i="88"/>
  <c r="AM243" i="88"/>
  <c r="J243" i="96"/>
  <c r="AP243" i="96"/>
  <c r="AF243" i="96"/>
  <c r="AE243" i="96"/>
  <c r="AB243" i="96"/>
  <c r="AR243" i="96"/>
  <c r="AP243" i="92"/>
  <c r="AM243" i="92"/>
  <c r="S243" i="92"/>
  <c r="AG243" i="92"/>
  <c r="AS243" i="92"/>
  <c r="AR243" i="88"/>
  <c r="AS243" i="88"/>
  <c r="G158" i="88"/>
  <c r="G168" i="88" s="1"/>
  <c r="G234" i="88"/>
  <c r="G244" i="88" s="1"/>
  <c r="Y243" i="96"/>
  <c r="X162" i="92"/>
  <c r="X238" i="92"/>
  <c r="G158" i="92"/>
  <c r="G168" i="92" s="1"/>
  <c r="G234" i="92"/>
  <c r="G244" i="92" s="1"/>
  <c r="AD164" i="96"/>
  <c r="AD240" i="96"/>
  <c r="M243" i="96"/>
  <c r="AC243" i="96"/>
  <c r="AF243" i="92"/>
  <c r="N243" i="92"/>
  <c r="T243" i="92"/>
  <c r="O243" i="92"/>
  <c r="AD243" i="96"/>
  <c r="P243" i="96"/>
  <c r="I243" i="96"/>
  <c r="W243" i="96"/>
  <c r="AI243" i="92"/>
  <c r="I243" i="92"/>
  <c r="AL243" i="92"/>
  <c r="AO243" i="92"/>
  <c r="Q243" i="92"/>
  <c r="R243" i="88"/>
  <c r="P243" i="88"/>
  <c r="L243" i="88"/>
  <c r="M243" i="88"/>
  <c r="Z243" i="96"/>
  <c r="K243" i="96"/>
  <c r="AG243" i="96"/>
  <c r="O243" i="96"/>
  <c r="M243" i="92"/>
  <c r="W243" i="92"/>
  <c r="AT243" i="92"/>
  <c r="AK243" i="92"/>
  <c r="X243" i="92"/>
  <c r="AR243" i="92"/>
  <c r="AA243" i="92"/>
  <c r="N243" i="88"/>
  <c r="AT243" i="88"/>
  <c r="K243" i="88"/>
  <c r="AN243" i="88"/>
  <c r="AO167" i="88"/>
  <c r="AO167" i="96"/>
  <c r="AL243" i="96"/>
  <c r="AA243" i="96"/>
  <c r="G243" i="96"/>
  <c r="G261" i="96" s="1"/>
  <c r="G262" i="96" s="1"/>
  <c r="G263" i="96" s="1"/>
  <c r="G264" i="96" s="1"/>
  <c r="T243" i="96"/>
  <c r="Z243" i="92"/>
  <c r="H243" i="92"/>
  <c r="H283" i="92" s="1"/>
  <c r="L243" i="92"/>
  <c r="AJ243" i="92"/>
  <c r="V243" i="92"/>
  <c r="W167" i="96"/>
  <c r="U243" i="88"/>
  <c r="W243" i="88"/>
  <c r="G243" i="88"/>
  <c r="G261" i="88" s="1"/>
  <c r="G262" i="88" s="1"/>
  <c r="G263" i="88" s="1"/>
  <c r="G264" i="88" s="1"/>
  <c r="G109" i="92"/>
  <c r="G113" i="92" s="1"/>
  <c r="AA272" i="52"/>
  <c r="AP90" i="96"/>
  <c r="AP90" i="88"/>
  <c r="H158" i="52"/>
  <c r="H168" i="52" s="1"/>
  <c r="AH91" i="88"/>
  <c r="AH161" i="88"/>
  <c r="AH167" i="88" s="1"/>
  <c r="AG91" i="88"/>
  <c r="AG161" i="88"/>
  <c r="AG167" i="88" s="1"/>
  <c r="AK91" i="88"/>
  <c r="AK161" i="88"/>
  <c r="AK167" i="88" s="1"/>
  <c r="AA91" i="88"/>
  <c r="AA161" i="88"/>
  <c r="AA167" i="88" s="1"/>
  <c r="T84" i="88"/>
  <c r="T388" i="88" s="1"/>
  <c r="S160" i="88"/>
  <c r="AD91" i="88"/>
  <c r="AD161" i="88"/>
  <c r="AD167" i="88" s="1"/>
  <c r="Y91" i="88"/>
  <c r="Y161" i="88"/>
  <c r="Y167" i="88" s="1"/>
  <c r="T84" i="52"/>
  <c r="T388" i="52" s="1"/>
  <c r="S160" i="52"/>
  <c r="AC91" i="88"/>
  <c r="AC161" i="88"/>
  <c r="AC167" i="88" s="1"/>
  <c r="Z91" i="88"/>
  <c r="Z161" i="88"/>
  <c r="Z167" i="88" s="1"/>
  <c r="AF91" i="88"/>
  <c r="AF161" i="88"/>
  <c r="AF167" i="88" s="1"/>
  <c r="AI91" i="88"/>
  <c r="AI161" i="88"/>
  <c r="AI167" i="88" s="1"/>
  <c r="AE88" i="52"/>
  <c r="AE392" i="52" s="1"/>
  <c r="AD164" i="52"/>
  <c r="AE88" i="88"/>
  <c r="AE392" i="88" s="1"/>
  <c r="AD164" i="88"/>
  <c r="T84" i="96"/>
  <c r="T388" i="96" s="1"/>
  <c r="S160" i="96"/>
  <c r="AF88" i="92"/>
  <c r="AF392" i="92" s="1"/>
  <c r="AE164" i="92"/>
  <c r="AJ91" i="88"/>
  <c r="AJ161" i="88"/>
  <c r="AJ167" i="88" s="1"/>
  <c r="AL91" i="88"/>
  <c r="AL161" i="88"/>
  <c r="AL167" i="88" s="1"/>
  <c r="X91" i="88"/>
  <c r="X161" i="88"/>
  <c r="X167" i="88" s="1"/>
  <c r="AB91" i="88"/>
  <c r="AB161" i="88"/>
  <c r="AB167" i="88" s="1"/>
  <c r="AE91" i="88"/>
  <c r="AE161" i="88"/>
  <c r="AE167" i="88" s="1"/>
  <c r="AA272" i="88"/>
  <c r="G131" i="88"/>
  <c r="I82" i="52"/>
  <c r="I386" i="52" s="1"/>
  <c r="I396" i="52" s="1"/>
  <c r="H92" i="52"/>
  <c r="H82" i="92"/>
  <c r="G92" i="92"/>
  <c r="H82" i="96"/>
  <c r="G92" i="96"/>
  <c r="H82" i="88"/>
  <c r="G92" i="88"/>
  <c r="U196" i="88"/>
  <c r="M130" i="88"/>
  <c r="M114" i="14"/>
  <c r="N48" i="14"/>
  <c r="N50" i="14" s="1"/>
  <c r="M127" i="14"/>
  <c r="M51" i="14"/>
  <c r="N122" i="14"/>
  <c r="M113" i="14"/>
  <c r="Y86" i="96"/>
  <c r="X86" i="88"/>
  <c r="AP90" i="52"/>
  <c r="Y86" i="92"/>
  <c r="AP90" i="92"/>
  <c r="AS422" i="52"/>
  <c r="AS424" i="52" s="1"/>
  <c r="AS348" i="52"/>
  <c r="AH346" i="96"/>
  <c r="AH272" i="96"/>
  <c r="T346" i="96"/>
  <c r="T272" i="96"/>
  <c r="AE422" i="88"/>
  <c r="AE424" i="88" s="1"/>
  <c r="AE348" i="88"/>
  <c r="S422" i="96"/>
  <c r="S424" i="96" s="1"/>
  <c r="S348" i="96"/>
  <c r="AS422" i="96"/>
  <c r="AS424" i="96" s="1"/>
  <c r="AS348" i="96"/>
  <c r="M346" i="88"/>
  <c r="M272" i="88"/>
  <c r="AF422" i="88"/>
  <c r="AF424" i="88" s="1"/>
  <c r="AF348" i="88"/>
  <c r="K422" i="88"/>
  <c r="K424" i="88" s="1"/>
  <c r="K348" i="88"/>
  <c r="Z346" i="96"/>
  <c r="Z272" i="96"/>
  <c r="G422" i="52"/>
  <c r="G424" i="52" s="1"/>
  <c r="G348" i="52"/>
  <c r="N422" i="88"/>
  <c r="N424" i="88" s="1"/>
  <c r="N348" i="88"/>
  <c r="AA422" i="52"/>
  <c r="AA424" i="52" s="1"/>
  <c r="AA348" i="52"/>
  <c r="S422" i="52"/>
  <c r="S424" i="52" s="1"/>
  <c r="S348" i="52"/>
  <c r="G422" i="88"/>
  <c r="G424" i="88" s="1"/>
  <c r="G348" i="88"/>
  <c r="AO346" i="88"/>
  <c r="AO272" i="88"/>
  <c r="AE422" i="52"/>
  <c r="AE424" i="52" s="1"/>
  <c r="AE348" i="52"/>
  <c r="AB422" i="88"/>
  <c r="AB424" i="88" s="1"/>
  <c r="AB348" i="88"/>
  <c r="AK422" i="88"/>
  <c r="AK424" i="88" s="1"/>
  <c r="AK348" i="88"/>
  <c r="I346" i="96"/>
  <c r="I272" i="96"/>
  <c r="Q422" i="96"/>
  <c r="Q424" i="96" s="1"/>
  <c r="Q348" i="96"/>
  <c r="L422" i="88"/>
  <c r="L424" i="88" s="1"/>
  <c r="L348" i="88"/>
  <c r="J346" i="88"/>
  <c r="J272" i="88"/>
  <c r="S422" i="88"/>
  <c r="S424" i="88" s="1"/>
  <c r="S348" i="88"/>
  <c r="N422" i="96"/>
  <c r="N424" i="96" s="1"/>
  <c r="N348" i="96"/>
  <c r="Q422" i="88"/>
  <c r="Q424" i="88" s="1"/>
  <c r="Q348" i="88"/>
  <c r="M346" i="96"/>
  <c r="M272" i="96"/>
  <c r="AD346" i="88"/>
  <c r="AD272" i="88"/>
  <c r="AF422" i="52"/>
  <c r="AF424" i="52" s="1"/>
  <c r="AF348" i="52"/>
  <c r="Z346" i="88"/>
  <c r="Z272" i="88"/>
  <c r="N422" i="52"/>
  <c r="N424" i="52" s="1"/>
  <c r="N348" i="52"/>
  <c r="AP346" i="96"/>
  <c r="AP272" i="96"/>
  <c r="AG346" i="96"/>
  <c r="AG272" i="96"/>
  <c r="AI346" i="96"/>
  <c r="AI272" i="96"/>
  <c r="AO346" i="96"/>
  <c r="AO272" i="96"/>
  <c r="Q422" i="52"/>
  <c r="Q424" i="52" s="1"/>
  <c r="Q348" i="52"/>
  <c r="AB422" i="52"/>
  <c r="AB424" i="52" s="1"/>
  <c r="AB348" i="52"/>
  <c r="R346" i="96"/>
  <c r="R272" i="96"/>
  <c r="K422" i="52"/>
  <c r="K424" i="52" s="1"/>
  <c r="K348" i="52"/>
  <c r="P346" i="96"/>
  <c r="P272" i="96"/>
  <c r="Y346" i="96"/>
  <c r="Y272" i="96"/>
  <c r="AE422" i="96"/>
  <c r="AE424" i="96" s="1"/>
  <c r="AE348" i="96"/>
  <c r="P346" i="88"/>
  <c r="P272" i="88"/>
  <c r="G422" i="96"/>
  <c r="G424" i="96" s="1"/>
  <c r="G348" i="96"/>
  <c r="J346" i="96"/>
  <c r="J272" i="96"/>
  <c r="AA422" i="96"/>
  <c r="AA424" i="96" s="1"/>
  <c r="AA348" i="96"/>
  <c r="AI346" i="88"/>
  <c r="AI272" i="88"/>
  <c r="AA422" i="88"/>
  <c r="AA424" i="88" s="1"/>
  <c r="AA348" i="88"/>
  <c r="L422" i="52"/>
  <c r="L424" i="52" s="1"/>
  <c r="L348" i="52"/>
  <c r="H346" i="96"/>
  <c r="H272" i="96"/>
  <c r="AC422" i="96"/>
  <c r="AC424" i="96" s="1"/>
  <c r="AC348" i="96"/>
  <c r="AK422" i="96"/>
  <c r="AK424" i="96" s="1"/>
  <c r="AK348" i="96"/>
  <c r="AB422" i="96"/>
  <c r="AB424" i="96" s="1"/>
  <c r="AB348" i="96"/>
  <c r="H346" i="88"/>
  <c r="H272" i="88"/>
  <c r="K422" i="96"/>
  <c r="K424" i="96" s="1"/>
  <c r="K348" i="96"/>
  <c r="T346" i="88"/>
  <c r="T272" i="88"/>
  <c r="AK422" i="52"/>
  <c r="AK424" i="52" s="1"/>
  <c r="AK348" i="52"/>
  <c r="L422" i="96"/>
  <c r="L424" i="96" s="1"/>
  <c r="L348" i="96"/>
  <c r="AC346" i="52"/>
  <c r="AC272" i="52"/>
  <c r="AQ346" i="96"/>
  <c r="AQ272" i="96"/>
  <c r="AR346" i="96"/>
  <c r="AR272" i="96"/>
  <c r="AD346" i="96"/>
  <c r="AD272" i="96"/>
  <c r="AF422" i="96"/>
  <c r="AF424" i="96" s="1"/>
  <c r="AF348" i="96"/>
  <c r="AR346" i="88"/>
  <c r="AR272" i="88"/>
  <c r="AP346" i="88"/>
  <c r="AP272" i="88"/>
  <c r="O346" i="96"/>
  <c r="O272" i="96"/>
  <c r="AS422" i="88"/>
  <c r="AS424" i="88" s="1"/>
  <c r="AS348" i="88"/>
  <c r="AH346" i="88"/>
  <c r="AH272" i="88"/>
  <c r="AQ346" i="88"/>
  <c r="AQ272" i="88"/>
  <c r="AC422" i="88"/>
  <c r="AC424" i="88" s="1"/>
  <c r="AC348" i="88"/>
  <c r="X346" i="96"/>
  <c r="X272" i="96"/>
  <c r="J411" i="96"/>
  <c r="J412" i="96" s="1"/>
  <c r="M172" i="88"/>
  <c r="M173" i="88" s="1"/>
  <c r="M180" i="88" s="1"/>
  <c r="M183" i="88" s="1"/>
  <c r="F428" i="92"/>
  <c r="J282" i="52"/>
  <c r="M134" i="96"/>
  <c r="D40" i="96" s="1"/>
  <c r="I434" i="52"/>
  <c r="M134" i="88"/>
  <c r="D40" i="88" s="1"/>
  <c r="J358" i="92"/>
  <c r="I335" i="52"/>
  <c r="I336" i="52" s="1"/>
  <c r="L107" i="52"/>
  <c r="L108" i="52" s="1"/>
  <c r="K183" i="52"/>
  <c r="K184" i="52" s="1"/>
  <c r="J434" i="88"/>
  <c r="L183" i="92"/>
  <c r="L184" i="92" s="1"/>
  <c r="K282" i="96"/>
  <c r="L107" i="96"/>
  <c r="L108" i="96" s="1"/>
  <c r="J408" i="52"/>
  <c r="J434" i="52" s="1"/>
  <c r="J437" i="52"/>
  <c r="J438" i="52" s="1"/>
  <c r="J332" i="52"/>
  <c r="J358" i="52" s="1"/>
  <c r="J361" i="52"/>
  <c r="J362" i="52" s="1"/>
  <c r="L180" i="88"/>
  <c r="L183" i="88" s="1"/>
  <c r="L184" i="88" s="1"/>
  <c r="L209" i="88"/>
  <c r="L210" i="88" s="1"/>
  <c r="J332" i="96"/>
  <c r="J335" i="96" s="1"/>
  <c r="J336" i="96" s="1"/>
  <c r="J361" i="96"/>
  <c r="J362" i="96" s="1"/>
  <c r="L180" i="52"/>
  <c r="L183" i="52" s="1"/>
  <c r="L184" i="52" s="1"/>
  <c r="L209" i="52"/>
  <c r="L210" i="52" s="1"/>
  <c r="K282" i="88"/>
  <c r="J335" i="88"/>
  <c r="J336" i="88" s="1"/>
  <c r="L256" i="92"/>
  <c r="L259" i="92" s="1"/>
  <c r="L285" i="92"/>
  <c r="L286" i="92" s="1"/>
  <c r="J282" i="92"/>
  <c r="L256" i="96"/>
  <c r="L259" i="96" s="1"/>
  <c r="L285" i="96"/>
  <c r="L286" i="96" s="1"/>
  <c r="M104" i="52"/>
  <c r="M107" i="52" s="1"/>
  <c r="M108" i="52" s="1"/>
  <c r="M133" i="52"/>
  <c r="D39" i="52" s="1"/>
  <c r="K256" i="52"/>
  <c r="K282" i="52" s="1"/>
  <c r="K285" i="52"/>
  <c r="K286" i="52" s="1"/>
  <c r="L256" i="88"/>
  <c r="L282" i="88" s="1"/>
  <c r="L285" i="88"/>
  <c r="L286" i="88" s="1"/>
  <c r="K408" i="96"/>
  <c r="K434" i="96" s="1"/>
  <c r="K437" i="96"/>
  <c r="K438" i="96" s="1"/>
  <c r="K332" i="88"/>
  <c r="K358" i="88" s="1"/>
  <c r="K361" i="88"/>
  <c r="K362" i="88" s="1"/>
  <c r="L130" i="92"/>
  <c r="O72" i="88"/>
  <c r="O96" i="88" s="1"/>
  <c r="O97" i="88" s="1"/>
  <c r="O72" i="52"/>
  <c r="F137" i="92"/>
  <c r="E200" i="92"/>
  <c r="E203" i="92"/>
  <c r="E212" i="92" s="1"/>
  <c r="E213" i="92" s="1"/>
  <c r="F198" i="96"/>
  <c r="F350" i="52"/>
  <c r="C276" i="52"/>
  <c r="F274" i="52"/>
  <c r="F198" i="88"/>
  <c r="N135" i="14"/>
  <c r="O101" i="14"/>
  <c r="G113" i="52"/>
  <c r="G114" i="52" s="1"/>
  <c r="G124" i="52" s="1"/>
  <c r="F272" i="88"/>
  <c r="F279" i="88" s="1"/>
  <c r="F288" i="88" s="1"/>
  <c r="AN272" i="88"/>
  <c r="E200" i="88"/>
  <c r="C345" i="88"/>
  <c r="C421" i="88" s="1"/>
  <c r="C279" i="52"/>
  <c r="M138" i="14"/>
  <c r="N111" i="14"/>
  <c r="C421" i="52"/>
  <c r="C424" i="52" s="1"/>
  <c r="F426" i="52" s="1"/>
  <c r="U272" i="88"/>
  <c r="H131" i="88"/>
  <c r="E276" i="92"/>
  <c r="E279" i="92"/>
  <c r="E288" i="92" s="1"/>
  <c r="G109" i="96"/>
  <c r="G131" i="96"/>
  <c r="U272" i="96"/>
  <c r="D279" i="88"/>
  <c r="D288" i="88" s="1"/>
  <c r="D276" i="88"/>
  <c r="C345" i="96"/>
  <c r="C272" i="96"/>
  <c r="N59" i="14"/>
  <c r="N72" i="14"/>
  <c r="AS85" i="92"/>
  <c r="AS86" i="92" s="1"/>
  <c r="AT85" i="92" s="1"/>
  <c r="AT86" i="92" s="1"/>
  <c r="O38" i="14"/>
  <c r="E421" i="92"/>
  <c r="E424" i="92" s="1"/>
  <c r="E348" i="92"/>
  <c r="F350" i="92" s="1"/>
  <c r="D289" i="92"/>
  <c r="C289" i="92"/>
  <c r="W348" i="88"/>
  <c r="W424" i="88"/>
  <c r="U424" i="92"/>
  <c r="E213" i="88"/>
  <c r="D213" i="88"/>
  <c r="C213" i="88"/>
  <c r="F213" i="88"/>
  <c r="H261" i="52"/>
  <c r="H283" i="52"/>
  <c r="C279" i="88"/>
  <c r="C288" i="88" s="1"/>
  <c r="C276" i="88"/>
  <c r="D348" i="88"/>
  <c r="D421" i="88"/>
  <c r="D424" i="88" s="1"/>
  <c r="E352" i="52"/>
  <c r="E355" i="52"/>
  <c r="E364" i="52" s="1"/>
  <c r="C200" i="96"/>
  <c r="C203" i="96"/>
  <c r="C212" i="96" s="1"/>
  <c r="C352" i="92"/>
  <c r="C355" i="92"/>
  <c r="C364" i="92" s="1"/>
  <c r="W272" i="96"/>
  <c r="AL348" i="88"/>
  <c r="AM272" i="96"/>
  <c r="F421" i="88"/>
  <c r="F424" i="88" s="1"/>
  <c r="F348" i="88"/>
  <c r="C424" i="92"/>
  <c r="F203" i="96"/>
  <c r="F212" i="96" s="1"/>
  <c r="F200" i="96"/>
  <c r="V272" i="96"/>
  <c r="F431" i="52"/>
  <c r="F440" i="52" s="1"/>
  <c r="F428" i="52"/>
  <c r="D355" i="92"/>
  <c r="D364" i="92" s="1"/>
  <c r="D352" i="92"/>
  <c r="G113" i="88"/>
  <c r="G110" i="88"/>
  <c r="G111" i="88" s="1"/>
  <c r="G112" i="88" s="1"/>
  <c r="C355" i="52"/>
  <c r="C364" i="52" s="1"/>
  <c r="C352" i="52"/>
  <c r="AM424" i="88"/>
  <c r="AM348" i="88"/>
  <c r="E279" i="88"/>
  <c r="E288" i="88" s="1"/>
  <c r="E276" i="88"/>
  <c r="H185" i="52"/>
  <c r="H207" i="52"/>
  <c r="D200" i="96"/>
  <c r="D203" i="96"/>
  <c r="D212" i="96" s="1"/>
  <c r="E272" i="96"/>
  <c r="E345" i="96"/>
  <c r="V348" i="88"/>
  <c r="V424" i="88"/>
  <c r="D345" i="96"/>
  <c r="D272" i="96"/>
  <c r="F272" i="96"/>
  <c r="F345" i="96"/>
  <c r="G265" i="52"/>
  <c r="G262" i="52"/>
  <c r="G263" i="52" s="1"/>
  <c r="G264" i="52" s="1"/>
  <c r="F355" i="52"/>
  <c r="F364" i="52" s="1"/>
  <c r="F352" i="52"/>
  <c r="D428" i="92"/>
  <c r="D431" i="92"/>
  <c r="D440" i="92" s="1"/>
  <c r="AL424" i="92"/>
  <c r="E428" i="52"/>
  <c r="E431" i="52"/>
  <c r="E440" i="52" s="1"/>
  <c r="AL272" i="96"/>
  <c r="F137" i="96"/>
  <c r="E137" i="96"/>
  <c r="C137" i="96"/>
  <c r="D137" i="96"/>
  <c r="E421" i="88"/>
  <c r="E424" i="88" s="1"/>
  <c r="E348" i="88"/>
  <c r="AN272" i="96"/>
  <c r="E203" i="96"/>
  <c r="E212" i="96" s="1"/>
  <c r="E200" i="96"/>
  <c r="K376" i="88"/>
  <c r="K400" i="88" s="1"/>
  <c r="K401" i="88" s="1"/>
  <c r="K260" i="96"/>
  <c r="L376" i="96"/>
  <c r="L400" i="96" s="1"/>
  <c r="L401" i="96" s="1"/>
  <c r="L324" i="96"/>
  <c r="L325" i="96" s="1"/>
  <c r="M224" i="88"/>
  <c r="M248" i="88" s="1"/>
  <c r="M249" i="88" s="1"/>
  <c r="J336" i="92"/>
  <c r="M300" i="92"/>
  <c r="M248" i="92"/>
  <c r="M249" i="92" s="1"/>
  <c r="L376" i="92"/>
  <c r="L400" i="92" s="1"/>
  <c r="L401" i="92" s="1"/>
  <c r="L324" i="92"/>
  <c r="L325" i="92" s="1"/>
  <c r="N96" i="88"/>
  <c r="N97" i="88" s="1"/>
  <c r="N224" i="88"/>
  <c r="N172" i="88"/>
  <c r="N173" i="88" s="1"/>
  <c r="L376" i="88"/>
  <c r="L400" i="88" s="1"/>
  <c r="L401" i="88" s="1"/>
  <c r="L324" i="88"/>
  <c r="L325" i="88" s="1"/>
  <c r="J412" i="88"/>
  <c r="K260" i="88"/>
  <c r="M108" i="88"/>
  <c r="N96" i="52"/>
  <c r="N97" i="52" s="1"/>
  <c r="N148" i="52"/>
  <c r="M224" i="52"/>
  <c r="M172" i="52"/>
  <c r="M173" i="52" s="1"/>
  <c r="K324" i="52"/>
  <c r="K325" i="52" s="1"/>
  <c r="K376" i="52"/>
  <c r="K400" i="52" s="1"/>
  <c r="K401" i="52" s="1"/>
  <c r="J260" i="52"/>
  <c r="M62" i="14"/>
  <c r="M64" i="14" s="1"/>
  <c r="M75" i="14"/>
  <c r="M77" i="14" s="1"/>
  <c r="L300" i="52"/>
  <c r="L248" i="52"/>
  <c r="L249" i="52" s="1"/>
  <c r="AL424" i="52"/>
  <c r="U424" i="52"/>
  <c r="H113" i="52"/>
  <c r="H110" i="52"/>
  <c r="K332" i="96" l="1"/>
  <c r="K335" i="96" s="1"/>
  <c r="K336" i="96" s="1"/>
  <c r="M180" i="92"/>
  <c r="M183" i="92" s="1"/>
  <c r="M184" i="92" s="1"/>
  <c r="J411" i="92"/>
  <c r="J412" i="92" s="1"/>
  <c r="N96" i="96"/>
  <c r="N97" i="96" s="1"/>
  <c r="N104" i="96" s="1"/>
  <c r="N107" i="96" s="1"/>
  <c r="N108" i="96" s="1"/>
  <c r="N224" i="92"/>
  <c r="N248" i="92" s="1"/>
  <c r="N249" i="92" s="1"/>
  <c r="N224" i="96"/>
  <c r="N300" i="96" s="1"/>
  <c r="L206" i="96"/>
  <c r="N96" i="92"/>
  <c r="N97" i="92" s="1"/>
  <c r="N104" i="92" s="1"/>
  <c r="N107" i="92" s="1"/>
  <c r="N108" i="92" s="1"/>
  <c r="M130" i="96"/>
  <c r="U312" i="92"/>
  <c r="V84" i="92"/>
  <c r="V388" i="92" s="1"/>
  <c r="U160" i="92"/>
  <c r="U236" i="92"/>
  <c r="M172" i="96"/>
  <c r="M173" i="96" s="1"/>
  <c r="M209" i="96" s="1"/>
  <c r="M133" i="92"/>
  <c r="D39" i="92" s="1"/>
  <c r="K282" i="92"/>
  <c r="C137" i="88"/>
  <c r="F137" i="88"/>
  <c r="D137" i="88"/>
  <c r="C288" i="52"/>
  <c r="D289" i="52" s="1"/>
  <c r="O72" i="92"/>
  <c r="O148" i="92" s="1"/>
  <c r="O172" i="92" s="1"/>
  <c r="O173" i="92" s="1"/>
  <c r="P72" i="92"/>
  <c r="P148" i="92" s="1"/>
  <c r="K408" i="92"/>
  <c r="K434" i="92" s="1"/>
  <c r="G413" i="96"/>
  <c r="G414" i="96" s="1"/>
  <c r="G415" i="96" s="1"/>
  <c r="G416" i="96" s="1"/>
  <c r="G207" i="96"/>
  <c r="K324" i="92"/>
  <c r="K325" i="92" s="1"/>
  <c r="K361" i="92" s="1"/>
  <c r="K362" i="92" s="1"/>
  <c r="G413" i="92"/>
  <c r="G414" i="92" s="1"/>
  <c r="G415" i="92" s="1"/>
  <c r="G416" i="92" s="1"/>
  <c r="G341" i="88"/>
  <c r="G342" i="88" s="1"/>
  <c r="G359" i="96"/>
  <c r="G417" i="88"/>
  <c r="G418" i="88" s="1"/>
  <c r="G431" i="88" s="1"/>
  <c r="G440" i="88" s="1"/>
  <c r="O72" i="96"/>
  <c r="O148" i="96" s="1"/>
  <c r="O224" i="96" s="1"/>
  <c r="M140" i="14"/>
  <c r="G355" i="52"/>
  <c r="G364" i="52" s="1"/>
  <c r="G365" i="52" s="1"/>
  <c r="G337" i="92"/>
  <c r="G341" i="92" s="1"/>
  <c r="G359" i="88"/>
  <c r="G435" i="88"/>
  <c r="G431" i="52"/>
  <c r="G440" i="52" s="1"/>
  <c r="AP318" i="52"/>
  <c r="AP394" i="52"/>
  <c r="N62" i="14"/>
  <c r="N64" i="14" s="1"/>
  <c r="H310" i="96"/>
  <c r="H320" i="96" s="1"/>
  <c r="H386" i="96"/>
  <c r="H396" i="96" s="1"/>
  <c r="H310" i="92"/>
  <c r="H320" i="92" s="1"/>
  <c r="H386" i="92"/>
  <c r="H396" i="92" s="1"/>
  <c r="AP318" i="96"/>
  <c r="AP394" i="96"/>
  <c r="AF88" i="96"/>
  <c r="AF392" i="96" s="1"/>
  <c r="AE392" i="96"/>
  <c r="AP318" i="92"/>
  <c r="AP394" i="92"/>
  <c r="X314" i="88"/>
  <c r="X390" i="88"/>
  <c r="Y314" i="92"/>
  <c r="Y390" i="92"/>
  <c r="Y314" i="96"/>
  <c r="Y390" i="96"/>
  <c r="H310" i="88"/>
  <c r="H320" i="88" s="1"/>
  <c r="H386" i="88"/>
  <c r="H396" i="88" s="1"/>
  <c r="AP318" i="88"/>
  <c r="AP394" i="88"/>
  <c r="N75" i="14"/>
  <c r="N77" i="14" s="1"/>
  <c r="Z314" i="52"/>
  <c r="Z390" i="52"/>
  <c r="AA86" i="52"/>
  <c r="AB86" i="52" s="1"/>
  <c r="Z238" i="52"/>
  <c r="Z162" i="52"/>
  <c r="AE316" i="96"/>
  <c r="AE164" i="96"/>
  <c r="AE240" i="96"/>
  <c r="G207" i="88"/>
  <c r="G186" i="52"/>
  <c r="G187" i="52" s="1"/>
  <c r="G188" i="52" s="1"/>
  <c r="G190" i="52" s="1"/>
  <c r="G265" i="96"/>
  <c r="G266" i="96" s="1"/>
  <c r="G189" i="88"/>
  <c r="G190" i="88" s="1"/>
  <c r="G261" i="92"/>
  <c r="G262" i="92" s="1"/>
  <c r="G263" i="92" s="1"/>
  <c r="G264" i="92" s="1"/>
  <c r="G283" i="96"/>
  <c r="H207" i="88"/>
  <c r="I234" i="52"/>
  <c r="I244" i="52" s="1"/>
  <c r="I310" i="52"/>
  <c r="I320" i="52" s="1"/>
  <c r="H261" i="92"/>
  <c r="H265" i="92" s="1"/>
  <c r="T236" i="52"/>
  <c r="T312" i="52"/>
  <c r="T236" i="88"/>
  <c r="T312" i="88"/>
  <c r="AF240" i="92"/>
  <c r="AF316" i="92"/>
  <c r="T236" i="96"/>
  <c r="T312" i="96"/>
  <c r="AE240" i="88"/>
  <c r="AE316" i="88"/>
  <c r="AE240" i="52"/>
  <c r="AE316" i="52"/>
  <c r="G265" i="88"/>
  <c r="G266" i="88" s="1"/>
  <c r="G276" i="88" s="1"/>
  <c r="G185" i="92"/>
  <c r="G189" i="92" s="1"/>
  <c r="G283" i="88"/>
  <c r="AP166" i="92"/>
  <c r="AP242" i="92"/>
  <c r="G110" i="92"/>
  <c r="G111" i="92" s="1"/>
  <c r="G112" i="92" s="1"/>
  <c r="G114" i="92" s="1"/>
  <c r="G124" i="92" s="1"/>
  <c r="AP166" i="96"/>
  <c r="AP242" i="96"/>
  <c r="Y162" i="92"/>
  <c r="Y238" i="92"/>
  <c r="H158" i="96"/>
  <c r="H168" i="96" s="1"/>
  <c r="H234" i="96"/>
  <c r="H244" i="96" s="1"/>
  <c r="AP166" i="52"/>
  <c r="AP242" i="52"/>
  <c r="X162" i="88"/>
  <c r="X238" i="88"/>
  <c r="Y162" i="96"/>
  <c r="Y238" i="96"/>
  <c r="H158" i="92"/>
  <c r="H168" i="92" s="1"/>
  <c r="H234" i="92"/>
  <c r="H244" i="92" s="1"/>
  <c r="H158" i="88"/>
  <c r="H168" i="88" s="1"/>
  <c r="H234" i="88"/>
  <c r="H244" i="88" s="1"/>
  <c r="AP166" i="88"/>
  <c r="AP242" i="88"/>
  <c r="AQ90" i="96"/>
  <c r="AQ90" i="88"/>
  <c r="I158" i="52"/>
  <c r="I168" i="52" s="1"/>
  <c r="AF88" i="88"/>
  <c r="AF392" i="88" s="1"/>
  <c r="AE164" i="88"/>
  <c r="AF88" i="52"/>
  <c r="AF392" i="52" s="1"/>
  <c r="AE164" i="52"/>
  <c r="U84" i="52"/>
  <c r="U388" i="52" s="1"/>
  <c r="T160" i="52"/>
  <c r="AG88" i="92"/>
  <c r="AG392" i="92" s="1"/>
  <c r="AF164" i="92"/>
  <c r="U84" i="96"/>
  <c r="U388" i="96" s="1"/>
  <c r="T160" i="96"/>
  <c r="U84" i="88"/>
  <c r="U388" i="88" s="1"/>
  <c r="T160" i="88"/>
  <c r="I82" i="92"/>
  <c r="H92" i="92"/>
  <c r="I82" i="96"/>
  <c r="H92" i="96"/>
  <c r="I82" i="88"/>
  <c r="H92" i="88"/>
  <c r="J82" i="52"/>
  <c r="I92" i="52"/>
  <c r="P72" i="96"/>
  <c r="P96" i="96" s="1"/>
  <c r="P97" i="96" s="1"/>
  <c r="M209" i="88"/>
  <c r="D44" i="88" s="1"/>
  <c r="N113" i="14"/>
  <c r="O122" i="14"/>
  <c r="N114" i="14"/>
  <c r="N51" i="14"/>
  <c r="O48" i="14"/>
  <c r="O50" i="14" s="1"/>
  <c r="G428" i="52"/>
  <c r="Z86" i="92"/>
  <c r="AQ90" i="52"/>
  <c r="Y86" i="88"/>
  <c r="G352" i="52"/>
  <c r="AQ90" i="92"/>
  <c r="Z86" i="96"/>
  <c r="M130" i="52"/>
  <c r="AP422" i="96"/>
  <c r="AP424" i="96" s="1"/>
  <c r="AP348" i="96"/>
  <c r="I422" i="96"/>
  <c r="I424" i="96" s="1"/>
  <c r="I348" i="96"/>
  <c r="M422" i="88"/>
  <c r="M424" i="88" s="1"/>
  <c r="M348" i="88"/>
  <c r="O422" i="96"/>
  <c r="O424" i="96" s="1"/>
  <c r="O348" i="96"/>
  <c r="AP422" i="88"/>
  <c r="AP424" i="88" s="1"/>
  <c r="AP348" i="88"/>
  <c r="AR422" i="88"/>
  <c r="AR424" i="88" s="1"/>
  <c r="AR348" i="88"/>
  <c r="AR422" i="96"/>
  <c r="AR424" i="96" s="1"/>
  <c r="AR348" i="96"/>
  <c r="AC422" i="52"/>
  <c r="AC424" i="52" s="1"/>
  <c r="AC348" i="52"/>
  <c r="J422" i="96"/>
  <c r="J424" i="96" s="1"/>
  <c r="J348" i="96"/>
  <c r="Y422" i="96"/>
  <c r="Y424" i="96" s="1"/>
  <c r="Y348" i="96"/>
  <c r="AI422" i="96"/>
  <c r="AI424" i="96" s="1"/>
  <c r="AI348" i="96"/>
  <c r="Z422" i="88"/>
  <c r="Z424" i="88" s="1"/>
  <c r="Z348" i="88"/>
  <c r="T422" i="96"/>
  <c r="T424" i="96" s="1"/>
  <c r="T348" i="96"/>
  <c r="J411" i="52"/>
  <c r="J412" i="52" s="1"/>
  <c r="M210" i="92"/>
  <c r="D45" i="92" s="1"/>
  <c r="D44" i="92"/>
  <c r="AQ422" i="88"/>
  <c r="AQ424" i="88" s="1"/>
  <c r="AQ348" i="88"/>
  <c r="AH422" i="88"/>
  <c r="AH424" i="88" s="1"/>
  <c r="AH348" i="88"/>
  <c r="AD422" i="96"/>
  <c r="AD424" i="96" s="1"/>
  <c r="AD348" i="96"/>
  <c r="AQ422" i="96"/>
  <c r="AQ424" i="96" s="1"/>
  <c r="AQ348" i="96"/>
  <c r="T422" i="88"/>
  <c r="T424" i="88" s="1"/>
  <c r="T348" i="88"/>
  <c r="M422" i="96"/>
  <c r="M424" i="96" s="1"/>
  <c r="M348" i="96"/>
  <c r="J422" i="88"/>
  <c r="J424" i="88" s="1"/>
  <c r="J348" i="88"/>
  <c r="H422" i="88"/>
  <c r="H424" i="88" s="1"/>
  <c r="H348" i="88"/>
  <c r="H422" i="96"/>
  <c r="H424" i="96" s="1"/>
  <c r="H348" i="96"/>
  <c r="AI422" i="88"/>
  <c r="AI424" i="88" s="1"/>
  <c r="AI348" i="88"/>
  <c r="P422" i="88"/>
  <c r="P424" i="88" s="1"/>
  <c r="P348" i="88"/>
  <c r="P422" i="96"/>
  <c r="P424" i="96" s="1"/>
  <c r="P348" i="96"/>
  <c r="R422" i="96"/>
  <c r="R424" i="96" s="1"/>
  <c r="R348" i="96"/>
  <c r="AO422" i="96"/>
  <c r="AO424" i="96" s="1"/>
  <c r="AO348" i="96"/>
  <c r="AG422" i="96"/>
  <c r="AG424" i="96" s="1"/>
  <c r="AG348" i="96"/>
  <c r="AD422" i="88"/>
  <c r="AD424" i="88" s="1"/>
  <c r="AD348" i="88"/>
  <c r="AO422" i="88"/>
  <c r="AO424" i="88" s="1"/>
  <c r="AO348" i="88"/>
  <c r="Z422" i="96"/>
  <c r="Z424" i="96" s="1"/>
  <c r="Z348" i="96"/>
  <c r="AH422" i="96"/>
  <c r="AH424" i="96" s="1"/>
  <c r="AH348" i="96"/>
  <c r="X422" i="96"/>
  <c r="X424" i="96" s="1"/>
  <c r="X348" i="96"/>
  <c r="K335" i="88"/>
  <c r="K336" i="88" s="1"/>
  <c r="K411" i="96"/>
  <c r="K412" i="96" s="1"/>
  <c r="M248" i="96"/>
  <c r="M249" i="96" s="1"/>
  <c r="M256" i="96" s="1"/>
  <c r="K259" i="52"/>
  <c r="K260" i="52" s="1"/>
  <c r="L282" i="96"/>
  <c r="L259" i="88"/>
  <c r="L260" i="88" s="1"/>
  <c r="L282" i="92"/>
  <c r="L206" i="88"/>
  <c r="M206" i="88"/>
  <c r="L206" i="52"/>
  <c r="J358" i="96"/>
  <c r="M134" i="52"/>
  <c r="D40" i="52" s="1"/>
  <c r="J335" i="52"/>
  <c r="J336" i="52" s="1"/>
  <c r="N180" i="88"/>
  <c r="N183" i="88" s="1"/>
  <c r="N209" i="88"/>
  <c r="N210" i="88" s="1"/>
  <c r="M256" i="88"/>
  <c r="M282" i="88" s="1"/>
  <c r="M285" i="88"/>
  <c r="L256" i="52"/>
  <c r="L259" i="52" s="1"/>
  <c r="L285" i="52"/>
  <c r="L286" i="52" s="1"/>
  <c r="K408" i="52"/>
  <c r="K434" i="52" s="1"/>
  <c r="K437" i="52"/>
  <c r="K438" i="52" s="1"/>
  <c r="K332" i="52"/>
  <c r="K358" i="52" s="1"/>
  <c r="K361" i="52"/>
  <c r="K362" i="52" s="1"/>
  <c r="L408" i="88"/>
  <c r="L434" i="88" s="1"/>
  <c r="L437" i="88"/>
  <c r="L438" i="88" s="1"/>
  <c r="N104" i="88"/>
  <c r="N130" i="88" s="1"/>
  <c r="N133" i="88"/>
  <c r="N134" i="88" s="1"/>
  <c r="L408" i="92"/>
  <c r="L411" i="92" s="1"/>
  <c r="L437" i="92"/>
  <c r="L438" i="92" s="1"/>
  <c r="L408" i="96"/>
  <c r="L411" i="96" s="1"/>
  <c r="L437" i="96"/>
  <c r="L438" i="96" s="1"/>
  <c r="M180" i="52"/>
  <c r="M183" i="52" s="1"/>
  <c r="M184" i="52" s="1"/>
  <c r="M209" i="52"/>
  <c r="N104" i="52"/>
  <c r="N130" i="52" s="1"/>
  <c r="N133" i="52"/>
  <c r="N134" i="52" s="1"/>
  <c r="N180" i="96"/>
  <c r="N183" i="96" s="1"/>
  <c r="N209" i="96"/>
  <c r="N210" i="96" s="1"/>
  <c r="O104" i="88"/>
  <c r="O107" i="88" s="1"/>
  <c r="O133" i="88"/>
  <c r="O134" i="88" s="1"/>
  <c r="L332" i="88"/>
  <c r="L358" i="88" s="1"/>
  <c r="L361" i="88"/>
  <c r="L362" i="88" s="1"/>
  <c r="N180" i="92"/>
  <c r="N183" i="92" s="1"/>
  <c r="N209" i="92"/>
  <c r="N210" i="92" s="1"/>
  <c r="L332" i="92"/>
  <c r="L358" i="92" s="1"/>
  <c r="L361" i="92"/>
  <c r="L362" i="92" s="1"/>
  <c r="M256" i="92"/>
  <c r="M282" i="92" s="1"/>
  <c r="M285" i="92"/>
  <c r="L332" i="96"/>
  <c r="L358" i="96" s="1"/>
  <c r="L361" i="96"/>
  <c r="L362" i="96" s="1"/>
  <c r="K408" i="88"/>
  <c r="K411" i="88" s="1"/>
  <c r="K412" i="88" s="1"/>
  <c r="K437" i="88"/>
  <c r="K438" i="88" s="1"/>
  <c r="M107" i="92"/>
  <c r="M108" i="92" s="1"/>
  <c r="I207" i="92"/>
  <c r="P72" i="52"/>
  <c r="P72" i="88"/>
  <c r="P96" i="88" s="1"/>
  <c r="P97" i="88" s="1"/>
  <c r="F213" i="92"/>
  <c r="H186" i="92"/>
  <c r="H187" i="92" s="1"/>
  <c r="H188" i="92" s="1"/>
  <c r="H190" i="92" s="1"/>
  <c r="H203" i="92" s="1"/>
  <c r="H212" i="92" s="1"/>
  <c r="H207" i="92"/>
  <c r="F426" i="92"/>
  <c r="N138" i="14"/>
  <c r="F274" i="88"/>
  <c r="F274" i="96"/>
  <c r="O111" i="14"/>
  <c r="O138" i="14" s="1"/>
  <c r="O135" i="14"/>
  <c r="P101" i="14"/>
  <c r="G127" i="52"/>
  <c r="G136" i="52" s="1"/>
  <c r="G137" i="52" s="1"/>
  <c r="H261" i="88"/>
  <c r="AN348" i="88"/>
  <c r="AN424" i="88"/>
  <c r="F276" i="88"/>
  <c r="C348" i="88"/>
  <c r="U348" i="88"/>
  <c r="H109" i="88"/>
  <c r="H110" i="88" s="1"/>
  <c r="H111" i="88" s="1"/>
  <c r="H112" i="88" s="1"/>
  <c r="N125" i="14"/>
  <c r="H337" i="52"/>
  <c r="P38" i="14"/>
  <c r="G114" i="88"/>
  <c r="G127" i="88" s="1"/>
  <c r="G136" i="88" s="1"/>
  <c r="H337" i="92"/>
  <c r="H359" i="92"/>
  <c r="C428" i="92"/>
  <c r="C431" i="92"/>
  <c r="C440" i="92" s="1"/>
  <c r="H109" i="96"/>
  <c r="H131" i="96"/>
  <c r="E352" i="88"/>
  <c r="E355" i="88"/>
  <c r="E364" i="88" s="1"/>
  <c r="AL348" i="96"/>
  <c r="G189" i="96"/>
  <c r="G186" i="96"/>
  <c r="G187" i="96" s="1"/>
  <c r="G188" i="96" s="1"/>
  <c r="D279" i="96"/>
  <c r="D288" i="96" s="1"/>
  <c r="D276" i="96"/>
  <c r="C365" i="52"/>
  <c r="F365" i="52"/>
  <c r="D365" i="52"/>
  <c r="E365" i="52"/>
  <c r="F428" i="88"/>
  <c r="F431" i="88"/>
  <c r="F440" i="88" s="1"/>
  <c r="AM348" i="96"/>
  <c r="AM424" i="96"/>
  <c r="D365" i="92"/>
  <c r="C365" i="92"/>
  <c r="D352" i="88"/>
  <c r="D355" i="88"/>
  <c r="D364" i="88" s="1"/>
  <c r="D289" i="88"/>
  <c r="E289" i="88"/>
  <c r="C289" i="88"/>
  <c r="F289" i="88"/>
  <c r="F289" i="92"/>
  <c r="E355" i="92"/>
  <c r="E364" i="92" s="1"/>
  <c r="F365" i="92" s="1"/>
  <c r="E352" i="92"/>
  <c r="C348" i="96"/>
  <c r="C421" i="96"/>
  <c r="G341" i="96"/>
  <c r="G338" i="96"/>
  <c r="G339" i="96" s="1"/>
  <c r="G340" i="96" s="1"/>
  <c r="D348" i="96"/>
  <c r="D421" i="96"/>
  <c r="D424" i="96" s="1"/>
  <c r="H189" i="88"/>
  <c r="H186" i="88"/>
  <c r="H187" i="88" s="1"/>
  <c r="H188" i="88" s="1"/>
  <c r="AN348" i="96"/>
  <c r="AN424" i="96"/>
  <c r="F279" i="96"/>
  <c r="F288" i="96" s="1"/>
  <c r="F276" i="96"/>
  <c r="E276" i="96"/>
  <c r="E279" i="96"/>
  <c r="E288" i="96" s="1"/>
  <c r="H189" i="52"/>
  <c r="H186" i="52"/>
  <c r="H187" i="52" s="1"/>
  <c r="H188" i="52" s="1"/>
  <c r="I261" i="52"/>
  <c r="I283" i="52"/>
  <c r="E213" i="96"/>
  <c r="F213" i="96"/>
  <c r="D213" i="96"/>
  <c r="C213" i="96"/>
  <c r="E289" i="92"/>
  <c r="G113" i="96"/>
  <c r="G110" i="96"/>
  <c r="G111" i="96" s="1"/>
  <c r="G112" i="96" s="1"/>
  <c r="E428" i="88"/>
  <c r="E431" i="88"/>
  <c r="E440" i="88" s="1"/>
  <c r="C424" i="88"/>
  <c r="F426" i="88" s="1"/>
  <c r="F421" i="96"/>
  <c r="F424" i="96" s="1"/>
  <c r="F348" i="96"/>
  <c r="E421" i="96"/>
  <c r="E424" i="96" s="1"/>
  <c r="E348" i="96"/>
  <c r="H185" i="96"/>
  <c r="H207" i="96"/>
  <c r="AL424" i="88"/>
  <c r="W424" i="96"/>
  <c r="W348" i="96"/>
  <c r="E428" i="92"/>
  <c r="E431" i="92"/>
  <c r="E440" i="92" s="1"/>
  <c r="G266" i="52"/>
  <c r="V424" i="96"/>
  <c r="V348" i="96"/>
  <c r="F355" i="88"/>
  <c r="F364" i="88" s="1"/>
  <c r="F352" i="88"/>
  <c r="D428" i="88"/>
  <c r="D431" i="88"/>
  <c r="D440" i="88" s="1"/>
  <c r="H265" i="52"/>
  <c r="H262" i="52"/>
  <c r="H263" i="52" s="1"/>
  <c r="H264" i="52" s="1"/>
  <c r="O59" i="14"/>
  <c r="O72" i="14"/>
  <c r="C279" i="96"/>
  <c r="C288" i="96" s="1"/>
  <c r="C276" i="96"/>
  <c r="C431" i="52"/>
  <c r="C440" i="52" s="1"/>
  <c r="C428" i="52"/>
  <c r="U348" i="96"/>
  <c r="M300" i="88"/>
  <c r="M376" i="88" s="1"/>
  <c r="M400" i="88" s="1"/>
  <c r="M401" i="88" s="1"/>
  <c r="M376" i="96"/>
  <c r="M400" i="96" s="1"/>
  <c r="M401" i="96" s="1"/>
  <c r="M324" i="96"/>
  <c r="M325" i="96" s="1"/>
  <c r="L260" i="96"/>
  <c r="O148" i="88"/>
  <c r="O172" i="88" s="1"/>
  <c r="O173" i="88" s="1"/>
  <c r="M376" i="92"/>
  <c r="M400" i="92" s="1"/>
  <c r="M401" i="92" s="1"/>
  <c r="M324" i="92"/>
  <c r="M325" i="92" s="1"/>
  <c r="L260" i="92"/>
  <c r="M184" i="88"/>
  <c r="N248" i="88"/>
  <c r="N249" i="88" s="1"/>
  <c r="N300" i="88"/>
  <c r="N224" i="52"/>
  <c r="N172" i="52"/>
  <c r="N173" i="52" s="1"/>
  <c r="M300" i="52"/>
  <c r="M248" i="52"/>
  <c r="M249" i="52" s="1"/>
  <c r="L376" i="52"/>
  <c r="L400" i="52" s="1"/>
  <c r="L401" i="52" s="1"/>
  <c r="L324" i="52"/>
  <c r="L325" i="52" s="1"/>
  <c r="O148" i="52"/>
  <c r="O96" i="52"/>
  <c r="O97" i="52" s="1"/>
  <c r="H111" i="52"/>
  <c r="H112" i="52" s="1"/>
  <c r="H114" i="52" s="1"/>
  <c r="I109" i="52"/>
  <c r="I131" i="52"/>
  <c r="K358" i="96" l="1"/>
  <c r="M206" i="92"/>
  <c r="N300" i="92"/>
  <c r="N376" i="92" s="1"/>
  <c r="N400" i="92" s="1"/>
  <c r="N401" i="92" s="1"/>
  <c r="N133" i="96"/>
  <c r="N134" i="96" s="1"/>
  <c r="N248" i="96"/>
  <c r="N249" i="96" s="1"/>
  <c r="N256" i="96" s="1"/>
  <c r="N259" i="96" s="1"/>
  <c r="M180" i="96"/>
  <c r="M183" i="96" s="1"/>
  <c r="M184" i="96" s="1"/>
  <c r="N130" i="92"/>
  <c r="N133" i="92"/>
  <c r="N134" i="92" s="1"/>
  <c r="O62" i="14"/>
  <c r="O64" i="14" s="1"/>
  <c r="K332" i="92"/>
  <c r="K358" i="92" s="1"/>
  <c r="M134" i="92"/>
  <c r="D40" i="92" s="1"/>
  <c r="V160" i="92"/>
  <c r="W84" i="92"/>
  <c r="W388" i="92" s="1"/>
  <c r="V312" i="92"/>
  <c r="V236" i="92"/>
  <c r="O224" i="92"/>
  <c r="O300" i="92" s="1"/>
  <c r="K411" i="92"/>
  <c r="K412" i="92" s="1"/>
  <c r="O96" i="92"/>
  <c r="O97" i="92" s="1"/>
  <c r="O133" i="92" s="1"/>
  <c r="O134" i="92" s="1"/>
  <c r="G417" i="92"/>
  <c r="G418" i="92" s="1"/>
  <c r="G431" i="92" s="1"/>
  <c r="G440" i="92" s="1"/>
  <c r="G441" i="92" s="1"/>
  <c r="E289" i="52"/>
  <c r="C289" i="52"/>
  <c r="F289" i="52"/>
  <c r="P96" i="92"/>
  <c r="P97" i="92" s="1"/>
  <c r="P133" i="92" s="1"/>
  <c r="P134" i="92" s="1"/>
  <c r="G417" i="96"/>
  <c r="G418" i="96" s="1"/>
  <c r="G431" i="96" s="1"/>
  <c r="G440" i="96" s="1"/>
  <c r="O172" i="96"/>
  <c r="O173" i="96" s="1"/>
  <c r="O180" i="96" s="1"/>
  <c r="O206" i="96" s="1"/>
  <c r="O96" i="96"/>
  <c r="O97" i="96" s="1"/>
  <c r="O133" i="96" s="1"/>
  <c r="O134" i="96" s="1"/>
  <c r="AA162" i="52"/>
  <c r="G338" i="92"/>
  <c r="G339" i="92" s="1"/>
  <c r="G340" i="92" s="1"/>
  <c r="G342" i="92" s="1"/>
  <c r="G352" i="92" s="1"/>
  <c r="AA238" i="52"/>
  <c r="N127" i="14"/>
  <c r="N140" i="14"/>
  <c r="G441" i="52"/>
  <c r="AB314" i="52"/>
  <c r="AB390" i="52"/>
  <c r="AQ318" i="52"/>
  <c r="AQ394" i="52"/>
  <c r="J310" i="52"/>
  <c r="J320" i="52" s="1"/>
  <c r="J386" i="52"/>
  <c r="J396" i="52" s="1"/>
  <c r="O75" i="14"/>
  <c r="O77" i="14" s="1"/>
  <c r="Z314" i="96"/>
  <c r="Z390" i="96"/>
  <c r="AQ318" i="92"/>
  <c r="AQ394" i="92"/>
  <c r="O51" i="14"/>
  <c r="AG88" i="96"/>
  <c r="AG392" i="96" s="1"/>
  <c r="AF240" i="96"/>
  <c r="Z314" i="92"/>
  <c r="Z390" i="92"/>
  <c r="I310" i="92"/>
  <c r="I320" i="92" s="1"/>
  <c r="I386" i="92"/>
  <c r="I396" i="92" s="1"/>
  <c r="AQ318" i="96"/>
  <c r="AQ394" i="96"/>
  <c r="AA314" i="52"/>
  <c r="AA390" i="52"/>
  <c r="Y314" i="88"/>
  <c r="Y390" i="88"/>
  <c r="I310" i="88"/>
  <c r="I320" i="88" s="1"/>
  <c r="I386" i="88"/>
  <c r="I396" i="88" s="1"/>
  <c r="I310" i="96"/>
  <c r="I320" i="96" s="1"/>
  <c r="I386" i="96"/>
  <c r="I396" i="96" s="1"/>
  <c r="AF164" i="96"/>
  <c r="AQ318" i="88"/>
  <c r="AQ394" i="88"/>
  <c r="AF316" i="96"/>
  <c r="G265" i="92"/>
  <c r="G266" i="92" s="1"/>
  <c r="G276" i="92" s="1"/>
  <c r="G186" i="92"/>
  <c r="G187" i="92" s="1"/>
  <c r="G188" i="92" s="1"/>
  <c r="G190" i="92" s="1"/>
  <c r="G203" i="92" s="1"/>
  <c r="G212" i="92" s="1"/>
  <c r="G213" i="92" s="1"/>
  <c r="H262" i="92"/>
  <c r="H263" i="92" s="1"/>
  <c r="H264" i="92" s="1"/>
  <c r="H266" i="92" s="1"/>
  <c r="AR90" i="96"/>
  <c r="AS90" i="96" s="1"/>
  <c r="G127" i="92"/>
  <c r="G136" i="92" s="1"/>
  <c r="G137" i="92" s="1"/>
  <c r="AR90" i="88"/>
  <c r="G279" i="88"/>
  <c r="G288" i="88" s="1"/>
  <c r="G289" i="88" s="1"/>
  <c r="AF240" i="52"/>
  <c r="AF316" i="52"/>
  <c r="U236" i="88"/>
  <c r="U312" i="88"/>
  <c r="U236" i="96"/>
  <c r="U312" i="96"/>
  <c r="AG240" i="92"/>
  <c r="AG316" i="92"/>
  <c r="U236" i="52"/>
  <c r="U312" i="52"/>
  <c r="AF240" i="88"/>
  <c r="AF316" i="88"/>
  <c r="I158" i="92"/>
  <c r="I168" i="92" s="1"/>
  <c r="I234" i="92"/>
  <c r="I244" i="92" s="1"/>
  <c r="AQ166" i="92"/>
  <c r="AQ242" i="92"/>
  <c r="Y162" i="88"/>
  <c r="Y238" i="88"/>
  <c r="Z162" i="92"/>
  <c r="Z238" i="92"/>
  <c r="AQ166" i="88"/>
  <c r="AQ242" i="88"/>
  <c r="AQ166" i="96"/>
  <c r="AQ242" i="96"/>
  <c r="AQ166" i="52"/>
  <c r="AQ242" i="52"/>
  <c r="J158" i="52"/>
  <c r="J168" i="52" s="1"/>
  <c r="J234" i="52"/>
  <c r="J244" i="52" s="1"/>
  <c r="I158" i="88"/>
  <c r="I168" i="88" s="1"/>
  <c r="I234" i="88"/>
  <c r="I244" i="88" s="1"/>
  <c r="I158" i="96"/>
  <c r="I168" i="96" s="1"/>
  <c r="I234" i="96"/>
  <c r="I244" i="96" s="1"/>
  <c r="Z162" i="96"/>
  <c r="Z238" i="96"/>
  <c r="AB162" i="52"/>
  <c r="AB238" i="52"/>
  <c r="V84" i="52"/>
  <c r="V388" i="52" s="1"/>
  <c r="U160" i="52"/>
  <c r="AG88" i="88"/>
  <c r="AG392" i="88" s="1"/>
  <c r="AF164" i="88"/>
  <c r="V84" i="88"/>
  <c r="V388" i="88" s="1"/>
  <c r="U160" i="88"/>
  <c r="V84" i="96"/>
  <c r="V388" i="96" s="1"/>
  <c r="U160" i="96"/>
  <c r="AH88" i="92"/>
  <c r="AH392" i="92" s="1"/>
  <c r="AG164" i="92"/>
  <c r="AG88" i="52"/>
  <c r="AG392" i="52" s="1"/>
  <c r="AF164" i="52"/>
  <c r="J82" i="88"/>
  <c r="I92" i="88"/>
  <c r="J82" i="96"/>
  <c r="I92" i="96"/>
  <c r="K82" i="52"/>
  <c r="J92" i="52"/>
  <c r="J82" i="92"/>
  <c r="I92" i="92"/>
  <c r="P148" i="96"/>
  <c r="P224" i="96" s="1"/>
  <c r="M210" i="88"/>
  <c r="D45" i="88" s="1"/>
  <c r="O113" i="14"/>
  <c r="P122" i="14"/>
  <c r="P48" i="14"/>
  <c r="P51" i="14" s="1"/>
  <c r="O114" i="14"/>
  <c r="AC86" i="52"/>
  <c r="AA86" i="92"/>
  <c r="AA86" i="96"/>
  <c r="AR90" i="52"/>
  <c r="AR90" i="92"/>
  <c r="Z86" i="88"/>
  <c r="L434" i="92"/>
  <c r="M206" i="52"/>
  <c r="K434" i="88"/>
  <c r="M259" i="88"/>
  <c r="M260" i="88" s="1"/>
  <c r="L282" i="52"/>
  <c r="L411" i="88"/>
  <c r="L412" i="88" s="1"/>
  <c r="N130" i="96"/>
  <c r="M286" i="88"/>
  <c r="D50" i="88" s="1"/>
  <c r="D49" i="88"/>
  <c r="M286" i="92"/>
  <c r="D50" i="92" s="1"/>
  <c r="D49" i="92"/>
  <c r="M210" i="96"/>
  <c r="D45" i="96" s="1"/>
  <c r="D44" i="96"/>
  <c r="M210" i="52"/>
  <c r="D45" i="52" s="1"/>
  <c r="D44" i="52"/>
  <c r="M285" i="96"/>
  <c r="M259" i="96"/>
  <c r="M260" i="96" s="1"/>
  <c r="M282" i="96"/>
  <c r="L434" i="96"/>
  <c r="L335" i="88"/>
  <c r="L336" i="88" s="1"/>
  <c r="L335" i="96"/>
  <c r="L336" i="96" s="1"/>
  <c r="N206" i="92"/>
  <c r="K411" i="52"/>
  <c r="K412" i="52" s="1"/>
  <c r="K335" i="52"/>
  <c r="K336" i="52" s="1"/>
  <c r="N107" i="52"/>
  <c r="N108" i="52" s="1"/>
  <c r="M259" i="92"/>
  <c r="M260" i="92" s="1"/>
  <c r="L335" i="92"/>
  <c r="L336" i="92" s="1"/>
  <c r="N206" i="88"/>
  <c r="N107" i="88"/>
  <c r="N108" i="88" s="1"/>
  <c r="O130" i="88"/>
  <c r="N206" i="96"/>
  <c r="M256" i="52"/>
  <c r="M259" i="52" s="1"/>
  <c r="M260" i="52" s="1"/>
  <c r="M285" i="52"/>
  <c r="L408" i="52"/>
  <c r="L434" i="52" s="1"/>
  <c r="L437" i="52"/>
  <c r="L438" i="52" s="1"/>
  <c r="N256" i="92"/>
  <c r="N282" i="92" s="1"/>
  <c r="N285" i="92"/>
  <c r="N286" i="92" s="1"/>
  <c r="M332" i="92"/>
  <c r="M335" i="92" s="1"/>
  <c r="M361" i="92"/>
  <c r="N180" i="52"/>
  <c r="N183" i="52" s="1"/>
  <c r="N209" i="52"/>
  <c r="N210" i="52" s="1"/>
  <c r="O104" i="52"/>
  <c r="O130" i="52" s="1"/>
  <c r="O133" i="52"/>
  <c r="O134" i="52" s="1"/>
  <c r="M332" i="96"/>
  <c r="M358" i="96" s="1"/>
  <c r="M361" i="96"/>
  <c r="P104" i="88"/>
  <c r="P107" i="88" s="1"/>
  <c r="P133" i="88"/>
  <c r="P134" i="88" s="1"/>
  <c r="O180" i="92"/>
  <c r="O183" i="92" s="1"/>
  <c r="O209" i="92"/>
  <c r="O210" i="92" s="1"/>
  <c r="M408" i="92"/>
  <c r="M434" i="92" s="1"/>
  <c r="M437" i="92"/>
  <c r="M408" i="88"/>
  <c r="M411" i="88" s="1"/>
  <c r="M437" i="88"/>
  <c r="L332" i="52"/>
  <c r="L358" i="52" s="1"/>
  <c r="L361" i="52"/>
  <c r="L362" i="52" s="1"/>
  <c r="N256" i="88"/>
  <c r="N282" i="88" s="1"/>
  <c r="N285" i="88"/>
  <c r="N286" i="88" s="1"/>
  <c r="O180" i="88"/>
  <c r="O183" i="88" s="1"/>
  <c r="O209" i="88"/>
  <c r="O210" i="88" s="1"/>
  <c r="P104" i="96"/>
  <c r="P130" i="96" s="1"/>
  <c r="P133" i="96"/>
  <c r="P134" i="96" s="1"/>
  <c r="M408" i="96"/>
  <c r="M434" i="96" s="1"/>
  <c r="M437" i="96"/>
  <c r="J207" i="92"/>
  <c r="I185" i="92"/>
  <c r="I189" i="92" s="1"/>
  <c r="Q72" i="88"/>
  <c r="Q96" i="88" s="1"/>
  <c r="Q97" i="88" s="1"/>
  <c r="Q72" i="52"/>
  <c r="Q148" i="52" s="1"/>
  <c r="Q101" i="14"/>
  <c r="H109" i="92"/>
  <c r="H131" i="92"/>
  <c r="P111" i="14"/>
  <c r="P113" i="14" s="1"/>
  <c r="P135" i="14"/>
  <c r="O125" i="14"/>
  <c r="F350" i="96"/>
  <c r="C355" i="88"/>
  <c r="F350" i="88"/>
  <c r="O140" i="14"/>
  <c r="H283" i="88"/>
  <c r="I283" i="88"/>
  <c r="H337" i="88"/>
  <c r="C352" i="88"/>
  <c r="H113" i="88"/>
  <c r="H114" i="88" s="1"/>
  <c r="H127" i="88" s="1"/>
  <c r="H136" i="88" s="1"/>
  <c r="H137" i="88" s="1"/>
  <c r="G428" i="88"/>
  <c r="G124" i="88"/>
  <c r="U424" i="88"/>
  <c r="H359" i="52"/>
  <c r="P72" i="14"/>
  <c r="H200" i="92"/>
  <c r="P59" i="14"/>
  <c r="Q38" i="14"/>
  <c r="G190" i="96"/>
  <c r="G200" i="96" s="1"/>
  <c r="H190" i="88"/>
  <c r="H200" i="88" s="1"/>
  <c r="G342" i="96"/>
  <c r="G352" i="96" s="1"/>
  <c r="J283" i="52"/>
  <c r="G114" i="96"/>
  <c r="G124" i="96" s="1"/>
  <c r="H190" i="52"/>
  <c r="H203" i="52" s="1"/>
  <c r="H212" i="52" s="1"/>
  <c r="H266" i="52"/>
  <c r="H276" i="52" s="1"/>
  <c r="E365" i="92"/>
  <c r="I261" i="92"/>
  <c r="I283" i="92"/>
  <c r="G352" i="88"/>
  <c r="G355" i="88"/>
  <c r="G364" i="88" s="1"/>
  <c r="H341" i="52"/>
  <c r="H338" i="52"/>
  <c r="H339" i="52" s="1"/>
  <c r="H340" i="52" s="1"/>
  <c r="E441" i="52"/>
  <c r="D441" i="52"/>
  <c r="C441" i="52"/>
  <c r="F441" i="52"/>
  <c r="H261" i="96"/>
  <c r="H283" i="96"/>
  <c r="E355" i="96"/>
  <c r="E364" i="96" s="1"/>
  <c r="E352" i="96"/>
  <c r="H413" i="52"/>
  <c r="H435" i="52"/>
  <c r="I185" i="52"/>
  <c r="I207" i="52"/>
  <c r="D352" i="96"/>
  <c r="D355" i="96"/>
  <c r="D364" i="96" s="1"/>
  <c r="C352" i="96"/>
  <c r="C355" i="96"/>
  <c r="C364" i="96" s="1"/>
  <c r="G203" i="88"/>
  <c r="G212" i="88" s="1"/>
  <c r="G200" i="88"/>
  <c r="E441" i="92"/>
  <c r="D441" i="92"/>
  <c r="F441" i="92"/>
  <c r="C441" i="92"/>
  <c r="H341" i="92"/>
  <c r="H338" i="92"/>
  <c r="H339" i="92" s="1"/>
  <c r="H340" i="92" s="1"/>
  <c r="G276" i="96"/>
  <c r="G279" i="96"/>
  <c r="G288" i="96" s="1"/>
  <c r="G289" i="96" s="1"/>
  <c r="AL424" i="96"/>
  <c r="C289" i="96"/>
  <c r="D289" i="96"/>
  <c r="F289" i="96"/>
  <c r="E289" i="96"/>
  <c r="G279" i="52"/>
  <c r="G288" i="52" s="1"/>
  <c r="G276" i="52"/>
  <c r="F355" i="96"/>
  <c r="F364" i="96" s="1"/>
  <c r="F352" i="96"/>
  <c r="E428" i="96"/>
  <c r="E431" i="96"/>
  <c r="E440" i="96" s="1"/>
  <c r="H265" i="88"/>
  <c r="H262" i="88"/>
  <c r="H263" i="88" s="1"/>
  <c r="H264" i="88" s="1"/>
  <c r="I265" i="52"/>
  <c r="I262" i="52"/>
  <c r="I263" i="52" s="1"/>
  <c r="I264" i="52" s="1"/>
  <c r="G137" i="88"/>
  <c r="G200" i="52"/>
  <c r="G203" i="52"/>
  <c r="G212" i="52" s="1"/>
  <c r="U424" i="96"/>
  <c r="H189" i="96"/>
  <c r="H186" i="96"/>
  <c r="H187" i="96" s="1"/>
  <c r="H188" i="96" s="1"/>
  <c r="I185" i="88"/>
  <c r="I207" i="88"/>
  <c r="F428" i="96"/>
  <c r="F431" i="96"/>
  <c r="F440" i="96" s="1"/>
  <c r="C428" i="88"/>
  <c r="C431" i="88"/>
  <c r="C440" i="88" s="1"/>
  <c r="D431" i="96"/>
  <c r="D440" i="96" s="1"/>
  <c r="D428" i="96"/>
  <c r="C424" i="96"/>
  <c r="F426" i="96" s="1"/>
  <c r="H113" i="96"/>
  <c r="H110" i="96"/>
  <c r="H111" i="96" s="1"/>
  <c r="H112" i="96" s="1"/>
  <c r="M324" i="88"/>
  <c r="M325" i="88" s="1"/>
  <c r="O224" i="88"/>
  <c r="O300" i="88" s="1"/>
  <c r="L412" i="96"/>
  <c r="O300" i="96"/>
  <c r="O248" i="96"/>
  <c r="O249" i="96" s="1"/>
  <c r="N184" i="96"/>
  <c r="N376" i="96"/>
  <c r="N400" i="96" s="1"/>
  <c r="N401" i="96" s="1"/>
  <c r="N324" i="96"/>
  <c r="N325" i="96" s="1"/>
  <c r="P224" i="92"/>
  <c r="P172" i="92"/>
  <c r="P173" i="92" s="1"/>
  <c r="N184" i="92"/>
  <c r="L412" i="92"/>
  <c r="P148" i="88"/>
  <c r="P172" i="88" s="1"/>
  <c r="P173" i="88" s="1"/>
  <c r="N376" i="88"/>
  <c r="N400" i="88" s="1"/>
  <c r="N401" i="88" s="1"/>
  <c r="N324" i="88"/>
  <c r="N325" i="88" s="1"/>
  <c r="N184" i="88"/>
  <c r="O108" i="88"/>
  <c r="P96" i="52"/>
  <c r="P97" i="52" s="1"/>
  <c r="P148" i="52"/>
  <c r="M376" i="52"/>
  <c r="M400" i="52" s="1"/>
  <c r="M401" i="52" s="1"/>
  <c r="M324" i="52"/>
  <c r="M325" i="52" s="1"/>
  <c r="L260" i="52"/>
  <c r="N300" i="52"/>
  <c r="N248" i="52"/>
  <c r="N249" i="52" s="1"/>
  <c r="O224" i="52"/>
  <c r="O172" i="52"/>
  <c r="O173" i="52" s="1"/>
  <c r="J109" i="52"/>
  <c r="J131" i="52"/>
  <c r="I110" i="52"/>
  <c r="I111" i="52" s="1"/>
  <c r="I112" i="52" s="1"/>
  <c r="I113" i="52"/>
  <c r="H124" i="52"/>
  <c r="H127" i="52"/>
  <c r="N324" i="92" l="1"/>
  <c r="N325" i="92" s="1"/>
  <c r="N332" i="92" s="1"/>
  <c r="N335" i="92" s="1"/>
  <c r="N285" i="96"/>
  <c r="N286" i="96" s="1"/>
  <c r="M206" i="96"/>
  <c r="K335" i="92"/>
  <c r="K336" i="92" s="1"/>
  <c r="O209" i="96"/>
  <c r="O210" i="96" s="1"/>
  <c r="O104" i="96"/>
  <c r="O107" i="96" s="1"/>
  <c r="O108" i="96" s="1"/>
  <c r="O248" i="92"/>
  <c r="O249" i="92" s="1"/>
  <c r="O256" i="92" s="1"/>
  <c r="O259" i="92" s="1"/>
  <c r="O104" i="92"/>
  <c r="O107" i="92" s="1"/>
  <c r="O108" i="92" s="1"/>
  <c r="X84" i="92"/>
  <c r="X388" i="92" s="1"/>
  <c r="W160" i="92"/>
  <c r="W312" i="92"/>
  <c r="W236" i="92"/>
  <c r="G428" i="92"/>
  <c r="P104" i="92"/>
  <c r="P107" i="92" s="1"/>
  <c r="P108" i="92" s="1"/>
  <c r="C364" i="88"/>
  <c r="F365" i="88" s="1"/>
  <c r="Q72" i="96"/>
  <c r="Q148" i="96" s="1"/>
  <c r="Q224" i="96" s="1"/>
  <c r="Q300" i="96" s="1"/>
  <c r="Q72" i="92"/>
  <c r="Q96" i="92" s="1"/>
  <c r="Q97" i="92" s="1"/>
  <c r="Q133" i="92" s="1"/>
  <c r="Q134" i="92" s="1"/>
  <c r="G355" i="92"/>
  <c r="G364" i="92" s="1"/>
  <c r="G365" i="92" s="1"/>
  <c r="O127" i="14"/>
  <c r="P75" i="14"/>
  <c r="P77" i="14" s="1"/>
  <c r="P62" i="14"/>
  <c r="P64" i="14" s="1"/>
  <c r="P50" i="14"/>
  <c r="AG164" i="96"/>
  <c r="AG316" i="96"/>
  <c r="AH88" i="96"/>
  <c r="AH392" i="96" s="1"/>
  <c r="AG240" i="96"/>
  <c r="J310" i="92"/>
  <c r="J320" i="92" s="1"/>
  <c r="J386" i="92"/>
  <c r="J396" i="92" s="1"/>
  <c r="AR318" i="88"/>
  <c r="AR394" i="88"/>
  <c r="AS318" i="96"/>
  <c r="AS394" i="96"/>
  <c r="AR318" i="92"/>
  <c r="AR394" i="92"/>
  <c r="AA314" i="92"/>
  <c r="AA390" i="92"/>
  <c r="AR318" i="96"/>
  <c r="AR394" i="96"/>
  <c r="AA314" i="96"/>
  <c r="AA390" i="96"/>
  <c r="P114" i="14"/>
  <c r="J310" i="96"/>
  <c r="J320" i="96" s="1"/>
  <c r="J386" i="96"/>
  <c r="J396" i="96" s="1"/>
  <c r="Z314" i="88"/>
  <c r="Z390" i="88"/>
  <c r="AR318" i="52"/>
  <c r="AR394" i="52"/>
  <c r="AC314" i="52"/>
  <c r="AC390" i="52"/>
  <c r="K310" i="52"/>
  <c r="K320" i="52" s="1"/>
  <c r="K386" i="52"/>
  <c r="K396" i="52" s="1"/>
  <c r="J310" i="88"/>
  <c r="J320" i="88" s="1"/>
  <c r="J386" i="88"/>
  <c r="J396" i="88" s="1"/>
  <c r="G279" i="92"/>
  <c r="G288" i="92" s="1"/>
  <c r="G289" i="92" s="1"/>
  <c r="H213" i="92"/>
  <c r="G200" i="92"/>
  <c r="AR166" i="96"/>
  <c r="AR242" i="96"/>
  <c r="AR242" i="88"/>
  <c r="AR166" i="88"/>
  <c r="AS90" i="88"/>
  <c r="AH240" i="92"/>
  <c r="AH316" i="92"/>
  <c r="AG240" i="88"/>
  <c r="AG316" i="88"/>
  <c r="AG240" i="52"/>
  <c r="AG316" i="52"/>
  <c r="V236" i="96"/>
  <c r="V312" i="96"/>
  <c r="V236" i="88"/>
  <c r="V312" i="88"/>
  <c r="V236" i="52"/>
  <c r="V312" i="52"/>
  <c r="AR166" i="92"/>
  <c r="AR242" i="92"/>
  <c r="AS166" i="96"/>
  <c r="AS242" i="96"/>
  <c r="J158" i="88"/>
  <c r="J168" i="88" s="1"/>
  <c r="J234" i="88"/>
  <c r="J244" i="88" s="1"/>
  <c r="AA162" i="92"/>
  <c r="AA238" i="92"/>
  <c r="J158" i="92"/>
  <c r="J168" i="92" s="1"/>
  <c r="J234" i="92"/>
  <c r="J244" i="92" s="1"/>
  <c r="K158" i="52"/>
  <c r="K168" i="52" s="1"/>
  <c r="K234" i="52"/>
  <c r="K244" i="52" s="1"/>
  <c r="J158" i="96"/>
  <c r="J168" i="96" s="1"/>
  <c r="J234" i="96"/>
  <c r="J244" i="96" s="1"/>
  <c r="Z162" i="88"/>
  <c r="Z238" i="88"/>
  <c r="AR166" i="52"/>
  <c r="AR242" i="52"/>
  <c r="AA162" i="96"/>
  <c r="AA238" i="96"/>
  <c r="AC162" i="52"/>
  <c r="AC238" i="52"/>
  <c r="AI88" i="92"/>
  <c r="AI392" i="92" s="1"/>
  <c r="AH164" i="92"/>
  <c r="AH88" i="88"/>
  <c r="AH392" i="88" s="1"/>
  <c r="AG164" i="88"/>
  <c r="AH88" i="52"/>
  <c r="AH392" i="52" s="1"/>
  <c r="AG164" i="52"/>
  <c r="W84" i="96"/>
  <c r="W388" i="96" s="1"/>
  <c r="V160" i="96"/>
  <c r="W84" i="88"/>
  <c r="W388" i="88" s="1"/>
  <c r="V160" i="88"/>
  <c r="W84" i="52"/>
  <c r="W388" i="52" s="1"/>
  <c r="V160" i="52"/>
  <c r="L82" i="52"/>
  <c r="K92" i="52"/>
  <c r="K82" i="96"/>
  <c r="J92" i="96"/>
  <c r="K82" i="92"/>
  <c r="J92" i="92"/>
  <c r="K82" i="88"/>
  <c r="J92" i="88"/>
  <c r="P172" i="96"/>
  <c r="P173" i="96" s="1"/>
  <c r="P180" i="96" s="1"/>
  <c r="P206" i="96" s="1"/>
  <c r="Q135" i="14"/>
  <c r="R38" i="14"/>
  <c r="R72" i="14" s="1"/>
  <c r="AS90" i="92"/>
  <c r="AB86" i="92"/>
  <c r="AS90" i="52"/>
  <c r="AB86" i="96"/>
  <c r="AA86" i="88"/>
  <c r="AT90" i="96"/>
  <c r="AD86" i="52"/>
  <c r="M434" i="88"/>
  <c r="N259" i="92"/>
  <c r="N260" i="92" s="1"/>
  <c r="N282" i="96"/>
  <c r="M335" i="96"/>
  <c r="M336" i="96" s="1"/>
  <c r="O183" i="96"/>
  <c r="O184" i="96" s="1"/>
  <c r="M282" i="52"/>
  <c r="M438" i="92"/>
  <c r="D60" i="92" s="1"/>
  <c r="D59" i="92"/>
  <c r="L335" i="52"/>
  <c r="L336" i="52" s="1"/>
  <c r="M362" i="92"/>
  <c r="D55" i="92" s="1"/>
  <c r="D54" i="92"/>
  <c r="M438" i="96"/>
  <c r="D60" i="96" s="1"/>
  <c r="D59" i="96"/>
  <c r="M286" i="96"/>
  <c r="D50" i="96" s="1"/>
  <c r="D49" i="96"/>
  <c r="M362" i="96"/>
  <c r="D55" i="96" s="1"/>
  <c r="D54" i="96"/>
  <c r="M286" i="52"/>
  <c r="D50" i="52" s="1"/>
  <c r="D49" i="52"/>
  <c r="P107" i="96"/>
  <c r="P108" i="96" s="1"/>
  <c r="M438" i="88"/>
  <c r="D60" i="88" s="1"/>
  <c r="D59" i="88"/>
  <c r="M358" i="92"/>
  <c r="O107" i="52"/>
  <c r="O108" i="52" s="1"/>
  <c r="M411" i="92"/>
  <c r="M412" i="92" s="1"/>
  <c r="N206" i="52"/>
  <c r="P130" i="88"/>
  <c r="O206" i="88"/>
  <c r="N259" i="88"/>
  <c r="N260" i="88" s="1"/>
  <c r="M411" i="96"/>
  <c r="M412" i="96" s="1"/>
  <c r="N408" i="88"/>
  <c r="N434" i="88" s="1"/>
  <c r="N437" i="88"/>
  <c r="N438" i="88" s="1"/>
  <c r="P180" i="88"/>
  <c r="P206" i="88" s="1"/>
  <c r="P209" i="88"/>
  <c r="P210" i="88" s="1"/>
  <c r="N332" i="88"/>
  <c r="N335" i="88" s="1"/>
  <c r="N361" i="88"/>
  <c r="N362" i="88" s="1"/>
  <c r="P180" i="92"/>
  <c r="P183" i="92" s="1"/>
  <c r="P209" i="92"/>
  <c r="P210" i="92" s="1"/>
  <c r="O206" i="92"/>
  <c r="N332" i="96"/>
  <c r="N335" i="96" s="1"/>
  <c r="N361" i="96"/>
  <c r="N362" i="96" s="1"/>
  <c r="N256" i="52"/>
  <c r="N259" i="52" s="1"/>
  <c r="N285" i="52"/>
  <c r="N286" i="52" s="1"/>
  <c r="Q104" i="88"/>
  <c r="Q130" i="88" s="1"/>
  <c r="Q133" i="88"/>
  <c r="Q134" i="88" s="1"/>
  <c r="M332" i="52"/>
  <c r="M335" i="52" s="1"/>
  <c r="M336" i="52" s="1"/>
  <c r="M361" i="52"/>
  <c r="P104" i="52"/>
  <c r="P130" i="52" s="1"/>
  <c r="P133" i="52"/>
  <c r="P134" i="52" s="1"/>
  <c r="N408" i="96"/>
  <c r="N411" i="96" s="1"/>
  <c r="N437" i="96"/>
  <c r="N438" i="96" s="1"/>
  <c r="O180" i="52"/>
  <c r="O206" i="52" s="1"/>
  <c r="O209" i="52"/>
  <c r="O210" i="52" s="1"/>
  <c r="L411" i="52"/>
  <c r="L412" i="52" s="1"/>
  <c r="M408" i="52"/>
  <c r="M411" i="52" s="1"/>
  <c r="M437" i="52"/>
  <c r="N408" i="92"/>
  <c r="N411" i="92" s="1"/>
  <c r="N437" i="92"/>
  <c r="N438" i="92" s="1"/>
  <c r="O256" i="96"/>
  <c r="O282" i="96" s="1"/>
  <c r="O285" i="96"/>
  <c r="O286" i="96" s="1"/>
  <c r="M332" i="88"/>
  <c r="M358" i="88" s="1"/>
  <c r="M361" i="88"/>
  <c r="J185" i="92"/>
  <c r="J186" i="92" s="1"/>
  <c r="J187" i="92" s="1"/>
  <c r="J188" i="92" s="1"/>
  <c r="I186" i="92"/>
  <c r="I187" i="92" s="1"/>
  <c r="I188" i="92" s="1"/>
  <c r="I190" i="92" s="1"/>
  <c r="I203" i="92" s="1"/>
  <c r="I212" i="92" s="1"/>
  <c r="Q148" i="88"/>
  <c r="R72" i="88"/>
  <c r="R96" i="88" s="1"/>
  <c r="R97" i="88" s="1"/>
  <c r="R72" i="52"/>
  <c r="R148" i="52" s="1"/>
  <c r="Q111" i="14"/>
  <c r="Q125" i="14" s="1"/>
  <c r="R101" i="14"/>
  <c r="Q122" i="14"/>
  <c r="H110" i="92"/>
  <c r="H111" i="92" s="1"/>
  <c r="H112" i="92" s="1"/>
  <c r="H113" i="92"/>
  <c r="P138" i="14"/>
  <c r="P125" i="14"/>
  <c r="Q96" i="52"/>
  <c r="Q97" i="52" s="1"/>
  <c r="I261" i="88"/>
  <c r="I262" i="88" s="1"/>
  <c r="I263" i="88" s="1"/>
  <c r="I264" i="88" s="1"/>
  <c r="H359" i="88"/>
  <c r="I359" i="88"/>
  <c r="G355" i="96"/>
  <c r="G364" i="96" s="1"/>
  <c r="G365" i="96" s="1"/>
  <c r="H279" i="52"/>
  <c r="H288" i="52" s="1"/>
  <c r="H289" i="52" s="1"/>
  <c r="I266" i="52"/>
  <c r="I279" i="52" s="1"/>
  <c r="I288" i="52" s="1"/>
  <c r="I359" i="52"/>
  <c r="I131" i="88"/>
  <c r="I109" i="88"/>
  <c r="G428" i="96"/>
  <c r="G203" i="96"/>
  <c r="G212" i="96" s="1"/>
  <c r="G213" i="96" s="1"/>
  <c r="Q72" i="14"/>
  <c r="J261" i="52"/>
  <c r="J265" i="52" s="1"/>
  <c r="H200" i="52"/>
  <c r="G127" i="96"/>
  <c r="G136" i="96" s="1"/>
  <c r="G137" i="96" s="1"/>
  <c r="Q48" i="14"/>
  <c r="Q75" i="14" s="1"/>
  <c r="Q59" i="14"/>
  <c r="H124" i="88"/>
  <c r="O248" i="88"/>
  <c r="O249" i="88" s="1"/>
  <c r="H203" i="88"/>
  <c r="H212" i="88" s="1"/>
  <c r="H213" i="88" s="1"/>
  <c r="H342" i="92"/>
  <c r="H352" i="92" s="1"/>
  <c r="H114" i="96"/>
  <c r="H127" i="96" s="1"/>
  <c r="H136" i="96" s="1"/>
  <c r="H213" i="52"/>
  <c r="I435" i="52"/>
  <c r="J185" i="52"/>
  <c r="J207" i="52"/>
  <c r="I189" i="88"/>
  <c r="I186" i="88"/>
  <c r="I187" i="88" s="1"/>
  <c r="I188" i="88" s="1"/>
  <c r="H190" i="96"/>
  <c r="H337" i="96"/>
  <c r="H359" i="96"/>
  <c r="H413" i="88"/>
  <c r="H435" i="88"/>
  <c r="G289" i="52"/>
  <c r="I337" i="92"/>
  <c r="I359" i="92"/>
  <c r="G213" i="88"/>
  <c r="F365" i="96"/>
  <c r="D365" i="96"/>
  <c r="E365" i="96"/>
  <c r="C365" i="96"/>
  <c r="H342" i="52"/>
  <c r="J185" i="88"/>
  <c r="J207" i="88"/>
  <c r="I265" i="92"/>
  <c r="I262" i="92"/>
  <c r="I263" i="92" s="1"/>
  <c r="I264" i="92" s="1"/>
  <c r="H413" i="92"/>
  <c r="H435" i="92"/>
  <c r="C428" i="96"/>
  <c r="C431" i="96"/>
  <c r="C440" i="96" s="1"/>
  <c r="I109" i="96"/>
  <c r="I131" i="96"/>
  <c r="I189" i="52"/>
  <c r="I186" i="52"/>
  <c r="I187" i="52" s="1"/>
  <c r="I188" i="52" s="1"/>
  <c r="H417" i="52"/>
  <c r="H414" i="52"/>
  <c r="H415" i="52" s="1"/>
  <c r="H416" i="52" s="1"/>
  <c r="H276" i="92"/>
  <c r="H279" i="92"/>
  <c r="H288" i="92" s="1"/>
  <c r="I185" i="96"/>
  <c r="I207" i="96"/>
  <c r="E441" i="88"/>
  <c r="C441" i="88"/>
  <c r="D441" i="88"/>
  <c r="F441" i="88"/>
  <c r="G441" i="88"/>
  <c r="G213" i="52"/>
  <c r="H266" i="88"/>
  <c r="I261" i="96"/>
  <c r="I283" i="96"/>
  <c r="H265" i="96"/>
  <c r="H262" i="96"/>
  <c r="H263" i="96" s="1"/>
  <c r="H264" i="96" s="1"/>
  <c r="H341" i="88"/>
  <c r="H338" i="88"/>
  <c r="H339" i="88" s="1"/>
  <c r="H340" i="88" s="1"/>
  <c r="N260" i="96"/>
  <c r="O376" i="96"/>
  <c r="O400" i="96" s="1"/>
  <c r="O401" i="96" s="1"/>
  <c r="O324" i="96"/>
  <c r="O325" i="96" s="1"/>
  <c r="P300" i="96"/>
  <c r="P248" i="96"/>
  <c r="P249" i="96" s="1"/>
  <c r="P224" i="88"/>
  <c r="P248" i="88" s="1"/>
  <c r="P249" i="88" s="1"/>
  <c r="P300" i="92"/>
  <c r="P248" i="92"/>
  <c r="P249" i="92" s="1"/>
  <c r="O376" i="92"/>
  <c r="O400" i="92" s="1"/>
  <c r="O401" i="92" s="1"/>
  <c r="O324" i="92"/>
  <c r="O325" i="92" s="1"/>
  <c r="M336" i="92"/>
  <c r="O184" i="92"/>
  <c r="O184" i="88"/>
  <c r="O376" i="88"/>
  <c r="O400" i="88" s="1"/>
  <c r="O401" i="88" s="1"/>
  <c r="O324" i="88"/>
  <c r="O325" i="88" s="1"/>
  <c r="M412" i="88"/>
  <c r="P108" i="88"/>
  <c r="Q172" i="52"/>
  <c r="Q173" i="52" s="1"/>
  <c r="Q224" i="52"/>
  <c r="N184" i="52"/>
  <c r="N376" i="52"/>
  <c r="N400" i="52" s="1"/>
  <c r="N401" i="52" s="1"/>
  <c r="N324" i="52"/>
  <c r="N325" i="52" s="1"/>
  <c r="P172" i="52"/>
  <c r="P173" i="52" s="1"/>
  <c r="P224" i="52"/>
  <c r="O300" i="52"/>
  <c r="O248" i="52"/>
  <c r="O249" i="52" s="1"/>
  <c r="J113" i="52"/>
  <c r="J110" i="52"/>
  <c r="J111" i="52" s="1"/>
  <c r="J112" i="52" s="1"/>
  <c r="K109" i="52"/>
  <c r="K131" i="52"/>
  <c r="I114" i="52"/>
  <c r="I124" i="52" s="1"/>
  <c r="H136" i="52"/>
  <c r="H137" i="52" s="1"/>
  <c r="N361" i="92" l="1"/>
  <c r="N362" i="92" s="1"/>
  <c r="O285" i="92"/>
  <c r="O286" i="92" s="1"/>
  <c r="O130" i="96"/>
  <c r="O130" i="92"/>
  <c r="Y84" i="92"/>
  <c r="Y388" i="92" s="1"/>
  <c r="X312" i="92"/>
  <c r="X160" i="92"/>
  <c r="X236" i="92"/>
  <c r="P130" i="92"/>
  <c r="Q248" i="96"/>
  <c r="Q249" i="96" s="1"/>
  <c r="Q256" i="96" s="1"/>
  <c r="Q259" i="96" s="1"/>
  <c r="Q104" i="92"/>
  <c r="Q130" i="92" s="1"/>
  <c r="Q96" i="96"/>
  <c r="Q97" i="96" s="1"/>
  <c r="Q104" i="96" s="1"/>
  <c r="Q107" i="96" s="1"/>
  <c r="Q108" i="96" s="1"/>
  <c r="D365" i="88"/>
  <c r="G365" i="88"/>
  <c r="R72" i="96"/>
  <c r="R96" i="96" s="1"/>
  <c r="R97" i="96" s="1"/>
  <c r="R133" i="96" s="1"/>
  <c r="E39" i="96" s="1"/>
  <c r="E365" i="88"/>
  <c r="R72" i="92"/>
  <c r="R96" i="92" s="1"/>
  <c r="R97" i="92" s="1"/>
  <c r="R104" i="92" s="1"/>
  <c r="R130" i="92" s="1"/>
  <c r="C365" i="88"/>
  <c r="Q172" i="96"/>
  <c r="Q173" i="96" s="1"/>
  <c r="Q180" i="96" s="1"/>
  <c r="Q206" i="96" s="1"/>
  <c r="AH240" i="96"/>
  <c r="Q148" i="92"/>
  <c r="Q224" i="92" s="1"/>
  <c r="Q300" i="92" s="1"/>
  <c r="Q376" i="92" s="1"/>
  <c r="Q400" i="92" s="1"/>
  <c r="Q401" i="92" s="1"/>
  <c r="AI88" i="96"/>
  <c r="AI392" i="96" s="1"/>
  <c r="R48" i="14"/>
  <c r="R51" i="14" s="1"/>
  <c r="R59" i="14"/>
  <c r="AH164" i="96"/>
  <c r="AH316" i="96"/>
  <c r="P140" i="14"/>
  <c r="P127" i="14"/>
  <c r="S72" i="92" s="1"/>
  <c r="S148" i="92" s="1"/>
  <c r="S172" i="92" s="1"/>
  <c r="S173" i="92" s="1"/>
  <c r="S38" i="14"/>
  <c r="T38" i="14" s="1"/>
  <c r="Q51" i="14"/>
  <c r="AS318" i="92"/>
  <c r="AS394" i="92"/>
  <c r="K310" i="88"/>
  <c r="K320" i="88" s="1"/>
  <c r="K386" i="88"/>
  <c r="K396" i="88" s="1"/>
  <c r="K310" i="92"/>
  <c r="K320" i="92" s="1"/>
  <c r="K386" i="92"/>
  <c r="K396" i="92" s="1"/>
  <c r="K310" i="96"/>
  <c r="K320" i="96" s="1"/>
  <c r="K386" i="96"/>
  <c r="K396" i="96" s="1"/>
  <c r="AD314" i="52"/>
  <c r="AD390" i="52"/>
  <c r="AT318" i="96"/>
  <c r="AT394" i="96"/>
  <c r="AB314" i="96"/>
  <c r="AB390" i="96"/>
  <c r="AB314" i="92"/>
  <c r="AB390" i="92"/>
  <c r="L310" i="52"/>
  <c r="L320" i="52" s="1"/>
  <c r="L386" i="52"/>
  <c r="L396" i="52" s="1"/>
  <c r="AS318" i="88"/>
  <c r="AS394" i="88"/>
  <c r="AA314" i="88"/>
  <c r="AA390" i="88"/>
  <c r="AS318" i="52"/>
  <c r="AS394" i="52"/>
  <c r="AT90" i="88"/>
  <c r="AS242" i="88"/>
  <c r="AS166" i="88"/>
  <c r="W236" i="52"/>
  <c r="W312" i="52"/>
  <c r="W236" i="96"/>
  <c r="W312" i="96"/>
  <c r="AH240" i="88"/>
  <c r="AH316" i="88"/>
  <c r="AI240" i="92"/>
  <c r="AI316" i="92"/>
  <c r="W236" i="88"/>
  <c r="W312" i="88"/>
  <c r="AH240" i="52"/>
  <c r="AH316" i="52"/>
  <c r="AD162" i="52"/>
  <c r="AD238" i="52"/>
  <c r="K158" i="92"/>
  <c r="K168" i="92" s="1"/>
  <c r="K234" i="92"/>
  <c r="K244" i="92" s="1"/>
  <c r="K158" i="96"/>
  <c r="K168" i="96" s="1"/>
  <c r="K234" i="96"/>
  <c r="K244" i="96" s="1"/>
  <c r="L158" i="52"/>
  <c r="L168" i="52" s="1"/>
  <c r="L234" i="52"/>
  <c r="L244" i="52" s="1"/>
  <c r="AS166" i="52"/>
  <c r="AS242" i="52"/>
  <c r="AT166" i="96"/>
  <c r="AT242" i="96"/>
  <c r="AB162" i="96"/>
  <c r="AB238" i="96"/>
  <c r="AB162" i="92"/>
  <c r="AB238" i="92"/>
  <c r="K158" i="88"/>
  <c r="K168" i="88" s="1"/>
  <c r="K234" i="88"/>
  <c r="K244" i="88" s="1"/>
  <c r="AA162" i="88"/>
  <c r="AA238" i="88"/>
  <c r="AS166" i="92"/>
  <c r="AS242" i="92"/>
  <c r="AI88" i="52"/>
  <c r="AI392" i="52" s="1"/>
  <c r="AH164" i="52"/>
  <c r="X84" i="88"/>
  <c r="X388" i="88" s="1"/>
  <c r="W160" i="88"/>
  <c r="X84" i="52"/>
  <c r="X388" i="52" s="1"/>
  <c r="W160" i="52"/>
  <c r="X84" i="96"/>
  <c r="X388" i="96" s="1"/>
  <c r="W160" i="96"/>
  <c r="AI88" i="88"/>
  <c r="AI392" i="88" s="1"/>
  <c r="AH164" i="88"/>
  <c r="AJ88" i="92"/>
  <c r="AJ392" i="92" s="1"/>
  <c r="AI164" i="92"/>
  <c r="P209" i="96"/>
  <c r="P210" i="96" s="1"/>
  <c r="L82" i="88"/>
  <c r="K92" i="88"/>
  <c r="M82" i="52"/>
  <c r="L92" i="52"/>
  <c r="L82" i="92"/>
  <c r="K92" i="92"/>
  <c r="L82" i="96"/>
  <c r="K92" i="96"/>
  <c r="R111" i="14"/>
  <c r="R113" i="14" s="1"/>
  <c r="Q50" i="14"/>
  <c r="Q114" i="14"/>
  <c r="Q113" i="14"/>
  <c r="AB86" i="88"/>
  <c r="AE86" i="52"/>
  <c r="AC86" i="96"/>
  <c r="AC86" i="92"/>
  <c r="AT90" i="52"/>
  <c r="AT90" i="92"/>
  <c r="J109" i="96"/>
  <c r="P206" i="92"/>
  <c r="O259" i="96"/>
  <c r="O260" i="96" s="1"/>
  <c r="M362" i="52"/>
  <c r="D55" i="52" s="1"/>
  <c r="D54" i="52"/>
  <c r="M438" i="52"/>
  <c r="D60" i="52" s="1"/>
  <c r="D59" i="52"/>
  <c r="M362" i="88"/>
  <c r="D55" i="88" s="1"/>
  <c r="D54" i="88"/>
  <c r="P107" i="52"/>
  <c r="P108" i="52" s="1"/>
  <c r="M358" i="52"/>
  <c r="O183" i="52"/>
  <c r="O184" i="52" s="1"/>
  <c r="N434" i="96"/>
  <c r="N358" i="96"/>
  <c r="N282" i="52"/>
  <c r="N358" i="88"/>
  <c r="N434" i="92"/>
  <c r="N358" i="92"/>
  <c r="P183" i="96"/>
  <c r="P184" i="96" s="1"/>
  <c r="M335" i="88"/>
  <c r="M336" i="88" s="1"/>
  <c r="O282" i="92"/>
  <c r="N411" i="88"/>
  <c r="N412" i="88" s="1"/>
  <c r="M434" i="52"/>
  <c r="Q107" i="88"/>
  <c r="Q108" i="88" s="1"/>
  <c r="N332" i="52"/>
  <c r="N358" i="52" s="1"/>
  <c r="N361" i="52"/>
  <c r="N362" i="52" s="1"/>
  <c r="Q180" i="52"/>
  <c r="Q183" i="52" s="1"/>
  <c r="Q209" i="52"/>
  <c r="Q210" i="52" s="1"/>
  <c r="Q104" i="52"/>
  <c r="Q130" i="52" s="1"/>
  <c r="Q133" i="52"/>
  <c r="Q134" i="52" s="1"/>
  <c r="O256" i="52"/>
  <c r="O259" i="52" s="1"/>
  <c r="O285" i="52"/>
  <c r="O286" i="52" s="1"/>
  <c r="P183" i="88"/>
  <c r="P184" i="88" s="1"/>
  <c r="O332" i="88"/>
  <c r="O335" i="88" s="1"/>
  <c r="O361" i="88"/>
  <c r="O362" i="88" s="1"/>
  <c r="P256" i="92"/>
  <c r="P259" i="92" s="1"/>
  <c r="P285" i="92"/>
  <c r="P286" i="92" s="1"/>
  <c r="O408" i="96"/>
  <c r="O411" i="96" s="1"/>
  <c r="O437" i="96"/>
  <c r="O438" i="96" s="1"/>
  <c r="P180" i="52"/>
  <c r="P183" i="52" s="1"/>
  <c r="P209" i="52"/>
  <c r="P210" i="52" s="1"/>
  <c r="O408" i="88"/>
  <c r="O411" i="88" s="1"/>
  <c r="O437" i="88"/>
  <c r="O438" i="88" s="1"/>
  <c r="N408" i="52"/>
  <c r="N411" i="52" s="1"/>
  <c r="N437" i="52"/>
  <c r="N438" i="52" s="1"/>
  <c r="O332" i="92"/>
  <c r="O358" i="92" s="1"/>
  <c r="O361" i="92"/>
  <c r="O362" i="92" s="1"/>
  <c r="R104" i="88"/>
  <c r="R107" i="88" s="1"/>
  <c r="R108" i="88" s="1"/>
  <c r="R133" i="88"/>
  <c r="E39" i="88" s="1"/>
  <c r="P256" i="96"/>
  <c r="P259" i="96" s="1"/>
  <c r="P285" i="96"/>
  <c r="P286" i="96" s="1"/>
  <c r="O408" i="92"/>
  <c r="O411" i="92" s="1"/>
  <c r="O437" i="92"/>
  <c r="O438" i="92" s="1"/>
  <c r="P256" i="88"/>
  <c r="P282" i="88" s="1"/>
  <c r="P285" i="88"/>
  <c r="P286" i="88" s="1"/>
  <c r="O332" i="96"/>
  <c r="O358" i="96" s="1"/>
  <c r="O361" i="96"/>
  <c r="O362" i="96" s="1"/>
  <c r="O256" i="88"/>
  <c r="O259" i="88" s="1"/>
  <c r="O260" i="88" s="1"/>
  <c r="O285" i="88"/>
  <c r="O286" i="88" s="1"/>
  <c r="J189" i="92"/>
  <c r="J190" i="92" s="1"/>
  <c r="K185" i="92"/>
  <c r="K186" i="92" s="1"/>
  <c r="K187" i="92" s="1"/>
  <c r="K188" i="92" s="1"/>
  <c r="I200" i="92"/>
  <c r="R148" i="88"/>
  <c r="Q138" i="14"/>
  <c r="S72" i="88"/>
  <c r="S148" i="88" s="1"/>
  <c r="S172" i="88" s="1"/>
  <c r="S173" i="88" s="1"/>
  <c r="S72" i="52"/>
  <c r="S148" i="52" s="1"/>
  <c r="Q172" i="88"/>
  <c r="Q173" i="88" s="1"/>
  <c r="Q224" i="88"/>
  <c r="Q127" i="14"/>
  <c r="R135" i="14"/>
  <c r="S101" i="14"/>
  <c r="R122" i="14"/>
  <c r="H114" i="92"/>
  <c r="H127" i="92" s="1"/>
  <c r="H136" i="92" s="1"/>
  <c r="H137" i="92" s="1"/>
  <c r="I109" i="92"/>
  <c r="I131" i="92"/>
  <c r="I265" i="88"/>
  <c r="I266" i="88" s="1"/>
  <c r="J283" i="88"/>
  <c r="I337" i="88"/>
  <c r="I341" i="88" s="1"/>
  <c r="I289" i="52"/>
  <c r="J262" i="52"/>
  <c r="J263" i="52" s="1"/>
  <c r="J264" i="52" s="1"/>
  <c r="J266" i="52" s="1"/>
  <c r="J276" i="52" s="1"/>
  <c r="I337" i="52"/>
  <c r="I338" i="52" s="1"/>
  <c r="I339" i="52" s="1"/>
  <c r="I340" i="52" s="1"/>
  <c r="I276" i="52"/>
  <c r="Q77" i="14"/>
  <c r="Q62" i="14"/>
  <c r="Q64" i="14" s="1"/>
  <c r="I413" i="52"/>
  <c r="I417" i="52" s="1"/>
  <c r="I110" i="88"/>
  <c r="I111" i="88" s="1"/>
  <c r="I112" i="88" s="1"/>
  <c r="I113" i="88"/>
  <c r="I266" i="92"/>
  <c r="I276" i="92" s="1"/>
  <c r="I190" i="52"/>
  <c r="I203" i="52" s="1"/>
  <c r="I212" i="52" s="1"/>
  <c r="R96" i="52"/>
  <c r="R97" i="52" s="1"/>
  <c r="H355" i="92"/>
  <c r="H364" i="92" s="1"/>
  <c r="H365" i="92" s="1"/>
  <c r="H124" i="96"/>
  <c r="J207" i="96"/>
  <c r="I190" i="88"/>
  <c r="I203" i="88" s="1"/>
  <c r="I212" i="88" s="1"/>
  <c r="H342" i="88"/>
  <c r="H266" i="96"/>
  <c r="I189" i="96"/>
  <c r="I186" i="96"/>
  <c r="I187" i="96" s="1"/>
  <c r="I188" i="96" s="1"/>
  <c r="H418" i="52"/>
  <c r="I113" i="96"/>
  <c r="I110" i="96"/>
  <c r="I111" i="96" s="1"/>
  <c r="I112" i="96" s="1"/>
  <c r="J261" i="96"/>
  <c r="J283" i="96"/>
  <c r="F441" i="96"/>
  <c r="C441" i="96"/>
  <c r="D441" i="96"/>
  <c r="E441" i="96"/>
  <c r="G441" i="96"/>
  <c r="H352" i="52"/>
  <c r="H355" i="52"/>
  <c r="H364" i="52" s="1"/>
  <c r="I265" i="96"/>
  <c r="I262" i="96"/>
  <c r="I263" i="96" s="1"/>
  <c r="I264" i="96" s="1"/>
  <c r="J261" i="92"/>
  <c r="J283" i="92"/>
  <c r="I213" i="92"/>
  <c r="H279" i="88"/>
  <c r="H288" i="88" s="1"/>
  <c r="H276" i="88"/>
  <c r="H289" i="92"/>
  <c r="H417" i="92"/>
  <c r="H414" i="92"/>
  <c r="H415" i="92" s="1"/>
  <c r="H416" i="92" s="1"/>
  <c r="J189" i="88"/>
  <c r="J186" i="88"/>
  <c r="J187" i="88" s="1"/>
  <c r="J188" i="88" s="1"/>
  <c r="H341" i="96"/>
  <c r="H338" i="96"/>
  <c r="H339" i="96" s="1"/>
  <c r="H340" i="96" s="1"/>
  <c r="K261" i="52"/>
  <c r="K283" i="52"/>
  <c r="H203" i="96"/>
  <c r="H212" i="96" s="1"/>
  <c r="H200" i="96"/>
  <c r="H137" i="96"/>
  <c r="H413" i="96"/>
  <c r="H435" i="96"/>
  <c r="I341" i="92"/>
  <c r="I338" i="92"/>
  <c r="I339" i="92" s="1"/>
  <c r="I340" i="92" s="1"/>
  <c r="H417" i="88"/>
  <c r="H414" i="88"/>
  <c r="H415" i="88" s="1"/>
  <c r="H416" i="88" s="1"/>
  <c r="J189" i="52"/>
  <c r="J186" i="52"/>
  <c r="J187" i="52" s="1"/>
  <c r="J188" i="52" s="1"/>
  <c r="N412" i="96"/>
  <c r="N336" i="96"/>
  <c r="P376" i="96"/>
  <c r="P400" i="96" s="1"/>
  <c r="P401" i="96" s="1"/>
  <c r="P324" i="96"/>
  <c r="P325" i="96" s="1"/>
  <c r="Q376" i="96"/>
  <c r="Q400" i="96" s="1"/>
  <c r="Q401" i="96" s="1"/>
  <c r="Q324" i="96"/>
  <c r="Q325" i="96" s="1"/>
  <c r="P300" i="88"/>
  <c r="P376" i="88" s="1"/>
  <c r="P400" i="88" s="1"/>
  <c r="P401" i="88" s="1"/>
  <c r="P184" i="92"/>
  <c r="N336" i="92"/>
  <c r="O260" i="92"/>
  <c r="N412" i="92"/>
  <c r="P376" i="92"/>
  <c r="P400" i="92" s="1"/>
  <c r="P401" i="92" s="1"/>
  <c r="P324" i="92"/>
  <c r="P325" i="92" s="1"/>
  <c r="N336" i="88"/>
  <c r="N260" i="52"/>
  <c r="P300" i="52"/>
  <c r="P248" i="52"/>
  <c r="P249" i="52" s="1"/>
  <c r="O324" i="52"/>
  <c r="O325" i="52" s="1"/>
  <c r="O376" i="52"/>
  <c r="O400" i="52" s="1"/>
  <c r="O401" i="52" s="1"/>
  <c r="M412" i="52"/>
  <c r="R172" i="52"/>
  <c r="R173" i="52" s="1"/>
  <c r="R224" i="52"/>
  <c r="Q300" i="52"/>
  <c r="Q248" i="52"/>
  <c r="Q249" i="52" s="1"/>
  <c r="J114" i="52"/>
  <c r="J127" i="52" s="1"/>
  <c r="J136" i="52" s="1"/>
  <c r="I127" i="52"/>
  <c r="I136" i="52" s="1"/>
  <c r="I137" i="52" s="1"/>
  <c r="K113" i="52"/>
  <c r="K110" i="52"/>
  <c r="K111" i="52" s="1"/>
  <c r="K112" i="52" s="1"/>
  <c r="Y236" i="92" l="1"/>
  <c r="Z84" i="92"/>
  <c r="Z388" i="92" s="1"/>
  <c r="R104" i="96"/>
  <c r="R107" i="96" s="1"/>
  <c r="R108" i="96" s="1"/>
  <c r="Y160" i="92"/>
  <c r="Y312" i="92"/>
  <c r="Q285" i="96"/>
  <c r="Q286" i="96" s="1"/>
  <c r="Q209" i="96"/>
  <c r="Q210" i="96" s="1"/>
  <c r="Q107" i="92"/>
  <c r="Q108" i="92" s="1"/>
  <c r="Q172" i="92"/>
  <c r="Q173" i="92" s="1"/>
  <c r="Q180" i="92" s="1"/>
  <c r="Q206" i="92" s="1"/>
  <c r="Q133" i="96"/>
  <c r="Q134" i="96" s="1"/>
  <c r="R148" i="96"/>
  <c r="R172" i="96" s="1"/>
  <c r="R173" i="96" s="1"/>
  <c r="R180" i="96" s="1"/>
  <c r="R183" i="96" s="1"/>
  <c r="R184" i="96" s="1"/>
  <c r="R148" i="92"/>
  <c r="R172" i="92" s="1"/>
  <c r="R173" i="92" s="1"/>
  <c r="R133" i="92"/>
  <c r="E39" i="92" s="1"/>
  <c r="S72" i="96"/>
  <c r="S96" i="96" s="1"/>
  <c r="S97" i="96" s="1"/>
  <c r="S104" i="96" s="1"/>
  <c r="S107" i="96" s="1"/>
  <c r="S108" i="96" s="1"/>
  <c r="Q324" i="92"/>
  <c r="Q325" i="92" s="1"/>
  <c r="Q332" i="92" s="1"/>
  <c r="Q358" i="92" s="1"/>
  <c r="Q248" i="92"/>
  <c r="Q249" i="92" s="1"/>
  <c r="Q285" i="92" s="1"/>
  <c r="Q286" i="92" s="1"/>
  <c r="S72" i="14"/>
  <c r="S48" i="14"/>
  <c r="S51" i="14" s="1"/>
  <c r="AI164" i="96"/>
  <c r="AJ88" i="96"/>
  <c r="AJ392" i="96" s="1"/>
  <c r="R62" i="14"/>
  <c r="R64" i="14" s="1"/>
  <c r="U72" i="52" s="1"/>
  <c r="AI316" i="96"/>
  <c r="AI240" i="96"/>
  <c r="S59" i="14"/>
  <c r="R75" i="14"/>
  <c r="R77" i="14" s="1"/>
  <c r="R50" i="14"/>
  <c r="Q140" i="14"/>
  <c r="AE314" i="52"/>
  <c r="AE390" i="52"/>
  <c r="AB314" i="88"/>
  <c r="AB390" i="88"/>
  <c r="R114" i="14"/>
  <c r="L310" i="92"/>
  <c r="L320" i="92" s="1"/>
  <c r="L386" i="92"/>
  <c r="L396" i="92" s="1"/>
  <c r="M310" i="52"/>
  <c r="M320" i="52" s="1"/>
  <c r="M386" i="52"/>
  <c r="M396" i="52" s="1"/>
  <c r="L310" i="88"/>
  <c r="L320" i="88" s="1"/>
  <c r="L386" i="88"/>
  <c r="L396" i="88" s="1"/>
  <c r="AT318" i="52"/>
  <c r="AT394" i="52"/>
  <c r="AT318" i="88"/>
  <c r="AT394" i="88"/>
  <c r="AC314" i="92"/>
  <c r="AC390" i="92"/>
  <c r="L310" i="96"/>
  <c r="L320" i="96" s="1"/>
  <c r="L386" i="96"/>
  <c r="L396" i="96" s="1"/>
  <c r="R138" i="14"/>
  <c r="R125" i="14"/>
  <c r="AT318" i="92"/>
  <c r="AT394" i="92"/>
  <c r="AC314" i="96"/>
  <c r="AC390" i="96"/>
  <c r="AT166" i="88"/>
  <c r="AT242" i="88"/>
  <c r="AI240" i="88"/>
  <c r="AI316" i="88"/>
  <c r="X236" i="96"/>
  <c r="X312" i="96"/>
  <c r="X236" i="52"/>
  <c r="X312" i="52"/>
  <c r="X236" i="88"/>
  <c r="X312" i="88"/>
  <c r="AJ240" i="92"/>
  <c r="AJ316" i="92"/>
  <c r="AI240" i="52"/>
  <c r="AI316" i="52"/>
  <c r="AC162" i="92"/>
  <c r="AC238" i="92"/>
  <c r="L158" i="96"/>
  <c r="L168" i="96" s="1"/>
  <c r="L234" i="96"/>
  <c r="L244" i="96" s="1"/>
  <c r="AB162" i="88"/>
  <c r="AB238" i="88"/>
  <c r="AT166" i="92"/>
  <c r="AT242" i="92"/>
  <c r="AT166" i="52"/>
  <c r="AT242" i="52"/>
  <c r="AC162" i="96"/>
  <c r="AC238" i="96"/>
  <c r="AE162" i="52"/>
  <c r="AE238" i="52"/>
  <c r="L158" i="92"/>
  <c r="L168" i="92" s="1"/>
  <c r="L234" i="92"/>
  <c r="L244" i="92" s="1"/>
  <c r="M158" i="52"/>
  <c r="M168" i="52" s="1"/>
  <c r="M234" i="52"/>
  <c r="M244" i="52" s="1"/>
  <c r="L158" i="88"/>
  <c r="L168" i="88" s="1"/>
  <c r="L234" i="88"/>
  <c r="L244" i="88" s="1"/>
  <c r="AJ88" i="52"/>
  <c r="AJ392" i="52" s="1"/>
  <c r="AI164" i="52"/>
  <c r="AK88" i="92"/>
  <c r="AK392" i="92" s="1"/>
  <c r="AJ164" i="92"/>
  <c r="AJ88" i="88"/>
  <c r="AJ392" i="88" s="1"/>
  <c r="AI164" i="88"/>
  <c r="Y84" i="96"/>
  <c r="Y388" i="96" s="1"/>
  <c r="X160" i="96"/>
  <c r="Y84" i="52"/>
  <c r="Y388" i="52" s="1"/>
  <c r="X160" i="52"/>
  <c r="Y84" i="88"/>
  <c r="Y388" i="88" s="1"/>
  <c r="X160" i="88"/>
  <c r="M82" i="92"/>
  <c r="L92" i="92"/>
  <c r="M82" i="96"/>
  <c r="L92" i="96"/>
  <c r="N82" i="52"/>
  <c r="M92" i="52"/>
  <c r="M82" i="88"/>
  <c r="L92" i="88"/>
  <c r="J131" i="96"/>
  <c r="S122" i="14"/>
  <c r="AC86" i="88"/>
  <c r="AD86" i="92"/>
  <c r="AD86" i="96"/>
  <c r="AF86" i="52"/>
  <c r="J109" i="88"/>
  <c r="J131" i="88"/>
  <c r="O434" i="96"/>
  <c r="O358" i="88"/>
  <c r="P206" i="52"/>
  <c r="O335" i="96"/>
  <c r="O336" i="96" s="1"/>
  <c r="P259" i="88"/>
  <c r="P260" i="88" s="1"/>
  <c r="O335" i="92"/>
  <c r="O336" i="92" s="1"/>
  <c r="R107" i="92"/>
  <c r="R108" i="92" s="1"/>
  <c r="N434" i="52"/>
  <c r="Q206" i="52"/>
  <c r="O434" i="92"/>
  <c r="Q107" i="52"/>
  <c r="Q108" i="52" s="1"/>
  <c r="R134" i="88"/>
  <c r="E40" i="88" s="1"/>
  <c r="O434" i="88"/>
  <c r="K207" i="92"/>
  <c r="R134" i="96"/>
  <c r="E40" i="96" s="1"/>
  <c r="O282" i="88"/>
  <c r="Q183" i="96"/>
  <c r="Q184" i="96" s="1"/>
  <c r="O282" i="52"/>
  <c r="P282" i="92"/>
  <c r="P282" i="96"/>
  <c r="Q282" i="96"/>
  <c r="R130" i="88"/>
  <c r="Q408" i="92"/>
  <c r="Q434" i="92" s="1"/>
  <c r="Q437" i="92"/>
  <c r="Q438" i="92" s="1"/>
  <c r="R180" i="52"/>
  <c r="R206" i="52" s="1"/>
  <c r="R209" i="52"/>
  <c r="P256" i="52"/>
  <c r="P282" i="52" s="1"/>
  <c r="P285" i="52"/>
  <c r="P286" i="52" s="1"/>
  <c r="P408" i="92"/>
  <c r="P411" i="92" s="1"/>
  <c r="P437" i="92"/>
  <c r="P438" i="92" s="1"/>
  <c r="Q408" i="96"/>
  <c r="Q411" i="96" s="1"/>
  <c r="Q437" i="96"/>
  <c r="Q438" i="96" s="1"/>
  <c r="P408" i="96"/>
  <c r="P411" i="96" s="1"/>
  <c r="P437" i="96"/>
  <c r="P438" i="96" s="1"/>
  <c r="R104" i="52"/>
  <c r="R107" i="52" s="1"/>
  <c r="R108" i="52" s="1"/>
  <c r="R133" i="52"/>
  <c r="E39" i="52" s="1"/>
  <c r="Q130" i="96"/>
  <c r="O408" i="52"/>
  <c r="O411" i="52" s="1"/>
  <c r="O437" i="52"/>
  <c r="O438" i="52" s="1"/>
  <c r="O332" i="52"/>
  <c r="O335" i="52" s="1"/>
  <c r="O361" i="52"/>
  <c r="O362" i="52" s="1"/>
  <c r="S180" i="92"/>
  <c r="S183" i="92" s="1"/>
  <c r="S209" i="92"/>
  <c r="S210" i="92" s="1"/>
  <c r="P408" i="88"/>
  <c r="P411" i="88" s="1"/>
  <c r="P437" i="88"/>
  <c r="P438" i="88" s="1"/>
  <c r="N335" i="52"/>
  <c r="N336" i="52" s="1"/>
  <c r="Q256" i="52"/>
  <c r="Q282" i="52" s="1"/>
  <c r="Q285" i="52"/>
  <c r="Q286" i="52" s="1"/>
  <c r="P332" i="92"/>
  <c r="P335" i="92" s="1"/>
  <c r="P361" i="92"/>
  <c r="P362" i="92" s="1"/>
  <c r="Q332" i="96"/>
  <c r="Q335" i="96" s="1"/>
  <c r="Q361" i="96"/>
  <c r="Q362" i="96" s="1"/>
  <c r="P332" i="96"/>
  <c r="P358" i="96" s="1"/>
  <c r="P361" i="96"/>
  <c r="P362" i="96" s="1"/>
  <c r="Q180" i="88"/>
  <c r="Q206" i="88" s="1"/>
  <c r="Q209" i="88"/>
  <c r="Q210" i="88" s="1"/>
  <c r="S180" i="88"/>
  <c r="S206" i="88" s="1"/>
  <c r="S209" i="88"/>
  <c r="S210" i="88" s="1"/>
  <c r="K189" i="92"/>
  <c r="K190" i="92" s="1"/>
  <c r="K200" i="92" s="1"/>
  <c r="L185" i="92"/>
  <c r="L186" i="92" s="1"/>
  <c r="L187" i="92" s="1"/>
  <c r="L188" i="92" s="1"/>
  <c r="S96" i="88"/>
  <c r="S97" i="88" s="1"/>
  <c r="S224" i="88"/>
  <c r="S300" i="88" s="1"/>
  <c r="R224" i="88"/>
  <c r="R172" i="88"/>
  <c r="R173" i="88" s="1"/>
  <c r="T72" i="92"/>
  <c r="T148" i="92" s="1"/>
  <c r="T72" i="96"/>
  <c r="T96" i="96" s="1"/>
  <c r="T97" i="96" s="1"/>
  <c r="Q300" i="88"/>
  <c r="Q248" i="88"/>
  <c r="Q249" i="88" s="1"/>
  <c r="T72" i="52"/>
  <c r="T148" i="52" s="1"/>
  <c r="T72" i="88"/>
  <c r="T96" i="88" s="1"/>
  <c r="T97" i="88" s="1"/>
  <c r="S111" i="14"/>
  <c r="S114" i="14" s="1"/>
  <c r="T101" i="14"/>
  <c r="S135" i="14"/>
  <c r="H124" i="92"/>
  <c r="I113" i="92"/>
  <c r="I110" i="92"/>
  <c r="I111" i="92" s="1"/>
  <c r="I112" i="92" s="1"/>
  <c r="S224" i="92"/>
  <c r="S300" i="92" s="1"/>
  <c r="S96" i="92"/>
  <c r="S97" i="92" s="1"/>
  <c r="S96" i="52"/>
  <c r="S97" i="52" s="1"/>
  <c r="J337" i="52"/>
  <c r="J341" i="52" s="1"/>
  <c r="I338" i="88"/>
  <c r="I339" i="88" s="1"/>
  <c r="I340" i="88" s="1"/>
  <c r="I342" i="88" s="1"/>
  <c r="I352" i="88" s="1"/>
  <c r="J261" i="88"/>
  <c r="J265" i="88" s="1"/>
  <c r="I200" i="52"/>
  <c r="I279" i="92"/>
  <c r="I288" i="92" s="1"/>
  <c r="I289" i="92" s="1"/>
  <c r="I414" i="52"/>
  <c r="I415" i="52" s="1"/>
  <c r="I416" i="52" s="1"/>
  <c r="I418" i="52" s="1"/>
  <c r="I428" i="52" s="1"/>
  <c r="I413" i="96"/>
  <c r="I341" i="52"/>
  <c r="I342" i="52" s="1"/>
  <c r="I355" i="52" s="1"/>
  <c r="I364" i="52" s="1"/>
  <c r="I365" i="52" s="1"/>
  <c r="I114" i="88"/>
  <c r="K109" i="96"/>
  <c r="J185" i="96"/>
  <c r="J186" i="96" s="1"/>
  <c r="J187" i="96" s="1"/>
  <c r="J188" i="96" s="1"/>
  <c r="J279" i="52"/>
  <c r="J288" i="52" s="1"/>
  <c r="J289" i="52" s="1"/>
  <c r="H342" i="96"/>
  <c r="H355" i="96" s="1"/>
  <c r="H364" i="96" s="1"/>
  <c r="I200" i="88"/>
  <c r="J190" i="52"/>
  <c r="J200" i="52" s="1"/>
  <c r="I266" i="96"/>
  <c r="I276" i="96" s="1"/>
  <c r="I342" i="92"/>
  <c r="I355" i="92" s="1"/>
  <c r="I364" i="92" s="1"/>
  <c r="J190" i="88"/>
  <c r="J203" i="88" s="1"/>
  <c r="J212" i="88" s="1"/>
  <c r="J213" i="88" s="1"/>
  <c r="H418" i="92"/>
  <c r="H428" i="92" s="1"/>
  <c r="I190" i="96"/>
  <c r="I200" i="96" s="1"/>
  <c r="J113" i="96"/>
  <c r="J110" i="96"/>
  <c r="J111" i="96" s="1"/>
  <c r="J112" i="96" s="1"/>
  <c r="K265" i="52"/>
  <c r="K262" i="52"/>
  <c r="K263" i="52" s="1"/>
  <c r="K264" i="52" s="1"/>
  <c r="J265" i="96"/>
  <c r="J262" i="96"/>
  <c r="J263" i="96" s="1"/>
  <c r="J264" i="96" s="1"/>
  <c r="I213" i="88"/>
  <c r="H418" i="88"/>
  <c r="J337" i="92"/>
  <c r="J359" i="92"/>
  <c r="J337" i="88"/>
  <c r="J359" i="88"/>
  <c r="I413" i="92"/>
  <c r="I435" i="92"/>
  <c r="T59" i="14"/>
  <c r="T72" i="14"/>
  <c r="I276" i="88"/>
  <c r="I279" i="88"/>
  <c r="I288" i="88" s="1"/>
  <c r="I289" i="88" s="1"/>
  <c r="H289" i="88"/>
  <c r="J265" i="92"/>
  <c r="J262" i="92"/>
  <c r="J263" i="92" s="1"/>
  <c r="J264" i="92" s="1"/>
  <c r="J200" i="92"/>
  <c r="J203" i="92"/>
  <c r="J212" i="92" s="1"/>
  <c r="K185" i="52"/>
  <c r="K207" i="52"/>
  <c r="I213" i="52"/>
  <c r="I114" i="96"/>
  <c r="H431" i="52"/>
  <c r="H440" i="52" s="1"/>
  <c r="H428" i="52"/>
  <c r="I337" i="96"/>
  <c r="I359" i="96"/>
  <c r="H276" i="96"/>
  <c r="H279" i="96"/>
  <c r="H288" i="96" s="1"/>
  <c r="K185" i="88"/>
  <c r="K207" i="88"/>
  <c r="H417" i="96"/>
  <c r="H414" i="96"/>
  <c r="H415" i="96" s="1"/>
  <c r="H416" i="96" s="1"/>
  <c r="H213" i="96"/>
  <c r="H365" i="52"/>
  <c r="I413" i="88"/>
  <c r="I435" i="88"/>
  <c r="H352" i="88"/>
  <c r="H355" i="88"/>
  <c r="H364" i="88" s="1"/>
  <c r="P324" i="88"/>
  <c r="P325" i="88" s="1"/>
  <c r="Q260" i="96"/>
  <c r="P260" i="96"/>
  <c r="O412" i="96"/>
  <c r="P260" i="92"/>
  <c r="O412" i="92"/>
  <c r="J124" i="52"/>
  <c r="O412" i="88"/>
  <c r="O336" i="88"/>
  <c r="Q184" i="52"/>
  <c r="R248" i="52"/>
  <c r="R249" i="52" s="1"/>
  <c r="R300" i="52"/>
  <c r="N412" i="52"/>
  <c r="S224" i="52"/>
  <c r="S172" i="52"/>
  <c r="S173" i="52" s="1"/>
  <c r="P184" i="52"/>
  <c r="P324" i="52"/>
  <c r="P325" i="52" s="1"/>
  <c r="P376" i="52"/>
  <c r="P400" i="52" s="1"/>
  <c r="P401" i="52" s="1"/>
  <c r="O260" i="52"/>
  <c r="Q376" i="52"/>
  <c r="Q400" i="52" s="1"/>
  <c r="Q401" i="52" s="1"/>
  <c r="Q324" i="52"/>
  <c r="Q325" i="52" s="1"/>
  <c r="K114" i="52"/>
  <c r="K124" i="52" s="1"/>
  <c r="J137" i="52"/>
  <c r="T48" i="14"/>
  <c r="T50" i="14" s="1"/>
  <c r="U38" i="14"/>
  <c r="Z160" i="92" l="1"/>
  <c r="AA84" i="92"/>
  <c r="AA388" i="92" s="1"/>
  <c r="Z236" i="92"/>
  <c r="Z312" i="92"/>
  <c r="R130" i="96"/>
  <c r="S133" i="96"/>
  <c r="S134" i="96" s="1"/>
  <c r="Q256" i="92"/>
  <c r="Q282" i="92" s="1"/>
  <c r="S148" i="96"/>
  <c r="S224" i="96" s="1"/>
  <c r="S300" i="96" s="1"/>
  <c r="S376" i="96" s="1"/>
  <c r="S400" i="96" s="1"/>
  <c r="S401" i="96" s="1"/>
  <c r="Q209" i="92"/>
  <c r="Q210" i="92" s="1"/>
  <c r="Q361" i="92"/>
  <c r="Q362" i="92" s="1"/>
  <c r="R134" i="92"/>
  <c r="E40" i="92" s="1"/>
  <c r="R224" i="92"/>
  <c r="R300" i="92" s="1"/>
  <c r="R376" i="92" s="1"/>
  <c r="R400" i="92" s="1"/>
  <c r="R401" i="92" s="1"/>
  <c r="R437" i="92" s="1"/>
  <c r="S62" i="14"/>
  <c r="S64" i="14" s="1"/>
  <c r="U72" i="88"/>
  <c r="U96" i="88" s="1"/>
  <c r="U97" i="88" s="1"/>
  <c r="U133" i="88" s="1"/>
  <c r="U134" i="88" s="1"/>
  <c r="R224" i="96"/>
  <c r="R300" i="96" s="1"/>
  <c r="R376" i="96" s="1"/>
  <c r="R400" i="96" s="1"/>
  <c r="R401" i="96" s="1"/>
  <c r="R408" i="96" s="1"/>
  <c r="R434" i="96" s="1"/>
  <c r="AJ164" i="96"/>
  <c r="AJ316" i="96"/>
  <c r="AK88" i="96"/>
  <c r="AK392" i="96" s="1"/>
  <c r="AJ240" i="96"/>
  <c r="S75" i="14"/>
  <c r="S77" i="14" s="1"/>
  <c r="S50" i="14"/>
  <c r="R127" i="14"/>
  <c r="R140" i="14"/>
  <c r="AF314" i="52"/>
  <c r="AF390" i="52"/>
  <c r="AD314" i="96"/>
  <c r="AD390" i="96"/>
  <c r="M310" i="96"/>
  <c r="M320" i="96" s="1"/>
  <c r="M386" i="96"/>
  <c r="M396" i="96" s="1"/>
  <c r="AD314" i="92"/>
  <c r="AD390" i="92"/>
  <c r="AC314" i="88"/>
  <c r="AC390" i="88"/>
  <c r="S113" i="14"/>
  <c r="M310" i="88"/>
  <c r="M320" i="88" s="1"/>
  <c r="M386" i="88"/>
  <c r="M396" i="88" s="1"/>
  <c r="N310" i="52"/>
  <c r="N320" i="52" s="1"/>
  <c r="N386" i="52"/>
  <c r="N396" i="52" s="1"/>
  <c r="M310" i="92"/>
  <c r="M320" i="92" s="1"/>
  <c r="M386" i="92"/>
  <c r="M396" i="92" s="1"/>
  <c r="Y236" i="88"/>
  <c r="Y312" i="88"/>
  <c r="Y236" i="52"/>
  <c r="Y312" i="52"/>
  <c r="AJ240" i="88"/>
  <c r="AJ316" i="88"/>
  <c r="AK240" i="92"/>
  <c r="AK316" i="92"/>
  <c r="Y236" i="96"/>
  <c r="Y312" i="96"/>
  <c r="AJ240" i="52"/>
  <c r="AJ316" i="52"/>
  <c r="AD162" i="96"/>
  <c r="AD238" i="96"/>
  <c r="M158" i="88"/>
  <c r="M168" i="88" s="1"/>
  <c r="M234" i="88"/>
  <c r="M244" i="88" s="1"/>
  <c r="M158" i="96"/>
  <c r="M168" i="96" s="1"/>
  <c r="M234" i="96"/>
  <c r="M244" i="96" s="1"/>
  <c r="AD162" i="92"/>
  <c r="AD238" i="92"/>
  <c r="AC162" i="88"/>
  <c r="AC238" i="88"/>
  <c r="N158" i="52"/>
  <c r="N168" i="52" s="1"/>
  <c r="N234" i="52"/>
  <c r="N244" i="52" s="1"/>
  <c r="M158" i="92"/>
  <c r="M168" i="92" s="1"/>
  <c r="M234" i="92"/>
  <c r="M244" i="92" s="1"/>
  <c r="AF162" i="52"/>
  <c r="AF238" i="52"/>
  <c r="Z84" i="88"/>
  <c r="Z388" i="88" s="1"/>
  <c r="Y160" i="88"/>
  <c r="Z84" i="52"/>
  <c r="Z388" i="52" s="1"/>
  <c r="Y160" i="52"/>
  <c r="AK88" i="88"/>
  <c r="AK392" i="88" s="1"/>
  <c r="AJ164" i="88"/>
  <c r="AL88" i="92"/>
  <c r="AL392" i="92" s="1"/>
  <c r="AK164" i="92"/>
  <c r="Z84" i="96"/>
  <c r="Z388" i="96" s="1"/>
  <c r="Y160" i="96"/>
  <c r="AK88" i="52"/>
  <c r="AK392" i="52" s="1"/>
  <c r="AJ164" i="52"/>
  <c r="N82" i="96"/>
  <c r="M92" i="96"/>
  <c r="N82" i="88"/>
  <c r="M92" i="88"/>
  <c r="O82" i="52"/>
  <c r="N92" i="52"/>
  <c r="N82" i="92"/>
  <c r="M92" i="92"/>
  <c r="T51" i="14"/>
  <c r="T111" i="14"/>
  <c r="T114" i="14" s="1"/>
  <c r="AD86" i="88"/>
  <c r="AE86" i="92"/>
  <c r="AG86" i="52"/>
  <c r="AE86" i="96"/>
  <c r="K131" i="88"/>
  <c r="K109" i="88"/>
  <c r="K110" i="88" s="1"/>
  <c r="K111" i="88" s="1"/>
  <c r="K112" i="88" s="1"/>
  <c r="L131" i="88"/>
  <c r="J113" i="88"/>
  <c r="J110" i="88"/>
  <c r="J111" i="88" s="1"/>
  <c r="J112" i="88" s="1"/>
  <c r="P335" i="96"/>
  <c r="P336" i="96" s="1"/>
  <c r="Q183" i="88"/>
  <c r="Q184" i="88" s="1"/>
  <c r="L189" i="92"/>
  <c r="L190" i="92" s="1"/>
  <c r="L203" i="92" s="1"/>
  <c r="L212" i="92" s="1"/>
  <c r="O358" i="52"/>
  <c r="R210" i="52"/>
  <c r="E45" i="52" s="1"/>
  <c r="E44" i="52"/>
  <c r="P259" i="52"/>
  <c r="P260" i="52" s="1"/>
  <c r="Q434" i="96"/>
  <c r="R209" i="96"/>
  <c r="R134" i="52"/>
  <c r="E40" i="52" s="1"/>
  <c r="O434" i="52"/>
  <c r="S183" i="88"/>
  <c r="S184" i="88" s="1"/>
  <c r="R130" i="52"/>
  <c r="S206" i="92"/>
  <c r="P434" i="92"/>
  <c r="P434" i="96"/>
  <c r="R206" i="96"/>
  <c r="R183" i="52"/>
  <c r="R184" i="52" s="1"/>
  <c r="Q411" i="92"/>
  <c r="Q412" i="92" s="1"/>
  <c r="R180" i="88"/>
  <c r="R183" i="88" s="1"/>
  <c r="R184" i="88" s="1"/>
  <c r="R209" i="88"/>
  <c r="P408" i="52"/>
  <c r="P411" i="52" s="1"/>
  <c r="P412" i="52" s="1"/>
  <c r="P437" i="52"/>
  <c r="P438" i="52" s="1"/>
  <c r="P332" i="88"/>
  <c r="P358" i="88" s="1"/>
  <c r="P361" i="88"/>
  <c r="P362" i="88" s="1"/>
  <c r="S104" i="92"/>
  <c r="S107" i="92" s="1"/>
  <c r="S108" i="92" s="1"/>
  <c r="S133" i="92"/>
  <c r="S134" i="92" s="1"/>
  <c r="S104" i="88"/>
  <c r="S130" i="88" s="1"/>
  <c r="S133" i="88"/>
  <c r="S134" i="88" s="1"/>
  <c r="Q335" i="92"/>
  <c r="Q336" i="92" s="1"/>
  <c r="Q358" i="96"/>
  <c r="S104" i="52"/>
  <c r="S107" i="52" s="1"/>
  <c r="S108" i="52" s="1"/>
  <c r="S133" i="52"/>
  <c r="S134" i="52" s="1"/>
  <c r="Q256" i="88"/>
  <c r="Q282" i="88" s="1"/>
  <c r="Q285" i="88"/>
  <c r="Q286" i="88" s="1"/>
  <c r="S130" i="96"/>
  <c r="T104" i="96"/>
  <c r="T107" i="96" s="1"/>
  <c r="T108" i="96" s="1"/>
  <c r="T133" i="96"/>
  <c r="T134" i="96" s="1"/>
  <c r="Q332" i="52"/>
  <c r="Q358" i="52" s="1"/>
  <c r="Q361" i="52"/>
  <c r="Q362" i="52" s="1"/>
  <c r="S180" i="52"/>
  <c r="S183" i="52" s="1"/>
  <c r="S209" i="52"/>
  <c r="S210" i="52" s="1"/>
  <c r="Q259" i="52"/>
  <c r="Q260" i="52" s="1"/>
  <c r="R180" i="92"/>
  <c r="R183" i="92" s="1"/>
  <c r="R184" i="92" s="1"/>
  <c r="R209" i="92"/>
  <c r="Q408" i="52"/>
  <c r="Q434" i="52" s="1"/>
  <c r="Q437" i="52"/>
  <c r="Q438" i="52" s="1"/>
  <c r="P332" i="52"/>
  <c r="P358" i="52" s="1"/>
  <c r="P361" i="52"/>
  <c r="P362" i="52" s="1"/>
  <c r="P434" i="88"/>
  <c r="P358" i="92"/>
  <c r="R256" i="52"/>
  <c r="R259" i="52" s="1"/>
  <c r="R285" i="52"/>
  <c r="T104" i="88"/>
  <c r="T130" i="88" s="1"/>
  <c r="T133" i="88"/>
  <c r="T134" i="88" s="1"/>
  <c r="Q183" i="92"/>
  <c r="Q184" i="92" s="1"/>
  <c r="L207" i="92"/>
  <c r="M185" i="92"/>
  <c r="M189" i="92" s="1"/>
  <c r="S248" i="88"/>
  <c r="S249" i="88" s="1"/>
  <c r="S138" i="14"/>
  <c r="S125" i="14"/>
  <c r="T96" i="52"/>
  <c r="T97" i="52" s="1"/>
  <c r="T148" i="96"/>
  <c r="T224" i="96" s="1"/>
  <c r="T248" i="96" s="1"/>
  <c r="T249" i="96" s="1"/>
  <c r="T96" i="92"/>
  <c r="T97" i="92" s="1"/>
  <c r="R300" i="88"/>
  <c r="R248" i="88"/>
  <c r="R249" i="88" s="1"/>
  <c r="T224" i="92"/>
  <c r="T248" i="92" s="1"/>
  <c r="T249" i="92" s="1"/>
  <c r="T172" i="92"/>
  <c r="T173" i="92" s="1"/>
  <c r="Q376" i="88"/>
  <c r="Q400" i="88" s="1"/>
  <c r="Q401" i="88" s="1"/>
  <c r="Q324" i="88"/>
  <c r="Q325" i="88" s="1"/>
  <c r="T122" i="14"/>
  <c r="U101" i="14"/>
  <c r="T135" i="14"/>
  <c r="S248" i="92"/>
  <c r="S249" i="92" s="1"/>
  <c r="I114" i="92"/>
  <c r="J131" i="92"/>
  <c r="J109" i="92"/>
  <c r="T148" i="88"/>
  <c r="T172" i="88" s="1"/>
  <c r="T173" i="88" s="1"/>
  <c r="K283" i="88"/>
  <c r="J338" i="52"/>
  <c r="J339" i="52" s="1"/>
  <c r="J340" i="52" s="1"/>
  <c r="J342" i="52" s="1"/>
  <c r="J355" i="52" s="1"/>
  <c r="J364" i="52" s="1"/>
  <c r="J359" i="52"/>
  <c r="J262" i="88"/>
  <c r="J263" i="88" s="1"/>
  <c r="J264" i="88" s="1"/>
  <c r="J266" i="88" s="1"/>
  <c r="J276" i="88" s="1"/>
  <c r="I435" i="96"/>
  <c r="I352" i="52"/>
  <c r="J435" i="96"/>
  <c r="J200" i="88"/>
  <c r="I431" i="52"/>
  <c r="I440" i="52" s="1"/>
  <c r="I441" i="52" s="1"/>
  <c r="J203" i="52"/>
  <c r="J212" i="52" s="1"/>
  <c r="J213" i="52" s="1"/>
  <c r="I124" i="88"/>
  <c r="I127" i="88"/>
  <c r="I136" i="88" s="1"/>
  <c r="I137" i="88" s="1"/>
  <c r="J189" i="96"/>
  <c r="J190" i="96" s="1"/>
  <c r="K203" i="92"/>
  <c r="K212" i="92" s="1"/>
  <c r="K213" i="92" s="1"/>
  <c r="H352" i="96"/>
  <c r="K131" i="96"/>
  <c r="H431" i="92"/>
  <c r="H440" i="92" s="1"/>
  <c r="H441" i="92" s="1"/>
  <c r="I203" i="96"/>
  <c r="I212" i="96" s="1"/>
  <c r="I213" i="96" s="1"/>
  <c r="I355" i="88"/>
  <c r="I364" i="88" s="1"/>
  <c r="I365" i="88" s="1"/>
  <c r="I352" i="92"/>
  <c r="I279" i="96"/>
  <c r="I288" i="96" s="1"/>
  <c r="I289" i="96" s="1"/>
  <c r="J413" i="92"/>
  <c r="K185" i="96"/>
  <c r="H418" i="96"/>
  <c r="H431" i="96" s="1"/>
  <c r="H440" i="96" s="1"/>
  <c r="J337" i="96"/>
  <c r="J114" i="96"/>
  <c r="J127" i="96" s="1"/>
  <c r="J136" i="96" s="1"/>
  <c r="J435" i="52"/>
  <c r="J413" i="52"/>
  <c r="K266" i="52"/>
  <c r="K279" i="52" s="1"/>
  <c r="K288" i="52" s="1"/>
  <c r="H365" i="88"/>
  <c r="K261" i="92"/>
  <c r="K283" i="92"/>
  <c r="I341" i="96"/>
  <c r="I338" i="96"/>
  <c r="I339" i="96" s="1"/>
  <c r="I340" i="96" s="1"/>
  <c r="H441" i="52"/>
  <c r="I417" i="96"/>
  <c r="I414" i="96"/>
  <c r="I415" i="96" s="1"/>
  <c r="I416" i="96" s="1"/>
  <c r="I417" i="92"/>
  <c r="I414" i="92"/>
  <c r="I415" i="92" s="1"/>
  <c r="I416" i="92" s="1"/>
  <c r="H289" i="96"/>
  <c r="J341" i="92"/>
  <c r="J338" i="92"/>
  <c r="J339" i="92" s="1"/>
  <c r="J340" i="92" s="1"/>
  <c r="H431" i="88"/>
  <c r="H440" i="88" s="1"/>
  <c r="H428" i="88"/>
  <c r="I417" i="88"/>
  <c r="I414" i="88"/>
  <c r="I415" i="88" s="1"/>
  <c r="I416" i="88" s="1"/>
  <c r="J213" i="92"/>
  <c r="J266" i="92"/>
  <c r="J341" i="88"/>
  <c r="J338" i="88"/>
  <c r="J339" i="88" s="1"/>
  <c r="J340" i="88" s="1"/>
  <c r="J266" i="96"/>
  <c r="K261" i="96"/>
  <c r="K283" i="96"/>
  <c r="I124" i="96"/>
  <c r="I127" i="96"/>
  <c r="I136" i="96" s="1"/>
  <c r="U59" i="14"/>
  <c r="U72" i="14"/>
  <c r="H365" i="96"/>
  <c r="K189" i="88"/>
  <c r="K186" i="88"/>
  <c r="K187" i="88" s="1"/>
  <c r="K188" i="88" s="1"/>
  <c r="K113" i="96"/>
  <c r="K110" i="96"/>
  <c r="K111" i="96" s="1"/>
  <c r="K112" i="96" s="1"/>
  <c r="I365" i="92"/>
  <c r="K189" i="52"/>
  <c r="K186" i="52"/>
  <c r="K187" i="52" s="1"/>
  <c r="K188" i="52" s="1"/>
  <c r="L261" i="52"/>
  <c r="L283" i="52"/>
  <c r="Q412" i="96"/>
  <c r="Q336" i="96"/>
  <c r="P412" i="96"/>
  <c r="S184" i="92"/>
  <c r="P336" i="92"/>
  <c r="P412" i="92"/>
  <c r="S376" i="92"/>
  <c r="S400" i="92" s="1"/>
  <c r="S401" i="92" s="1"/>
  <c r="S324" i="92"/>
  <c r="S325" i="92" s="1"/>
  <c r="P412" i="88"/>
  <c r="S376" i="88"/>
  <c r="S400" i="88" s="1"/>
  <c r="S401" i="88" s="1"/>
  <c r="S324" i="88"/>
  <c r="S325" i="88" s="1"/>
  <c r="O412" i="52"/>
  <c r="R324" i="52"/>
  <c r="R325" i="52" s="1"/>
  <c r="R376" i="52"/>
  <c r="R400" i="52" s="1"/>
  <c r="R401" i="52" s="1"/>
  <c r="U96" i="52"/>
  <c r="U97" i="52" s="1"/>
  <c r="U148" i="52"/>
  <c r="O336" i="52"/>
  <c r="T62" i="14"/>
  <c r="T64" i="14" s="1"/>
  <c r="T75" i="14"/>
  <c r="T77" i="14" s="1"/>
  <c r="T172" i="52"/>
  <c r="T173" i="52" s="1"/>
  <c r="T224" i="52"/>
  <c r="S248" i="52"/>
  <c r="S249" i="52" s="1"/>
  <c r="S300" i="52"/>
  <c r="L109" i="52"/>
  <c r="L131" i="52"/>
  <c r="K127" i="52"/>
  <c r="K136" i="52" s="1"/>
  <c r="K137" i="52" s="1"/>
  <c r="U48" i="14"/>
  <c r="U51" i="14" s="1"/>
  <c r="V38" i="14"/>
  <c r="AB84" i="92" l="1"/>
  <c r="AB236" i="92" s="1"/>
  <c r="AA236" i="92"/>
  <c r="AA160" i="92"/>
  <c r="AA312" i="92"/>
  <c r="S324" i="96"/>
  <c r="S325" i="96" s="1"/>
  <c r="S361" i="96" s="1"/>
  <c r="S362" i="96" s="1"/>
  <c r="Q259" i="92"/>
  <c r="Q260" i="92" s="1"/>
  <c r="R437" i="96"/>
  <c r="E59" i="96" s="1"/>
  <c r="S172" i="96"/>
  <c r="S173" i="96" s="1"/>
  <c r="S180" i="96" s="1"/>
  <c r="S183" i="96" s="1"/>
  <c r="S184" i="96" s="1"/>
  <c r="S248" i="96"/>
  <c r="S249" i="96" s="1"/>
  <c r="S285" i="96" s="1"/>
  <c r="S286" i="96" s="1"/>
  <c r="V72" i="52"/>
  <c r="V96" i="52" s="1"/>
  <c r="V97" i="52" s="1"/>
  <c r="V72" i="88"/>
  <c r="V148" i="88" s="1"/>
  <c r="V172" i="88" s="1"/>
  <c r="V173" i="88" s="1"/>
  <c r="U148" i="88"/>
  <c r="U224" i="88" s="1"/>
  <c r="U300" i="88" s="1"/>
  <c r="U104" i="88"/>
  <c r="U130" i="88" s="1"/>
  <c r="R408" i="92"/>
  <c r="R411" i="92" s="1"/>
  <c r="R412" i="92" s="1"/>
  <c r="R248" i="92"/>
  <c r="R249" i="92" s="1"/>
  <c r="R256" i="92" s="1"/>
  <c r="R259" i="92" s="1"/>
  <c r="R260" i="92" s="1"/>
  <c r="R324" i="92"/>
  <c r="R325" i="92" s="1"/>
  <c r="R332" i="92" s="1"/>
  <c r="R358" i="92" s="1"/>
  <c r="R324" i="96"/>
  <c r="R325" i="96" s="1"/>
  <c r="R332" i="96" s="1"/>
  <c r="R248" i="96"/>
  <c r="R249" i="96" s="1"/>
  <c r="R256" i="96" s="1"/>
  <c r="R259" i="96" s="1"/>
  <c r="R260" i="96" s="1"/>
  <c r="U72" i="92"/>
  <c r="U148" i="92" s="1"/>
  <c r="U172" i="92" s="1"/>
  <c r="U173" i="92" s="1"/>
  <c r="U180" i="92" s="1"/>
  <c r="U183" i="92" s="1"/>
  <c r="AK164" i="96"/>
  <c r="AK240" i="96"/>
  <c r="AL88" i="96"/>
  <c r="AL392" i="96" s="1"/>
  <c r="AK316" i="96"/>
  <c r="U72" i="96"/>
  <c r="U148" i="96" s="1"/>
  <c r="U172" i="96" s="1"/>
  <c r="U173" i="96" s="1"/>
  <c r="U209" i="96" s="1"/>
  <c r="U210" i="96" s="1"/>
  <c r="S140" i="14"/>
  <c r="S127" i="14"/>
  <c r="T125" i="14"/>
  <c r="AG314" i="52"/>
  <c r="AG390" i="52"/>
  <c r="AE314" i="92"/>
  <c r="AE390" i="92"/>
  <c r="N310" i="96"/>
  <c r="N320" i="96" s="1"/>
  <c r="N386" i="96"/>
  <c r="N396" i="96" s="1"/>
  <c r="AD314" i="88"/>
  <c r="AD390" i="88"/>
  <c r="AE314" i="96"/>
  <c r="AE390" i="96"/>
  <c r="O310" i="52"/>
  <c r="O320" i="52" s="1"/>
  <c r="O386" i="52"/>
  <c r="O396" i="52" s="1"/>
  <c r="N310" i="92"/>
  <c r="N320" i="92" s="1"/>
  <c r="N386" i="92"/>
  <c r="N396" i="92" s="1"/>
  <c r="N310" i="88"/>
  <c r="N320" i="88" s="1"/>
  <c r="N386" i="88"/>
  <c r="N396" i="88" s="1"/>
  <c r="AK240" i="52"/>
  <c r="AK316" i="52"/>
  <c r="Z236" i="96"/>
  <c r="Z312" i="96"/>
  <c r="AL240" i="92"/>
  <c r="AL316" i="92"/>
  <c r="AK240" i="88"/>
  <c r="AK316" i="88"/>
  <c r="Z236" i="88"/>
  <c r="Z312" i="88"/>
  <c r="Z236" i="52"/>
  <c r="Z312" i="52"/>
  <c r="AE162" i="96"/>
  <c r="AE238" i="96"/>
  <c r="N158" i="92"/>
  <c r="N168" i="92" s="1"/>
  <c r="N234" i="92"/>
  <c r="N244" i="92" s="1"/>
  <c r="AG162" i="52"/>
  <c r="AG238" i="52"/>
  <c r="AE162" i="92"/>
  <c r="AE238" i="92"/>
  <c r="N158" i="96"/>
  <c r="N168" i="96" s="1"/>
  <c r="N234" i="96"/>
  <c r="N244" i="96" s="1"/>
  <c r="AD162" i="88"/>
  <c r="AD238" i="88"/>
  <c r="O158" i="52"/>
  <c r="O168" i="52" s="1"/>
  <c r="O234" i="52"/>
  <c r="O244" i="52" s="1"/>
  <c r="N158" i="88"/>
  <c r="N168" i="88" s="1"/>
  <c r="N234" i="88"/>
  <c r="N244" i="88" s="1"/>
  <c r="AA84" i="88"/>
  <c r="AA388" i="88" s="1"/>
  <c r="Z160" i="88"/>
  <c r="AL88" i="52"/>
  <c r="AL392" i="52" s="1"/>
  <c r="AK164" i="52"/>
  <c r="AA84" i="96"/>
  <c r="AA388" i="96" s="1"/>
  <c r="Z160" i="96"/>
  <c r="AL88" i="88"/>
  <c r="AL392" i="88" s="1"/>
  <c r="AK164" i="88"/>
  <c r="AM88" i="92"/>
  <c r="AL164" i="92"/>
  <c r="AA84" i="52"/>
  <c r="AA388" i="52" s="1"/>
  <c r="Z160" i="52"/>
  <c r="O82" i="96"/>
  <c r="N92" i="96"/>
  <c r="P82" i="52"/>
  <c r="O92" i="52"/>
  <c r="O82" i="92"/>
  <c r="N92" i="92"/>
  <c r="O82" i="88"/>
  <c r="N92" i="88"/>
  <c r="T138" i="14"/>
  <c r="T113" i="14"/>
  <c r="V101" i="14"/>
  <c r="W101" i="14" s="1"/>
  <c r="U50" i="14"/>
  <c r="K113" i="88"/>
  <c r="K114" i="88" s="1"/>
  <c r="K127" i="88" s="1"/>
  <c r="K136" i="88" s="1"/>
  <c r="AF86" i="96"/>
  <c r="AH86" i="52"/>
  <c r="AF86" i="92"/>
  <c r="AE86" i="88"/>
  <c r="L109" i="88"/>
  <c r="L110" i="88" s="1"/>
  <c r="L111" i="88" s="1"/>
  <c r="L112" i="88" s="1"/>
  <c r="M109" i="88"/>
  <c r="J114" i="88"/>
  <c r="R286" i="52"/>
  <c r="E50" i="52" s="1"/>
  <c r="E49" i="52"/>
  <c r="R210" i="96"/>
  <c r="E45" i="96" s="1"/>
  <c r="E44" i="96"/>
  <c r="R438" i="92"/>
  <c r="E60" i="92" s="1"/>
  <c r="E59" i="92"/>
  <c r="R210" i="88"/>
  <c r="E45" i="88" s="1"/>
  <c r="E44" i="88"/>
  <c r="R210" i="92"/>
  <c r="E45" i="92" s="1"/>
  <c r="E44" i="92"/>
  <c r="S206" i="52"/>
  <c r="R206" i="88"/>
  <c r="Q259" i="88"/>
  <c r="Q260" i="88" s="1"/>
  <c r="S107" i="88"/>
  <c r="S108" i="88" s="1"/>
  <c r="T130" i="96"/>
  <c r="Q411" i="52"/>
  <c r="Q412" i="52" s="1"/>
  <c r="R282" i="52"/>
  <c r="P434" i="52"/>
  <c r="R206" i="92"/>
  <c r="S130" i="52"/>
  <c r="R411" i="96"/>
  <c r="R412" i="96" s="1"/>
  <c r="P335" i="52"/>
  <c r="P336" i="52" s="1"/>
  <c r="T107" i="88"/>
  <c r="T108" i="88" s="1"/>
  <c r="P335" i="88"/>
  <c r="P336" i="88" s="1"/>
  <c r="T256" i="92"/>
  <c r="T282" i="92" s="1"/>
  <c r="T285" i="92"/>
  <c r="T286" i="92" s="1"/>
  <c r="T180" i="52"/>
  <c r="T206" i="52" s="1"/>
  <c r="T209" i="52"/>
  <c r="T210" i="52" s="1"/>
  <c r="Q335" i="52"/>
  <c r="Q336" i="52" s="1"/>
  <c r="S408" i="92"/>
  <c r="S411" i="92" s="1"/>
  <c r="S437" i="92"/>
  <c r="S438" i="92" s="1"/>
  <c r="S256" i="92"/>
  <c r="S259" i="92" s="1"/>
  <c r="S260" i="92" s="1"/>
  <c r="S285" i="92"/>
  <c r="S286" i="92" s="1"/>
  <c r="S130" i="92"/>
  <c r="Q408" i="88"/>
  <c r="Q411" i="88" s="1"/>
  <c r="Q412" i="88" s="1"/>
  <c r="Q437" i="88"/>
  <c r="Q438" i="88" s="1"/>
  <c r="T180" i="92"/>
  <c r="T183" i="92" s="1"/>
  <c r="T184" i="92" s="1"/>
  <c r="T209" i="92"/>
  <c r="T210" i="92" s="1"/>
  <c r="T104" i="92"/>
  <c r="T107" i="92" s="1"/>
  <c r="T108" i="92" s="1"/>
  <c r="T133" i="92"/>
  <c r="T134" i="92" s="1"/>
  <c r="S332" i="88"/>
  <c r="S358" i="88" s="1"/>
  <c r="S361" i="88"/>
  <c r="S362" i="88" s="1"/>
  <c r="S408" i="96"/>
  <c r="S411" i="96" s="1"/>
  <c r="S437" i="96"/>
  <c r="S438" i="96" s="1"/>
  <c r="S256" i="52"/>
  <c r="S259" i="52" s="1"/>
  <c r="S285" i="52"/>
  <c r="S286" i="52" s="1"/>
  <c r="R408" i="52"/>
  <c r="R411" i="52" s="1"/>
  <c r="R412" i="52" s="1"/>
  <c r="R437" i="52"/>
  <c r="S408" i="88"/>
  <c r="S434" i="88" s="1"/>
  <c r="S437" i="88"/>
  <c r="S438" i="88" s="1"/>
  <c r="T180" i="88"/>
  <c r="T206" i="88" s="1"/>
  <c r="T209" i="88"/>
  <c r="T210" i="88" s="1"/>
  <c r="R256" i="88"/>
  <c r="R282" i="88" s="1"/>
  <c r="R285" i="88"/>
  <c r="T256" i="96"/>
  <c r="T282" i="96" s="1"/>
  <c r="T285" i="96"/>
  <c r="T286" i="96" s="1"/>
  <c r="U104" i="52"/>
  <c r="U107" i="52" s="1"/>
  <c r="U108" i="52" s="1"/>
  <c r="U133" i="52"/>
  <c r="U134" i="52" s="1"/>
  <c r="T104" i="52"/>
  <c r="T130" i="52" s="1"/>
  <c r="T133" i="52"/>
  <c r="T134" i="52" s="1"/>
  <c r="R332" i="52"/>
  <c r="R358" i="52" s="1"/>
  <c r="R361" i="52"/>
  <c r="S332" i="92"/>
  <c r="S358" i="92" s="1"/>
  <c r="S361" i="92"/>
  <c r="S362" i="92" s="1"/>
  <c r="M186" i="92"/>
  <c r="M187" i="92" s="1"/>
  <c r="M188" i="92" s="1"/>
  <c r="M190" i="92" s="1"/>
  <c r="Q332" i="88"/>
  <c r="Q358" i="88" s="1"/>
  <c r="Q361" i="88"/>
  <c r="Q362" i="88" s="1"/>
  <c r="S256" i="88"/>
  <c r="S259" i="88" s="1"/>
  <c r="S260" i="88" s="1"/>
  <c r="S285" i="88"/>
  <c r="S286" i="88" s="1"/>
  <c r="M207" i="92"/>
  <c r="T300" i="96"/>
  <c r="T376" i="96" s="1"/>
  <c r="T400" i="96" s="1"/>
  <c r="T401" i="96" s="1"/>
  <c r="T172" i="96"/>
  <c r="T173" i="96" s="1"/>
  <c r="R324" i="88"/>
  <c r="R325" i="88" s="1"/>
  <c r="R376" i="88"/>
  <c r="R400" i="88" s="1"/>
  <c r="R401" i="88" s="1"/>
  <c r="W72" i="88"/>
  <c r="W148" i="88" s="1"/>
  <c r="W72" i="52"/>
  <c r="T300" i="92"/>
  <c r="T376" i="92" s="1"/>
  <c r="T400" i="92" s="1"/>
  <c r="T401" i="92" s="1"/>
  <c r="U122" i="14"/>
  <c r="U111" i="14"/>
  <c r="U138" i="14" s="1"/>
  <c r="U135" i="14"/>
  <c r="J110" i="92"/>
  <c r="J111" i="92" s="1"/>
  <c r="J112" i="92" s="1"/>
  <c r="J113" i="92"/>
  <c r="K131" i="92"/>
  <c r="K109" i="92"/>
  <c r="I127" i="92"/>
  <c r="I136" i="92" s="1"/>
  <c r="I124" i="92"/>
  <c r="T224" i="88"/>
  <c r="T300" i="88" s="1"/>
  <c r="T376" i="88" s="1"/>
  <c r="T400" i="88" s="1"/>
  <c r="T401" i="88" s="1"/>
  <c r="L261" i="88"/>
  <c r="L265" i="88" s="1"/>
  <c r="K261" i="88"/>
  <c r="K262" i="88" s="1"/>
  <c r="K263" i="88" s="1"/>
  <c r="K264" i="88" s="1"/>
  <c r="K359" i="52"/>
  <c r="J279" i="88"/>
  <c r="J288" i="88" s="1"/>
  <c r="J289" i="88" s="1"/>
  <c r="J413" i="96"/>
  <c r="J417" i="96" s="1"/>
  <c r="L131" i="96"/>
  <c r="K207" i="96"/>
  <c r="J200" i="96"/>
  <c r="J203" i="96"/>
  <c r="J212" i="96" s="1"/>
  <c r="J213" i="96" s="1"/>
  <c r="J359" i="96"/>
  <c r="J352" i="52"/>
  <c r="I342" i="96"/>
  <c r="I355" i="96" s="1"/>
  <c r="I364" i="96" s="1"/>
  <c r="K276" i="52"/>
  <c r="H428" i="96"/>
  <c r="L200" i="92"/>
  <c r="I418" i="96"/>
  <c r="I428" i="96" s="1"/>
  <c r="J435" i="92"/>
  <c r="K114" i="96"/>
  <c r="K124" i="96" s="1"/>
  <c r="J342" i="88"/>
  <c r="J352" i="88" s="1"/>
  <c r="J124" i="96"/>
  <c r="I418" i="92"/>
  <c r="I428" i="92" s="1"/>
  <c r="J417" i="52"/>
  <c r="J414" i="52"/>
  <c r="J415" i="52" s="1"/>
  <c r="J416" i="52" s="1"/>
  <c r="K190" i="88"/>
  <c r="K203" i="88" s="1"/>
  <c r="K212" i="88" s="1"/>
  <c r="H441" i="96"/>
  <c r="V59" i="14"/>
  <c r="V72" i="14"/>
  <c r="K337" i="92"/>
  <c r="K359" i="92"/>
  <c r="I418" i="88"/>
  <c r="J342" i="92"/>
  <c r="L265" i="52"/>
  <c r="L262" i="52"/>
  <c r="L263" i="52" s="1"/>
  <c r="L264" i="52" s="1"/>
  <c r="K190" i="52"/>
  <c r="L185" i="88"/>
  <c r="L207" i="88"/>
  <c r="K289" i="52"/>
  <c r="I137" i="96"/>
  <c r="J137" i="96"/>
  <c r="L213" i="92"/>
  <c r="J276" i="96"/>
  <c r="J279" i="96"/>
  <c r="J288" i="96" s="1"/>
  <c r="L185" i="52"/>
  <c r="L207" i="52"/>
  <c r="J417" i="92"/>
  <c r="J414" i="92"/>
  <c r="J415" i="92" s="1"/>
  <c r="J416" i="92" s="1"/>
  <c r="J413" i="88"/>
  <c r="J435" i="88"/>
  <c r="J341" i="96"/>
  <c r="J338" i="96"/>
  <c r="J339" i="96" s="1"/>
  <c r="J340" i="96" s="1"/>
  <c r="K189" i="96"/>
  <c r="K186" i="96"/>
  <c r="K187" i="96" s="1"/>
  <c r="K188" i="96" s="1"/>
  <c r="J279" i="92"/>
  <c r="J288" i="92" s="1"/>
  <c r="J276" i="92"/>
  <c r="K337" i="88"/>
  <c r="K359" i="88"/>
  <c r="J365" i="52"/>
  <c r="K265" i="96"/>
  <c r="K262" i="96"/>
  <c r="K263" i="96" s="1"/>
  <c r="K264" i="96" s="1"/>
  <c r="H441" i="88"/>
  <c r="K265" i="92"/>
  <c r="K262" i="92"/>
  <c r="K263" i="92" s="1"/>
  <c r="K264" i="92" s="1"/>
  <c r="U62" i="14"/>
  <c r="U64" i="14" s="1"/>
  <c r="U75" i="14"/>
  <c r="U77" i="14" s="1"/>
  <c r="T248" i="52"/>
  <c r="T249" i="52" s="1"/>
  <c r="T300" i="52"/>
  <c r="R260" i="52"/>
  <c r="S324" i="52"/>
  <c r="S325" i="52" s="1"/>
  <c r="S376" i="52"/>
  <c r="S400" i="52" s="1"/>
  <c r="S401" i="52" s="1"/>
  <c r="S184" i="52"/>
  <c r="U172" i="52"/>
  <c r="U173" i="52" s="1"/>
  <c r="U224" i="52"/>
  <c r="L113" i="52"/>
  <c r="L110" i="52"/>
  <c r="V48" i="14"/>
  <c r="V50" i="14" s="1"/>
  <c r="W38" i="14"/>
  <c r="AB312" i="92" l="1"/>
  <c r="AB160" i="92"/>
  <c r="AB388" i="92"/>
  <c r="R434" i="92"/>
  <c r="S332" i="96"/>
  <c r="S335" i="96" s="1"/>
  <c r="S336" i="96" s="1"/>
  <c r="S209" i="96"/>
  <c r="S210" i="96" s="1"/>
  <c r="U172" i="88"/>
  <c r="U173" i="88" s="1"/>
  <c r="U180" i="88" s="1"/>
  <c r="U206" i="88" s="1"/>
  <c r="U248" i="88"/>
  <c r="U249" i="88" s="1"/>
  <c r="U285" i="88" s="1"/>
  <c r="U286" i="88" s="1"/>
  <c r="S256" i="96"/>
  <c r="S259" i="96" s="1"/>
  <c r="S260" i="96" s="1"/>
  <c r="R438" i="96"/>
  <c r="E60" i="96" s="1"/>
  <c r="R361" i="96"/>
  <c r="R362" i="96" s="1"/>
  <c r="E55" i="96" s="1"/>
  <c r="V148" i="52"/>
  <c r="V172" i="52" s="1"/>
  <c r="V173" i="52" s="1"/>
  <c r="U107" i="88"/>
  <c r="U108" i="88" s="1"/>
  <c r="R285" i="92"/>
  <c r="R286" i="92" s="1"/>
  <c r="E50" i="92" s="1"/>
  <c r="V224" i="88"/>
  <c r="V300" i="88" s="1"/>
  <c r="V96" i="88"/>
  <c r="V97" i="88" s="1"/>
  <c r="V104" i="88" s="1"/>
  <c r="V130" i="88" s="1"/>
  <c r="R335" i="92"/>
  <c r="R336" i="92" s="1"/>
  <c r="R361" i="92"/>
  <c r="E54" i="92" s="1"/>
  <c r="R282" i="92"/>
  <c r="U209" i="92"/>
  <c r="U210" i="92" s="1"/>
  <c r="AL316" i="96"/>
  <c r="R285" i="96"/>
  <c r="R286" i="96" s="1"/>
  <c r="E50" i="96" s="1"/>
  <c r="U96" i="92"/>
  <c r="U97" i="92" s="1"/>
  <c r="U133" i="92" s="1"/>
  <c r="U134" i="92" s="1"/>
  <c r="U224" i="92"/>
  <c r="U248" i="92" s="1"/>
  <c r="U249" i="92" s="1"/>
  <c r="U285" i="92" s="1"/>
  <c r="U286" i="92" s="1"/>
  <c r="AL164" i="96"/>
  <c r="AL240" i="96"/>
  <c r="AM88" i="96"/>
  <c r="AM164" i="96" s="1"/>
  <c r="V72" i="92"/>
  <c r="V96" i="92" s="1"/>
  <c r="V97" i="92" s="1"/>
  <c r="V104" i="92" s="1"/>
  <c r="V130" i="92" s="1"/>
  <c r="U224" i="96"/>
  <c r="U300" i="96" s="1"/>
  <c r="U376" i="96" s="1"/>
  <c r="U400" i="96" s="1"/>
  <c r="U401" i="96" s="1"/>
  <c r="U180" i="96"/>
  <c r="U183" i="96" s="1"/>
  <c r="U184" i="96" s="1"/>
  <c r="U96" i="96"/>
  <c r="U97" i="96" s="1"/>
  <c r="U133" i="96" s="1"/>
  <c r="U134" i="96" s="1"/>
  <c r="V72" i="96"/>
  <c r="V148" i="96" s="1"/>
  <c r="V172" i="96" s="1"/>
  <c r="V173" i="96" s="1"/>
  <c r="V180" i="96" s="1"/>
  <c r="V183" i="96" s="1"/>
  <c r="V135" i="14"/>
  <c r="T140" i="14"/>
  <c r="T127" i="14"/>
  <c r="V111" i="14"/>
  <c r="V114" i="14" s="1"/>
  <c r="V122" i="14"/>
  <c r="AH314" i="52"/>
  <c r="AH390" i="52"/>
  <c r="O310" i="88"/>
  <c r="O320" i="88" s="1"/>
  <c r="O386" i="88"/>
  <c r="O396" i="88" s="1"/>
  <c r="O310" i="92"/>
  <c r="O320" i="92" s="1"/>
  <c r="O386" i="92"/>
  <c r="O396" i="92" s="1"/>
  <c r="AF314" i="92"/>
  <c r="AF390" i="92"/>
  <c r="P310" i="52"/>
  <c r="P320" i="52" s="1"/>
  <c r="P386" i="52"/>
  <c r="P396" i="52" s="1"/>
  <c r="O310" i="96"/>
  <c r="O320" i="96" s="1"/>
  <c r="O386" i="96"/>
  <c r="O396" i="96" s="1"/>
  <c r="AM316" i="92"/>
  <c r="AM392" i="92"/>
  <c r="AF314" i="96"/>
  <c r="AF390" i="96"/>
  <c r="AE314" i="88"/>
  <c r="AE390" i="88"/>
  <c r="AA236" i="96"/>
  <c r="AA312" i="96"/>
  <c r="AL240" i="52"/>
  <c r="AL316" i="52"/>
  <c r="AA236" i="52"/>
  <c r="AA312" i="52"/>
  <c r="AL240" i="88"/>
  <c r="AL316" i="88"/>
  <c r="AA236" i="88"/>
  <c r="AA312" i="88"/>
  <c r="AF162" i="92"/>
  <c r="AF238" i="92"/>
  <c r="AE162" i="88"/>
  <c r="AE238" i="88"/>
  <c r="AF162" i="96"/>
  <c r="AF238" i="96"/>
  <c r="AH162" i="52"/>
  <c r="AH238" i="52"/>
  <c r="O158" i="88"/>
  <c r="O168" i="88" s="1"/>
  <c r="O234" i="88"/>
  <c r="O244" i="88" s="1"/>
  <c r="O158" i="92"/>
  <c r="O168" i="92" s="1"/>
  <c r="O234" i="92"/>
  <c r="O244" i="92" s="1"/>
  <c r="P158" i="52"/>
  <c r="P168" i="52" s="1"/>
  <c r="P234" i="52"/>
  <c r="P244" i="52" s="1"/>
  <c r="O158" i="96"/>
  <c r="O168" i="96" s="1"/>
  <c r="O234" i="96"/>
  <c r="O244" i="96" s="1"/>
  <c r="AM164" i="92"/>
  <c r="AM240" i="92"/>
  <c r="AM88" i="52"/>
  <c r="AL164" i="52"/>
  <c r="AB84" i="96"/>
  <c r="AA160" i="96"/>
  <c r="AB84" i="52"/>
  <c r="AA160" i="52"/>
  <c r="AM88" i="88"/>
  <c r="AL164" i="88"/>
  <c r="AB84" i="88"/>
  <c r="AA160" i="88"/>
  <c r="P82" i="88"/>
  <c r="O92" i="88"/>
  <c r="P82" i="92"/>
  <c r="O92" i="92"/>
  <c r="Q82" i="52"/>
  <c r="P92" i="52"/>
  <c r="P82" i="96"/>
  <c r="O92" i="96"/>
  <c r="K124" i="88"/>
  <c r="U114" i="14"/>
  <c r="U113" i="14"/>
  <c r="V51" i="14"/>
  <c r="L113" i="88"/>
  <c r="L114" i="88" s="1"/>
  <c r="L127" i="88" s="1"/>
  <c r="L136" i="88" s="1"/>
  <c r="AG86" i="92"/>
  <c r="AF86" i="88"/>
  <c r="AI86" i="52"/>
  <c r="AG86" i="96"/>
  <c r="M131" i="88"/>
  <c r="J124" i="88"/>
  <c r="J127" i="88"/>
  <c r="J136" i="88" s="1"/>
  <c r="J137" i="88" s="1"/>
  <c r="T183" i="52"/>
  <c r="T184" i="52" s="1"/>
  <c r="S411" i="88"/>
  <c r="S412" i="88" s="1"/>
  <c r="T259" i="96"/>
  <c r="T260" i="96" s="1"/>
  <c r="R434" i="52"/>
  <c r="R335" i="52"/>
  <c r="R336" i="52" s="1"/>
  <c r="U130" i="52"/>
  <c r="R362" i="52"/>
  <c r="E55" i="52" s="1"/>
  <c r="E54" i="52"/>
  <c r="R286" i="88"/>
  <c r="E50" i="88" s="1"/>
  <c r="E49" i="88"/>
  <c r="R438" i="52"/>
  <c r="E60" i="52" s="1"/>
  <c r="E59" i="52"/>
  <c r="R259" i="88"/>
  <c r="R260" i="88" s="1"/>
  <c r="S282" i="52"/>
  <c r="S434" i="92"/>
  <c r="S335" i="88"/>
  <c r="S336" i="88" s="1"/>
  <c r="T183" i="88"/>
  <c r="T184" i="88" s="1"/>
  <c r="S282" i="92"/>
  <c r="T107" i="52"/>
  <c r="T108" i="52" s="1"/>
  <c r="S335" i="92"/>
  <c r="S336" i="92" s="1"/>
  <c r="U206" i="92"/>
  <c r="S434" i="96"/>
  <c r="N185" i="92"/>
  <c r="N186" i="92" s="1"/>
  <c r="N187" i="92" s="1"/>
  <c r="N188" i="92" s="1"/>
  <c r="T206" i="92"/>
  <c r="T259" i="92"/>
  <c r="T260" i="92" s="1"/>
  <c r="S206" i="96"/>
  <c r="U180" i="52"/>
  <c r="U183" i="52" s="1"/>
  <c r="U209" i="52"/>
  <c r="U210" i="52" s="1"/>
  <c r="Q335" i="88"/>
  <c r="Q336" i="88" s="1"/>
  <c r="R408" i="88"/>
  <c r="R434" i="88" s="1"/>
  <c r="R437" i="88"/>
  <c r="T180" i="96"/>
  <c r="T206" i="96" s="1"/>
  <c r="T209" i="96"/>
  <c r="T210" i="96" s="1"/>
  <c r="T130" i="92"/>
  <c r="V180" i="88"/>
  <c r="V183" i="88" s="1"/>
  <c r="V209" i="88"/>
  <c r="V210" i="88" s="1"/>
  <c r="R332" i="88"/>
  <c r="R335" i="88" s="1"/>
  <c r="R336" i="88" s="1"/>
  <c r="R361" i="88"/>
  <c r="V104" i="52"/>
  <c r="V130" i="52" s="1"/>
  <c r="V133" i="52"/>
  <c r="V134" i="52" s="1"/>
  <c r="Q434" i="88"/>
  <c r="T408" i="96"/>
  <c r="T434" i="96" s="1"/>
  <c r="T437" i="96"/>
  <c r="T438" i="96" s="1"/>
  <c r="S282" i="88"/>
  <c r="R282" i="96"/>
  <c r="T408" i="92"/>
  <c r="T411" i="92" s="1"/>
  <c r="T437" i="92"/>
  <c r="T438" i="92" s="1"/>
  <c r="S408" i="52"/>
  <c r="S434" i="52" s="1"/>
  <c r="S437" i="52"/>
  <c r="S438" i="52" s="1"/>
  <c r="S332" i="52"/>
  <c r="S335" i="52" s="1"/>
  <c r="S361" i="52"/>
  <c r="S362" i="52" s="1"/>
  <c r="T256" i="52"/>
  <c r="T282" i="52" s="1"/>
  <c r="T285" i="52"/>
  <c r="T286" i="52" s="1"/>
  <c r="T408" i="88"/>
  <c r="T434" i="88" s="1"/>
  <c r="T437" i="88"/>
  <c r="T438" i="88" s="1"/>
  <c r="R358" i="96"/>
  <c r="R335" i="96"/>
  <c r="R336" i="96" s="1"/>
  <c r="T324" i="96"/>
  <c r="T325" i="96" s="1"/>
  <c r="T324" i="92"/>
  <c r="T325" i="92" s="1"/>
  <c r="X72" i="52"/>
  <c r="X72" i="88"/>
  <c r="X96" i="88" s="1"/>
  <c r="X97" i="88" s="1"/>
  <c r="U140" i="14"/>
  <c r="U125" i="14"/>
  <c r="T324" i="88"/>
  <c r="T325" i="88" s="1"/>
  <c r="T248" i="88"/>
  <c r="T249" i="88" s="1"/>
  <c r="J114" i="92"/>
  <c r="J127" i="92" s="1"/>
  <c r="J136" i="92" s="1"/>
  <c r="J137" i="92" s="1"/>
  <c r="I137" i="92"/>
  <c r="K110" i="92"/>
  <c r="K111" i="92" s="1"/>
  <c r="K112" i="92" s="1"/>
  <c r="K113" i="92"/>
  <c r="L262" i="88"/>
  <c r="L263" i="88" s="1"/>
  <c r="L264" i="88" s="1"/>
  <c r="L266" i="88" s="1"/>
  <c r="L279" i="88" s="1"/>
  <c r="L288" i="88" s="1"/>
  <c r="L283" i="88"/>
  <c r="K337" i="52"/>
  <c r="K338" i="52" s="1"/>
  <c r="K339" i="52" s="1"/>
  <c r="K340" i="52" s="1"/>
  <c r="K265" i="88"/>
  <c r="K266" i="88" s="1"/>
  <c r="K276" i="88" s="1"/>
  <c r="J414" i="96"/>
  <c r="J415" i="96" s="1"/>
  <c r="J416" i="96" s="1"/>
  <c r="J418" i="96" s="1"/>
  <c r="K359" i="96"/>
  <c r="L109" i="96"/>
  <c r="L113" i="96" s="1"/>
  <c r="L185" i="96"/>
  <c r="I352" i="96"/>
  <c r="J355" i="88"/>
  <c r="J364" i="88" s="1"/>
  <c r="J365" i="88" s="1"/>
  <c r="K127" i="96"/>
  <c r="K136" i="96" s="1"/>
  <c r="K137" i="96" s="1"/>
  <c r="I431" i="96"/>
  <c r="I440" i="96" s="1"/>
  <c r="I441" i="96" s="1"/>
  <c r="I431" i="92"/>
  <c r="I440" i="92" s="1"/>
  <c r="I441" i="92" s="1"/>
  <c r="K266" i="96"/>
  <c r="K276" i="96" s="1"/>
  <c r="L359" i="88"/>
  <c r="K200" i="88"/>
  <c r="J418" i="52"/>
  <c r="J428" i="52" s="1"/>
  <c r="K266" i="92"/>
  <c r="K276" i="92" s="1"/>
  <c r="J342" i="96"/>
  <c r="J355" i="96" s="1"/>
  <c r="J364" i="96" s="1"/>
  <c r="J418" i="92"/>
  <c r="J431" i="92" s="1"/>
  <c r="J440" i="92" s="1"/>
  <c r="K413" i="52"/>
  <c r="K435" i="52"/>
  <c r="M113" i="88"/>
  <c r="M110" i="88"/>
  <c r="M111" i="88" s="1"/>
  <c r="M112" i="88" s="1"/>
  <c r="M203" i="92"/>
  <c r="M212" i="92" s="1"/>
  <c r="M200" i="92"/>
  <c r="W72" i="14"/>
  <c r="W59" i="14"/>
  <c r="K341" i="88"/>
  <c r="K338" i="88"/>
  <c r="K339" i="88" s="1"/>
  <c r="K340" i="88" s="1"/>
  <c r="K213" i="88"/>
  <c r="K190" i="96"/>
  <c r="L189" i="88"/>
  <c r="L186" i="88"/>
  <c r="L187" i="88" s="1"/>
  <c r="L188" i="88" s="1"/>
  <c r="L266" i="52"/>
  <c r="J352" i="92"/>
  <c r="J355" i="92"/>
  <c r="J364" i="92" s="1"/>
  <c r="I428" i="88"/>
  <c r="I431" i="88"/>
  <c r="I440" i="88" s="1"/>
  <c r="M261" i="52"/>
  <c r="M283" i="52"/>
  <c r="W122" i="14"/>
  <c r="W135" i="14"/>
  <c r="J417" i="88"/>
  <c r="J414" i="88"/>
  <c r="J415" i="88" s="1"/>
  <c r="J416" i="88" s="1"/>
  <c r="J289" i="96"/>
  <c r="K200" i="52"/>
  <c r="K203" i="52"/>
  <c r="K212" i="52" s="1"/>
  <c r="K341" i="92"/>
  <c r="K338" i="92"/>
  <c r="K339" i="92" s="1"/>
  <c r="K340" i="92" s="1"/>
  <c r="L261" i="92"/>
  <c r="L283" i="92"/>
  <c r="K413" i="92"/>
  <c r="K435" i="92"/>
  <c r="I365" i="96"/>
  <c r="J289" i="92"/>
  <c r="L189" i="52"/>
  <c r="L186" i="52"/>
  <c r="L187" i="52" s="1"/>
  <c r="L188" i="52" s="1"/>
  <c r="L261" i="96"/>
  <c r="L283" i="96"/>
  <c r="S412" i="96"/>
  <c r="W96" i="88"/>
  <c r="W97" i="88" s="1"/>
  <c r="S412" i="92"/>
  <c r="U184" i="92"/>
  <c r="W172" i="88"/>
  <c r="W173" i="88" s="1"/>
  <c r="W224" i="88"/>
  <c r="U324" i="88"/>
  <c r="U325" i="88" s="1"/>
  <c r="U376" i="88"/>
  <c r="U400" i="88" s="1"/>
  <c r="U401" i="88" s="1"/>
  <c r="V62" i="14"/>
  <c r="V64" i="14" s="1"/>
  <c r="V75" i="14"/>
  <c r="V77" i="14" s="1"/>
  <c r="T324" i="52"/>
  <c r="T325" i="52" s="1"/>
  <c r="T376" i="52"/>
  <c r="T400" i="52" s="1"/>
  <c r="T401" i="52" s="1"/>
  <c r="U248" i="52"/>
  <c r="U249" i="52" s="1"/>
  <c r="U300" i="52"/>
  <c r="W96" i="52"/>
  <c r="W97" i="52" s="1"/>
  <c r="W148" i="52"/>
  <c r="S260" i="52"/>
  <c r="L111" i="52"/>
  <c r="L112" i="52" s="1"/>
  <c r="L114" i="52" s="1"/>
  <c r="L124" i="52" s="1"/>
  <c r="M109" i="52"/>
  <c r="M131" i="52"/>
  <c r="W48" i="14"/>
  <c r="W51" i="14" s="1"/>
  <c r="W111" i="14"/>
  <c r="W114" i="14" s="1"/>
  <c r="X101" i="14"/>
  <c r="X38" i="14"/>
  <c r="V133" i="88" l="1"/>
  <c r="V134" i="88" s="1"/>
  <c r="S282" i="96"/>
  <c r="V224" i="52"/>
  <c r="V248" i="52" s="1"/>
  <c r="V249" i="52" s="1"/>
  <c r="S358" i="96"/>
  <c r="U104" i="92"/>
  <c r="U107" i="92" s="1"/>
  <c r="U108" i="92" s="1"/>
  <c r="U256" i="88"/>
  <c r="U282" i="88" s="1"/>
  <c r="U209" i="88"/>
  <c r="U210" i="88" s="1"/>
  <c r="E54" i="96"/>
  <c r="V248" i="88"/>
  <c r="V249" i="88" s="1"/>
  <c r="V256" i="88" s="1"/>
  <c r="V259" i="88" s="1"/>
  <c r="U256" i="92"/>
  <c r="U259" i="92" s="1"/>
  <c r="U260" i="92" s="1"/>
  <c r="E49" i="96"/>
  <c r="E49" i="92"/>
  <c r="U300" i="92"/>
  <c r="U324" i="92" s="1"/>
  <c r="U325" i="92" s="1"/>
  <c r="U332" i="92" s="1"/>
  <c r="U358" i="92" s="1"/>
  <c r="U104" i="96"/>
  <c r="U107" i="96" s="1"/>
  <c r="U108" i="96" s="1"/>
  <c r="R362" i="92"/>
  <c r="E55" i="92" s="1"/>
  <c r="V113" i="14"/>
  <c r="U248" i="96"/>
  <c r="U249" i="96" s="1"/>
  <c r="U285" i="96" s="1"/>
  <c r="U286" i="96" s="1"/>
  <c r="U206" i="96"/>
  <c r="U324" i="96"/>
  <c r="U325" i="96" s="1"/>
  <c r="U361" i="96" s="1"/>
  <c r="U362" i="96" s="1"/>
  <c r="AM316" i="96"/>
  <c r="AM392" i="96"/>
  <c r="AM240" i="96"/>
  <c r="V148" i="92"/>
  <c r="V172" i="92" s="1"/>
  <c r="V173" i="92" s="1"/>
  <c r="V209" i="92" s="1"/>
  <c r="V210" i="92" s="1"/>
  <c r="V107" i="92"/>
  <c r="V108" i="92" s="1"/>
  <c r="V209" i="96"/>
  <c r="V210" i="96" s="1"/>
  <c r="W72" i="96"/>
  <c r="W96" i="96" s="1"/>
  <c r="W97" i="96" s="1"/>
  <c r="W104" i="96" s="1"/>
  <c r="W107" i="96" s="1"/>
  <c r="W108" i="96" s="1"/>
  <c r="V133" i="92"/>
  <c r="V134" i="92" s="1"/>
  <c r="V96" i="96"/>
  <c r="V97" i="96" s="1"/>
  <c r="V104" i="96" s="1"/>
  <c r="V130" i="96" s="1"/>
  <c r="V224" i="96"/>
  <c r="V248" i="96" s="1"/>
  <c r="V249" i="96" s="1"/>
  <c r="V285" i="96" s="1"/>
  <c r="V286" i="96" s="1"/>
  <c r="V138" i="14"/>
  <c r="V140" i="14" s="1"/>
  <c r="V125" i="14"/>
  <c r="V127" i="14" s="1"/>
  <c r="W72" i="92"/>
  <c r="W148" i="92" s="1"/>
  <c r="W172" i="92" s="1"/>
  <c r="W173" i="92" s="1"/>
  <c r="U127" i="14"/>
  <c r="AI314" i="52"/>
  <c r="AI390" i="52"/>
  <c r="AF314" i="88"/>
  <c r="AF390" i="88"/>
  <c r="AG314" i="92"/>
  <c r="AG390" i="92"/>
  <c r="AG314" i="96"/>
  <c r="AG390" i="96"/>
  <c r="P310" i="88"/>
  <c r="P320" i="88" s="1"/>
  <c r="P386" i="88"/>
  <c r="P396" i="88" s="1"/>
  <c r="AM316" i="88"/>
  <c r="AM392" i="88"/>
  <c r="AB312" i="96"/>
  <c r="AB388" i="96"/>
  <c r="P310" i="96"/>
  <c r="P320" i="96" s="1"/>
  <c r="P386" i="96"/>
  <c r="P396" i="96" s="1"/>
  <c r="Q310" i="52"/>
  <c r="Q320" i="52" s="1"/>
  <c r="Q386" i="52"/>
  <c r="Q396" i="52" s="1"/>
  <c r="P310" i="92"/>
  <c r="P320" i="92" s="1"/>
  <c r="P386" i="92"/>
  <c r="P396" i="92" s="1"/>
  <c r="AB312" i="88"/>
  <c r="AB388" i="88"/>
  <c r="AB312" i="52"/>
  <c r="AB388" i="52"/>
  <c r="AM316" i="52"/>
  <c r="AM392" i="52"/>
  <c r="P158" i="92"/>
  <c r="P168" i="92" s="1"/>
  <c r="P234" i="92"/>
  <c r="P244" i="92" s="1"/>
  <c r="AB160" i="52"/>
  <c r="AB236" i="52"/>
  <c r="AM164" i="52"/>
  <c r="AM240" i="52"/>
  <c r="AI162" i="52"/>
  <c r="AI238" i="52"/>
  <c r="AG162" i="92"/>
  <c r="AG238" i="92"/>
  <c r="Q158" i="52"/>
  <c r="Q168" i="52" s="1"/>
  <c r="Q234" i="52"/>
  <c r="Q244" i="52" s="1"/>
  <c r="AB160" i="88"/>
  <c r="AB236" i="88"/>
  <c r="AG162" i="96"/>
  <c r="AG238" i="96"/>
  <c r="AF162" i="88"/>
  <c r="AF238" i="88"/>
  <c r="P158" i="96"/>
  <c r="P168" i="96" s="1"/>
  <c r="P234" i="96"/>
  <c r="P244" i="96" s="1"/>
  <c r="P158" i="88"/>
  <c r="P168" i="88" s="1"/>
  <c r="P234" i="88"/>
  <c r="P244" i="88" s="1"/>
  <c r="AM164" i="88"/>
  <c r="AM240" i="88"/>
  <c r="AB160" i="96"/>
  <c r="AB236" i="96"/>
  <c r="Q82" i="92"/>
  <c r="P92" i="92"/>
  <c r="Q82" i="96"/>
  <c r="P92" i="96"/>
  <c r="R82" i="52"/>
  <c r="Q92" i="52"/>
  <c r="Q82" i="88"/>
  <c r="P92" i="88"/>
  <c r="L124" i="88"/>
  <c r="W113" i="14"/>
  <c r="W50" i="14"/>
  <c r="AJ86" i="52"/>
  <c r="AG86" i="88"/>
  <c r="AH86" i="92"/>
  <c r="AH86" i="96"/>
  <c r="L137" i="88"/>
  <c r="K137" i="88"/>
  <c r="R358" i="88"/>
  <c r="V107" i="88"/>
  <c r="V108" i="88" s="1"/>
  <c r="V107" i="52"/>
  <c r="V108" i="52" s="1"/>
  <c r="V206" i="96"/>
  <c r="T411" i="88"/>
  <c r="T412" i="88" s="1"/>
  <c r="S411" i="52"/>
  <c r="S412" i="52" s="1"/>
  <c r="U206" i="52"/>
  <c r="R438" i="88"/>
  <c r="E60" i="88" s="1"/>
  <c r="E59" i="88"/>
  <c r="R411" i="88"/>
  <c r="R412" i="88" s="1"/>
  <c r="R362" i="88"/>
  <c r="E55" i="88" s="1"/>
  <c r="E54" i="88"/>
  <c r="S358" i="52"/>
  <c r="T434" i="92"/>
  <c r="N207" i="92"/>
  <c r="O185" i="92"/>
  <c r="O189" i="92" s="1"/>
  <c r="T259" i="52"/>
  <c r="T260" i="52" s="1"/>
  <c r="N189" i="92"/>
  <c r="N190" i="92" s="1"/>
  <c r="N203" i="92" s="1"/>
  <c r="N212" i="92" s="1"/>
  <c r="N213" i="92" s="1"/>
  <c r="U183" i="88"/>
  <c r="U184" i="88" s="1"/>
  <c r="V206" i="88"/>
  <c r="T411" i="96"/>
  <c r="T412" i="96" s="1"/>
  <c r="W104" i="52"/>
  <c r="W107" i="52" s="1"/>
  <c r="W108" i="52" s="1"/>
  <c r="W133" i="52"/>
  <c r="F39" i="52" s="1"/>
  <c r="T332" i="52"/>
  <c r="T358" i="52" s="1"/>
  <c r="T361" i="52"/>
  <c r="T362" i="52" s="1"/>
  <c r="V180" i="52"/>
  <c r="V183" i="52" s="1"/>
  <c r="V209" i="52"/>
  <c r="V210" i="52" s="1"/>
  <c r="U332" i="88"/>
  <c r="U335" i="88" s="1"/>
  <c r="U361" i="88"/>
  <c r="U362" i="88" s="1"/>
  <c r="X104" i="88"/>
  <c r="X107" i="88" s="1"/>
  <c r="X133" i="88"/>
  <c r="X134" i="88" s="1"/>
  <c r="T256" i="88"/>
  <c r="T259" i="88" s="1"/>
  <c r="T260" i="88" s="1"/>
  <c r="T285" i="88"/>
  <c r="T286" i="88" s="1"/>
  <c r="T332" i="96"/>
  <c r="T361" i="96"/>
  <c r="T362" i="96" s="1"/>
  <c r="W104" i="88"/>
  <c r="W130" i="88" s="1"/>
  <c r="W133" i="88"/>
  <c r="F39" i="88" s="1"/>
  <c r="T332" i="92"/>
  <c r="T335" i="92" s="1"/>
  <c r="T336" i="92" s="1"/>
  <c r="T361" i="92"/>
  <c r="T362" i="92" s="1"/>
  <c r="U256" i="52"/>
  <c r="U259" i="52" s="1"/>
  <c r="U285" i="52"/>
  <c r="U286" i="52" s="1"/>
  <c r="T408" i="52"/>
  <c r="T434" i="52" s="1"/>
  <c r="T437" i="52"/>
  <c r="T438" i="52" s="1"/>
  <c r="U408" i="88"/>
  <c r="U434" i="88" s="1"/>
  <c r="U437" i="88"/>
  <c r="U438" i="88" s="1"/>
  <c r="W180" i="88"/>
  <c r="W206" i="88" s="1"/>
  <c r="W209" i="88"/>
  <c r="U408" i="96"/>
  <c r="U434" i="96" s="1"/>
  <c r="U437" i="96"/>
  <c r="U438" i="96" s="1"/>
  <c r="T332" i="88"/>
  <c r="T358" i="88" s="1"/>
  <c r="T361" i="88"/>
  <c r="T362" i="88" s="1"/>
  <c r="T183" i="96"/>
  <c r="T184" i="96" s="1"/>
  <c r="Y72" i="88"/>
  <c r="Y148" i="88" s="1"/>
  <c r="Y72" i="52"/>
  <c r="J124" i="92"/>
  <c r="K114" i="92"/>
  <c r="K127" i="92" s="1"/>
  <c r="K136" i="92" s="1"/>
  <c r="K137" i="92" s="1"/>
  <c r="L131" i="92"/>
  <c r="L109" i="92"/>
  <c r="K341" i="52"/>
  <c r="K342" i="52" s="1"/>
  <c r="K355" i="52" s="1"/>
  <c r="K364" i="52" s="1"/>
  <c r="M283" i="88"/>
  <c r="K279" i="88"/>
  <c r="K288" i="88" s="1"/>
  <c r="K289" i="88" s="1"/>
  <c r="L337" i="52"/>
  <c r="L338" i="52" s="1"/>
  <c r="L339" i="52" s="1"/>
  <c r="L340" i="52" s="1"/>
  <c r="L110" i="96"/>
  <c r="L111" i="96" s="1"/>
  <c r="L112" i="96" s="1"/>
  <c r="L114" i="96" s="1"/>
  <c r="L127" i="96" s="1"/>
  <c r="L136" i="96" s="1"/>
  <c r="L137" i="96" s="1"/>
  <c r="M109" i="96"/>
  <c r="M113" i="96" s="1"/>
  <c r="K337" i="96"/>
  <c r="K341" i="96" s="1"/>
  <c r="L207" i="96"/>
  <c r="L337" i="88"/>
  <c r="L338" i="88" s="1"/>
  <c r="L339" i="88" s="1"/>
  <c r="L340" i="88" s="1"/>
  <c r="L276" i="88"/>
  <c r="J431" i="52"/>
  <c r="J440" i="52" s="1"/>
  <c r="J441" i="52" s="1"/>
  <c r="K279" i="92"/>
  <c r="K288" i="92" s="1"/>
  <c r="K289" i="92" s="1"/>
  <c r="M261" i="96"/>
  <c r="L435" i="92"/>
  <c r="J428" i="92"/>
  <c r="J352" i="96"/>
  <c r="K279" i="96"/>
  <c r="K288" i="96" s="1"/>
  <c r="K289" i="96" s="1"/>
  <c r="K342" i="88"/>
  <c r="K355" i="88" s="1"/>
  <c r="K364" i="88" s="1"/>
  <c r="L190" i="52"/>
  <c r="L200" i="52" s="1"/>
  <c r="L190" i="88"/>
  <c r="L200" i="88" s="1"/>
  <c r="L435" i="52"/>
  <c r="L413" i="52"/>
  <c r="K417" i="52"/>
  <c r="K414" i="52"/>
  <c r="K415" i="52" s="1"/>
  <c r="K416" i="52" s="1"/>
  <c r="X59" i="14"/>
  <c r="X72" i="14"/>
  <c r="M265" i="52"/>
  <c r="M262" i="52"/>
  <c r="M263" i="52" s="1"/>
  <c r="M264" i="52" s="1"/>
  <c r="K417" i="92"/>
  <c r="K414" i="92"/>
  <c r="K415" i="92" s="1"/>
  <c r="K416" i="92" s="1"/>
  <c r="K342" i="92"/>
  <c r="J418" i="88"/>
  <c r="K200" i="96"/>
  <c r="K203" i="96"/>
  <c r="K212" i="96" s="1"/>
  <c r="J365" i="92"/>
  <c r="M185" i="52"/>
  <c r="M207" i="52"/>
  <c r="L265" i="92"/>
  <c r="L262" i="92"/>
  <c r="L263" i="92" s="1"/>
  <c r="L264" i="92" s="1"/>
  <c r="J431" i="96"/>
  <c r="J440" i="96" s="1"/>
  <c r="J428" i="96"/>
  <c r="M114" i="88"/>
  <c r="M185" i="88"/>
  <c r="M207" i="88"/>
  <c r="N109" i="88"/>
  <c r="N131" i="88"/>
  <c r="L189" i="96"/>
  <c r="L186" i="96"/>
  <c r="L187" i="96" s="1"/>
  <c r="L188" i="96" s="1"/>
  <c r="K213" i="52"/>
  <c r="J441" i="92"/>
  <c r="M213" i="92"/>
  <c r="X122" i="14"/>
  <c r="X135" i="14"/>
  <c r="L265" i="96"/>
  <c r="L262" i="96"/>
  <c r="L263" i="96" s="1"/>
  <c r="L264" i="96" s="1"/>
  <c r="J365" i="96"/>
  <c r="N261" i="52"/>
  <c r="N283" i="52"/>
  <c r="I441" i="88"/>
  <c r="L279" i="52"/>
  <c r="L288" i="52" s="1"/>
  <c r="L276" i="52"/>
  <c r="X148" i="88"/>
  <c r="X224" i="88" s="1"/>
  <c r="V184" i="96"/>
  <c r="T412" i="92"/>
  <c r="V324" i="88"/>
  <c r="V325" i="88" s="1"/>
  <c r="V376" i="88"/>
  <c r="V400" i="88" s="1"/>
  <c r="V401" i="88" s="1"/>
  <c r="V184" i="88"/>
  <c r="W248" i="88"/>
  <c r="W249" i="88" s="1"/>
  <c r="W300" i="88"/>
  <c r="W224" i="52"/>
  <c r="W172" i="52"/>
  <c r="W173" i="52" s="1"/>
  <c r="W125" i="14"/>
  <c r="W138" i="14"/>
  <c r="S336" i="52"/>
  <c r="W62" i="14"/>
  <c r="W64" i="14" s="1"/>
  <c r="W75" i="14"/>
  <c r="W77" i="14" s="1"/>
  <c r="U184" i="52"/>
  <c r="U324" i="52"/>
  <c r="U325" i="52" s="1"/>
  <c r="U376" i="52"/>
  <c r="U400" i="52" s="1"/>
  <c r="U401" i="52" s="1"/>
  <c r="X148" i="52"/>
  <c r="X96" i="52"/>
  <c r="X97" i="52" s="1"/>
  <c r="L127" i="52"/>
  <c r="L136" i="52" s="1"/>
  <c r="L137" i="52" s="1"/>
  <c r="N109" i="52"/>
  <c r="N131" i="52"/>
  <c r="M113" i="52"/>
  <c r="M110" i="52"/>
  <c r="M111" i="52" s="1"/>
  <c r="M112" i="52" s="1"/>
  <c r="X111" i="14"/>
  <c r="X114" i="14" s="1"/>
  <c r="X48" i="14"/>
  <c r="X51" i="14" s="1"/>
  <c r="Y38" i="14"/>
  <c r="Y101" i="14"/>
  <c r="V300" i="52" l="1"/>
  <c r="V376" i="52" s="1"/>
  <c r="V400" i="52" s="1"/>
  <c r="V401" i="52" s="1"/>
  <c r="U130" i="92"/>
  <c r="U361" i="92"/>
  <c r="U362" i="92" s="1"/>
  <c r="U259" i="88"/>
  <c r="U260" i="88" s="1"/>
  <c r="U282" i="92"/>
  <c r="V285" i="88"/>
  <c r="V286" i="88" s="1"/>
  <c r="U376" i="92"/>
  <c r="U400" i="92" s="1"/>
  <c r="U401" i="92" s="1"/>
  <c r="U408" i="92" s="1"/>
  <c r="U411" i="92" s="1"/>
  <c r="U412" i="92" s="1"/>
  <c r="U130" i="96"/>
  <c r="U256" i="96"/>
  <c r="U259" i="96" s="1"/>
  <c r="U260" i="96" s="1"/>
  <c r="U332" i="96"/>
  <c r="U358" i="96" s="1"/>
  <c r="W133" i="96"/>
  <c r="F39" i="96" s="1"/>
  <c r="V180" i="92"/>
  <c r="V206" i="92" s="1"/>
  <c r="W148" i="96"/>
  <c r="W172" i="96" s="1"/>
  <c r="W173" i="96" s="1"/>
  <c r="V224" i="92"/>
  <c r="V248" i="92" s="1"/>
  <c r="V249" i="92" s="1"/>
  <c r="V256" i="96"/>
  <c r="V282" i="96" s="1"/>
  <c r="Y72" i="92"/>
  <c r="Y148" i="92" s="1"/>
  <c r="Y224" i="92" s="1"/>
  <c r="X72" i="92"/>
  <c r="X96" i="92" s="1"/>
  <c r="X97" i="92" s="1"/>
  <c r="X104" i="92" s="1"/>
  <c r="X107" i="92" s="1"/>
  <c r="X108" i="92" s="1"/>
  <c r="V107" i="96"/>
  <c r="V108" i="96" s="1"/>
  <c r="V133" i="96"/>
  <c r="V134" i="96" s="1"/>
  <c r="V300" i="96"/>
  <c r="V376" i="96" s="1"/>
  <c r="V400" i="96" s="1"/>
  <c r="V401" i="96" s="1"/>
  <c r="V408" i="96" s="1"/>
  <c r="V434" i="96" s="1"/>
  <c r="W96" i="92"/>
  <c r="W97" i="92" s="1"/>
  <c r="W133" i="92" s="1"/>
  <c r="F39" i="92" s="1"/>
  <c r="W224" i="92"/>
  <c r="W300" i="92" s="1"/>
  <c r="W324" i="92" s="1"/>
  <c r="W325" i="92" s="1"/>
  <c r="X72" i="96"/>
  <c r="X148" i="96" s="1"/>
  <c r="X224" i="96" s="1"/>
  <c r="X300" i="96" s="1"/>
  <c r="Y72" i="96"/>
  <c r="Y96" i="96" s="1"/>
  <c r="Y97" i="96" s="1"/>
  <c r="Y104" i="96" s="1"/>
  <c r="Y130" i="96" s="1"/>
  <c r="W140" i="14"/>
  <c r="W127" i="14"/>
  <c r="AH314" i="96"/>
  <c r="AH390" i="96"/>
  <c r="AG314" i="88"/>
  <c r="AG390" i="88"/>
  <c r="Q310" i="96"/>
  <c r="Q320" i="96" s="1"/>
  <c r="Q386" i="96"/>
  <c r="Q396" i="96" s="1"/>
  <c r="Q310" i="92"/>
  <c r="Q320" i="92" s="1"/>
  <c r="Q386" i="92"/>
  <c r="Q396" i="92" s="1"/>
  <c r="AJ314" i="52"/>
  <c r="AJ390" i="52"/>
  <c r="Q310" i="88"/>
  <c r="Q320" i="88" s="1"/>
  <c r="Q386" i="88"/>
  <c r="Q396" i="88" s="1"/>
  <c r="R310" i="52"/>
  <c r="R320" i="52" s="1"/>
  <c r="R386" i="52"/>
  <c r="R396" i="52" s="1"/>
  <c r="AH314" i="92"/>
  <c r="AH390" i="92"/>
  <c r="AH162" i="92"/>
  <c r="AH238" i="92"/>
  <c r="AG162" i="88"/>
  <c r="AG238" i="88"/>
  <c r="AJ162" i="52"/>
  <c r="AJ238" i="52"/>
  <c r="R158" i="52"/>
  <c r="R168" i="52" s="1"/>
  <c r="R234" i="52"/>
  <c r="R244" i="52" s="1"/>
  <c r="Q158" i="88"/>
  <c r="Q168" i="88" s="1"/>
  <c r="Q234" i="88"/>
  <c r="Q244" i="88" s="1"/>
  <c r="Q158" i="96"/>
  <c r="Q168" i="96" s="1"/>
  <c r="Q234" i="96"/>
  <c r="Q244" i="96" s="1"/>
  <c r="Q158" i="92"/>
  <c r="Q168" i="92" s="1"/>
  <c r="Q234" i="92"/>
  <c r="Q244" i="92" s="1"/>
  <c r="AH162" i="96"/>
  <c r="AH238" i="96"/>
  <c r="R82" i="88"/>
  <c r="Q92" i="88"/>
  <c r="S82" i="52"/>
  <c r="R92" i="52"/>
  <c r="R82" i="96"/>
  <c r="Q92" i="96"/>
  <c r="R82" i="92"/>
  <c r="Q92" i="92"/>
  <c r="X50" i="14"/>
  <c r="X113" i="14"/>
  <c r="AI86" i="92"/>
  <c r="AH86" i="88"/>
  <c r="AI86" i="96"/>
  <c r="AK86" i="52"/>
  <c r="T282" i="88"/>
  <c r="V282" i="88"/>
  <c r="W210" i="88"/>
  <c r="F45" i="88" s="1"/>
  <c r="F44" i="88"/>
  <c r="O186" i="92"/>
  <c r="O187" i="92" s="1"/>
  <c r="O188" i="92" s="1"/>
  <c r="O190" i="92" s="1"/>
  <c r="T335" i="52"/>
  <c r="T336" i="52" s="1"/>
  <c r="U282" i="52"/>
  <c r="O207" i="92"/>
  <c r="T335" i="88"/>
  <c r="T336" i="88" s="1"/>
  <c r="W183" i="88"/>
  <c r="W184" i="88" s="1"/>
  <c r="W107" i="88"/>
  <c r="W108" i="88" s="1"/>
  <c r="U411" i="96"/>
  <c r="U412" i="96" s="1"/>
  <c r="V206" i="52"/>
  <c r="W130" i="52"/>
  <c r="U411" i="88"/>
  <c r="U412" i="88" s="1"/>
  <c r="U358" i="88"/>
  <c r="W134" i="52"/>
  <c r="F40" i="52" s="1"/>
  <c r="W134" i="88"/>
  <c r="F40" i="88" s="1"/>
  <c r="U335" i="92"/>
  <c r="U336" i="92" s="1"/>
  <c r="X130" i="88"/>
  <c r="X104" i="52"/>
  <c r="X107" i="52" s="1"/>
  <c r="X108" i="52" s="1"/>
  <c r="X133" i="52"/>
  <c r="X134" i="52" s="1"/>
  <c r="W180" i="52"/>
  <c r="W183" i="52" s="1"/>
  <c r="W209" i="52"/>
  <c r="U332" i="52"/>
  <c r="U335" i="52" s="1"/>
  <c r="U361" i="52"/>
  <c r="U362" i="52" s="1"/>
  <c r="T411" i="52"/>
  <c r="T412" i="52" s="1"/>
  <c r="W256" i="88"/>
  <c r="W282" i="88" s="1"/>
  <c r="W285" i="88"/>
  <c r="W130" i="96"/>
  <c r="V408" i="88"/>
  <c r="V434" i="88" s="1"/>
  <c r="V437" i="88"/>
  <c r="V438" i="88" s="1"/>
  <c r="W180" i="92"/>
  <c r="W206" i="92" s="1"/>
  <c r="W209" i="92"/>
  <c r="U408" i="52"/>
  <c r="U411" i="52" s="1"/>
  <c r="U437" i="52"/>
  <c r="U438" i="52" s="1"/>
  <c r="V256" i="52"/>
  <c r="V259" i="52" s="1"/>
  <c r="V285" i="52"/>
  <c r="V286" i="52" s="1"/>
  <c r="V332" i="88"/>
  <c r="V335" i="88" s="1"/>
  <c r="V361" i="88"/>
  <c r="V362" i="88" s="1"/>
  <c r="T358" i="92"/>
  <c r="T335" i="96"/>
  <c r="T336" i="96" s="1"/>
  <c r="T358" i="96"/>
  <c r="Z72" i="88"/>
  <c r="Z96" i="88" s="1"/>
  <c r="Z97" i="88" s="1"/>
  <c r="Z72" i="52"/>
  <c r="K124" i="92"/>
  <c r="K352" i="52"/>
  <c r="L110" i="92"/>
  <c r="L111" i="92" s="1"/>
  <c r="L112" i="92" s="1"/>
  <c r="L113" i="92"/>
  <c r="N261" i="88"/>
  <c r="N262" i="88" s="1"/>
  <c r="N263" i="88" s="1"/>
  <c r="N264" i="88" s="1"/>
  <c r="P185" i="92"/>
  <c r="M261" i="88"/>
  <c r="M262" i="88" s="1"/>
  <c r="M263" i="88" s="1"/>
  <c r="M264" i="88" s="1"/>
  <c r="L289" i="88"/>
  <c r="M337" i="52"/>
  <c r="M341" i="52" s="1"/>
  <c r="L359" i="52"/>
  <c r="L341" i="52"/>
  <c r="L342" i="52" s="1"/>
  <c r="L355" i="52" s="1"/>
  <c r="L364" i="52" s="1"/>
  <c r="L365" i="52" s="1"/>
  <c r="L124" i="96"/>
  <c r="K338" i="96"/>
  <c r="K339" i="96" s="1"/>
  <c r="K340" i="96" s="1"/>
  <c r="K342" i="96" s="1"/>
  <c r="K355" i="96" s="1"/>
  <c r="K364" i="96" s="1"/>
  <c r="M110" i="96"/>
  <c r="M111" i="96" s="1"/>
  <c r="M112" i="96" s="1"/>
  <c r="M114" i="96" s="1"/>
  <c r="L359" i="96"/>
  <c r="M131" i="96"/>
  <c r="L413" i="92"/>
  <c r="L417" i="92" s="1"/>
  <c r="M207" i="96"/>
  <c r="K413" i="96"/>
  <c r="K435" i="96"/>
  <c r="M359" i="88"/>
  <c r="L203" i="88"/>
  <c r="L212" i="88" s="1"/>
  <c r="L213" i="88" s="1"/>
  <c r="L341" i="88"/>
  <c r="L342" i="88" s="1"/>
  <c r="L266" i="92"/>
  <c r="L276" i="92" s="1"/>
  <c r="L203" i="52"/>
  <c r="L212" i="52" s="1"/>
  <c r="L213" i="52" s="1"/>
  <c r="N200" i="92"/>
  <c r="M283" i="96"/>
  <c r="N261" i="96"/>
  <c r="N185" i="52"/>
  <c r="K352" i="88"/>
  <c r="M266" i="52"/>
  <c r="M276" i="52" s="1"/>
  <c r="L266" i="96"/>
  <c r="L276" i="96" s="1"/>
  <c r="L359" i="92"/>
  <c r="L337" i="92"/>
  <c r="L417" i="52"/>
  <c r="L414" i="52"/>
  <c r="L415" i="52" s="1"/>
  <c r="L416" i="52" s="1"/>
  <c r="K418" i="52"/>
  <c r="K413" i="88"/>
  <c r="K435" i="88"/>
  <c r="L190" i="96"/>
  <c r="L200" i="96" s="1"/>
  <c r="K418" i="92"/>
  <c r="K431" i="92" s="1"/>
  <c r="K440" i="92" s="1"/>
  <c r="N113" i="88"/>
  <c r="N110" i="88"/>
  <c r="N111" i="88" s="1"/>
  <c r="N112" i="88" s="1"/>
  <c r="K213" i="96"/>
  <c r="Y122" i="14"/>
  <c r="Y135" i="14"/>
  <c r="Y72" i="14"/>
  <c r="Y59" i="14"/>
  <c r="L289" i="52"/>
  <c r="N265" i="52"/>
  <c r="N262" i="52"/>
  <c r="N263" i="52" s="1"/>
  <c r="N264" i="52" s="1"/>
  <c r="M265" i="96"/>
  <c r="M262" i="96"/>
  <c r="M263" i="96" s="1"/>
  <c r="M264" i="96" s="1"/>
  <c r="J428" i="88"/>
  <c r="J431" i="88"/>
  <c r="J440" i="88" s="1"/>
  <c r="K352" i="92"/>
  <c r="K355" i="92"/>
  <c r="K364" i="92" s="1"/>
  <c r="M261" i="92"/>
  <c r="M283" i="92"/>
  <c r="J441" i="96"/>
  <c r="M189" i="52"/>
  <c r="M186" i="52"/>
  <c r="M187" i="52" s="1"/>
  <c r="M188" i="52" s="1"/>
  <c r="K365" i="88"/>
  <c r="M124" i="88"/>
  <c r="M127" i="88"/>
  <c r="M136" i="88" s="1"/>
  <c r="M189" i="88"/>
  <c r="M186" i="88"/>
  <c r="M187" i="88" s="1"/>
  <c r="M188" i="88" s="1"/>
  <c r="O261" i="52"/>
  <c r="O283" i="52"/>
  <c r="K365" i="52"/>
  <c r="X172" i="88"/>
  <c r="X173" i="88" s="1"/>
  <c r="Y96" i="88"/>
  <c r="Y97" i="88" s="1"/>
  <c r="U336" i="88"/>
  <c r="Y224" i="88"/>
  <c r="Y172" i="88"/>
  <c r="Y173" i="88" s="1"/>
  <c r="X108" i="88"/>
  <c r="V260" i="88"/>
  <c r="W376" i="88"/>
  <c r="W400" i="88" s="1"/>
  <c r="W401" i="88" s="1"/>
  <c r="W324" i="88"/>
  <c r="W325" i="88" s="1"/>
  <c r="X300" i="88"/>
  <c r="X248" i="88"/>
  <c r="X249" i="88" s="1"/>
  <c r="X62" i="14"/>
  <c r="X64" i="14" s="1"/>
  <c r="X75" i="14"/>
  <c r="X77" i="14" s="1"/>
  <c r="X172" i="52"/>
  <c r="X173" i="52" s="1"/>
  <c r="X224" i="52"/>
  <c r="Y148" i="52"/>
  <c r="Y96" i="52"/>
  <c r="Y97" i="52" s="1"/>
  <c r="V184" i="52"/>
  <c r="U260" i="52"/>
  <c r="X125" i="14"/>
  <c r="X138" i="14"/>
  <c r="W300" i="52"/>
  <c r="W248" i="52"/>
  <c r="W249" i="52" s="1"/>
  <c r="M114" i="52"/>
  <c r="M124" i="52" s="1"/>
  <c r="N113" i="52"/>
  <c r="N110" i="52"/>
  <c r="N111" i="52" s="1"/>
  <c r="N112" i="52" s="1"/>
  <c r="Y48" i="14"/>
  <c r="Y51" i="14" s="1"/>
  <c r="Y111" i="14"/>
  <c r="Y114" i="14" s="1"/>
  <c r="Z101" i="14"/>
  <c r="Z38" i="14"/>
  <c r="V324" i="52" l="1"/>
  <c r="V325" i="52" s="1"/>
  <c r="V332" i="52" s="1"/>
  <c r="V358" i="52" s="1"/>
  <c r="U437" i="92"/>
  <c r="U438" i="92" s="1"/>
  <c r="V183" i="92"/>
  <c r="V184" i="92" s="1"/>
  <c r="W134" i="96"/>
  <c r="F40" i="96" s="1"/>
  <c r="Y172" i="92"/>
  <c r="Y173" i="92" s="1"/>
  <c r="Y180" i="92" s="1"/>
  <c r="Y183" i="92" s="1"/>
  <c r="U282" i="96"/>
  <c r="W224" i="96"/>
  <c r="W248" i="96" s="1"/>
  <c r="W249" i="96" s="1"/>
  <c r="W285" i="96" s="1"/>
  <c r="F49" i="96" s="1"/>
  <c r="U335" i="96"/>
  <c r="U336" i="96" s="1"/>
  <c r="V300" i="92"/>
  <c r="V376" i="92" s="1"/>
  <c r="V400" i="92" s="1"/>
  <c r="V401" i="92" s="1"/>
  <c r="V437" i="92" s="1"/>
  <c r="V438" i="92" s="1"/>
  <c r="V256" i="92"/>
  <c r="V285" i="92"/>
  <c r="V286" i="92" s="1"/>
  <c r="X148" i="92"/>
  <c r="X224" i="92" s="1"/>
  <c r="X248" i="92" s="1"/>
  <c r="X249" i="92" s="1"/>
  <c r="X285" i="92" s="1"/>
  <c r="X286" i="92" s="1"/>
  <c r="W104" i="92"/>
  <c r="W107" i="92" s="1"/>
  <c r="W108" i="92" s="1"/>
  <c r="X133" i="92"/>
  <c r="X134" i="92" s="1"/>
  <c r="V437" i="96"/>
  <c r="V438" i="96" s="1"/>
  <c r="W376" i="92"/>
  <c r="W400" i="92" s="1"/>
  <c r="W401" i="92" s="1"/>
  <c r="W437" i="92" s="1"/>
  <c r="Y96" i="92"/>
  <c r="Y97" i="92" s="1"/>
  <c r="Y104" i="92" s="1"/>
  <c r="Y130" i="92" s="1"/>
  <c r="V259" i="96"/>
  <c r="V260" i="96" s="1"/>
  <c r="V324" i="96"/>
  <c r="V325" i="96" s="1"/>
  <c r="V361" i="96" s="1"/>
  <c r="V362" i="96" s="1"/>
  <c r="Z72" i="92"/>
  <c r="Z96" i="92" s="1"/>
  <c r="Z97" i="92" s="1"/>
  <c r="Z133" i="92" s="1"/>
  <c r="Z134" i="92" s="1"/>
  <c r="X172" i="96"/>
  <c r="X173" i="96" s="1"/>
  <c r="X180" i="96" s="1"/>
  <c r="X206" i="96" s="1"/>
  <c r="Z72" i="96"/>
  <c r="Z96" i="96" s="1"/>
  <c r="Z97" i="96" s="1"/>
  <c r="Z104" i="96" s="1"/>
  <c r="Z130" i="96" s="1"/>
  <c r="W248" i="92"/>
  <c r="W249" i="92" s="1"/>
  <c r="W256" i="92" s="1"/>
  <c r="W282" i="92" s="1"/>
  <c r="Y148" i="96"/>
  <c r="Y172" i="96" s="1"/>
  <c r="Y173" i="96" s="1"/>
  <c r="Y209" i="96" s="1"/>
  <c r="Y210" i="96" s="1"/>
  <c r="Y133" i="96"/>
  <c r="Y134" i="96" s="1"/>
  <c r="X248" i="96"/>
  <c r="X249" i="96" s="1"/>
  <c r="X256" i="96" s="1"/>
  <c r="X282" i="96" s="1"/>
  <c r="X96" i="96"/>
  <c r="X97" i="96" s="1"/>
  <c r="X104" i="96" s="1"/>
  <c r="X107" i="96" s="1"/>
  <c r="X108" i="96" s="1"/>
  <c r="X140" i="14"/>
  <c r="X127" i="14"/>
  <c r="AI314" i="92"/>
  <c r="AI390" i="92"/>
  <c r="R310" i="96"/>
  <c r="R320" i="96" s="1"/>
  <c r="R386" i="96"/>
  <c r="R396" i="96" s="1"/>
  <c r="AK314" i="52"/>
  <c r="AK390" i="52"/>
  <c r="AI314" i="96"/>
  <c r="AI390" i="96"/>
  <c r="AH314" i="88"/>
  <c r="AH390" i="88"/>
  <c r="R310" i="92"/>
  <c r="R320" i="92" s="1"/>
  <c r="R386" i="92"/>
  <c r="R396" i="92" s="1"/>
  <c r="S310" i="52"/>
  <c r="S320" i="52" s="1"/>
  <c r="S386" i="52"/>
  <c r="S396" i="52" s="1"/>
  <c r="R310" i="88"/>
  <c r="R320" i="88" s="1"/>
  <c r="R386" i="88"/>
  <c r="R396" i="88" s="1"/>
  <c r="AK162" i="52"/>
  <c r="AK238" i="52"/>
  <c r="AH162" i="88"/>
  <c r="AH238" i="88"/>
  <c r="S158" i="52"/>
  <c r="S168" i="52" s="1"/>
  <c r="S234" i="52"/>
  <c r="S244" i="52" s="1"/>
  <c r="R158" i="88"/>
  <c r="R168" i="88" s="1"/>
  <c r="R234" i="88"/>
  <c r="R244" i="88" s="1"/>
  <c r="AI162" i="92"/>
  <c r="AI238" i="92"/>
  <c r="R158" i="96"/>
  <c r="R168" i="96" s="1"/>
  <c r="R234" i="96"/>
  <c r="R244" i="96" s="1"/>
  <c r="AI162" i="96"/>
  <c r="AI238" i="96"/>
  <c r="R158" i="92"/>
  <c r="R168" i="92" s="1"/>
  <c r="R234" i="92"/>
  <c r="R244" i="92" s="1"/>
  <c r="S82" i="92"/>
  <c r="R92" i="92"/>
  <c r="T82" i="52"/>
  <c r="S92" i="52"/>
  <c r="S82" i="88"/>
  <c r="R92" i="88"/>
  <c r="S82" i="96"/>
  <c r="R92" i="96"/>
  <c r="Y113" i="14"/>
  <c r="Y50" i="14"/>
  <c r="U358" i="52"/>
  <c r="AJ86" i="92"/>
  <c r="AL86" i="52"/>
  <c r="AJ86" i="96"/>
  <c r="AI86" i="88"/>
  <c r="V411" i="96"/>
  <c r="V412" i="96" s="1"/>
  <c r="X130" i="52"/>
  <c r="W183" i="92"/>
  <c r="W184" i="92" s="1"/>
  <c r="V358" i="88"/>
  <c r="W286" i="88"/>
  <c r="F50" i="88" s="1"/>
  <c r="F49" i="88"/>
  <c r="W210" i="52"/>
  <c r="F45" i="52" s="1"/>
  <c r="F44" i="52"/>
  <c r="W210" i="92"/>
  <c r="F45" i="92" s="1"/>
  <c r="F44" i="92"/>
  <c r="V282" i="52"/>
  <c r="W134" i="92"/>
  <c r="F40" i="92" s="1"/>
  <c r="U434" i="52"/>
  <c r="V411" i="88"/>
  <c r="V412" i="88" s="1"/>
  <c r="W259" i="88"/>
  <c r="W260" i="88" s="1"/>
  <c r="U434" i="92"/>
  <c r="V408" i="52"/>
  <c r="V411" i="52" s="1"/>
  <c r="V437" i="52"/>
  <c r="V438" i="52" s="1"/>
  <c r="W206" i="52"/>
  <c r="W332" i="88"/>
  <c r="W358" i="88" s="1"/>
  <c r="W361" i="88"/>
  <c r="Y104" i="88"/>
  <c r="Y107" i="88" s="1"/>
  <c r="Y108" i="88" s="1"/>
  <c r="Y133" i="88"/>
  <c r="Y134" i="88" s="1"/>
  <c r="X180" i="88"/>
  <c r="X183" i="88" s="1"/>
  <c r="X184" i="88" s="1"/>
  <c r="X209" i="88"/>
  <c r="X210" i="88" s="1"/>
  <c r="Z104" i="88"/>
  <c r="Z130" i="88" s="1"/>
  <c r="Z133" i="88"/>
  <c r="Z134" i="88" s="1"/>
  <c r="X130" i="92"/>
  <c r="W180" i="96"/>
  <c r="W183" i="96" s="1"/>
  <c r="W184" i="96" s="1"/>
  <c r="W209" i="96"/>
  <c r="X180" i="52"/>
  <c r="X183" i="52" s="1"/>
  <c r="X209" i="52"/>
  <c r="X210" i="52" s="1"/>
  <c r="Y104" i="52"/>
  <c r="Y130" i="52" s="1"/>
  <c r="Y133" i="52"/>
  <c r="Y134" i="52" s="1"/>
  <c r="Y107" i="96"/>
  <c r="Y108" i="96" s="1"/>
  <c r="W408" i="88"/>
  <c r="W411" i="88" s="1"/>
  <c r="W437" i="88"/>
  <c r="X256" i="88"/>
  <c r="X259" i="88" s="1"/>
  <c r="X285" i="88"/>
  <c r="X286" i="88" s="1"/>
  <c r="W256" i="52"/>
  <c r="W259" i="52" s="1"/>
  <c r="W285" i="52"/>
  <c r="Y180" i="88"/>
  <c r="Y183" i="88" s="1"/>
  <c r="Y209" i="88"/>
  <c r="Y210" i="88" s="1"/>
  <c r="W332" i="92"/>
  <c r="W335" i="92" s="1"/>
  <c r="W361" i="92"/>
  <c r="N109" i="96"/>
  <c r="N113" i="96" s="1"/>
  <c r="AA72" i="88"/>
  <c r="AA96" i="88" s="1"/>
  <c r="AA97" i="88" s="1"/>
  <c r="AA72" i="52"/>
  <c r="N265" i="88"/>
  <c r="N266" i="88" s="1"/>
  <c r="N283" i="88"/>
  <c r="L114" i="92"/>
  <c r="L124" i="92" s="1"/>
  <c r="O261" i="88"/>
  <c r="O262" i="88" s="1"/>
  <c r="O263" i="88" s="1"/>
  <c r="O264" i="88" s="1"/>
  <c r="M131" i="92"/>
  <c r="M109" i="92"/>
  <c r="M265" i="88"/>
  <c r="M266" i="88" s="1"/>
  <c r="M279" i="88" s="1"/>
  <c r="M288" i="88" s="1"/>
  <c r="M289" i="88" s="1"/>
  <c r="P207" i="92"/>
  <c r="L352" i="52"/>
  <c r="M338" i="52"/>
  <c r="M339" i="52" s="1"/>
  <c r="M340" i="52" s="1"/>
  <c r="M342" i="52" s="1"/>
  <c r="M355" i="52" s="1"/>
  <c r="M364" i="52" s="1"/>
  <c r="M365" i="52" s="1"/>
  <c r="M359" i="52"/>
  <c r="N337" i="52"/>
  <c r="N338" i="52" s="1"/>
  <c r="N339" i="52" s="1"/>
  <c r="N340" i="52" s="1"/>
  <c r="L337" i="96"/>
  <c r="L341" i="96" s="1"/>
  <c r="L414" i="92"/>
  <c r="L415" i="92" s="1"/>
  <c r="L416" i="92" s="1"/>
  <c r="L418" i="92" s="1"/>
  <c r="L431" i="92" s="1"/>
  <c r="L440" i="92" s="1"/>
  <c r="M185" i="96"/>
  <c r="M189" i="96" s="1"/>
  <c r="K414" i="96"/>
  <c r="K415" i="96" s="1"/>
  <c r="K416" i="96" s="1"/>
  <c r="K417" i="96"/>
  <c r="N283" i="96"/>
  <c r="L435" i="96"/>
  <c r="L413" i="96"/>
  <c r="M337" i="88"/>
  <c r="M341" i="88" s="1"/>
  <c r="O185" i="52"/>
  <c r="L355" i="88"/>
  <c r="L364" i="88" s="1"/>
  <c r="L365" i="88" s="1"/>
  <c r="L352" i="88"/>
  <c r="M279" i="52"/>
  <c r="M288" i="52" s="1"/>
  <c r="M289" i="52" s="1"/>
  <c r="L279" i="92"/>
  <c r="L288" i="92" s="1"/>
  <c r="L289" i="92" s="1"/>
  <c r="N114" i="88"/>
  <c r="N127" i="88" s="1"/>
  <c r="N136" i="88" s="1"/>
  <c r="N137" i="88" s="1"/>
  <c r="N266" i="52"/>
  <c r="N276" i="52" s="1"/>
  <c r="N207" i="52"/>
  <c r="L279" i="96"/>
  <c r="L288" i="96" s="1"/>
  <c r="L289" i="96" s="1"/>
  <c r="P283" i="52"/>
  <c r="M190" i="88"/>
  <c r="M200" i="88" s="1"/>
  <c r="K428" i="92"/>
  <c r="L203" i="96"/>
  <c r="L212" i="96" s="1"/>
  <c r="L213" i="96" s="1"/>
  <c r="K352" i="96"/>
  <c r="M337" i="92"/>
  <c r="M359" i="92"/>
  <c r="L338" i="92"/>
  <c r="L339" i="92" s="1"/>
  <c r="L340" i="92" s="1"/>
  <c r="L341" i="92"/>
  <c r="N283" i="92"/>
  <c r="M266" i="96"/>
  <c r="M276" i="96" s="1"/>
  <c r="M413" i="52"/>
  <c r="M435" i="52"/>
  <c r="K428" i="52"/>
  <c r="K431" i="52"/>
  <c r="K440" i="52" s="1"/>
  <c r="M190" i="52"/>
  <c r="M203" i="52" s="1"/>
  <c r="M212" i="52" s="1"/>
  <c r="K417" i="88"/>
  <c r="K414" i="88"/>
  <c r="K415" i="88" s="1"/>
  <c r="K416" i="88" s="1"/>
  <c r="L418" i="52"/>
  <c r="N265" i="96"/>
  <c r="N262" i="96"/>
  <c r="N263" i="96" s="1"/>
  <c r="N264" i="96" s="1"/>
  <c r="O265" i="52"/>
  <c r="O262" i="52"/>
  <c r="O263" i="52" s="1"/>
  <c r="O264" i="52" s="1"/>
  <c r="O109" i="88"/>
  <c r="O131" i="88"/>
  <c r="M137" i="88"/>
  <c r="K441" i="92"/>
  <c r="N189" i="52"/>
  <c r="N186" i="52"/>
  <c r="N187" i="52" s="1"/>
  <c r="N188" i="52" s="1"/>
  <c r="J441" i="88"/>
  <c r="M124" i="96"/>
  <c r="M127" i="96"/>
  <c r="M136" i="96" s="1"/>
  <c r="N185" i="88"/>
  <c r="N207" i="88"/>
  <c r="Z122" i="14"/>
  <c r="Z135" i="14"/>
  <c r="O203" i="92"/>
  <c r="O212" i="92" s="1"/>
  <c r="O200" i="92"/>
  <c r="Z59" i="14"/>
  <c r="Z72" i="14"/>
  <c r="P189" i="92"/>
  <c r="P186" i="92"/>
  <c r="P187" i="92" s="1"/>
  <c r="P188" i="92" s="1"/>
  <c r="M265" i="92"/>
  <c r="M262" i="92"/>
  <c r="M263" i="92" s="1"/>
  <c r="M264" i="92" s="1"/>
  <c r="K365" i="96"/>
  <c r="K365" i="92"/>
  <c r="X376" i="96"/>
  <c r="X400" i="96" s="1"/>
  <c r="X401" i="96" s="1"/>
  <c r="X324" i="96"/>
  <c r="X325" i="96" s="1"/>
  <c r="Z148" i="88"/>
  <c r="Z172" i="88" s="1"/>
  <c r="Z173" i="88" s="1"/>
  <c r="Y300" i="92"/>
  <c r="Y248" i="92"/>
  <c r="Y249" i="92" s="1"/>
  <c r="N114" i="52"/>
  <c r="N124" i="52" s="1"/>
  <c r="V336" i="88"/>
  <c r="Y300" i="88"/>
  <c r="Y248" i="88"/>
  <c r="Y249" i="88" s="1"/>
  <c r="X376" i="88"/>
  <c r="X400" i="88" s="1"/>
  <c r="X401" i="88" s="1"/>
  <c r="X324" i="88"/>
  <c r="X325" i="88" s="1"/>
  <c r="U412" i="52"/>
  <c r="W184" i="52"/>
  <c r="U336" i="52"/>
  <c r="X248" i="52"/>
  <c r="X249" i="52" s="1"/>
  <c r="X300" i="52"/>
  <c r="V260" i="52"/>
  <c r="Y125" i="14"/>
  <c r="Y138" i="14"/>
  <c r="W376" i="52"/>
  <c r="W400" i="52" s="1"/>
  <c r="W401" i="52" s="1"/>
  <c r="W324" i="52"/>
  <c r="W325" i="52" s="1"/>
  <c r="Z96" i="52"/>
  <c r="Z97" i="52" s="1"/>
  <c r="Z148" i="52"/>
  <c r="Y62" i="14"/>
  <c r="Y64" i="14" s="1"/>
  <c r="Y75" i="14"/>
  <c r="Y77" i="14" s="1"/>
  <c r="Y172" i="52"/>
  <c r="Y173" i="52" s="1"/>
  <c r="Y224" i="52"/>
  <c r="M127" i="52"/>
  <c r="M136" i="52" s="1"/>
  <c r="M137" i="52" s="1"/>
  <c r="O109" i="52"/>
  <c r="O131" i="52"/>
  <c r="Z48" i="14"/>
  <c r="Z51" i="14" s="1"/>
  <c r="Z111" i="14"/>
  <c r="Z114" i="14" s="1"/>
  <c r="AA101" i="14"/>
  <c r="AA38" i="14"/>
  <c r="V361" i="52" l="1"/>
  <c r="V362" i="52" s="1"/>
  <c r="W259" i="92"/>
  <c r="W260" i="92" s="1"/>
  <c r="Y209" i="92"/>
  <c r="Y210" i="92" s="1"/>
  <c r="W286" i="96"/>
  <c r="F50" i="96" s="1"/>
  <c r="W256" i="96"/>
  <c r="W282" i="96" s="1"/>
  <c r="W300" i="96"/>
  <c r="W376" i="96" s="1"/>
  <c r="W400" i="96" s="1"/>
  <c r="W401" i="96" s="1"/>
  <c r="W437" i="96" s="1"/>
  <c r="W438" i="96" s="1"/>
  <c r="F60" i="96" s="1"/>
  <c r="X256" i="92"/>
  <c r="X259" i="92" s="1"/>
  <c r="X260" i="92" s="1"/>
  <c r="W130" i="92"/>
  <c r="V408" i="92"/>
  <c r="V324" i="92"/>
  <c r="V325" i="92" s="1"/>
  <c r="V332" i="92" s="1"/>
  <c r="V358" i="92" s="1"/>
  <c r="X300" i="92"/>
  <c r="X376" i="92" s="1"/>
  <c r="X400" i="92" s="1"/>
  <c r="X401" i="92" s="1"/>
  <c r="X437" i="92" s="1"/>
  <c r="X438" i="92" s="1"/>
  <c r="X172" i="92"/>
  <c r="X173" i="92" s="1"/>
  <c r="X209" i="92" s="1"/>
  <c r="X210" i="92" s="1"/>
  <c r="Y180" i="96"/>
  <c r="Y183" i="96" s="1"/>
  <c r="Y184" i="96" s="1"/>
  <c r="V332" i="96"/>
  <c r="V335" i="96" s="1"/>
  <c r="V336" i="96" s="1"/>
  <c r="Z133" i="96"/>
  <c r="Z134" i="96" s="1"/>
  <c r="V259" i="92"/>
  <c r="V260" i="92" s="1"/>
  <c r="V282" i="92"/>
  <c r="Z148" i="92"/>
  <c r="Z224" i="92" s="1"/>
  <c r="Z248" i="92" s="1"/>
  <c r="Z249" i="92" s="1"/>
  <c r="Z104" i="92"/>
  <c r="Z107" i="92" s="1"/>
  <c r="Z108" i="92" s="1"/>
  <c r="W408" i="92"/>
  <c r="W411" i="92" s="1"/>
  <c r="W412" i="92" s="1"/>
  <c r="W285" i="92"/>
  <c r="F49" i="92" s="1"/>
  <c r="AA72" i="96"/>
  <c r="AA96" i="96" s="1"/>
  <c r="AA97" i="96" s="1"/>
  <c r="AA104" i="96" s="1"/>
  <c r="AA107" i="96" s="1"/>
  <c r="Y133" i="92"/>
  <c r="Y134" i="92" s="1"/>
  <c r="Z148" i="96"/>
  <c r="Z172" i="96" s="1"/>
  <c r="Z173" i="96" s="1"/>
  <c r="Z180" i="96" s="1"/>
  <c r="Z206" i="96" s="1"/>
  <c r="X285" i="96"/>
  <c r="X286" i="96" s="1"/>
  <c r="X209" i="96"/>
  <c r="X210" i="96" s="1"/>
  <c r="AA72" i="92"/>
  <c r="AA96" i="92" s="1"/>
  <c r="AA97" i="92" s="1"/>
  <c r="AA104" i="92" s="1"/>
  <c r="AA130" i="92" s="1"/>
  <c r="Y224" i="96"/>
  <c r="Y300" i="96" s="1"/>
  <c r="Y324" i="96" s="1"/>
  <c r="Y325" i="96" s="1"/>
  <c r="X133" i="96"/>
  <c r="X134" i="96" s="1"/>
  <c r="Y140" i="14"/>
  <c r="Y127" i="14"/>
  <c r="AJ314" i="96"/>
  <c r="AJ390" i="96"/>
  <c r="T310" i="52"/>
  <c r="T320" i="52" s="1"/>
  <c r="T386" i="52"/>
  <c r="T396" i="52" s="1"/>
  <c r="S310" i="92"/>
  <c r="S320" i="92" s="1"/>
  <c r="S386" i="92"/>
  <c r="S396" i="92" s="1"/>
  <c r="AI314" i="88"/>
  <c r="AI390" i="88"/>
  <c r="AL314" i="52"/>
  <c r="AL390" i="52"/>
  <c r="AJ314" i="92"/>
  <c r="AJ390" i="92"/>
  <c r="S310" i="96"/>
  <c r="S320" i="96" s="1"/>
  <c r="S386" i="96"/>
  <c r="S396" i="96" s="1"/>
  <c r="S310" i="88"/>
  <c r="S320" i="88" s="1"/>
  <c r="S386" i="88"/>
  <c r="S396" i="88" s="1"/>
  <c r="S158" i="88"/>
  <c r="S168" i="88" s="1"/>
  <c r="S234" i="88"/>
  <c r="S244" i="88" s="1"/>
  <c r="S158" i="92"/>
  <c r="S168" i="92" s="1"/>
  <c r="S234" i="92"/>
  <c r="S244" i="92" s="1"/>
  <c r="AI162" i="88"/>
  <c r="AI238" i="88"/>
  <c r="AL162" i="52"/>
  <c r="AL238" i="52"/>
  <c r="S158" i="96"/>
  <c r="S168" i="96" s="1"/>
  <c r="S234" i="96"/>
  <c r="S244" i="96" s="1"/>
  <c r="T158" i="52"/>
  <c r="T168" i="52" s="1"/>
  <c r="T234" i="52"/>
  <c r="T244" i="52" s="1"/>
  <c r="AJ162" i="96"/>
  <c r="AJ238" i="96"/>
  <c r="AJ162" i="92"/>
  <c r="AJ238" i="92"/>
  <c r="T82" i="96"/>
  <c r="S92" i="96"/>
  <c r="T82" i="88"/>
  <c r="S92" i="88"/>
  <c r="U82" i="52"/>
  <c r="T92" i="52"/>
  <c r="T82" i="92"/>
  <c r="S92" i="92"/>
  <c r="X206" i="52"/>
  <c r="Z113" i="14"/>
  <c r="Z50" i="14"/>
  <c r="AJ86" i="88"/>
  <c r="AK86" i="96"/>
  <c r="AK86" i="92"/>
  <c r="Y107" i="92"/>
  <c r="Y108" i="92" s="1"/>
  <c r="Z107" i="96"/>
  <c r="Z108" i="96" s="1"/>
  <c r="W282" i="52"/>
  <c r="W434" i="88"/>
  <c r="W362" i="92"/>
  <c r="F55" i="92" s="1"/>
  <c r="F54" i="92"/>
  <c r="W286" i="52"/>
  <c r="F50" i="52" s="1"/>
  <c r="F49" i="52"/>
  <c r="W438" i="88"/>
  <c r="F60" i="88" s="1"/>
  <c r="F59" i="88"/>
  <c r="W210" i="96"/>
  <c r="F45" i="96" s="1"/>
  <c r="F44" i="96"/>
  <c r="W438" i="92"/>
  <c r="F60" i="92" s="1"/>
  <c r="F59" i="92"/>
  <c r="W362" i="88"/>
  <c r="F55" i="88" s="1"/>
  <c r="F54" i="88"/>
  <c r="W358" i="92"/>
  <c r="X206" i="88"/>
  <c r="X183" i="96"/>
  <c r="X184" i="96" s="1"/>
  <c r="Y107" i="52"/>
  <c r="Y108" i="52" s="1"/>
  <c r="V335" i="52"/>
  <c r="V336" i="52" s="1"/>
  <c r="X282" i="88"/>
  <c r="X130" i="96"/>
  <c r="Y206" i="88"/>
  <c r="W335" i="88"/>
  <c r="W336" i="88" s="1"/>
  <c r="X259" i="96"/>
  <c r="X260" i="96" s="1"/>
  <c r="Y130" i="88"/>
  <c r="W206" i="96"/>
  <c r="X256" i="52"/>
  <c r="X282" i="52" s="1"/>
  <c r="X285" i="52"/>
  <c r="X286" i="52" s="1"/>
  <c r="X408" i="88"/>
  <c r="X434" i="88" s="1"/>
  <c r="X437" i="88"/>
  <c r="X438" i="88" s="1"/>
  <c r="X332" i="88"/>
  <c r="X335" i="88" s="1"/>
  <c r="X361" i="88"/>
  <c r="X362" i="88" s="1"/>
  <c r="Y256" i="92"/>
  <c r="Y282" i="92" s="1"/>
  <c r="Y285" i="92"/>
  <c r="Y286" i="92" s="1"/>
  <c r="Z107" i="88"/>
  <c r="Z108" i="88" s="1"/>
  <c r="Y206" i="92"/>
  <c r="X332" i="96"/>
  <c r="X358" i="96" s="1"/>
  <c r="X361" i="96"/>
  <c r="X362" i="96" s="1"/>
  <c r="Z104" i="52"/>
  <c r="Z130" i="52" s="1"/>
  <c r="Z133" i="52"/>
  <c r="Z134" i="52" s="1"/>
  <c r="AA104" i="88"/>
  <c r="AA107" i="88" s="1"/>
  <c r="AA133" i="88"/>
  <c r="AA134" i="88" s="1"/>
  <c r="W332" i="52"/>
  <c r="W358" i="52" s="1"/>
  <c r="W361" i="52"/>
  <c r="V434" i="52"/>
  <c r="Y256" i="88"/>
  <c r="Y259" i="88" s="1"/>
  <c r="Y285" i="88"/>
  <c r="Y286" i="88" s="1"/>
  <c r="Y180" i="52"/>
  <c r="Y206" i="52" s="1"/>
  <c r="Y209" i="52"/>
  <c r="Y210" i="52" s="1"/>
  <c r="W408" i="52"/>
  <c r="W411" i="52" s="1"/>
  <c r="W437" i="52"/>
  <c r="Z180" i="88"/>
  <c r="Z206" i="88" s="1"/>
  <c r="Z209" i="88"/>
  <c r="Z210" i="88" s="1"/>
  <c r="X408" i="96"/>
  <c r="X411" i="96" s="1"/>
  <c r="X437" i="96"/>
  <c r="X438" i="96" s="1"/>
  <c r="N131" i="96"/>
  <c r="N110" i="96"/>
  <c r="N111" i="96" s="1"/>
  <c r="N112" i="96" s="1"/>
  <c r="N114" i="96" s="1"/>
  <c r="N127" i="96" s="1"/>
  <c r="N136" i="96" s="1"/>
  <c r="N137" i="96" s="1"/>
  <c r="Q185" i="92"/>
  <c r="Q186" i="92" s="1"/>
  <c r="Q187" i="92" s="1"/>
  <c r="Q188" i="92" s="1"/>
  <c r="AB72" i="88"/>
  <c r="AB96" i="88" s="1"/>
  <c r="AB97" i="88" s="1"/>
  <c r="AB72" i="52"/>
  <c r="L127" i="92"/>
  <c r="L136" i="92" s="1"/>
  <c r="L137" i="92" s="1"/>
  <c r="O283" i="88"/>
  <c r="O265" i="88"/>
  <c r="O266" i="88" s="1"/>
  <c r="O279" i="88" s="1"/>
  <c r="O288" i="88" s="1"/>
  <c r="P283" i="88"/>
  <c r="N131" i="92"/>
  <c r="M113" i="92"/>
  <c r="M110" i="92"/>
  <c r="M111" i="92" s="1"/>
  <c r="M112" i="92" s="1"/>
  <c r="M276" i="88"/>
  <c r="N359" i="52"/>
  <c r="N341" i="52"/>
  <c r="N342" i="52" s="1"/>
  <c r="N355" i="52" s="1"/>
  <c r="N364" i="52" s="1"/>
  <c r="N365" i="52" s="1"/>
  <c r="O337" i="52"/>
  <c r="O341" i="52" s="1"/>
  <c r="M352" i="52"/>
  <c r="L338" i="96"/>
  <c r="L339" i="96" s="1"/>
  <c r="L340" i="96" s="1"/>
  <c r="L342" i="96" s="1"/>
  <c r="L355" i="96" s="1"/>
  <c r="L364" i="96" s="1"/>
  <c r="M186" i="96"/>
  <c r="M187" i="96" s="1"/>
  <c r="M188" i="96" s="1"/>
  <c r="M190" i="96" s="1"/>
  <c r="M200" i="96" s="1"/>
  <c r="O207" i="52"/>
  <c r="K418" i="96"/>
  <c r="K428" i="96" s="1"/>
  <c r="L414" i="96"/>
  <c r="L415" i="96" s="1"/>
  <c r="L416" i="96" s="1"/>
  <c r="L417" i="96"/>
  <c r="P185" i="52"/>
  <c r="M338" i="88"/>
  <c r="M339" i="88" s="1"/>
  <c r="M340" i="88" s="1"/>
  <c r="M342" i="88" s="1"/>
  <c r="M355" i="88" s="1"/>
  <c r="M364" i="88" s="1"/>
  <c r="N124" i="88"/>
  <c r="N279" i="52"/>
  <c r="N288" i="52" s="1"/>
  <c r="N289" i="52" s="1"/>
  <c r="P261" i="52"/>
  <c r="P262" i="52" s="1"/>
  <c r="P263" i="52" s="1"/>
  <c r="P264" i="52" s="1"/>
  <c r="O261" i="96"/>
  <c r="L428" i="92"/>
  <c r="O261" i="92"/>
  <c r="M435" i="92"/>
  <c r="M413" i="92"/>
  <c r="P190" i="92"/>
  <c r="P203" i="92" s="1"/>
  <c r="P212" i="92" s="1"/>
  <c r="P213" i="92" s="1"/>
  <c r="M203" i="88"/>
  <c r="M212" i="88" s="1"/>
  <c r="M213" i="88" s="1"/>
  <c r="N261" i="92"/>
  <c r="N265" i="92" s="1"/>
  <c r="M279" i="96"/>
  <c r="M288" i="96" s="1"/>
  <c r="M289" i="96" s="1"/>
  <c r="L342" i="92"/>
  <c r="L355" i="92" s="1"/>
  <c r="L364" i="92" s="1"/>
  <c r="L365" i="92" s="1"/>
  <c r="K418" i="88"/>
  <c r="M341" i="92"/>
  <c r="M338" i="92"/>
  <c r="M339" i="92" s="1"/>
  <c r="M340" i="92" s="1"/>
  <c r="M266" i="92"/>
  <c r="M276" i="92" s="1"/>
  <c r="K441" i="52"/>
  <c r="N190" i="52"/>
  <c r="N203" i="52" s="1"/>
  <c r="N212" i="52" s="1"/>
  <c r="N213" i="52" s="1"/>
  <c r="O266" i="52"/>
  <c r="O276" i="52" s="1"/>
  <c r="M200" i="52"/>
  <c r="N266" i="96"/>
  <c r="N279" i="96" s="1"/>
  <c r="N288" i="96" s="1"/>
  <c r="L431" i="52"/>
  <c r="L440" i="52" s="1"/>
  <c r="L441" i="52" s="1"/>
  <c r="L428" i="52"/>
  <c r="N413" i="52"/>
  <c r="N435" i="52"/>
  <c r="L413" i="88"/>
  <c r="L435" i="88"/>
  <c r="M414" i="52"/>
  <c r="M415" i="52" s="1"/>
  <c r="M416" i="52" s="1"/>
  <c r="M417" i="52"/>
  <c r="AA122" i="14"/>
  <c r="AA135" i="14"/>
  <c r="O213" i="92"/>
  <c r="N189" i="88"/>
  <c r="N186" i="88"/>
  <c r="N187" i="88" s="1"/>
  <c r="N188" i="88" s="1"/>
  <c r="O189" i="52"/>
  <c r="O186" i="52"/>
  <c r="O187" i="52" s="1"/>
  <c r="O188" i="52" s="1"/>
  <c r="L441" i="92"/>
  <c r="O113" i="88"/>
  <c r="O110" i="88"/>
  <c r="O111" i="88" s="1"/>
  <c r="O112" i="88" s="1"/>
  <c r="M213" i="52"/>
  <c r="N337" i="88"/>
  <c r="N359" i="88"/>
  <c r="N279" i="88"/>
  <c r="N288" i="88" s="1"/>
  <c r="N276" i="88"/>
  <c r="AA59" i="14"/>
  <c r="AA72" i="14"/>
  <c r="M137" i="96"/>
  <c r="M337" i="96"/>
  <c r="M359" i="96"/>
  <c r="AA148" i="88"/>
  <c r="AA172" i="88" s="1"/>
  <c r="AA173" i="88" s="1"/>
  <c r="N127" i="52"/>
  <c r="N136" i="52" s="1"/>
  <c r="N137" i="52" s="1"/>
  <c r="Y376" i="92"/>
  <c r="Y400" i="92" s="1"/>
  <c r="Y401" i="92" s="1"/>
  <c r="Y324" i="92"/>
  <c r="Y325" i="92" s="1"/>
  <c r="Z224" i="88"/>
  <c r="Z248" i="88" s="1"/>
  <c r="Z249" i="88" s="1"/>
  <c r="W336" i="92"/>
  <c r="Y184" i="92"/>
  <c r="X260" i="88"/>
  <c r="Y184" i="88"/>
  <c r="W412" i="88"/>
  <c r="Y376" i="88"/>
  <c r="Y400" i="88" s="1"/>
  <c r="Y401" i="88" s="1"/>
  <c r="Y324" i="88"/>
  <c r="Y325" i="88" s="1"/>
  <c r="AA148" i="52"/>
  <c r="AA96" i="52"/>
  <c r="AA97" i="52" s="1"/>
  <c r="Z125" i="14"/>
  <c r="Z138" i="14"/>
  <c r="X324" i="52"/>
  <c r="X325" i="52" s="1"/>
  <c r="X376" i="52"/>
  <c r="X400" i="52" s="1"/>
  <c r="X401" i="52" s="1"/>
  <c r="Z172" i="52"/>
  <c r="Z173" i="52" s="1"/>
  <c r="Z224" i="52"/>
  <c r="W260" i="52"/>
  <c r="Y300" i="52"/>
  <c r="Y248" i="52"/>
  <c r="Y249" i="52" s="1"/>
  <c r="X184" i="52"/>
  <c r="V412" i="52"/>
  <c r="Z62" i="14"/>
  <c r="Z64" i="14" s="1"/>
  <c r="Z75" i="14"/>
  <c r="Z77" i="14" s="1"/>
  <c r="O113" i="52"/>
  <c r="O110" i="52"/>
  <c r="P109" i="52"/>
  <c r="P131" i="52"/>
  <c r="AA48" i="14"/>
  <c r="AA51" i="14" s="1"/>
  <c r="AA111" i="14"/>
  <c r="AA114" i="14" s="1"/>
  <c r="AB38" i="14"/>
  <c r="AB101" i="14"/>
  <c r="AB72" i="96" l="1"/>
  <c r="AB96" i="96" s="1"/>
  <c r="AB97" i="96" s="1"/>
  <c r="AB104" i="96" s="1"/>
  <c r="AB130" i="96" s="1"/>
  <c r="W408" i="96"/>
  <c r="W434" i="96" s="1"/>
  <c r="Z172" i="92"/>
  <c r="Z173" i="92" s="1"/>
  <c r="Z209" i="92" s="1"/>
  <c r="Z210" i="92" s="1"/>
  <c r="AA148" i="92"/>
  <c r="AA224" i="92" s="1"/>
  <c r="AA248" i="92" s="1"/>
  <c r="AA249" i="92" s="1"/>
  <c r="X180" i="92"/>
  <c r="X183" i="92" s="1"/>
  <c r="X184" i="92" s="1"/>
  <c r="V358" i="96"/>
  <c r="Y206" i="96"/>
  <c r="Z300" i="92"/>
  <c r="Z324" i="92" s="1"/>
  <c r="Z325" i="92" s="1"/>
  <c r="W324" i="96"/>
  <c r="W325" i="96" s="1"/>
  <c r="W361" i="96" s="1"/>
  <c r="F54" i="96" s="1"/>
  <c r="F59" i="96"/>
  <c r="X324" i="92"/>
  <c r="X325" i="92" s="1"/>
  <c r="X332" i="92" s="1"/>
  <c r="X335" i="92" s="1"/>
  <c r="X336" i="92" s="1"/>
  <c r="X408" i="92"/>
  <c r="X411" i="92" s="1"/>
  <c r="X412" i="92" s="1"/>
  <c r="W259" i="96"/>
  <c r="W260" i="96" s="1"/>
  <c r="AA133" i="92"/>
  <c r="AA134" i="92" s="1"/>
  <c r="X282" i="92"/>
  <c r="W286" i="92"/>
  <c r="F50" i="92" s="1"/>
  <c r="Z209" i="96"/>
  <c r="Z210" i="96" s="1"/>
  <c r="V361" i="92"/>
  <c r="V362" i="92" s="1"/>
  <c r="V411" i="92"/>
  <c r="V412" i="92" s="1"/>
  <c r="V434" i="92"/>
  <c r="V335" i="92"/>
  <c r="V336" i="92" s="1"/>
  <c r="W434" i="92"/>
  <c r="Z130" i="92"/>
  <c r="AB72" i="92"/>
  <c r="AB96" i="92" s="1"/>
  <c r="AB97" i="92" s="1"/>
  <c r="AB133" i="92" s="1"/>
  <c r="G39" i="92" s="1"/>
  <c r="AA133" i="96"/>
  <c r="AA134" i="96" s="1"/>
  <c r="Z224" i="96"/>
  <c r="Z300" i="96" s="1"/>
  <c r="Z324" i="96" s="1"/>
  <c r="Z325" i="96" s="1"/>
  <c r="AA148" i="96"/>
  <c r="AA172" i="96" s="1"/>
  <c r="AA173" i="96" s="1"/>
  <c r="AA180" i="96" s="1"/>
  <c r="AA183" i="96" s="1"/>
  <c r="Y376" i="96"/>
  <c r="Y400" i="96" s="1"/>
  <c r="Y401" i="96" s="1"/>
  <c r="Y408" i="96" s="1"/>
  <c r="Y434" i="96" s="1"/>
  <c r="Y248" i="96"/>
  <c r="Y249" i="96" s="1"/>
  <c r="Y256" i="96" s="1"/>
  <c r="Y259" i="96" s="1"/>
  <c r="Y260" i="96" s="1"/>
  <c r="Z140" i="14"/>
  <c r="Z127" i="14"/>
  <c r="AK314" i="96"/>
  <c r="AK390" i="96"/>
  <c r="T310" i="92"/>
  <c r="T320" i="92" s="1"/>
  <c r="T386" i="92"/>
  <c r="T396" i="92" s="1"/>
  <c r="U310" i="52"/>
  <c r="U320" i="52" s="1"/>
  <c r="U386" i="52"/>
  <c r="U396" i="52" s="1"/>
  <c r="T310" i="88"/>
  <c r="T320" i="88" s="1"/>
  <c r="T386" i="88"/>
  <c r="T396" i="88" s="1"/>
  <c r="AK314" i="92"/>
  <c r="AK390" i="92"/>
  <c r="T310" i="96"/>
  <c r="T320" i="96" s="1"/>
  <c r="T386" i="96"/>
  <c r="T396" i="96" s="1"/>
  <c r="AJ314" i="88"/>
  <c r="AJ390" i="88"/>
  <c r="AK162" i="96"/>
  <c r="AK238" i="96"/>
  <c r="U158" i="52"/>
  <c r="U168" i="52" s="1"/>
  <c r="U234" i="52"/>
  <c r="U244" i="52" s="1"/>
  <c r="T158" i="88"/>
  <c r="T168" i="88" s="1"/>
  <c r="T234" i="88"/>
  <c r="T244" i="88" s="1"/>
  <c r="AJ162" i="88"/>
  <c r="AJ238" i="88"/>
  <c r="AK162" i="92"/>
  <c r="AK238" i="92"/>
  <c r="T158" i="92"/>
  <c r="T168" i="92" s="1"/>
  <c r="T234" i="92"/>
  <c r="T244" i="92" s="1"/>
  <c r="T158" i="96"/>
  <c r="T168" i="96" s="1"/>
  <c r="T234" i="96"/>
  <c r="T244" i="96" s="1"/>
  <c r="V82" i="52"/>
  <c r="U92" i="52"/>
  <c r="U82" i="88"/>
  <c r="T92" i="88"/>
  <c r="U82" i="92"/>
  <c r="T92" i="92"/>
  <c r="U82" i="96"/>
  <c r="T92" i="96"/>
  <c r="Z183" i="96"/>
  <c r="Z184" i="96" s="1"/>
  <c r="AA113" i="14"/>
  <c r="AA50" i="14"/>
  <c r="AL86" i="96"/>
  <c r="AL86" i="92"/>
  <c r="AK86" i="88"/>
  <c r="W335" i="52"/>
  <c r="W336" i="52" s="1"/>
  <c r="W438" i="52"/>
  <c r="F60" i="52" s="1"/>
  <c r="F59" i="52"/>
  <c r="X335" i="96"/>
  <c r="X336" i="96" s="1"/>
  <c r="W362" i="52"/>
  <c r="F55" i="52" s="1"/>
  <c r="F54" i="52"/>
  <c r="O109" i="96"/>
  <c r="O110" i="96" s="1"/>
  <c r="O111" i="96" s="1"/>
  <c r="O112" i="96" s="1"/>
  <c r="Y183" i="52"/>
  <c r="Y184" i="52" s="1"/>
  <c r="X259" i="52"/>
  <c r="X260" i="52" s="1"/>
  <c r="W434" i="52"/>
  <c r="X434" i="96"/>
  <c r="AA130" i="96"/>
  <c r="Z183" i="88"/>
  <c r="Z184" i="88" s="1"/>
  <c r="Y259" i="92"/>
  <c r="Y260" i="92" s="1"/>
  <c r="AA107" i="92"/>
  <c r="AA108" i="92" s="1"/>
  <c r="Z107" i="52"/>
  <c r="Z108" i="52" s="1"/>
  <c r="AA130" i="88"/>
  <c r="Z256" i="92"/>
  <c r="Z282" i="92" s="1"/>
  <c r="Z285" i="92"/>
  <c r="Z286" i="92" s="1"/>
  <c r="AA180" i="88"/>
  <c r="AA206" i="88" s="1"/>
  <c r="AA209" i="88"/>
  <c r="AA210" i="88" s="1"/>
  <c r="Y256" i="52"/>
  <c r="Y259" i="52" s="1"/>
  <c r="Y285" i="52"/>
  <c r="Y286" i="52" s="1"/>
  <c r="Z180" i="52"/>
  <c r="Z206" i="52" s="1"/>
  <c r="Z209" i="52"/>
  <c r="Z210" i="52" s="1"/>
  <c r="AA104" i="52"/>
  <c r="AA130" i="52" s="1"/>
  <c r="AA133" i="52"/>
  <c r="AA134" i="52" s="1"/>
  <c r="Y408" i="88"/>
  <c r="Y434" i="88" s="1"/>
  <c r="Y437" i="88"/>
  <c r="Y438" i="88" s="1"/>
  <c r="Y282" i="88"/>
  <c r="X358" i="88"/>
  <c r="Y332" i="96"/>
  <c r="Y335" i="96" s="1"/>
  <c r="Y361" i="96"/>
  <c r="Y362" i="96" s="1"/>
  <c r="X408" i="52"/>
  <c r="X411" i="52" s="1"/>
  <c r="X437" i="52"/>
  <c r="X438" i="52" s="1"/>
  <c r="X411" i="88"/>
  <c r="X412" i="88" s="1"/>
  <c r="Y332" i="92"/>
  <c r="Y358" i="92" s="1"/>
  <c r="Y361" i="92"/>
  <c r="Y362" i="92" s="1"/>
  <c r="X332" i="52"/>
  <c r="X358" i="52" s="1"/>
  <c r="X361" i="52"/>
  <c r="X362" i="52" s="1"/>
  <c r="Y332" i="88"/>
  <c r="Y358" i="88" s="1"/>
  <c r="Y361" i="88"/>
  <c r="Y362" i="88" s="1"/>
  <c r="Z256" i="88"/>
  <c r="Z259" i="88" s="1"/>
  <c r="Z285" i="88"/>
  <c r="Z286" i="88" s="1"/>
  <c r="Y408" i="92"/>
  <c r="Y411" i="92" s="1"/>
  <c r="Y437" i="92"/>
  <c r="Y438" i="92" s="1"/>
  <c r="AB104" i="88"/>
  <c r="AB107" i="88" s="1"/>
  <c r="AB133" i="88"/>
  <c r="G39" i="88" s="1"/>
  <c r="N124" i="96"/>
  <c r="Q261" i="88"/>
  <c r="R207" i="92"/>
  <c r="Q189" i="92"/>
  <c r="Q190" i="92" s="1"/>
  <c r="Q207" i="92"/>
  <c r="AC72" i="88"/>
  <c r="AC148" i="88" s="1"/>
  <c r="AC72" i="52"/>
  <c r="P261" i="88"/>
  <c r="P262" i="88" s="1"/>
  <c r="P263" i="88" s="1"/>
  <c r="P264" i="88" s="1"/>
  <c r="N109" i="92"/>
  <c r="N110" i="92" s="1"/>
  <c r="N111" i="92" s="1"/>
  <c r="N112" i="92" s="1"/>
  <c r="M114" i="92"/>
  <c r="N352" i="52"/>
  <c r="O338" i="52"/>
  <c r="O339" i="52" s="1"/>
  <c r="O340" i="52" s="1"/>
  <c r="O342" i="52" s="1"/>
  <c r="O359" i="52"/>
  <c r="M203" i="96"/>
  <c r="M212" i="96" s="1"/>
  <c r="M213" i="96" s="1"/>
  <c r="K431" i="96"/>
  <c r="K440" i="96" s="1"/>
  <c r="K441" i="96" s="1"/>
  <c r="P200" i="92"/>
  <c r="L418" i="96"/>
  <c r="L428" i="96" s="1"/>
  <c r="M413" i="96"/>
  <c r="M435" i="96"/>
  <c r="P207" i="52"/>
  <c r="O283" i="96"/>
  <c r="Q207" i="52"/>
  <c r="P265" i="52"/>
  <c r="P266" i="52" s="1"/>
  <c r="O279" i="52"/>
  <c r="O288" i="52" s="1"/>
  <c r="O289" i="52" s="1"/>
  <c r="O283" i="92"/>
  <c r="O276" i="88"/>
  <c r="N276" i="96"/>
  <c r="L352" i="92"/>
  <c r="M417" i="92"/>
  <c r="M414" i="92"/>
  <c r="M415" i="92" s="1"/>
  <c r="M416" i="92" s="1"/>
  <c r="N289" i="96"/>
  <c r="N200" i="52"/>
  <c r="O289" i="88"/>
  <c r="M352" i="88"/>
  <c r="L352" i="96"/>
  <c r="N262" i="92"/>
  <c r="N263" i="92" s="1"/>
  <c r="N264" i="92" s="1"/>
  <c r="N266" i="92" s="1"/>
  <c r="M342" i="92"/>
  <c r="M279" i="92"/>
  <c r="M288" i="92" s="1"/>
  <c r="M289" i="92" s="1"/>
  <c r="M418" i="52"/>
  <c r="M431" i="52" s="1"/>
  <c r="M440" i="52" s="1"/>
  <c r="M441" i="52" s="1"/>
  <c r="O114" i="88"/>
  <c r="O124" i="88" s="1"/>
  <c r="N359" i="92"/>
  <c r="N337" i="92"/>
  <c r="K431" i="88"/>
  <c r="K440" i="88" s="1"/>
  <c r="K441" i="88" s="1"/>
  <c r="K428" i="88"/>
  <c r="L417" i="88"/>
  <c r="L414" i="88"/>
  <c r="L415" i="88" s="1"/>
  <c r="L416" i="88" s="1"/>
  <c r="N417" i="52"/>
  <c r="N414" i="52"/>
  <c r="N415" i="52" s="1"/>
  <c r="N416" i="52" s="1"/>
  <c r="M413" i="88"/>
  <c r="M435" i="88"/>
  <c r="AB72" i="14"/>
  <c r="AB59" i="14"/>
  <c r="AB135" i="14"/>
  <c r="AB122" i="14"/>
  <c r="O185" i="88"/>
  <c r="O207" i="88"/>
  <c r="O265" i="92"/>
  <c r="O262" i="92"/>
  <c r="O263" i="92" s="1"/>
  <c r="O264" i="92" s="1"/>
  <c r="M365" i="88"/>
  <c r="Q261" i="52"/>
  <c r="Q283" i="52"/>
  <c r="N190" i="88"/>
  <c r="P109" i="88"/>
  <c r="P131" i="88"/>
  <c r="M341" i="96"/>
  <c r="M338" i="96"/>
  <c r="M339" i="96" s="1"/>
  <c r="M340" i="96" s="1"/>
  <c r="L365" i="96"/>
  <c r="N289" i="88"/>
  <c r="N341" i="88"/>
  <c r="N338" i="88"/>
  <c r="N339" i="88" s="1"/>
  <c r="N340" i="88" s="1"/>
  <c r="P189" i="52"/>
  <c r="P186" i="52"/>
  <c r="P187" i="52" s="1"/>
  <c r="P188" i="52" s="1"/>
  <c r="O190" i="52"/>
  <c r="O265" i="96"/>
  <c r="O262" i="96"/>
  <c r="O263" i="96" s="1"/>
  <c r="O264" i="96" s="1"/>
  <c r="AA224" i="88"/>
  <c r="AA300" i="88" s="1"/>
  <c r="X412" i="96"/>
  <c r="AA108" i="96"/>
  <c r="Z300" i="88"/>
  <c r="Z324" i="88" s="1"/>
  <c r="Z325" i="88" s="1"/>
  <c r="AB148" i="88"/>
  <c r="AA108" i="88"/>
  <c r="Y260" i="88"/>
  <c r="X336" i="88"/>
  <c r="AA62" i="14"/>
  <c r="AA64" i="14" s="1"/>
  <c r="AA75" i="14"/>
  <c r="AA77" i="14" s="1"/>
  <c r="AB96" i="52"/>
  <c r="AB97" i="52" s="1"/>
  <c r="AB148" i="52"/>
  <c r="Z248" i="52"/>
  <c r="Z249" i="52" s="1"/>
  <c r="Z300" i="52"/>
  <c r="Y324" i="52"/>
  <c r="Y325" i="52" s="1"/>
  <c r="Y376" i="52"/>
  <c r="Y400" i="52" s="1"/>
  <c r="Y401" i="52" s="1"/>
  <c r="AA125" i="14"/>
  <c r="AA138" i="14"/>
  <c r="W412" i="52"/>
  <c r="AA224" i="52"/>
  <c r="AA172" i="52"/>
  <c r="AA173" i="52" s="1"/>
  <c r="O111" i="52"/>
  <c r="O112" i="52" s="1"/>
  <c r="O114" i="52" s="1"/>
  <c r="P113" i="52"/>
  <c r="P110" i="52"/>
  <c r="AB48" i="14"/>
  <c r="AB51" i="14" s="1"/>
  <c r="AB111" i="14"/>
  <c r="AB114" i="14" s="1"/>
  <c r="AC101" i="14"/>
  <c r="AC38" i="14"/>
  <c r="W411" i="96" l="1"/>
  <c r="W412" i="96" s="1"/>
  <c r="AB148" i="96"/>
  <c r="AB224" i="96" s="1"/>
  <c r="AB248" i="96" s="1"/>
  <c r="AB249" i="96" s="1"/>
  <c r="AB133" i="96"/>
  <c r="G39" i="96" s="1"/>
  <c r="AA172" i="92"/>
  <c r="AA173" i="92" s="1"/>
  <c r="AA180" i="92" s="1"/>
  <c r="AA183" i="92" s="1"/>
  <c r="AA184" i="92" s="1"/>
  <c r="X361" i="92"/>
  <c r="X362" i="92" s="1"/>
  <c r="Z180" i="92"/>
  <c r="Z183" i="92" s="1"/>
  <c r="Z184" i="92" s="1"/>
  <c r="AA300" i="92"/>
  <c r="AA324" i="92" s="1"/>
  <c r="AA325" i="92" s="1"/>
  <c r="X434" i="92"/>
  <c r="Z376" i="92"/>
  <c r="Z400" i="92" s="1"/>
  <c r="Z401" i="92" s="1"/>
  <c r="Z437" i="92" s="1"/>
  <c r="Z438" i="92" s="1"/>
  <c r="W362" i="96"/>
  <c r="F55" i="96" s="1"/>
  <c r="X206" i="92"/>
  <c r="W332" i="96"/>
  <c r="W335" i="96" s="1"/>
  <c r="W336" i="96" s="1"/>
  <c r="AA209" i="96"/>
  <c r="AA210" i="96" s="1"/>
  <c r="AB104" i="92"/>
  <c r="AB130" i="92" s="1"/>
  <c r="AB148" i="92"/>
  <c r="AB172" i="92" s="1"/>
  <c r="AB173" i="92" s="1"/>
  <c r="AB180" i="92" s="1"/>
  <c r="Z376" i="96"/>
  <c r="Z400" i="96" s="1"/>
  <c r="Z401" i="96" s="1"/>
  <c r="Z437" i="96" s="1"/>
  <c r="Z438" i="96" s="1"/>
  <c r="Z248" i="96"/>
  <c r="Z249" i="96" s="1"/>
  <c r="Z256" i="96" s="1"/>
  <c r="Z282" i="96" s="1"/>
  <c r="AA224" i="96"/>
  <c r="AA300" i="96" s="1"/>
  <c r="AA324" i="96" s="1"/>
  <c r="AA325" i="96" s="1"/>
  <c r="AC72" i="96"/>
  <c r="AC148" i="96" s="1"/>
  <c r="AC172" i="96" s="1"/>
  <c r="AC173" i="96" s="1"/>
  <c r="Y285" i="96"/>
  <c r="Y286" i="96" s="1"/>
  <c r="Y437" i="96"/>
  <c r="Y438" i="96" s="1"/>
  <c r="AC72" i="92"/>
  <c r="AC148" i="92" s="1"/>
  <c r="AC224" i="92" s="1"/>
  <c r="AA140" i="14"/>
  <c r="AA127" i="14"/>
  <c r="U310" i="96"/>
  <c r="U320" i="96" s="1"/>
  <c r="U386" i="96"/>
  <c r="U396" i="96" s="1"/>
  <c r="U310" i="92"/>
  <c r="U320" i="92" s="1"/>
  <c r="U386" i="92"/>
  <c r="U396" i="92" s="1"/>
  <c r="U310" i="88"/>
  <c r="U320" i="88" s="1"/>
  <c r="U386" i="88"/>
  <c r="U396" i="88" s="1"/>
  <c r="AL314" i="92"/>
  <c r="AL390" i="92"/>
  <c r="V310" i="52"/>
  <c r="V320" i="52" s="1"/>
  <c r="V386" i="52"/>
  <c r="V396" i="52" s="1"/>
  <c r="AK314" i="88"/>
  <c r="AK390" i="88"/>
  <c r="AL314" i="96"/>
  <c r="AL390" i="96"/>
  <c r="AB50" i="14"/>
  <c r="AK162" i="88"/>
  <c r="AK238" i="88"/>
  <c r="AL162" i="92"/>
  <c r="AL238" i="92"/>
  <c r="AL162" i="96"/>
  <c r="AL238" i="96"/>
  <c r="U158" i="96"/>
  <c r="U168" i="96" s="1"/>
  <c r="U234" i="96"/>
  <c r="U244" i="96" s="1"/>
  <c r="U158" i="92"/>
  <c r="U168" i="92" s="1"/>
  <c r="U234" i="92"/>
  <c r="U244" i="92" s="1"/>
  <c r="U158" i="88"/>
  <c r="U168" i="88" s="1"/>
  <c r="U234" i="88"/>
  <c r="U244" i="88" s="1"/>
  <c r="V158" i="52"/>
  <c r="V168" i="52" s="1"/>
  <c r="V234" i="52"/>
  <c r="V244" i="52" s="1"/>
  <c r="W82" i="52"/>
  <c r="V92" i="52"/>
  <c r="V82" i="96"/>
  <c r="U92" i="96"/>
  <c r="V82" i="92"/>
  <c r="U92" i="92"/>
  <c r="V82" i="88"/>
  <c r="U92" i="88"/>
  <c r="AB113" i="14"/>
  <c r="AL86" i="88"/>
  <c r="Y411" i="96"/>
  <c r="Y412" i="96" s="1"/>
  <c r="Y434" i="92"/>
  <c r="X335" i="52"/>
  <c r="X336" i="52" s="1"/>
  <c r="O113" i="96"/>
  <c r="O114" i="96" s="1"/>
  <c r="O124" i="96" s="1"/>
  <c r="O131" i="96"/>
  <c r="AB172" i="96"/>
  <c r="AB173" i="96" s="1"/>
  <c r="AB209" i="96" s="1"/>
  <c r="X434" i="52"/>
  <c r="AA183" i="88"/>
  <c r="AA184" i="88" s="1"/>
  <c r="AB172" i="88"/>
  <c r="AB173" i="88" s="1"/>
  <c r="AB209" i="88" s="1"/>
  <c r="AA107" i="52"/>
  <c r="AA108" i="52" s="1"/>
  <c r="Z183" i="52"/>
  <c r="Z184" i="52" s="1"/>
  <c r="AB130" i="88"/>
  <c r="Y335" i="92"/>
  <c r="Y336" i="92" s="1"/>
  <c r="Z259" i="92"/>
  <c r="Z260" i="92" s="1"/>
  <c r="Y358" i="96"/>
  <c r="Y335" i="88"/>
  <c r="Y336" i="88" s="1"/>
  <c r="Y282" i="96"/>
  <c r="AB134" i="88"/>
  <c r="G40" i="88" s="1"/>
  <c r="AB134" i="92"/>
  <c r="G40" i="92" s="1"/>
  <c r="X358" i="92"/>
  <c r="Z282" i="88"/>
  <c r="Y282" i="52"/>
  <c r="AB107" i="96"/>
  <c r="AB108" i="96" s="1"/>
  <c r="AA206" i="96"/>
  <c r="AA180" i="52"/>
  <c r="AA206" i="52" s="1"/>
  <c r="AA209" i="52"/>
  <c r="AA210" i="52" s="1"/>
  <c r="Y332" i="52"/>
  <c r="Y335" i="52" s="1"/>
  <c r="Y361" i="52"/>
  <c r="Y362" i="52" s="1"/>
  <c r="Z332" i="92"/>
  <c r="Z335" i="92" s="1"/>
  <c r="Z361" i="92"/>
  <c r="Z362" i="92" s="1"/>
  <c r="AA256" i="92"/>
  <c r="AA282" i="92" s="1"/>
  <c r="AA285" i="92"/>
  <c r="AA286" i="92" s="1"/>
  <c r="Y408" i="52"/>
  <c r="Y434" i="52" s="1"/>
  <c r="Y437" i="52"/>
  <c r="Y438" i="52" s="1"/>
  <c r="AB104" i="52"/>
  <c r="AB130" i="52" s="1"/>
  <c r="AB133" i="52"/>
  <c r="G39" i="52" s="1"/>
  <c r="Y411" i="88"/>
  <c r="Y412" i="88" s="1"/>
  <c r="Z332" i="96"/>
  <c r="Z335" i="96" s="1"/>
  <c r="Z361" i="96"/>
  <c r="Z362" i="96" s="1"/>
  <c r="Z332" i="88"/>
  <c r="Z358" i="88" s="1"/>
  <c r="Z361" i="88"/>
  <c r="Z362" i="88" s="1"/>
  <c r="Z256" i="52"/>
  <c r="Z282" i="52" s="1"/>
  <c r="Z285" i="52"/>
  <c r="Z286" i="52" s="1"/>
  <c r="Q283" i="88"/>
  <c r="R185" i="92"/>
  <c r="R189" i="92" s="1"/>
  <c r="P265" i="88"/>
  <c r="P266" i="88" s="1"/>
  <c r="P279" i="88" s="1"/>
  <c r="P288" i="88" s="1"/>
  <c r="P337" i="52"/>
  <c r="P341" i="52" s="1"/>
  <c r="AD72" i="88"/>
  <c r="AD148" i="88" s="1"/>
  <c r="AD72" i="52"/>
  <c r="N113" i="92"/>
  <c r="N114" i="92" s="1"/>
  <c r="N127" i="92" s="1"/>
  <c r="N136" i="92" s="1"/>
  <c r="M127" i="92"/>
  <c r="M136" i="92" s="1"/>
  <c r="M124" i="92"/>
  <c r="L431" i="96"/>
  <c r="L440" i="96" s="1"/>
  <c r="L441" i="96" s="1"/>
  <c r="N207" i="96"/>
  <c r="N185" i="96"/>
  <c r="N435" i="96"/>
  <c r="N413" i="96"/>
  <c r="P261" i="96"/>
  <c r="P262" i="96" s="1"/>
  <c r="P263" i="96" s="1"/>
  <c r="P264" i="96" s="1"/>
  <c r="M417" i="96"/>
  <c r="M414" i="96"/>
  <c r="M415" i="96" s="1"/>
  <c r="M416" i="96" s="1"/>
  <c r="Q185" i="52"/>
  <c r="Q189" i="52" s="1"/>
  <c r="O359" i="92"/>
  <c r="P283" i="92"/>
  <c r="O127" i="88"/>
  <c r="O136" i="88" s="1"/>
  <c r="O137" i="88" s="1"/>
  <c r="M418" i="92"/>
  <c r="M428" i="92" s="1"/>
  <c r="AA248" i="88"/>
  <c r="AA249" i="88" s="1"/>
  <c r="N435" i="92"/>
  <c r="N413" i="92"/>
  <c r="O266" i="92"/>
  <c r="O276" i="92" s="1"/>
  <c r="M428" i="52"/>
  <c r="Q109" i="88"/>
  <c r="M355" i="92"/>
  <c r="M364" i="92" s="1"/>
  <c r="M365" i="92" s="1"/>
  <c r="M352" i="92"/>
  <c r="P190" i="52"/>
  <c r="P200" i="52" s="1"/>
  <c r="N338" i="92"/>
  <c r="N339" i="92" s="1"/>
  <c r="N340" i="92" s="1"/>
  <c r="N341" i="92"/>
  <c r="O266" i="96"/>
  <c r="O279" i="96" s="1"/>
  <c r="O288" i="96" s="1"/>
  <c r="O289" i="96" s="1"/>
  <c r="O435" i="52"/>
  <c r="O413" i="52"/>
  <c r="L418" i="88"/>
  <c r="N418" i="52"/>
  <c r="M417" i="88"/>
  <c r="M414" i="88"/>
  <c r="M415" i="88" s="1"/>
  <c r="M416" i="88" s="1"/>
  <c r="AC59" i="14"/>
  <c r="AC72" i="14"/>
  <c r="Q265" i="88"/>
  <c r="Q262" i="88"/>
  <c r="Q263" i="88" s="1"/>
  <c r="Q264" i="88" s="1"/>
  <c r="R261" i="52"/>
  <c r="R283" i="52"/>
  <c r="N342" i="88"/>
  <c r="O352" i="52"/>
  <c r="O355" i="52"/>
  <c r="O364" i="52" s="1"/>
  <c r="M342" i="96"/>
  <c r="O337" i="88"/>
  <c r="O359" i="88"/>
  <c r="Q203" i="92"/>
  <c r="Q212" i="92" s="1"/>
  <c r="Q213" i="92" s="1"/>
  <c r="Q200" i="92"/>
  <c r="O203" i="52"/>
  <c r="O212" i="52" s="1"/>
  <c r="O200" i="52"/>
  <c r="P113" i="88"/>
  <c r="P110" i="88"/>
  <c r="P111" i="88" s="1"/>
  <c r="P112" i="88" s="1"/>
  <c r="N203" i="88"/>
  <c r="N212" i="88" s="1"/>
  <c r="N200" i="88"/>
  <c r="O189" i="88"/>
  <c r="O186" i="88"/>
  <c r="O187" i="88" s="1"/>
  <c r="O188" i="88" s="1"/>
  <c r="N279" i="92"/>
  <c r="N288" i="92" s="1"/>
  <c r="N276" i="92"/>
  <c r="P185" i="88"/>
  <c r="P207" i="88"/>
  <c r="AC122" i="14"/>
  <c r="AC135" i="14"/>
  <c r="P276" i="52"/>
  <c r="P279" i="52"/>
  <c r="P288" i="52" s="1"/>
  <c r="Q265" i="52"/>
  <c r="Q262" i="52"/>
  <c r="Q263" i="52" s="1"/>
  <c r="Q264" i="52" s="1"/>
  <c r="N337" i="96"/>
  <c r="N359" i="96"/>
  <c r="Y336" i="96"/>
  <c r="AA184" i="96"/>
  <c r="Z376" i="88"/>
  <c r="Z400" i="88" s="1"/>
  <c r="Z401" i="88" s="1"/>
  <c r="Y412" i="92"/>
  <c r="AC96" i="88"/>
  <c r="AC97" i="88" s="1"/>
  <c r="AB224" i="88"/>
  <c r="AB248" i="88" s="1"/>
  <c r="AB249" i="88" s="1"/>
  <c r="Z260" i="88"/>
  <c r="AB108" i="88"/>
  <c r="AA376" i="88"/>
  <c r="AA400" i="88" s="1"/>
  <c r="AA401" i="88" s="1"/>
  <c r="AA324" i="88"/>
  <c r="AA325" i="88" s="1"/>
  <c r="AC172" i="88"/>
  <c r="AC173" i="88" s="1"/>
  <c r="AC224" i="88"/>
  <c r="X412" i="52"/>
  <c r="Z324" i="52"/>
  <c r="Z325" i="52" s="1"/>
  <c r="Z376" i="52"/>
  <c r="Z400" i="52" s="1"/>
  <c r="Z401" i="52" s="1"/>
  <c r="AB125" i="14"/>
  <c r="AB138" i="14"/>
  <c r="AA248" i="52"/>
  <c r="AA249" i="52" s="1"/>
  <c r="AA300" i="52"/>
  <c r="Y260" i="52"/>
  <c r="AB224" i="52"/>
  <c r="AB172" i="52"/>
  <c r="AB173" i="52" s="1"/>
  <c r="AC96" i="52"/>
  <c r="AC97" i="52" s="1"/>
  <c r="AC148" i="52"/>
  <c r="AB62" i="14"/>
  <c r="AB64" i="14" s="1"/>
  <c r="AB75" i="14"/>
  <c r="AB77" i="14" s="1"/>
  <c r="O127" i="52"/>
  <c r="O136" i="52" s="1"/>
  <c r="O137" i="52" s="1"/>
  <c r="O124" i="52"/>
  <c r="P111" i="52"/>
  <c r="P112" i="52" s="1"/>
  <c r="P114" i="52" s="1"/>
  <c r="P124" i="52" s="1"/>
  <c r="AC111" i="14"/>
  <c r="AC113" i="14" s="1"/>
  <c r="AC48" i="14"/>
  <c r="AC50" i="14" s="1"/>
  <c r="AD101" i="14"/>
  <c r="AD38" i="14"/>
  <c r="AA209" i="92" l="1"/>
  <c r="AA210" i="92" s="1"/>
  <c r="AB134" i="96"/>
  <c r="G40" i="96" s="1"/>
  <c r="Z408" i="92"/>
  <c r="Z411" i="92" s="1"/>
  <c r="Z412" i="92" s="1"/>
  <c r="AA376" i="92"/>
  <c r="AA400" i="92" s="1"/>
  <c r="AA401" i="92" s="1"/>
  <c r="AA437" i="92" s="1"/>
  <c r="AA438" i="92" s="1"/>
  <c r="Z206" i="92"/>
  <c r="W358" i="96"/>
  <c r="AC224" i="96"/>
  <c r="AC248" i="96" s="1"/>
  <c r="AC249" i="96" s="1"/>
  <c r="AB107" i="92"/>
  <c r="AB108" i="92" s="1"/>
  <c r="AB224" i="92"/>
  <c r="AB300" i="92" s="1"/>
  <c r="AB324" i="92" s="1"/>
  <c r="AB325" i="92" s="1"/>
  <c r="Z408" i="96"/>
  <c r="Z434" i="96" s="1"/>
  <c r="AA376" i="96"/>
  <c r="AA400" i="96" s="1"/>
  <c r="AA401" i="96" s="1"/>
  <c r="AA408" i="96" s="1"/>
  <c r="AA411" i="96" s="1"/>
  <c r="AC96" i="92"/>
  <c r="AC97" i="92" s="1"/>
  <c r="AC104" i="92" s="1"/>
  <c r="AC107" i="92" s="1"/>
  <c r="AC108" i="92" s="1"/>
  <c r="AA248" i="96"/>
  <c r="AA249" i="96" s="1"/>
  <c r="AA256" i="96" s="1"/>
  <c r="AA259" i="96" s="1"/>
  <c r="AA260" i="96" s="1"/>
  <c r="AC172" i="92"/>
  <c r="AC173" i="92" s="1"/>
  <c r="AC209" i="92" s="1"/>
  <c r="AC210" i="92" s="1"/>
  <c r="Z285" i="96"/>
  <c r="Z286" i="96" s="1"/>
  <c r="AC96" i="96"/>
  <c r="AC97" i="96" s="1"/>
  <c r="AC104" i="96" s="1"/>
  <c r="AC107" i="96" s="1"/>
  <c r="AC108" i="96" s="1"/>
  <c r="AD72" i="92"/>
  <c r="AD148" i="92" s="1"/>
  <c r="AD224" i="92" s="1"/>
  <c r="AB180" i="96"/>
  <c r="AB183" i="96" s="1"/>
  <c r="AB184" i="96" s="1"/>
  <c r="AD72" i="96"/>
  <c r="AD96" i="96" s="1"/>
  <c r="AD97" i="96" s="1"/>
  <c r="AD104" i="96" s="1"/>
  <c r="AD107" i="96" s="1"/>
  <c r="AB140" i="14"/>
  <c r="AB127" i="14"/>
  <c r="V310" i="88"/>
  <c r="V320" i="88" s="1"/>
  <c r="V386" i="88"/>
  <c r="V396" i="88" s="1"/>
  <c r="W310" i="52"/>
  <c r="W320" i="52" s="1"/>
  <c r="W386" i="52"/>
  <c r="W396" i="52" s="1"/>
  <c r="AC114" i="14"/>
  <c r="V310" i="92"/>
  <c r="V320" i="92" s="1"/>
  <c r="V386" i="92"/>
  <c r="V396" i="92" s="1"/>
  <c r="V310" i="96"/>
  <c r="V320" i="96" s="1"/>
  <c r="V386" i="96"/>
  <c r="V396" i="96" s="1"/>
  <c r="AL314" i="88"/>
  <c r="AL390" i="88"/>
  <c r="AL162" i="88"/>
  <c r="AL238" i="88"/>
  <c r="V158" i="88"/>
  <c r="V168" i="88" s="1"/>
  <c r="V234" i="88"/>
  <c r="V244" i="88" s="1"/>
  <c r="V158" i="92"/>
  <c r="V168" i="92" s="1"/>
  <c r="V234" i="92"/>
  <c r="V244" i="92" s="1"/>
  <c r="V158" i="96"/>
  <c r="V168" i="96" s="1"/>
  <c r="V234" i="96"/>
  <c r="V244" i="96" s="1"/>
  <c r="W158" i="52"/>
  <c r="W168" i="52" s="1"/>
  <c r="W234" i="52"/>
  <c r="W244" i="52" s="1"/>
  <c r="W82" i="88"/>
  <c r="V92" i="88"/>
  <c r="X82" i="52"/>
  <c r="W92" i="52"/>
  <c r="W82" i="92"/>
  <c r="V92" i="92"/>
  <c r="W82" i="96"/>
  <c r="V92" i="96"/>
  <c r="AC51" i="14"/>
  <c r="O131" i="92"/>
  <c r="O109" i="92"/>
  <c r="O113" i="92" s="1"/>
  <c r="AA259" i="92"/>
  <c r="AA260" i="92" s="1"/>
  <c r="AB107" i="52"/>
  <c r="AB108" i="52" s="1"/>
  <c r="AA183" i="52"/>
  <c r="AA184" i="52" s="1"/>
  <c r="Z335" i="88"/>
  <c r="Z336" i="88" s="1"/>
  <c r="Z259" i="96"/>
  <c r="Z260" i="96" s="1"/>
  <c r="Z259" i="52"/>
  <c r="Z260" i="52" s="1"/>
  <c r="AB210" i="96"/>
  <c r="G45" i="96" s="1"/>
  <c r="G44" i="96"/>
  <c r="AB210" i="88"/>
  <c r="G45" i="88" s="1"/>
  <c r="G44" i="88"/>
  <c r="O127" i="96"/>
  <c r="O136" i="96" s="1"/>
  <c r="O137" i="96" s="1"/>
  <c r="AB180" i="88"/>
  <c r="AB206" i="88" s="1"/>
  <c r="AB206" i="92"/>
  <c r="AB183" i="92"/>
  <c r="AB184" i="92" s="1"/>
  <c r="AB209" i="92"/>
  <c r="Y358" i="52"/>
  <c r="AB134" i="52"/>
  <c r="G40" i="52" s="1"/>
  <c r="Z358" i="96"/>
  <c r="AA332" i="88"/>
  <c r="AA358" i="88" s="1"/>
  <c r="AA361" i="88"/>
  <c r="AA362" i="88" s="1"/>
  <c r="AB180" i="52"/>
  <c r="AB206" i="52" s="1"/>
  <c r="AB209" i="52"/>
  <c r="Z332" i="52"/>
  <c r="Z358" i="52" s="1"/>
  <c r="Z361" i="52"/>
  <c r="Z362" i="52" s="1"/>
  <c r="AB256" i="88"/>
  <c r="AB259" i="88" s="1"/>
  <c r="AB285" i="88"/>
  <c r="Z358" i="92"/>
  <c r="Z408" i="88"/>
  <c r="Z434" i="88" s="1"/>
  <c r="Z437" i="88"/>
  <c r="Z438" i="88" s="1"/>
  <c r="AC180" i="96"/>
  <c r="AC183" i="96" s="1"/>
  <c r="AC209" i="96"/>
  <c r="AC210" i="96" s="1"/>
  <c r="AC104" i="88"/>
  <c r="AC130" i="88" s="1"/>
  <c r="AC133" i="88"/>
  <c r="AC134" i="88" s="1"/>
  <c r="AB256" i="96"/>
  <c r="AB282" i="96" s="1"/>
  <c r="AB285" i="96"/>
  <c r="AA256" i="88"/>
  <c r="AA282" i="88" s="1"/>
  <c r="AA285" i="88"/>
  <c r="AA286" i="88" s="1"/>
  <c r="AC104" i="52"/>
  <c r="AC107" i="52" s="1"/>
  <c r="AC108" i="52" s="1"/>
  <c r="AC133" i="52"/>
  <c r="AC134" i="52" s="1"/>
  <c r="AA256" i="52"/>
  <c r="AA282" i="52" s="1"/>
  <c r="AA285" i="52"/>
  <c r="AA286" i="52" s="1"/>
  <c r="Y411" i="52"/>
  <c r="Y412" i="52" s="1"/>
  <c r="AA408" i="88"/>
  <c r="AA411" i="88" s="1"/>
  <c r="AA437" i="88"/>
  <c r="AA438" i="88" s="1"/>
  <c r="Z408" i="52"/>
  <c r="Z411" i="52" s="1"/>
  <c r="Z437" i="52"/>
  <c r="Z438" i="52" s="1"/>
  <c r="AC180" i="88"/>
  <c r="AC206" i="88" s="1"/>
  <c r="AC209" i="88"/>
  <c r="AC210" i="88" s="1"/>
  <c r="AA332" i="92"/>
  <c r="AA335" i="92" s="1"/>
  <c r="AA361" i="92"/>
  <c r="AA362" i="92" s="1"/>
  <c r="AA332" i="96"/>
  <c r="AA335" i="96" s="1"/>
  <c r="AA361" i="96"/>
  <c r="AA362" i="96" s="1"/>
  <c r="AA206" i="92"/>
  <c r="S185" i="92"/>
  <c r="R186" i="92"/>
  <c r="R187" i="92" s="1"/>
  <c r="R188" i="92" s="1"/>
  <c r="R190" i="92" s="1"/>
  <c r="P338" i="52"/>
  <c r="P339" i="52" s="1"/>
  <c r="P340" i="52" s="1"/>
  <c r="P342" i="52" s="1"/>
  <c r="P359" i="52"/>
  <c r="AE72" i="88"/>
  <c r="AE148" i="88" s="1"/>
  <c r="AE72" i="52"/>
  <c r="N124" i="92"/>
  <c r="M137" i="92"/>
  <c r="N137" i="92"/>
  <c r="R207" i="52"/>
  <c r="M418" i="96"/>
  <c r="M431" i="96" s="1"/>
  <c r="M440" i="96" s="1"/>
  <c r="M441" i="96" s="1"/>
  <c r="Q186" i="52"/>
  <c r="Q187" i="52" s="1"/>
  <c r="Q188" i="52" s="1"/>
  <c r="Q190" i="52" s="1"/>
  <c r="Q203" i="52" s="1"/>
  <c r="Q212" i="52" s="1"/>
  <c r="P261" i="92"/>
  <c r="P262" i="92" s="1"/>
  <c r="P263" i="92" s="1"/>
  <c r="P264" i="92" s="1"/>
  <c r="P265" i="96"/>
  <c r="P266" i="96" s="1"/>
  <c r="O337" i="92"/>
  <c r="O341" i="92" s="1"/>
  <c r="P283" i="96"/>
  <c r="N186" i="96"/>
  <c r="N187" i="96" s="1"/>
  <c r="N188" i="96" s="1"/>
  <c r="N189" i="96"/>
  <c r="O279" i="92"/>
  <c r="O288" i="92" s="1"/>
  <c r="O289" i="92" s="1"/>
  <c r="N414" i="96"/>
  <c r="N415" i="96" s="1"/>
  <c r="N416" i="96" s="1"/>
  <c r="N417" i="96"/>
  <c r="P276" i="88"/>
  <c r="Q131" i="88"/>
  <c r="M431" i="92"/>
  <c r="M440" i="92" s="1"/>
  <c r="M441" i="92" s="1"/>
  <c r="N414" i="92"/>
  <c r="N415" i="92" s="1"/>
  <c r="N416" i="92" s="1"/>
  <c r="N417" i="92"/>
  <c r="AB300" i="96"/>
  <c r="AB376" i="96" s="1"/>
  <c r="AB400" i="96" s="1"/>
  <c r="AB401" i="96" s="1"/>
  <c r="P203" i="52"/>
  <c r="P212" i="52" s="1"/>
  <c r="P213" i="52" s="1"/>
  <c r="N342" i="92"/>
  <c r="N352" i="92" s="1"/>
  <c r="O276" i="96"/>
  <c r="M418" i="88"/>
  <c r="M431" i="88" s="1"/>
  <c r="M440" i="88" s="1"/>
  <c r="Q266" i="88"/>
  <c r="Q279" i="88" s="1"/>
  <c r="Q288" i="88" s="1"/>
  <c r="Q289" i="88" s="1"/>
  <c r="P114" i="88"/>
  <c r="P127" i="88" s="1"/>
  <c r="P136" i="88" s="1"/>
  <c r="P137" i="88" s="1"/>
  <c r="L431" i="88"/>
  <c r="L440" i="88" s="1"/>
  <c r="L441" i="88" s="1"/>
  <c r="L428" i="88"/>
  <c r="O417" i="52"/>
  <c r="O414" i="52"/>
  <c r="O415" i="52" s="1"/>
  <c r="O416" i="52" s="1"/>
  <c r="N428" i="52"/>
  <c r="N431" i="52"/>
  <c r="N440" i="52" s="1"/>
  <c r="N441" i="52" s="1"/>
  <c r="N413" i="88"/>
  <c r="N435" i="88"/>
  <c r="P289" i="88"/>
  <c r="Q266" i="52"/>
  <c r="P289" i="52"/>
  <c r="P189" i="88"/>
  <c r="P186" i="88"/>
  <c r="P187" i="88" s="1"/>
  <c r="P188" i="88" s="1"/>
  <c r="O190" i="88"/>
  <c r="N213" i="88"/>
  <c r="O341" i="88"/>
  <c r="O338" i="88"/>
  <c r="O339" i="88" s="1"/>
  <c r="O340" i="88" s="1"/>
  <c r="AD59" i="14"/>
  <c r="AD72" i="14"/>
  <c r="O365" i="52"/>
  <c r="N352" i="88"/>
  <c r="N355" i="88"/>
  <c r="N364" i="88" s="1"/>
  <c r="R265" i="52"/>
  <c r="R262" i="52"/>
  <c r="R263" i="52" s="1"/>
  <c r="R264" i="52" s="1"/>
  <c r="Q113" i="88"/>
  <c r="Q110" i="88"/>
  <c r="Q111" i="88" s="1"/>
  <c r="Q112" i="88" s="1"/>
  <c r="M355" i="96"/>
  <c r="M364" i="96" s="1"/>
  <c r="M352" i="96"/>
  <c r="AD122" i="14"/>
  <c r="AD135" i="14"/>
  <c r="N341" i="96"/>
  <c r="N338" i="96"/>
  <c r="N339" i="96" s="1"/>
  <c r="N340" i="96" s="1"/>
  <c r="N289" i="92"/>
  <c r="R261" i="88"/>
  <c r="R283" i="88"/>
  <c r="O213" i="52"/>
  <c r="Z336" i="96"/>
  <c r="AB300" i="88"/>
  <c r="AB376" i="88" s="1"/>
  <c r="AB400" i="88" s="1"/>
  <c r="AB401" i="88" s="1"/>
  <c r="AC300" i="92"/>
  <c r="AC248" i="92"/>
  <c r="AC249" i="92" s="1"/>
  <c r="Z336" i="92"/>
  <c r="AD96" i="88"/>
  <c r="AD97" i="88" s="1"/>
  <c r="AD224" i="88"/>
  <c r="AD172" i="88"/>
  <c r="AD173" i="88" s="1"/>
  <c r="AC300" i="88"/>
  <c r="AC248" i="88"/>
  <c r="AC249" i="88" s="1"/>
  <c r="AC62" i="14"/>
  <c r="AC64" i="14" s="1"/>
  <c r="AC75" i="14"/>
  <c r="AC77" i="14" s="1"/>
  <c r="AA376" i="52"/>
  <c r="AA400" i="52" s="1"/>
  <c r="AA401" i="52" s="1"/>
  <c r="AA324" i="52"/>
  <c r="AA325" i="52" s="1"/>
  <c r="Y336" i="52"/>
  <c r="AC172" i="52"/>
  <c r="AC173" i="52" s="1"/>
  <c r="AC224" i="52"/>
  <c r="AD148" i="52"/>
  <c r="AD96" i="52"/>
  <c r="AD97" i="52" s="1"/>
  <c r="AB248" i="52"/>
  <c r="AB249" i="52" s="1"/>
  <c r="AB300" i="52"/>
  <c r="AC125" i="14"/>
  <c r="AC138" i="14"/>
  <c r="P127" i="52"/>
  <c r="P136" i="52" s="1"/>
  <c r="P137" i="52" s="1"/>
  <c r="Q109" i="52"/>
  <c r="Q131" i="52"/>
  <c r="AD111" i="14"/>
  <c r="AD113" i="14" s="1"/>
  <c r="AD48" i="14"/>
  <c r="AD50" i="14" s="1"/>
  <c r="AE101" i="14"/>
  <c r="AE38" i="14"/>
  <c r="AA408" i="92" l="1"/>
  <c r="AA411" i="92" s="1"/>
  <c r="AA412" i="92" s="1"/>
  <c r="Z434" i="92"/>
  <c r="AC300" i="96"/>
  <c r="AC324" i="96" s="1"/>
  <c r="AC325" i="96" s="1"/>
  <c r="AA437" i="96"/>
  <c r="AA438" i="96" s="1"/>
  <c r="AB376" i="92"/>
  <c r="AB400" i="92" s="1"/>
  <c r="AB401" i="92" s="1"/>
  <c r="AB408" i="92" s="1"/>
  <c r="AB434" i="92" s="1"/>
  <c r="AB248" i="92"/>
  <c r="AB249" i="92" s="1"/>
  <c r="AB256" i="92" s="1"/>
  <c r="AB282" i="92" s="1"/>
  <c r="Z411" i="96"/>
  <c r="Z412" i="96" s="1"/>
  <c r="AC133" i="92"/>
  <c r="AC134" i="92" s="1"/>
  <c r="AA285" i="96"/>
  <c r="AA286" i="96" s="1"/>
  <c r="AC180" i="92"/>
  <c r="AC206" i="92" s="1"/>
  <c r="AB206" i="96"/>
  <c r="AC133" i="96"/>
  <c r="AC134" i="96" s="1"/>
  <c r="AD133" i="96"/>
  <c r="AD134" i="96" s="1"/>
  <c r="AD172" i="92"/>
  <c r="AD173" i="92" s="1"/>
  <c r="AD209" i="92" s="1"/>
  <c r="AD210" i="92" s="1"/>
  <c r="AD96" i="92"/>
  <c r="AD97" i="92" s="1"/>
  <c r="AD104" i="92" s="1"/>
  <c r="AD107" i="92" s="1"/>
  <c r="AD108" i="92" s="1"/>
  <c r="AD148" i="96"/>
  <c r="AD224" i="96" s="1"/>
  <c r="AD248" i="96" s="1"/>
  <c r="AD249" i="96" s="1"/>
  <c r="AE72" i="96"/>
  <c r="AE148" i="96" s="1"/>
  <c r="AE172" i="96" s="1"/>
  <c r="AE173" i="96" s="1"/>
  <c r="AE72" i="92"/>
  <c r="AE148" i="92" s="1"/>
  <c r="AE224" i="92" s="1"/>
  <c r="AC140" i="14"/>
  <c r="AC127" i="14"/>
  <c r="W310" i="96"/>
  <c r="W320" i="96" s="1"/>
  <c r="W386" i="96"/>
  <c r="W396" i="96" s="1"/>
  <c r="W310" i="92"/>
  <c r="W320" i="92" s="1"/>
  <c r="W386" i="92"/>
  <c r="W396" i="92" s="1"/>
  <c r="X310" i="52"/>
  <c r="X320" i="52" s="1"/>
  <c r="X386" i="52"/>
  <c r="X396" i="52" s="1"/>
  <c r="W310" i="88"/>
  <c r="W320" i="88" s="1"/>
  <c r="W386" i="88"/>
  <c r="W396" i="88" s="1"/>
  <c r="W158" i="96"/>
  <c r="W168" i="96" s="1"/>
  <c r="W234" i="96"/>
  <c r="W244" i="96" s="1"/>
  <c r="W158" i="92"/>
  <c r="W168" i="92" s="1"/>
  <c r="W234" i="92"/>
  <c r="W244" i="92" s="1"/>
  <c r="X158" i="52"/>
  <c r="X168" i="52" s="1"/>
  <c r="X234" i="52"/>
  <c r="X244" i="52" s="1"/>
  <c r="W158" i="88"/>
  <c r="W168" i="88" s="1"/>
  <c r="W234" i="88"/>
  <c r="W244" i="88" s="1"/>
  <c r="X82" i="96"/>
  <c r="W92" i="96"/>
  <c r="X82" i="92"/>
  <c r="W92" i="92"/>
  <c r="Y82" i="52"/>
  <c r="X92" i="52"/>
  <c r="X82" i="88"/>
  <c r="W92" i="88"/>
  <c r="AC130" i="52"/>
  <c r="AD114" i="14"/>
  <c r="AD51" i="14"/>
  <c r="O110" i="92"/>
  <c r="O111" i="92" s="1"/>
  <c r="O112" i="92" s="1"/>
  <c r="O114" i="92" s="1"/>
  <c r="O127" i="92" s="1"/>
  <c r="O136" i="92" s="1"/>
  <c r="O137" i="92" s="1"/>
  <c r="P109" i="96"/>
  <c r="P131" i="96"/>
  <c r="Q131" i="96"/>
  <c r="S207" i="92"/>
  <c r="AA434" i="88"/>
  <c r="AA358" i="96"/>
  <c r="AC130" i="96"/>
  <c r="AC183" i="88"/>
  <c r="AC184" i="88" s="1"/>
  <c r="AA358" i="92"/>
  <c r="Z434" i="52"/>
  <c r="Z335" i="52"/>
  <c r="Z336" i="52" s="1"/>
  <c r="AA335" i="88"/>
  <c r="AA336" i="88" s="1"/>
  <c r="AB286" i="96"/>
  <c r="G50" i="96" s="1"/>
  <c r="G49" i="96"/>
  <c r="AB286" i="88"/>
  <c r="G50" i="88" s="1"/>
  <c r="G49" i="88"/>
  <c r="AB210" i="52"/>
  <c r="G45" i="52" s="1"/>
  <c r="G44" i="52"/>
  <c r="AB210" i="92"/>
  <c r="G45" i="92" s="1"/>
  <c r="G44" i="92"/>
  <c r="AB183" i="88"/>
  <c r="AB184" i="88" s="1"/>
  <c r="AC206" i="96"/>
  <c r="AA434" i="96"/>
  <c r="AA282" i="96"/>
  <c r="AA259" i="52"/>
  <c r="AA260" i="52" s="1"/>
  <c r="AC107" i="88"/>
  <c r="AC108" i="88" s="1"/>
  <c r="AD130" i="96"/>
  <c r="AC130" i="92"/>
  <c r="AB183" i="52"/>
  <c r="AB184" i="52" s="1"/>
  <c r="Q359" i="52"/>
  <c r="AA259" i="88"/>
  <c r="AA260" i="88" s="1"/>
  <c r="AB256" i="52"/>
  <c r="AB259" i="52" s="1"/>
  <c r="AB285" i="52"/>
  <c r="AC180" i="52"/>
  <c r="AC206" i="52" s="1"/>
  <c r="AC209" i="52"/>
  <c r="AC210" i="52" s="1"/>
  <c r="AB332" i="92"/>
  <c r="AB335" i="92" s="1"/>
  <c r="AB361" i="92"/>
  <c r="AB408" i="88"/>
  <c r="AB434" i="88" s="1"/>
  <c r="AB437" i="88"/>
  <c r="AA408" i="52"/>
  <c r="AA411" i="52" s="1"/>
  <c r="AA437" i="52"/>
  <c r="AA438" i="52" s="1"/>
  <c r="AB282" i="88"/>
  <c r="Z411" i="88"/>
  <c r="Z412" i="88" s="1"/>
  <c r="AB259" i="96"/>
  <c r="AB260" i="96" s="1"/>
  <c r="AC256" i="96"/>
  <c r="AC282" i="96" s="1"/>
  <c r="AC285" i="96"/>
  <c r="AC286" i="96" s="1"/>
  <c r="AA332" i="52"/>
  <c r="AA358" i="52" s="1"/>
  <c r="AA361" i="52"/>
  <c r="AA362" i="52" s="1"/>
  <c r="AD104" i="88"/>
  <c r="AD130" i="88" s="1"/>
  <c r="AD133" i="88"/>
  <c r="AD134" i="88" s="1"/>
  <c r="AC256" i="92"/>
  <c r="AC259" i="92" s="1"/>
  <c r="AC285" i="92"/>
  <c r="AC286" i="92" s="1"/>
  <c r="AD104" i="52"/>
  <c r="AD107" i="52" s="1"/>
  <c r="AD108" i="52" s="1"/>
  <c r="AD133" i="52"/>
  <c r="AD134" i="52" s="1"/>
  <c r="AC256" i="88"/>
  <c r="AC282" i="88" s="1"/>
  <c r="AC285" i="88"/>
  <c r="AC286" i="88" s="1"/>
  <c r="AD180" i="88"/>
  <c r="AD183" i="88" s="1"/>
  <c r="AD209" i="88"/>
  <c r="AD210" i="88" s="1"/>
  <c r="AB408" i="96"/>
  <c r="AB411" i="96" s="1"/>
  <c r="AB437" i="96"/>
  <c r="AF72" i="52"/>
  <c r="AF72" i="88"/>
  <c r="AF96" i="88" s="1"/>
  <c r="AF97" i="88" s="1"/>
  <c r="P109" i="92"/>
  <c r="P131" i="92"/>
  <c r="S207" i="52"/>
  <c r="R185" i="52"/>
  <c r="R189" i="52" s="1"/>
  <c r="Q261" i="92"/>
  <c r="M428" i="96"/>
  <c r="N190" i="96"/>
  <c r="N200" i="96" s="1"/>
  <c r="O338" i="92"/>
  <c r="O339" i="92" s="1"/>
  <c r="O340" i="92" s="1"/>
  <c r="O342" i="92" s="1"/>
  <c r="N418" i="96"/>
  <c r="N431" i="96" s="1"/>
  <c r="N440" i="96" s="1"/>
  <c r="N441" i="96" s="1"/>
  <c r="P265" i="92"/>
  <c r="P266" i="92" s="1"/>
  <c r="P276" i="92" s="1"/>
  <c r="P359" i="92"/>
  <c r="O185" i="96"/>
  <c r="O207" i="96"/>
  <c r="O413" i="96"/>
  <c r="O435" i="96"/>
  <c r="R131" i="88"/>
  <c r="M428" i="88"/>
  <c r="Q276" i="88"/>
  <c r="Q213" i="52"/>
  <c r="O413" i="92"/>
  <c r="O435" i="92"/>
  <c r="N418" i="92"/>
  <c r="AB324" i="96"/>
  <c r="AB325" i="96" s="1"/>
  <c r="N355" i="92"/>
  <c r="N364" i="92" s="1"/>
  <c r="N365" i="92" s="1"/>
  <c r="P124" i="88"/>
  <c r="N342" i="96"/>
  <c r="N352" i="96" s="1"/>
  <c r="O342" i="88"/>
  <c r="O355" i="88" s="1"/>
  <c r="O364" i="88" s="1"/>
  <c r="O365" i="88" s="1"/>
  <c r="Q200" i="52"/>
  <c r="N417" i="88"/>
  <c r="N414" i="88"/>
  <c r="N415" i="88" s="1"/>
  <c r="N416" i="88" s="1"/>
  <c r="P413" i="52"/>
  <c r="P435" i="52"/>
  <c r="O418" i="52"/>
  <c r="M441" i="88"/>
  <c r="Q114" i="88"/>
  <c r="Q127" i="88" s="1"/>
  <c r="Q136" i="88" s="1"/>
  <c r="Q137" i="88" s="1"/>
  <c r="R265" i="88"/>
  <c r="R262" i="88"/>
  <c r="R263" i="88" s="1"/>
  <c r="R264" i="88" s="1"/>
  <c r="M365" i="96"/>
  <c r="S189" i="92"/>
  <c r="S186" i="92"/>
  <c r="S187" i="92" s="1"/>
  <c r="S188" i="92" s="1"/>
  <c r="R266" i="52"/>
  <c r="S261" i="52"/>
  <c r="S283" i="52"/>
  <c r="Q185" i="88"/>
  <c r="Q207" i="88"/>
  <c r="R200" i="92"/>
  <c r="R203" i="92"/>
  <c r="R212" i="92" s="1"/>
  <c r="R213" i="92" s="1"/>
  <c r="P190" i="88"/>
  <c r="P337" i="88"/>
  <c r="P359" i="88"/>
  <c r="O337" i="96"/>
  <c r="O359" i="96"/>
  <c r="P355" i="52"/>
  <c r="P364" i="52" s="1"/>
  <c r="P352" i="52"/>
  <c r="Q279" i="52"/>
  <c r="Q288" i="52" s="1"/>
  <c r="Q276" i="52"/>
  <c r="AE59" i="14"/>
  <c r="AE72" i="14"/>
  <c r="AE122" i="14"/>
  <c r="AE135" i="14"/>
  <c r="N365" i="88"/>
  <c r="S261" i="88"/>
  <c r="S283" i="88"/>
  <c r="P279" i="96"/>
  <c r="P288" i="96" s="1"/>
  <c r="P289" i="96" s="1"/>
  <c r="P276" i="96"/>
  <c r="O203" i="88"/>
  <c r="O212" i="88" s="1"/>
  <c r="O200" i="88"/>
  <c r="AB324" i="88"/>
  <c r="AB325" i="88" s="1"/>
  <c r="AC184" i="96"/>
  <c r="AA412" i="96"/>
  <c r="AD108" i="96"/>
  <c r="AA336" i="96"/>
  <c r="AA336" i="92"/>
  <c r="AD248" i="92"/>
  <c r="AD249" i="92" s="1"/>
  <c r="AD300" i="92"/>
  <c r="AC376" i="92"/>
  <c r="AC400" i="92" s="1"/>
  <c r="AC401" i="92" s="1"/>
  <c r="AC324" i="92"/>
  <c r="AC325" i="92" s="1"/>
  <c r="AE96" i="88"/>
  <c r="AE97" i="88" s="1"/>
  <c r="AE224" i="88"/>
  <c r="AE172" i="88"/>
  <c r="AE173" i="88" s="1"/>
  <c r="AB260" i="88"/>
  <c r="AD300" i="88"/>
  <c r="AD248" i="88"/>
  <c r="AD249" i="88" s="1"/>
  <c r="AA412" i="88"/>
  <c r="AC376" i="88"/>
  <c r="AC400" i="88" s="1"/>
  <c r="AC401" i="88" s="1"/>
  <c r="AC324" i="88"/>
  <c r="AC325" i="88" s="1"/>
  <c r="AD62" i="14"/>
  <c r="AD64" i="14" s="1"/>
  <c r="AD75" i="14"/>
  <c r="AD77" i="14" s="1"/>
  <c r="AD125" i="14"/>
  <c r="AD138" i="14"/>
  <c r="AB376" i="52"/>
  <c r="AB400" i="52" s="1"/>
  <c r="AB401" i="52" s="1"/>
  <c r="AB324" i="52"/>
  <c r="AB325" i="52" s="1"/>
  <c r="AD172" i="52"/>
  <c r="AD173" i="52" s="1"/>
  <c r="AD224" i="52"/>
  <c r="AC300" i="52"/>
  <c r="AC248" i="52"/>
  <c r="AC249" i="52" s="1"/>
  <c r="Z412" i="52"/>
  <c r="AE148" i="52"/>
  <c r="AE96" i="52"/>
  <c r="AE97" i="52" s="1"/>
  <c r="Q110" i="52"/>
  <c r="Q111" i="52" s="1"/>
  <c r="Q112" i="52" s="1"/>
  <c r="Q113" i="52"/>
  <c r="R109" i="52"/>
  <c r="R131" i="52"/>
  <c r="AE48" i="14"/>
  <c r="AE50" i="14" s="1"/>
  <c r="AE111" i="14"/>
  <c r="AE113" i="14" s="1"/>
  <c r="AF38" i="14"/>
  <c r="AF101" i="14"/>
  <c r="AA434" i="92" l="1"/>
  <c r="AC376" i="96"/>
  <c r="AC400" i="96" s="1"/>
  <c r="AC401" i="96" s="1"/>
  <c r="AC437" i="96" s="1"/>
  <c r="AC438" i="96" s="1"/>
  <c r="AB437" i="92"/>
  <c r="AB438" i="92" s="1"/>
  <c r="G60" i="92" s="1"/>
  <c r="AE96" i="96"/>
  <c r="AE97" i="96" s="1"/>
  <c r="AE104" i="96" s="1"/>
  <c r="AE130" i="96" s="1"/>
  <c r="AB285" i="92"/>
  <c r="G49" i="92" s="1"/>
  <c r="AD180" i="92"/>
  <c r="AD183" i="92" s="1"/>
  <c r="AD184" i="92" s="1"/>
  <c r="AC183" i="92"/>
  <c r="AC184" i="92" s="1"/>
  <c r="AD300" i="96"/>
  <c r="AD324" i="96" s="1"/>
  <c r="AD325" i="96" s="1"/>
  <c r="AD133" i="92"/>
  <c r="AD134" i="92" s="1"/>
  <c r="AE224" i="96"/>
  <c r="AE300" i="96" s="1"/>
  <c r="AE172" i="92"/>
  <c r="AE173" i="92" s="1"/>
  <c r="AE209" i="92" s="1"/>
  <c r="AE210" i="92" s="1"/>
  <c r="AD172" i="96"/>
  <c r="AD173" i="96" s="1"/>
  <c r="AD180" i="96" s="1"/>
  <c r="AD183" i="96" s="1"/>
  <c r="AD184" i="96" s="1"/>
  <c r="AF72" i="96"/>
  <c r="AF96" i="96" s="1"/>
  <c r="AF97" i="96" s="1"/>
  <c r="AF104" i="96" s="1"/>
  <c r="AF130" i="96" s="1"/>
  <c r="AE96" i="92"/>
  <c r="AE97" i="92" s="1"/>
  <c r="AE104" i="92" s="1"/>
  <c r="AE107" i="92" s="1"/>
  <c r="AE108" i="92" s="1"/>
  <c r="AF72" i="92"/>
  <c r="AF148" i="92" s="1"/>
  <c r="AF224" i="92" s="1"/>
  <c r="AD127" i="14"/>
  <c r="AD140" i="14"/>
  <c r="Y310" i="52"/>
  <c r="Y320" i="52" s="1"/>
  <c r="Y386" i="52"/>
  <c r="Y396" i="52" s="1"/>
  <c r="AE51" i="14"/>
  <c r="X310" i="92"/>
  <c r="X320" i="92" s="1"/>
  <c r="X386" i="92"/>
  <c r="X396" i="92" s="1"/>
  <c r="AE114" i="14"/>
  <c r="X310" i="88"/>
  <c r="X320" i="88" s="1"/>
  <c r="X386" i="88"/>
  <c r="X396" i="88" s="1"/>
  <c r="X310" i="96"/>
  <c r="X320" i="96" s="1"/>
  <c r="X386" i="96"/>
  <c r="X396" i="96" s="1"/>
  <c r="X158" i="88"/>
  <c r="X168" i="88" s="1"/>
  <c r="X234" i="88"/>
  <c r="X244" i="88" s="1"/>
  <c r="Y158" i="52"/>
  <c r="Y168" i="52" s="1"/>
  <c r="Y234" i="52"/>
  <c r="Y244" i="52" s="1"/>
  <c r="X158" i="92"/>
  <c r="X168" i="92" s="1"/>
  <c r="X234" i="92"/>
  <c r="X244" i="92" s="1"/>
  <c r="X158" i="96"/>
  <c r="X168" i="96" s="1"/>
  <c r="X234" i="96"/>
  <c r="X244" i="96" s="1"/>
  <c r="AC282" i="92"/>
  <c r="Y82" i="88"/>
  <c r="X92" i="88"/>
  <c r="Y82" i="96"/>
  <c r="X92" i="96"/>
  <c r="Z82" i="52"/>
  <c r="Y92" i="52"/>
  <c r="Y82" i="92"/>
  <c r="X92" i="92"/>
  <c r="AA434" i="52"/>
  <c r="Q109" i="96"/>
  <c r="Q113" i="96" s="1"/>
  <c r="P110" i="96"/>
  <c r="P111" i="96" s="1"/>
  <c r="P112" i="96" s="1"/>
  <c r="P113" i="96"/>
  <c r="AB411" i="92"/>
  <c r="AB412" i="92" s="1"/>
  <c r="AD130" i="92"/>
  <c r="AB411" i="88"/>
  <c r="AB412" i="88" s="1"/>
  <c r="AB282" i="52"/>
  <c r="AB438" i="96"/>
  <c r="G60" i="96" s="1"/>
  <c r="G59" i="96"/>
  <c r="AB438" i="88"/>
  <c r="G60" i="88" s="1"/>
  <c r="G59" i="88"/>
  <c r="AB286" i="52"/>
  <c r="G50" i="52" s="1"/>
  <c r="G49" i="52"/>
  <c r="AB362" i="92"/>
  <c r="G55" i="92" s="1"/>
  <c r="G54" i="92"/>
  <c r="AA335" i="52"/>
  <c r="AA336" i="52" s="1"/>
  <c r="AB434" i="96"/>
  <c r="AC259" i="88"/>
  <c r="AC260" i="88" s="1"/>
  <c r="AD206" i="88"/>
  <c r="R337" i="52"/>
  <c r="R341" i="52" s="1"/>
  <c r="Q337" i="52"/>
  <c r="Q338" i="52" s="1"/>
  <c r="Q339" i="52" s="1"/>
  <c r="Q340" i="52" s="1"/>
  <c r="AD107" i="88"/>
  <c r="AD108" i="88" s="1"/>
  <c r="AD130" i="52"/>
  <c r="AB259" i="92"/>
  <c r="AB260" i="92" s="1"/>
  <c r="AC259" i="96"/>
  <c r="AC260" i="96" s="1"/>
  <c r="AB358" i="92"/>
  <c r="AC183" i="52"/>
  <c r="AC184" i="52" s="1"/>
  <c r="AC256" i="52"/>
  <c r="AC282" i="52" s="1"/>
  <c r="AC285" i="52"/>
  <c r="AC286" i="52" s="1"/>
  <c r="AB332" i="52"/>
  <c r="AB358" i="52" s="1"/>
  <c r="AB361" i="52"/>
  <c r="AC408" i="88"/>
  <c r="AC434" i="88" s="1"/>
  <c r="AC437" i="88"/>
  <c r="AC438" i="88" s="1"/>
  <c r="AD256" i="92"/>
  <c r="AD259" i="92" s="1"/>
  <c r="AD285" i="92"/>
  <c r="AD286" i="92" s="1"/>
  <c r="AB332" i="88"/>
  <c r="AB335" i="88" s="1"/>
  <c r="AB336" i="88" s="1"/>
  <c r="AB361" i="88"/>
  <c r="AB408" i="52"/>
  <c r="AB434" i="52" s="1"/>
  <c r="AB437" i="52"/>
  <c r="AC332" i="92"/>
  <c r="AC358" i="92" s="1"/>
  <c r="AC361" i="92"/>
  <c r="AC362" i="92" s="1"/>
  <c r="AE180" i="88"/>
  <c r="AE206" i="88" s="1"/>
  <c r="AE209" i="88"/>
  <c r="AE210" i="88" s="1"/>
  <c r="AC408" i="92"/>
  <c r="AC411" i="92" s="1"/>
  <c r="AC437" i="92"/>
  <c r="AC438" i="92" s="1"/>
  <c r="AD256" i="96"/>
  <c r="AD259" i="96" s="1"/>
  <c r="AD285" i="96"/>
  <c r="AD286" i="96" s="1"/>
  <c r="AE180" i="96"/>
  <c r="AE206" i="96" s="1"/>
  <c r="AE209" i="96"/>
  <c r="AE210" i="96" s="1"/>
  <c r="AD256" i="88"/>
  <c r="AD259" i="88" s="1"/>
  <c r="AD285" i="88"/>
  <c r="AD286" i="88" s="1"/>
  <c r="AC332" i="96"/>
  <c r="AC335" i="96" s="1"/>
  <c r="AC361" i="96"/>
  <c r="AC362" i="96" s="1"/>
  <c r="AE104" i="52"/>
  <c r="AE107" i="52" s="1"/>
  <c r="AE108" i="52" s="1"/>
  <c r="AE133" i="52"/>
  <c r="AE134" i="52" s="1"/>
  <c r="AD180" i="52"/>
  <c r="AD183" i="52" s="1"/>
  <c r="AD209" i="52"/>
  <c r="AD210" i="52" s="1"/>
  <c r="AC332" i="88"/>
  <c r="AC358" i="88" s="1"/>
  <c r="AC361" i="88"/>
  <c r="AC362" i="88" s="1"/>
  <c r="AE104" i="88"/>
  <c r="AE130" i="88" s="1"/>
  <c r="AE133" i="88"/>
  <c r="AE134" i="88" s="1"/>
  <c r="AB332" i="96"/>
  <c r="AB335" i="96" s="1"/>
  <c r="AB336" i="96" s="1"/>
  <c r="AB361" i="96"/>
  <c r="AF104" i="88"/>
  <c r="AF107" i="88" s="1"/>
  <c r="AF133" i="88"/>
  <c r="AF134" i="88" s="1"/>
  <c r="AG72" i="88"/>
  <c r="AG148" i="88" s="1"/>
  <c r="AG72" i="52"/>
  <c r="O124" i="92"/>
  <c r="P113" i="92"/>
  <c r="P110" i="92"/>
  <c r="P111" i="92" s="1"/>
  <c r="P112" i="92" s="1"/>
  <c r="R186" i="52"/>
  <c r="R187" i="52" s="1"/>
  <c r="R188" i="52" s="1"/>
  <c r="R190" i="52" s="1"/>
  <c r="R203" i="52" s="1"/>
  <c r="R212" i="52" s="1"/>
  <c r="R213" i="52" s="1"/>
  <c r="S185" i="52"/>
  <c r="S189" i="52" s="1"/>
  <c r="Q283" i="96"/>
  <c r="T207" i="52"/>
  <c r="Q283" i="92"/>
  <c r="P279" i="92"/>
  <c r="P288" i="92" s="1"/>
  <c r="P289" i="92" s="1"/>
  <c r="N428" i="96"/>
  <c r="N203" i="96"/>
  <c r="N212" i="96" s="1"/>
  <c r="N213" i="96" s="1"/>
  <c r="P337" i="92"/>
  <c r="P341" i="92" s="1"/>
  <c r="O186" i="96"/>
  <c r="O187" i="96" s="1"/>
  <c r="O188" i="96" s="1"/>
  <c r="O189" i="96"/>
  <c r="P185" i="96"/>
  <c r="P207" i="96"/>
  <c r="O417" i="96"/>
  <c r="O414" i="96"/>
  <c r="O415" i="96" s="1"/>
  <c r="O416" i="96" s="1"/>
  <c r="R109" i="88"/>
  <c r="R113" i="88" s="1"/>
  <c r="N418" i="88"/>
  <c r="N428" i="88" s="1"/>
  <c r="O352" i="88"/>
  <c r="Q359" i="88"/>
  <c r="Q265" i="92"/>
  <c r="Q262" i="92"/>
  <c r="Q263" i="92" s="1"/>
  <c r="Q264" i="92" s="1"/>
  <c r="N431" i="92"/>
  <c r="N440" i="92" s="1"/>
  <c r="N441" i="92" s="1"/>
  <c r="N428" i="92"/>
  <c r="O414" i="92"/>
  <c r="O415" i="92" s="1"/>
  <c r="O416" i="92" s="1"/>
  <c r="O417" i="92"/>
  <c r="N355" i="96"/>
  <c r="N364" i="96" s="1"/>
  <c r="N365" i="96" s="1"/>
  <c r="T261" i="52"/>
  <c r="Q124" i="88"/>
  <c r="T283" i="88"/>
  <c r="R266" i="88"/>
  <c r="R276" i="88" s="1"/>
  <c r="O355" i="92"/>
  <c r="O364" i="92" s="1"/>
  <c r="O352" i="92"/>
  <c r="Q435" i="52"/>
  <c r="Q413" i="52"/>
  <c r="O428" i="52"/>
  <c r="O431" i="52"/>
  <c r="O440" i="52" s="1"/>
  <c r="O441" i="52" s="1"/>
  <c r="O435" i="88"/>
  <c r="O413" i="88"/>
  <c r="P414" i="52"/>
  <c r="P415" i="52" s="1"/>
  <c r="P416" i="52" s="1"/>
  <c r="P417" i="52"/>
  <c r="S265" i="88"/>
  <c r="S262" i="88"/>
  <c r="S263" i="88" s="1"/>
  <c r="S264" i="88" s="1"/>
  <c r="AF122" i="14"/>
  <c r="AF135" i="14"/>
  <c r="AF72" i="14"/>
  <c r="AF59" i="14"/>
  <c r="Q189" i="88"/>
  <c r="Q186" i="88"/>
  <c r="Q187" i="88" s="1"/>
  <c r="Q188" i="88" s="1"/>
  <c r="S265" i="52"/>
  <c r="S262" i="52"/>
  <c r="S263" i="52" s="1"/>
  <c r="S264" i="52" s="1"/>
  <c r="P365" i="52"/>
  <c r="R276" i="52"/>
  <c r="R279" i="52"/>
  <c r="R288" i="52" s="1"/>
  <c r="R289" i="52" s="1"/>
  <c r="S190" i="92"/>
  <c r="T185" i="92"/>
  <c r="T207" i="92"/>
  <c r="O213" i="88"/>
  <c r="Q289" i="52"/>
  <c r="O341" i="96"/>
  <c r="O338" i="96"/>
  <c r="O339" i="96" s="1"/>
  <c r="O340" i="96" s="1"/>
  <c r="P341" i="88"/>
  <c r="P338" i="88"/>
  <c r="P339" i="88" s="1"/>
  <c r="P340" i="88" s="1"/>
  <c r="P200" i="88"/>
  <c r="P203" i="88"/>
  <c r="P212" i="88" s="1"/>
  <c r="P213" i="88" s="1"/>
  <c r="AB412" i="96"/>
  <c r="AC260" i="92"/>
  <c r="AD376" i="92"/>
  <c r="AD400" i="92" s="1"/>
  <c r="AD401" i="92" s="1"/>
  <c r="AD324" i="92"/>
  <c r="AD325" i="92" s="1"/>
  <c r="AE300" i="92"/>
  <c r="AE248" i="92"/>
  <c r="AE249" i="92" s="1"/>
  <c r="AB336" i="92"/>
  <c r="AF148" i="88"/>
  <c r="AF224" i="88" s="1"/>
  <c r="AD184" i="88"/>
  <c r="AD376" i="88"/>
  <c r="AD400" i="88" s="1"/>
  <c r="AD401" i="88" s="1"/>
  <c r="AD324" i="88"/>
  <c r="AD325" i="88" s="1"/>
  <c r="AE248" i="88"/>
  <c r="AE249" i="88" s="1"/>
  <c r="AE300" i="88"/>
  <c r="AA412" i="52"/>
  <c r="AE224" i="52"/>
  <c r="AE172" i="52"/>
  <c r="AE173" i="52" s="1"/>
  <c r="AC324" i="52"/>
  <c r="AC325" i="52" s="1"/>
  <c r="AC376" i="52"/>
  <c r="AC400" i="52" s="1"/>
  <c r="AC401" i="52" s="1"/>
  <c r="AE62" i="14"/>
  <c r="AE64" i="14" s="1"/>
  <c r="AE75" i="14"/>
  <c r="AE77" i="14" s="1"/>
  <c r="AE125" i="14"/>
  <c r="AE138" i="14"/>
  <c r="AB260" i="52"/>
  <c r="AD300" i="52"/>
  <c r="AD248" i="52"/>
  <c r="AD249" i="52" s="1"/>
  <c r="AF148" i="52"/>
  <c r="AF96" i="52"/>
  <c r="AF97" i="52" s="1"/>
  <c r="Q114" i="52"/>
  <c r="R113" i="52"/>
  <c r="R110" i="52"/>
  <c r="AF111" i="14"/>
  <c r="AF114" i="14" s="1"/>
  <c r="AF48" i="14"/>
  <c r="AF51" i="14" s="1"/>
  <c r="AG101" i="14"/>
  <c r="AG38" i="14"/>
  <c r="AC408" i="96" l="1"/>
  <c r="AC411" i="96" s="1"/>
  <c r="AC412" i="96" s="1"/>
  <c r="G59" i="92"/>
  <c r="AE248" i="96"/>
  <c r="AE249" i="96" s="1"/>
  <c r="AE285" i="96" s="1"/>
  <c r="AE286" i="96" s="1"/>
  <c r="AE133" i="96"/>
  <c r="AE134" i="96" s="1"/>
  <c r="AB286" i="92"/>
  <c r="G50" i="92" s="1"/>
  <c r="AD206" i="92"/>
  <c r="AD376" i="96"/>
  <c r="AD400" i="96" s="1"/>
  <c r="AD401" i="96" s="1"/>
  <c r="AD408" i="96" s="1"/>
  <c r="AD434" i="96" s="1"/>
  <c r="AF96" i="92"/>
  <c r="AF97" i="92" s="1"/>
  <c r="AF104" i="92" s="1"/>
  <c r="AF107" i="92" s="1"/>
  <c r="AF108" i="92" s="1"/>
  <c r="AE180" i="92"/>
  <c r="AE206" i="92" s="1"/>
  <c r="AD209" i="96"/>
  <c r="AD210" i="96" s="1"/>
  <c r="AF133" i="96"/>
  <c r="AF134" i="96" s="1"/>
  <c r="AF148" i="96"/>
  <c r="AF224" i="96" s="1"/>
  <c r="AF300" i="96" s="1"/>
  <c r="AE133" i="92"/>
  <c r="AE134" i="92" s="1"/>
  <c r="AG72" i="96"/>
  <c r="AG148" i="96" s="1"/>
  <c r="AG224" i="96" s="1"/>
  <c r="AF172" i="92"/>
  <c r="AF173" i="92" s="1"/>
  <c r="AF209" i="92" s="1"/>
  <c r="AF210" i="92" s="1"/>
  <c r="AG72" i="92"/>
  <c r="AG96" i="92" s="1"/>
  <c r="AG97" i="92" s="1"/>
  <c r="AG104" i="92" s="1"/>
  <c r="AG130" i="92" s="1"/>
  <c r="AE140" i="14"/>
  <c r="AE127" i="14"/>
  <c r="AH72" i="96" s="1"/>
  <c r="AH96" i="96" s="1"/>
  <c r="AH97" i="96" s="1"/>
  <c r="Y310" i="92"/>
  <c r="Y320" i="92" s="1"/>
  <c r="Y386" i="92"/>
  <c r="Y396" i="92" s="1"/>
  <c r="Y310" i="96"/>
  <c r="Y320" i="96" s="1"/>
  <c r="Y386" i="96"/>
  <c r="Y396" i="96" s="1"/>
  <c r="Y310" i="88"/>
  <c r="Y320" i="88" s="1"/>
  <c r="Y386" i="88"/>
  <c r="Y396" i="88" s="1"/>
  <c r="Z310" i="52"/>
  <c r="Z320" i="52" s="1"/>
  <c r="Z386" i="52"/>
  <c r="Z396" i="52" s="1"/>
  <c r="Y158" i="96"/>
  <c r="Y168" i="96" s="1"/>
  <c r="Y234" i="96"/>
  <c r="Y244" i="96" s="1"/>
  <c r="Y158" i="88"/>
  <c r="Y168" i="88" s="1"/>
  <c r="Y234" i="88"/>
  <c r="Y244" i="88" s="1"/>
  <c r="Y158" i="92"/>
  <c r="Y168" i="92" s="1"/>
  <c r="Y234" i="92"/>
  <c r="Y244" i="92" s="1"/>
  <c r="Z158" i="52"/>
  <c r="Z168" i="52" s="1"/>
  <c r="Z234" i="52"/>
  <c r="Z244" i="52" s="1"/>
  <c r="Z82" i="96"/>
  <c r="Y92" i="96"/>
  <c r="Z82" i="88"/>
  <c r="Y92" i="88"/>
  <c r="Z82" i="92"/>
  <c r="Y92" i="92"/>
  <c r="AA82" i="52"/>
  <c r="Z92" i="52"/>
  <c r="AF113" i="14"/>
  <c r="AF50" i="14"/>
  <c r="P114" i="96"/>
  <c r="P127" i="96" s="1"/>
  <c r="P136" i="96" s="1"/>
  <c r="R131" i="96"/>
  <c r="R109" i="96"/>
  <c r="R110" i="96" s="1"/>
  <c r="R111" i="96" s="1"/>
  <c r="R112" i="96" s="1"/>
  <c r="Q110" i="96"/>
  <c r="Q111" i="96" s="1"/>
  <c r="Q112" i="96" s="1"/>
  <c r="Q114" i="96" s="1"/>
  <c r="AC335" i="88"/>
  <c r="AC336" i="88" s="1"/>
  <c r="AD206" i="52"/>
  <c r="AD282" i="92"/>
  <c r="AC411" i="88"/>
  <c r="AC412" i="88" s="1"/>
  <c r="AC335" i="92"/>
  <c r="AC336" i="92" s="1"/>
  <c r="AF130" i="88"/>
  <c r="AB411" i="52"/>
  <c r="AB412" i="52" s="1"/>
  <c r="AC259" i="52"/>
  <c r="AC260" i="52" s="1"/>
  <c r="AC434" i="92"/>
  <c r="AE107" i="88"/>
  <c r="AE108" i="88" s="1"/>
  <c r="AE183" i="96"/>
  <c r="AE184" i="96" s="1"/>
  <c r="AE183" i="88"/>
  <c r="AE184" i="88" s="1"/>
  <c r="AB362" i="96"/>
  <c r="G55" i="96" s="1"/>
  <c r="G54" i="96"/>
  <c r="AB362" i="52"/>
  <c r="G55" i="52" s="1"/>
  <c r="G54" i="52"/>
  <c r="AB438" i="52"/>
  <c r="G60" i="52" s="1"/>
  <c r="G59" i="52"/>
  <c r="AE130" i="52"/>
  <c r="AB362" i="88"/>
  <c r="G55" i="88" s="1"/>
  <c r="G54" i="88"/>
  <c r="S359" i="52"/>
  <c r="R338" i="52"/>
  <c r="R339" i="52" s="1"/>
  <c r="R340" i="52" s="1"/>
  <c r="R342" i="52" s="1"/>
  <c r="R355" i="52" s="1"/>
  <c r="R364" i="52" s="1"/>
  <c r="R359" i="52"/>
  <c r="AB335" i="52"/>
  <c r="AB336" i="52" s="1"/>
  <c r="AF107" i="96"/>
  <c r="AF108" i="96" s="1"/>
  <c r="AE107" i="96"/>
  <c r="AE108" i="96" s="1"/>
  <c r="Q341" i="52"/>
  <c r="Q342" i="52" s="1"/>
  <c r="Q352" i="52" s="1"/>
  <c r="AD206" i="96"/>
  <c r="AB358" i="88"/>
  <c r="AC358" i="96"/>
  <c r="AD282" i="88"/>
  <c r="AD282" i="96"/>
  <c r="AB358" i="96"/>
  <c r="AD256" i="52"/>
  <c r="AD259" i="52" s="1"/>
  <c r="AD285" i="52"/>
  <c r="AD286" i="52" s="1"/>
  <c r="AD408" i="92"/>
  <c r="AD434" i="92" s="1"/>
  <c r="AD437" i="92"/>
  <c r="AD438" i="92" s="1"/>
  <c r="AE180" i="52"/>
  <c r="AE206" i="52" s="1"/>
  <c r="AE209" i="52"/>
  <c r="AE210" i="52" s="1"/>
  <c r="AE256" i="88"/>
  <c r="AE259" i="88" s="1"/>
  <c r="AE285" i="88"/>
  <c r="AE286" i="88" s="1"/>
  <c r="AD408" i="88"/>
  <c r="AD434" i="88" s="1"/>
  <c r="AD437" i="88"/>
  <c r="AD438" i="88" s="1"/>
  <c r="AE256" i="92"/>
  <c r="AE259" i="92" s="1"/>
  <c r="AE285" i="92"/>
  <c r="AE286" i="92" s="1"/>
  <c r="AD332" i="92"/>
  <c r="AD335" i="92" s="1"/>
  <c r="AD361" i="92"/>
  <c r="AD362" i="92" s="1"/>
  <c r="AD332" i="96"/>
  <c r="AD358" i="96" s="1"/>
  <c r="AD361" i="96"/>
  <c r="AD362" i="96" s="1"/>
  <c r="AF104" i="52"/>
  <c r="AF107" i="52" s="1"/>
  <c r="AF108" i="52" s="1"/>
  <c r="AF133" i="52"/>
  <c r="AF134" i="52" s="1"/>
  <c r="AC408" i="52"/>
  <c r="AC411" i="52" s="1"/>
  <c r="AC437" i="52"/>
  <c r="AC438" i="52" s="1"/>
  <c r="AC332" i="52"/>
  <c r="AC335" i="52" s="1"/>
  <c r="AC361" i="52"/>
  <c r="AC362" i="52" s="1"/>
  <c r="AD332" i="88"/>
  <c r="AD335" i="88" s="1"/>
  <c r="AD361" i="88"/>
  <c r="AD362" i="88" s="1"/>
  <c r="AE130" i="92"/>
  <c r="AH72" i="88"/>
  <c r="AH148" i="88" s="1"/>
  <c r="AH72" i="52"/>
  <c r="Q131" i="92"/>
  <c r="P114" i="92"/>
  <c r="T185" i="52"/>
  <c r="T186" i="52" s="1"/>
  <c r="T187" i="52" s="1"/>
  <c r="T188" i="52" s="1"/>
  <c r="S186" i="52"/>
  <c r="S187" i="52" s="1"/>
  <c r="S188" i="52" s="1"/>
  <c r="S190" i="52" s="1"/>
  <c r="R200" i="52"/>
  <c r="Q261" i="96"/>
  <c r="Q265" i="96" s="1"/>
  <c r="Q337" i="92"/>
  <c r="Q341" i="92" s="1"/>
  <c r="S131" i="88"/>
  <c r="O190" i="96"/>
  <c r="O203" i="96" s="1"/>
  <c r="O212" i="96" s="1"/>
  <c r="O213" i="96" s="1"/>
  <c r="P338" i="92"/>
  <c r="P339" i="92" s="1"/>
  <c r="P340" i="92" s="1"/>
  <c r="P342" i="92" s="1"/>
  <c r="P352" i="92" s="1"/>
  <c r="R110" i="88"/>
  <c r="R111" i="88" s="1"/>
  <c r="R112" i="88" s="1"/>
  <c r="R114" i="88" s="1"/>
  <c r="R124" i="88" s="1"/>
  <c r="P186" i="96"/>
  <c r="P187" i="96" s="1"/>
  <c r="P188" i="96" s="1"/>
  <c r="P189" i="96"/>
  <c r="O418" i="96"/>
  <c r="Q337" i="88"/>
  <c r="Q341" i="88" s="1"/>
  <c r="N431" i="88"/>
  <c r="N440" i="88" s="1"/>
  <c r="N441" i="88" s="1"/>
  <c r="R279" i="88"/>
  <c r="R288" i="88" s="1"/>
  <c r="R289" i="88" s="1"/>
  <c r="O418" i="92"/>
  <c r="O431" i="92" s="1"/>
  <c r="O440" i="92" s="1"/>
  <c r="O441" i="92" s="1"/>
  <c r="P413" i="92"/>
  <c r="P435" i="92"/>
  <c r="Q266" i="92"/>
  <c r="T283" i="52"/>
  <c r="P342" i="88"/>
  <c r="P352" i="88" s="1"/>
  <c r="T261" i="88"/>
  <c r="T262" i="88" s="1"/>
  <c r="T263" i="88" s="1"/>
  <c r="T264" i="88" s="1"/>
  <c r="Q190" i="88"/>
  <c r="Q200" i="88" s="1"/>
  <c r="O365" i="92"/>
  <c r="O414" i="88"/>
  <c r="O415" i="88" s="1"/>
  <c r="O416" i="88" s="1"/>
  <c r="O417" i="88"/>
  <c r="P418" i="52"/>
  <c r="Q414" i="52"/>
  <c r="Q415" i="52" s="1"/>
  <c r="Q416" i="52" s="1"/>
  <c r="Q417" i="52"/>
  <c r="R413" i="52"/>
  <c r="R435" i="52"/>
  <c r="O342" i="96"/>
  <c r="T189" i="92"/>
  <c r="T186" i="92"/>
  <c r="T187" i="92" s="1"/>
  <c r="T188" i="92" s="1"/>
  <c r="S203" i="92"/>
  <c r="S212" i="92" s="1"/>
  <c r="S213" i="92" s="1"/>
  <c r="S200" i="92"/>
  <c r="S266" i="52"/>
  <c r="T265" i="52"/>
  <c r="T262" i="52"/>
  <c r="T263" i="52" s="1"/>
  <c r="T264" i="52" s="1"/>
  <c r="S266" i="88"/>
  <c r="AG59" i="14"/>
  <c r="AG72" i="14"/>
  <c r="AG135" i="14"/>
  <c r="AG122" i="14"/>
  <c r="P337" i="96"/>
  <c r="P359" i="96"/>
  <c r="R185" i="88"/>
  <c r="R207" i="88"/>
  <c r="AC336" i="96"/>
  <c r="AD260" i="96"/>
  <c r="AE376" i="96"/>
  <c r="AE400" i="96" s="1"/>
  <c r="AE401" i="96" s="1"/>
  <c r="AE324" i="96"/>
  <c r="AE325" i="96" s="1"/>
  <c r="AF172" i="88"/>
  <c r="AF173" i="88" s="1"/>
  <c r="AG96" i="88"/>
  <c r="AG97" i="88" s="1"/>
  <c r="AD260" i="92"/>
  <c r="AC412" i="92"/>
  <c r="AF300" i="92"/>
  <c r="AF248" i="92"/>
  <c r="AF249" i="92" s="1"/>
  <c r="AE376" i="92"/>
  <c r="AE400" i="92" s="1"/>
  <c r="AE401" i="92" s="1"/>
  <c r="AE324" i="92"/>
  <c r="AE325" i="92" s="1"/>
  <c r="AE376" i="88"/>
  <c r="AE400" i="88" s="1"/>
  <c r="AE401" i="88" s="1"/>
  <c r="AE324" i="88"/>
  <c r="AE325" i="88" s="1"/>
  <c r="AD260" i="88"/>
  <c r="AF248" i="88"/>
  <c r="AF249" i="88" s="1"/>
  <c r="AF300" i="88"/>
  <c r="AF108" i="88"/>
  <c r="AG172" i="88"/>
  <c r="AG173" i="88" s="1"/>
  <c r="AG224" i="88"/>
  <c r="AF125" i="14"/>
  <c r="AF138" i="14"/>
  <c r="AG148" i="52"/>
  <c r="AG96" i="52"/>
  <c r="AG97" i="52" s="1"/>
  <c r="AD324" i="52"/>
  <c r="AD325" i="52" s="1"/>
  <c r="AD376" i="52"/>
  <c r="AD400" i="52" s="1"/>
  <c r="AD401" i="52" s="1"/>
  <c r="AF62" i="14"/>
  <c r="AF64" i="14" s="1"/>
  <c r="AF75" i="14"/>
  <c r="AF77" i="14" s="1"/>
  <c r="AD184" i="52"/>
  <c r="AF172" i="52"/>
  <c r="AF173" i="52" s="1"/>
  <c r="AF224" i="52"/>
  <c r="AE300" i="52"/>
  <c r="AE248" i="52"/>
  <c r="AE249" i="52" s="1"/>
  <c r="S109" i="52"/>
  <c r="S131" i="52"/>
  <c r="Q124" i="52"/>
  <c r="Q127" i="52"/>
  <c r="Q136" i="52" s="1"/>
  <c r="Q137" i="52" s="1"/>
  <c r="R111" i="52"/>
  <c r="R112" i="52" s="1"/>
  <c r="R114" i="52" s="1"/>
  <c r="AG111" i="14"/>
  <c r="AG114" i="14" s="1"/>
  <c r="AG48" i="14"/>
  <c r="AG51" i="14" s="1"/>
  <c r="AH38" i="14"/>
  <c r="AH101" i="14"/>
  <c r="AC434" i="96" l="1"/>
  <c r="AE256" i="96"/>
  <c r="AE259" i="96" s="1"/>
  <c r="AE260" i="96" s="1"/>
  <c r="AE183" i="92"/>
  <c r="AE184" i="92" s="1"/>
  <c r="AD437" i="96"/>
  <c r="AD438" i="96" s="1"/>
  <c r="AF133" i="92"/>
  <c r="AF134" i="92" s="1"/>
  <c r="AG172" i="96"/>
  <c r="AG173" i="96" s="1"/>
  <c r="AG180" i="96" s="1"/>
  <c r="AG183" i="96" s="1"/>
  <c r="AG96" i="96"/>
  <c r="AG97" i="96" s="1"/>
  <c r="AG133" i="96" s="1"/>
  <c r="H39" i="96" s="1"/>
  <c r="AF172" i="96"/>
  <c r="AF173" i="96" s="1"/>
  <c r="AF180" i="96" s="1"/>
  <c r="AF206" i="96" s="1"/>
  <c r="AF248" i="96"/>
  <c r="AF249" i="96" s="1"/>
  <c r="AF285" i="96" s="1"/>
  <c r="AF286" i="96" s="1"/>
  <c r="AF180" i="92"/>
  <c r="AF206" i="92" s="1"/>
  <c r="AH72" i="92"/>
  <c r="AH148" i="92" s="1"/>
  <c r="AH172" i="92" s="1"/>
  <c r="AH173" i="92" s="1"/>
  <c r="AG133" i="92"/>
  <c r="H39" i="92" s="1"/>
  <c r="AG148" i="92"/>
  <c r="AG172" i="92" s="1"/>
  <c r="AG173" i="92" s="1"/>
  <c r="AG209" i="92" s="1"/>
  <c r="AF140" i="14"/>
  <c r="AF127" i="14"/>
  <c r="AG50" i="14"/>
  <c r="Z310" i="96"/>
  <c r="Z320" i="96" s="1"/>
  <c r="Z386" i="96"/>
  <c r="Z396" i="96" s="1"/>
  <c r="AA310" i="52"/>
  <c r="AA320" i="52" s="1"/>
  <c r="AA386" i="52"/>
  <c r="AA396" i="52" s="1"/>
  <c r="Z310" i="92"/>
  <c r="Z320" i="92" s="1"/>
  <c r="Z386" i="92"/>
  <c r="Z396" i="92" s="1"/>
  <c r="Z310" i="88"/>
  <c r="Z320" i="88" s="1"/>
  <c r="Z386" i="88"/>
  <c r="Z396" i="88" s="1"/>
  <c r="Z158" i="96"/>
  <c r="Z168" i="96" s="1"/>
  <c r="Z234" i="96"/>
  <c r="Z244" i="96" s="1"/>
  <c r="AA158" i="52"/>
  <c r="AA168" i="52" s="1"/>
  <c r="AA234" i="52"/>
  <c r="AA244" i="52" s="1"/>
  <c r="Z158" i="92"/>
  <c r="Z168" i="92" s="1"/>
  <c r="Z234" i="92"/>
  <c r="Z244" i="92" s="1"/>
  <c r="Z158" i="88"/>
  <c r="Z168" i="88" s="1"/>
  <c r="Z234" i="88"/>
  <c r="Z244" i="88" s="1"/>
  <c r="AB82" i="52"/>
  <c r="AA92" i="52"/>
  <c r="AA82" i="92"/>
  <c r="Z92" i="92"/>
  <c r="AA82" i="88"/>
  <c r="Z92" i="88"/>
  <c r="AA82" i="96"/>
  <c r="Z92" i="96"/>
  <c r="AC434" i="52"/>
  <c r="AE183" i="52"/>
  <c r="AE184" i="52" s="1"/>
  <c r="AG113" i="14"/>
  <c r="P124" i="96"/>
  <c r="R113" i="96"/>
  <c r="R114" i="96" s="1"/>
  <c r="R127" i="96" s="1"/>
  <c r="R136" i="96" s="1"/>
  <c r="P137" i="96"/>
  <c r="Q127" i="96"/>
  <c r="Q136" i="96" s="1"/>
  <c r="Q137" i="96" s="1"/>
  <c r="Q124" i="96"/>
  <c r="S337" i="52"/>
  <c r="S341" i="52" s="1"/>
  <c r="Q355" i="52"/>
  <c r="Q364" i="52" s="1"/>
  <c r="Q365" i="52" s="1"/>
  <c r="AG107" i="92"/>
  <c r="AG108" i="92" s="1"/>
  <c r="AE282" i="88"/>
  <c r="AF130" i="92"/>
  <c r="AD358" i="88"/>
  <c r="AC358" i="52"/>
  <c r="AD411" i="88"/>
  <c r="AD412" i="88" s="1"/>
  <c r="AD411" i="92"/>
  <c r="AD412" i="92" s="1"/>
  <c r="AF130" i="52"/>
  <c r="AD282" i="52"/>
  <c r="AD358" i="92"/>
  <c r="AD335" i="96"/>
  <c r="AD336" i="96" s="1"/>
  <c r="AF256" i="92"/>
  <c r="AF282" i="92" s="1"/>
  <c r="AF285" i="92"/>
  <c r="AF286" i="92" s="1"/>
  <c r="AE256" i="52"/>
  <c r="AE282" i="52" s="1"/>
  <c r="AE285" i="52"/>
  <c r="AE286" i="52" s="1"/>
  <c r="AD408" i="52"/>
  <c r="AD434" i="52" s="1"/>
  <c r="AD437" i="52"/>
  <c r="AD438" i="52" s="1"/>
  <c r="AF256" i="88"/>
  <c r="AF282" i="88" s="1"/>
  <c r="AF285" i="88"/>
  <c r="AF286" i="88" s="1"/>
  <c r="AE408" i="88"/>
  <c r="AE411" i="88" s="1"/>
  <c r="AE437" i="88"/>
  <c r="AE438" i="88" s="1"/>
  <c r="AE408" i="92"/>
  <c r="AE411" i="92" s="1"/>
  <c r="AE437" i="92"/>
  <c r="AE438" i="92" s="1"/>
  <c r="AE408" i="96"/>
  <c r="AE434" i="96" s="1"/>
  <c r="AE437" i="96"/>
  <c r="AE438" i="96" s="1"/>
  <c r="AG104" i="88"/>
  <c r="AG107" i="88" s="1"/>
  <c r="AG108" i="88" s="1"/>
  <c r="AG133" i="88"/>
  <c r="H39" i="88" s="1"/>
  <c r="AF180" i="88"/>
  <c r="AF206" i="88" s="1"/>
  <c r="AF209" i="88"/>
  <c r="AF210" i="88" s="1"/>
  <c r="AD411" i="96"/>
  <c r="AD412" i="96" s="1"/>
  <c r="AD332" i="52"/>
  <c r="AD335" i="52" s="1"/>
  <c r="AD361" i="52"/>
  <c r="AD362" i="52" s="1"/>
  <c r="AF180" i="52"/>
  <c r="AF206" i="52" s="1"/>
  <c r="AF209" i="52"/>
  <c r="AF210" i="52" s="1"/>
  <c r="AG104" i="52"/>
  <c r="AG130" i="52" s="1"/>
  <c r="AG133" i="52"/>
  <c r="H39" i="52" s="1"/>
  <c r="AE282" i="92"/>
  <c r="AG180" i="88"/>
  <c r="AG183" i="88" s="1"/>
  <c r="AG209" i="88"/>
  <c r="AE332" i="88"/>
  <c r="AE358" i="88" s="1"/>
  <c r="AE361" i="88"/>
  <c r="AE362" i="88" s="1"/>
  <c r="AE332" i="92"/>
  <c r="AE335" i="92" s="1"/>
  <c r="AE361" i="92"/>
  <c r="AE362" i="92" s="1"/>
  <c r="AE332" i="96"/>
  <c r="AE335" i="96" s="1"/>
  <c r="AE361" i="96"/>
  <c r="AE362" i="96" s="1"/>
  <c r="AH104" i="96"/>
  <c r="AH130" i="96" s="1"/>
  <c r="AH133" i="96"/>
  <c r="AH134" i="96" s="1"/>
  <c r="AI72" i="88"/>
  <c r="AI96" i="88" s="1"/>
  <c r="AI97" i="88" s="1"/>
  <c r="AI72" i="52"/>
  <c r="Q109" i="92"/>
  <c r="Q110" i="92" s="1"/>
  <c r="Q111" i="92" s="1"/>
  <c r="Q112" i="92" s="1"/>
  <c r="P124" i="92"/>
  <c r="P127" i="92"/>
  <c r="P136" i="92" s="1"/>
  <c r="R131" i="92"/>
  <c r="R109" i="92"/>
  <c r="T189" i="52"/>
  <c r="T190" i="52" s="1"/>
  <c r="Q185" i="96"/>
  <c r="U185" i="52"/>
  <c r="T337" i="52"/>
  <c r="Q262" i="96"/>
  <c r="Q263" i="96" s="1"/>
  <c r="Q264" i="96" s="1"/>
  <c r="Q266" i="96" s="1"/>
  <c r="Q276" i="96" s="1"/>
  <c r="Q338" i="92"/>
  <c r="Q339" i="92" s="1"/>
  <c r="Q340" i="92" s="1"/>
  <c r="Q342" i="92" s="1"/>
  <c r="Q352" i="92" s="1"/>
  <c r="P355" i="92"/>
  <c r="P364" i="92" s="1"/>
  <c r="P365" i="92" s="1"/>
  <c r="Q359" i="92"/>
  <c r="S109" i="88"/>
  <c r="S110" i="88" s="1"/>
  <c r="S111" i="88" s="1"/>
  <c r="S112" i="88" s="1"/>
  <c r="O200" i="96"/>
  <c r="P190" i="96"/>
  <c r="P200" i="96" s="1"/>
  <c r="R127" i="88"/>
  <c r="R136" i="88" s="1"/>
  <c r="R137" i="88" s="1"/>
  <c r="P435" i="96"/>
  <c r="P413" i="96"/>
  <c r="O428" i="96"/>
  <c r="O431" i="96"/>
  <c r="O440" i="96" s="1"/>
  <c r="Q338" i="88"/>
  <c r="Q339" i="88" s="1"/>
  <c r="Q340" i="88" s="1"/>
  <c r="Q342" i="88" s="1"/>
  <c r="Q355" i="88" s="1"/>
  <c r="Q364" i="88" s="1"/>
  <c r="P355" i="88"/>
  <c r="P364" i="88" s="1"/>
  <c r="P365" i="88" s="1"/>
  <c r="O428" i="92"/>
  <c r="S131" i="96"/>
  <c r="S109" i="96"/>
  <c r="S185" i="88"/>
  <c r="R352" i="52"/>
  <c r="T266" i="52"/>
  <c r="T276" i="52" s="1"/>
  <c r="P414" i="92"/>
  <c r="P415" i="92" s="1"/>
  <c r="P416" i="92" s="1"/>
  <c r="P417" i="92"/>
  <c r="R261" i="92"/>
  <c r="R283" i="92"/>
  <c r="Q279" i="92"/>
  <c r="Q288" i="92" s="1"/>
  <c r="Q289" i="92" s="1"/>
  <c r="Q276" i="92"/>
  <c r="R283" i="96"/>
  <c r="R261" i="96"/>
  <c r="Q359" i="96"/>
  <c r="T265" i="88"/>
  <c r="T266" i="88" s="1"/>
  <c r="T190" i="92"/>
  <c r="T203" i="92" s="1"/>
  <c r="T212" i="92" s="1"/>
  <c r="T213" i="92" s="1"/>
  <c r="O418" i="88"/>
  <c r="O428" i="88" s="1"/>
  <c r="Q418" i="52"/>
  <c r="Q428" i="52" s="1"/>
  <c r="Q203" i="88"/>
  <c r="Q212" i="88" s="1"/>
  <c r="Q213" i="88" s="1"/>
  <c r="R417" i="52"/>
  <c r="R414" i="52"/>
  <c r="R415" i="52" s="1"/>
  <c r="R416" i="52" s="1"/>
  <c r="P435" i="88"/>
  <c r="P413" i="88"/>
  <c r="AH148" i="96"/>
  <c r="AH172" i="96" s="1"/>
  <c r="AH173" i="96" s="1"/>
  <c r="P431" i="52"/>
  <c r="P440" i="52" s="1"/>
  <c r="P428" i="52"/>
  <c r="R337" i="88"/>
  <c r="R359" i="88"/>
  <c r="P341" i="96"/>
  <c r="P338" i="96"/>
  <c r="P339" i="96" s="1"/>
  <c r="P340" i="96" s="1"/>
  <c r="R189" i="88"/>
  <c r="R186" i="88"/>
  <c r="R187" i="88" s="1"/>
  <c r="R188" i="88" s="1"/>
  <c r="U185" i="92"/>
  <c r="U207" i="92"/>
  <c r="AH122" i="14"/>
  <c r="AH135" i="14"/>
  <c r="S279" i="88"/>
  <c r="S288" i="88" s="1"/>
  <c r="S289" i="88" s="1"/>
  <c r="S276" i="88"/>
  <c r="O352" i="96"/>
  <c r="O355" i="96"/>
  <c r="O364" i="96" s="1"/>
  <c r="O365" i="96" s="1"/>
  <c r="AH59" i="14"/>
  <c r="AH72" i="14"/>
  <c r="S276" i="52"/>
  <c r="S279" i="52"/>
  <c r="S288" i="52" s="1"/>
  <c r="S203" i="52"/>
  <c r="S212" i="52" s="1"/>
  <c r="S200" i="52"/>
  <c r="AF376" i="96"/>
  <c r="AF400" i="96" s="1"/>
  <c r="AF401" i="96" s="1"/>
  <c r="AF324" i="96"/>
  <c r="AF325" i="96" s="1"/>
  <c r="AG300" i="96"/>
  <c r="AG248" i="96"/>
  <c r="AG249" i="96" s="1"/>
  <c r="AE260" i="92"/>
  <c r="AD336" i="92"/>
  <c r="AF376" i="92"/>
  <c r="AF400" i="92" s="1"/>
  <c r="AF401" i="92" s="1"/>
  <c r="AF324" i="92"/>
  <c r="AF325" i="92" s="1"/>
  <c r="AH96" i="88"/>
  <c r="AH97" i="88" s="1"/>
  <c r="AG300" i="88"/>
  <c r="AG248" i="88"/>
  <c r="AG249" i="88" s="1"/>
  <c r="AF324" i="88"/>
  <c r="AF325" i="88" s="1"/>
  <c r="AF376" i="88"/>
  <c r="AF400" i="88" s="1"/>
  <c r="AF401" i="88" s="1"/>
  <c r="AE260" i="88"/>
  <c r="AH224" i="88"/>
  <c r="AH172" i="88"/>
  <c r="AH173" i="88" s="1"/>
  <c r="AD336" i="88"/>
  <c r="AG125" i="14"/>
  <c r="AG138" i="14"/>
  <c r="AH96" i="52"/>
  <c r="AH97" i="52" s="1"/>
  <c r="AH148" i="52"/>
  <c r="AE376" i="52"/>
  <c r="AE400" i="52" s="1"/>
  <c r="AE401" i="52" s="1"/>
  <c r="AE324" i="52"/>
  <c r="AE325" i="52" s="1"/>
  <c r="AC412" i="52"/>
  <c r="AF248" i="52"/>
  <c r="AF249" i="52" s="1"/>
  <c r="AF300" i="52"/>
  <c r="AG172" i="52"/>
  <c r="AG173" i="52" s="1"/>
  <c r="AG224" i="52"/>
  <c r="AC336" i="52"/>
  <c r="AG62" i="14"/>
  <c r="AG64" i="14" s="1"/>
  <c r="AG75" i="14"/>
  <c r="AG77" i="14" s="1"/>
  <c r="AD260" i="52"/>
  <c r="R124" i="52"/>
  <c r="R127" i="52"/>
  <c r="R136" i="52" s="1"/>
  <c r="R137" i="52" s="1"/>
  <c r="S113" i="52"/>
  <c r="S110" i="52"/>
  <c r="S111" i="52" s="1"/>
  <c r="S112" i="52" s="1"/>
  <c r="T109" i="52"/>
  <c r="T131" i="52"/>
  <c r="AH111" i="14"/>
  <c r="AH113" i="14" s="1"/>
  <c r="AH48" i="14"/>
  <c r="AH51" i="14" s="1"/>
  <c r="AI101" i="14"/>
  <c r="AI38" i="14"/>
  <c r="AE282" i="96" l="1"/>
  <c r="AG209" i="96"/>
  <c r="H44" i="96" s="1"/>
  <c r="AG104" i="96"/>
  <c r="AG107" i="96" s="1"/>
  <c r="AG108" i="96" s="1"/>
  <c r="AF256" i="96"/>
  <c r="AF282" i="96" s="1"/>
  <c r="AF209" i="96"/>
  <c r="AF210" i="96" s="1"/>
  <c r="AG224" i="92"/>
  <c r="AG300" i="92" s="1"/>
  <c r="AG324" i="92" s="1"/>
  <c r="AG325" i="92" s="1"/>
  <c r="AH224" i="92"/>
  <c r="AH248" i="92" s="1"/>
  <c r="AH249" i="92" s="1"/>
  <c r="AH96" i="92"/>
  <c r="AH97" i="92" s="1"/>
  <c r="AH104" i="92" s="1"/>
  <c r="AH130" i="92" s="1"/>
  <c r="AG134" i="92"/>
  <c r="H40" i="92" s="1"/>
  <c r="AF183" i="92"/>
  <c r="AF184" i="92" s="1"/>
  <c r="AG180" i="92"/>
  <c r="AG206" i="92" s="1"/>
  <c r="AI72" i="92"/>
  <c r="AI96" i="92" s="1"/>
  <c r="AI97" i="92" s="1"/>
  <c r="AI104" i="92" s="1"/>
  <c r="AI130" i="92" s="1"/>
  <c r="AI72" i="96"/>
  <c r="AI148" i="96" s="1"/>
  <c r="AI172" i="96" s="1"/>
  <c r="AI173" i="96" s="1"/>
  <c r="AG140" i="14"/>
  <c r="AG127" i="14"/>
  <c r="AH114" i="14"/>
  <c r="AA310" i="92"/>
  <c r="AA320" i="92" s="1"/>
  <c r="AA386" i="92"/>
  <c r="AA396" i="92" s="1"/>
  <c r="AB310" i="52"/>
  <c r="AB320" i="52" s="1"/>
  <c r="AB386" i="52"/>
  <c r="AB396" i="52" s="1"/>
  <c r="AA310" i="96"/>
  <c r="AA320" i="96" s="1"/>
  <c r="AA386" i="96"/>
  <c r="AA396" i="96" s="1"/>
  <c r="AA310" i="88"/>
  <c r="AA320" i="88" s="1"/>
  <c r="AA386" i="88"/>
  <c r="AA396" i="88" s="1"/>
  <c r="AH50" i="14"/>
  <c r="AA158" i="92"/>
  <c r="AA168" i="92" s="1"/>
  <c r="AA234" i="92"/>
  <c r="AA244" i="92" s="1"/>
  <c r="AA158" i="96"/>
  <c r="AA168" i="96" s="1"/>
  <c r="AA234" i="96"/>
  <c r="AA244" i="96" s="1"/>
  <c r="AA158" i="88"/>
  <c r="AA168" i="88" s="1"/>
  <c r="AA234" i="88"/>
  <c r="AA244" i="88" s="1"/>
  <c r="AB158" i="52"/>
  <c r="AB168" i="52" s="1"/>
  <c r="AB234" i="52"/>
  <c r="AB244" i="52" s="1"/>
  <c r="AB82" i="88"/>
  <c r="AA92" i="88"/>
  <c r="AB82" i="96"/>
  <c r="AA92" i="96"/>
  <c r="AB82" i="92"/>
  <c r="AA92" i="92"/>
  <c r="AC82" i="52"/>
  <c r="AB92" i="52"/>
  <c r="AG206" i="88"/>
  <c r="S338" i="52"/>
  <c r="S339" i="52" s="1"/>
  <c r="S340" i="52" s="1"/>
  <c r="S342" i="52" s="1"/>
  <c r="S352" i="52" s="1"/>
  <c r="R137" i="96"/>
  <c r="AE434" i="92"/>
  <c r="AF259" i="92"/>
  <c r="AF260" i="92" s="1"/>
  <c r="AG206" i="96"/>
  <c r="AF259" i="88"/>
  <c r="AF260" i="88" s="1"/>
  <c r="R365" i="52"/>
  <c r="AG210" i="88"/>
  <c r="H45" i="88" s="1"/>
  <c r="H44" i="88"/>
  <c r="AG210" i="92"/>
  <c r="H45" i="92" s="1"/>
  <c r="H44" i="92"/>
  <c r="AE335" i="88"/>
  <c r="AE336" i="88" s="1"/>
  <c r="AF183" i="52"/>
  <c r="AF184" i="52" s="1"/>
  <c r="AF183" i="96"/>
  <c r="AF184" i="96" s="1"/>
  <c r="AG134" i="52"/>
  <c r="H40" i="52" s="1"/>
  <c r="AG130" i="88"/>
  <c r="AG134" i="88"/>
  <c r="H40" i="88" s="1"/>
  <c r="AG134" i="96"/>
  <c r="H40" i="96" s="1"/>
  <c r="AD411" i="52"/>
  <c r="AD412" i="52" s="1"/>
  <c r="AG107" i="52"/>
  <c r="AG108" i="52" s="1"/>
  <c r="AE408" i="52"/>
  <c r="AE411" i="52" s="1"/>
  <c r="AE437" i="52"/>
  <c r="AE438" i="52" s="1"/>
  <c r="AF408" i="88"/>
  <c r="AF411" i="88" s="1"/>
  <c r="AF437" i="88"/>
  <c r="AF438" i="88" s="1"/>
  <c r="AD358" i="52"/>
  <c r="AE332" i="52"/>
  <c r="AE335" i="52" s="1"/>
  <c r="AE361" i="52"/>
  <c r="AE362" i="52" s="1"/>
  <c r="AH180" i="92"/>
  <c r="AH206" i="92" s="1"/>
  <c r="AH209" i="92"/>
  <c r="AH210" i="92" s="1"/>
  <c r="AE358" i="92"/>
  <c r="AF332" i="96"/>
  <c r="AF358" i="96" s="1"/>
  <c r="AF361" i="96"/>
  <c r="AF362" i="96" s="1"/>
  <c r="AE358" i="96"/>
  <c r="AI104" i="88"/>
  <c r="AI130" i="88" s="1"/>
  <c r="AI133" i="88"/>
  <c r="AI134" i="88" s="1"/>
  <c r="AF256" i="52"/>
  <c r="AF259" i="52" s="1"/>
  <c r="AF285" i="52"/>
  <c r="AF286" i="52" s="1"/>
  <c r="AH104" i="52"/>
  <c r="AH130" i="52" s="1"/>
  <c r="AH133" i="52"/>
  <c r="AH134" i="52" s="1"/>
  <c r="AE259" i="52"/>
  <c r="AE260" i="52" s="1"/>
  <c r="AE434" i="88"/>
  <c r="AF332" i="88"/>
  <c r="AF358" i="88" s="1"/>
  <c r="AF361" i="88"/>
  <c r="AF362" i="88" s="1"/>
  <c r="AF332" i="92"/>
  <c r="AF358" i="92" s="1"/>
  <c r="AF361" i="92"/>
  <c r="AF362" i="92" s="1"/>
  <c r="AG256" i="96"/>
  <c r="AG282" i="96" s="1"/>
  <c r="AG285" i="96"/>
  <c r="AE411" i="96"/>
  <c r="AE412" i="96" s="1"/>
  <c r="AH107" i="96"/>
  <c r="AH108" i="96" s="1"/>
  <c r="AG256" i="88"/>
  <c r="AG282" i="88" s="1"/>
  <c r="AG285" i="88"/>
  <c r="AF408" i="96"/>
  <c r="AF434" i="96" s="1"/>
  <c r="AF437" i="96"/>
  <c r="AF438" i="96" s="1"/>
  <c r="AG180" i="52"/>
  <c r="AG183" i="52" s="1"/>
  <c r="AG209" i="52"/>
  <c r="AH180" i="88"/>
  <c r="AH206" i="88" s="1"/>
  <c r="AH209" i="88"/>
  <c r="AH210" i="88" s="1"/>
  <c r="AH104" i="88"/>
  <c r="AH130" i="88" s="1"/>
  <c r="AH133" i="88"/>
  <c r="AH134" i="88" s="1"/>
  <c r="AF408" i="92"/>
  <c r="AF434" i="92" s="1"/>
  <c r="AF437" i="92"/>
  <c r="AF438" i="92" s="1"/>
  <c r="AF183" i="88"/>
  <c r="AF184" i="88" s="1"/>
  <c r="AH180" i="96"/>
  <c r="AH183" i="96" s="1"/>
  <c r="AH209" i="96"/>
  <c r="AH210" i="96" s="1"/>
  <c r="Q113" i="92"/>
  <c r="Q114" i="92" s="1"/>
  <c r="Q127" i="92" s="1"/>
  <c r="Q136" i="92" s="1"/>
  <c r="Q137" i="92" s="1"/>
  <c r="AJ72" i="88"/>
  <c r="AJ96" i="88" s="1"/>
  <c r="AJ97" i="88" s="1"/>
  <c r="AJ72" i="52"/>
  <c r="P137" i="92"/>
  <c r="R113" i="92"/>
  <c r="R110" i="92"/>
  <c r="R111" i="92" s="1"/>
  <c r="R112" i="92" s="1"/>
  <c r="T359" i="52"/>
  <c r="Q207" i="96"/>
  <c r="U337" i="52"/>
  <c r="U207" i="52"/>
  <c r="R359" i="92"/>
  <c r="Q355" i="92"/>
  <c r="Q364" i="92" s="1"/>
  <c r="Q365" i="92" s="1"/>
  <c r="S113" i="88"/>
  <c r="S114" i="88" s="1"/>
  <c r="S127" i="88" s="1"/>
  <c r="S136" i="88" s="1"/>
  <c r="S137" i="88" s="1"/>
  <c r="P203" i="96"/>
  <c r="P212" i="96" s="1"/>
  <c r="P213" i="96" s="1"/>
  <c r="R124" i="96"/>
  <c r="Q413" i="96"/>
  <c r="Q435" i="96"/>
  <c r="S207" i="88"/>
  <c r="P417" i="96"/>
  <c r="P414" i="96"/>
  <c r="P415" i="96" s="1"/>
  <c r="P416" i="96" s="1"/>
  <c r="Q186" i="96"/>
  <c r="Q187" i="96" s="1"/>
  <c r="Q188" i="96" s="1"/>
  <c r="Q189" i="96"/>
  <c r="R207" i="96"/>
  <c r="R185" i="96"/>
  <c r="O441" i="96"/>
  <c r="Q365" i="88"/>
  <c r="T131" i="96"/>
  <c r="T109" i="96"/>
  <c r="S110" i="96"/>
  <c r="S111" i="96" s="1"/>
  <c r="S112" i="96" s="1"/>
  <c r="S113" i="96"/>
  <c r="R337" i="96"/>
  <c r="T279" i="52"/>
  <c r="T288" i="52" s="1"/>
  <c r="T289" i="52" s="1"/>
  <c r="Q431" i="52"/>
  <c r="Q440" i="52" s="1"/>
  <c r="Q441" i="52" s="1"/>
  <c r="Q279" i="96"/>
  <c r="Q288" i="96" s="1"/>
  <c r="Q289" i="96" s="1"/>
  <c r="P418" i="92"/>
  <c r="P431" i="92" s="1"/>
  <c r="P440" i="92" s="1"/>
  <c r="P441" i="92" s="1"/>
  <c r="Q413" i="92"/>
  <c r="Q435" i="92"/>
  <c r="R262" i="92"/>
  <c r="R263" i="92" s="1"/>
  <c r="R264" i="92" s="1"/>
  <c r="R265" i="92"/>
  <c r="S283" i="92"/>
  <c r="S261" i="92"/>
  <c r="Q337" i="96"/>
  <c r="Q341" i="96" s="1"/>
  <c r="AH224" i="96"/>
  <c r="AH300" i="96" s="1"/>
  <c r="R265" i="96"/>
  <c r="R262" i="96"/>
  <c r="R263" i="96" s="1"/>
  <c r="R264" i="96" s="1"/>
  <c r="S283" i="96"/>
  <c r="S261" i="96"/>
  <c r="Q413" i="88"/>
  <c r="T200" i="92"/>
  <c r="Q352" i="88"/>
  <c r="U261" i="52"/>
  <c r="U283" i="52"/>
  <c r="O431" i="88"/>
  <c r="O440" i="88" s="1"/>
  <c r="O441" i="88" s="1"/>
  <c r="R418" i="52"/>
  <c r="R428" i="52" s="1"/>
  <c r="P414" i="88"/>
  <c r="P415" i="88" s="1"/>
  <c r="P416" i="88" s="1"/>
  <c r="P417" i="88"/>
  <c r="S435" i="52"/>
  <c r="S413" i="52"/>
  <c r="P441" i="52"/>
  <c r="S213" i="52"/>
  <c r="U189" i="52"/>
  <c r="U186" i="52"/>
  <c r="U187" i="52" s="1"/>
  <c r="U188" i="52" s="1"/>
  <c r="U189" i="92"/>
  <c r="U186" i="92"/>
  <c r="U187" i="92" s="1"/>
  <c r="U188" i="92" s="1"/>
  <c r="S289" i="52"/>
  <c r="T341" i="52"/>
  <c r="T338" i="52"/>
  <c r="T339" i="52" s="1"/>
  <c r="T340" i="52" s="1"/>
  <c r="R190" i="88"/>
  <c r="T276" i="88"/>
  <c r="T279" i="88"/>
  <c r="T288" i="88" s="1"/>
  <c r="T289" i="88" s="1"/>
  <c r="P342" i="96"/>
  <c r="R341" i="88"/>
  <c r="R338" i="88"/>
  <c r="R339" i="88" s="1"/>
  <c r="R340" i="88" s="1"/>
  <c r="V185" i="92"/>
  <c r="V207" i="92"/>
  <c r="S189" i="88"/>
  <c r="S186" i="88"/>
  <c r="S187" i="88" s="1"/>
  <c r="S188" i="88" s="1"/>
  <c r="AI59" i="14"/>
  <c r="AI72" i="14"/>
  <c r="AI122" i="14"/>
  <c r="AI135" i="14"/>
  <c r="T200" i="52"/>
  <c r="T203" i="52"/>
  <c r="T212" i="52" s="1"/>
  <c r="T213" i="52" s="1"/>
  <c r="AG184" i="96"/>
  <c r="AE336" i="96"/>
  <c r="AG376" i="96"/>
  <c r="AG400" i="96" s="1"/>
  <c r="AG401" i="96" s="1"/>
  <c r="AG324" i="96"/>
  <c r="AG325" i="96" s="1"/>
  <c r="AI148" i="88"/>
  <c r="AI172" i="88" s="1"/>
  <c r="AI173" i="88" s="1"/>
  <c r="AE412" i="92"/>
  <c r="AE336" i="92"/>
  <c r="AH248" i="88"/>
  <c r="AH249" i="88" s="1"/>
  <c r="AH300" i="88"/>
  <c r="AE412" i="88"/>
  <c r="AG184" i="88"/>
  <c r="AG376" i="88"/>
  <c r="AG400" i="88" s="1"/>
  <c r="AG401" i="88" s="1"/>
  <c r="AG324" i="88"/>
  <c r="AG325" i="88" s="1"/>
  <c r="AH62" i="14"/>
  <c r="AH64" i="14" s="1"/>
  <c r="AH75" i="14"/>
  <c r="AH77" i="14" s="1"/>
  <c r="AH224" i="52"/>
  <c r="AH172" i="52"/>
  <c r="AH173" i="52" s="1"/>
  <c r="AH125" i="14"/>
  <c r="AH138" i="14"/>
  <c r="AI96" i="52"/>
  <c r="AI97" i="52" s="1"/>
  <c r="AI148" i="52"/>
  <c r="AD336" i="52"/>
  <c r="AF324" i="52"/>
  <c r="AF325" i="52" s="1"/>
  <c r="AF376" i="52"/>
  <c r="AF400" i="52" s="1"/>
  <c r="AF401" i="52" s="1"/>
  <c r="AG300" i="52"/>
  <c r="AG248" i="52"/>
  <c r="AG249" i="52" s="1"/>
  <c r="S114" i="52"/>
  <c r="S124" i="52" s="1"/>
  <c r="T113" i="52"/>
  <c r="T110" i="52"/>
  <c r="AI48" i="14"/>
  <c r="AI51" i="14" s="1"/>
  <c r="AI111" i="14"/>
  <c r="AI114" i="14" s="1"/>
  <c r="AJ101" i="14"/>
  <c r="AJ38" i="14"/>
  <c r="AG210" i="96" l="1"/>
  <c r="H45" i="96" s="1"/>
  <c r="AG130" i="96"/>
  <c r="AF259" i="96"/>
  <c r="AF260" i="96" s="1"/>
  <c r="AH300" i="92"/>
  <c r="AH376" i="92" s="1"/>
  <c r="AH400" i="92" s="1"/>
  <c r="AH401" i="92" s="1"/>
  <c r="AG376" i="92"/>
  <c r="AG400" i="92" s="1"/>
  <c r="AG401" i="92" s="1"/>
  <c r="AG408" i="92" s="1"/>
  <c r="AG411" i="92" s="1"/>
  <c r="AG248" i="92"/>
  <c r="AG249" i="92" s="1"/>
  <c r="AG285" i="92" s="1"/>
  <c r="AI133" i="92"/>
  <c r="AI134" i="92" s="1"/>
  <c r="AI148" i="92"/>
  <c r="AI224" i="92" s="1"/>
  <c r="AI300" i="92" s="1"/>
  <c r="AH133" i="92"/>
  <c r="AH134" i="92" s="1"/>
  <c r="AG183" i="92"/>
  <c r="AG184" i="92" s="1"/>
  <c r="AI224" i="96"/>
  <c r="AI300" i="96" s="1"/>
  <c r="AI96" i="96"/>
  <c r="AI97" i="96" s="1"/>
  <c r="AI104" i="96" s="1"/>
  <c r="AI130" i="96" s="1"/>
  <c r="AJ72" i="92"/>
  <c r="AJ148" i="92" s="1"/>
  <c r="AJ224" i="92" s="1"/>
  <c r="AJ72" i="96"/>
  <c r="AJ96" i="96" s="1"/>
  <c r="AJ97" i="96" s="1"/>
  <c r="AJ104" i="96" s="1"/>
  <c r="AJ130" i="96" s="1"/>
  <c r="AH140" i="14"/>
  <c r="AH127" i="14"/>
  <c r="AC310" i="52"/>
  <c r="AC320" i="52" s="1"/>
  <c r="AC386" i="52"/>
  <c r="AC396" i="52" s="1"/>
  <c r="AB310" i="88"/>
  <c r="AB320" i="88" s="1"/>
  <c r="AB386" i="88"/>
  <c r="AB396" i="88" s="1"/>
  <c r="AB310" i="92"/>
  <c r="AB320" i="92" s="1"/>
  <c r="AB386" i="92"/>
  <c r="AB396" i="92" s="1"/>
  <c r="AB310" i="96"/>
  <c r="AB320" i="96" s="1"/>
  <c r="AB386" i="96"/>
  <c r="AB396" i="96" s="1"/>
  <c r="AB158" i="88"/>
  <c r="AB168" i="88" s="1"/>
  <c r="AB234" i="88"/>
  <c r="AB244" i="88" s="1"/>
  <c r="AB158" i="96"/>
  <c r="AB168" i="96" s="1"/>
  <c r="AB234" i="96"/>
  <c r="AB244" i="96" s="1"/>
  <c r="AC158" i="52"/>
  <c r="AC168" i="52" s="1"/>
  <c r="AC234" i="52"/>
  <c r="AC244" i="52" s="1"/>
  <c r="AB158" i="92"/>
  <c r="AB168" i="92" s="1"/>
  <c r="AB234" i="92"/>
  <c r="AB244" i="92" s="1"/>
  <c r="AC82" i="96"/>
  <c r="AB92" i="96"/>
  <c r="AD82" i="52"/>
  <c r="AC92" i="52"/>
  <c r="AC82" i="92"/>
  <c r="AB92" i="92"/>
  <c r="AC82" i="88"/>
  <c r="AB92" i="88"/>
  <c r="AI113" i="14"/>
  <c r="AI50" i="14"/>
  <c r="S355" i="52"/>
  <c r="S364" i="52" s="1"/>
  <c r="S365" i="52" s="1"/>
  <c r="AF411" i="92"/>
  <c r="AF412" i="92" s="1"/>
  <c r="AH183" i="88"/>
  <c r="AH184" i="88" s="1"/>
  <c r="AH183" i="92"/>
  <c r="AH184" i="92" s="1"/>
  <c r="AF411" i="96"/>
  <c r="AF412" i="96" s="1"/>
  <c r="AG206" i="52"/>
  <c r="AF335" i="96"/>
  <c r="AF336" i="96" s="1"/>
  <c r="AG210" i="52"/>
  <c r="H45" i="52" s="1"/>
  <c r="H44" i="52"/>
  <c r="AG286" i="88"/>
  <c r="H50" i="88" s="1"/>
  <c r="H49" i="88"/>
  <c r="AG286" i="96"/>
  <c r="H50" i="96" s="1"/>
  <c r="H49" i="96"/>
  <c r="AI107" i="92"/>
  <c r="AI108" i="92" s="1"/>
  <c r="AF282" i="52"/>
  <c r="AH206" i="96"/>
  <c r="AH107" i="92"/>
  <c r="AH108" i="92" s="1"/>
  <c r="AE434" i="52"/>
  <c r="AH107" i="52"/>
  <c r="AH108" i="52" s="1"/>
  <c r="AI107" i="88"/>
  <c r="AI108" i="88" s="1"/>
  <c r="AE358" i="52"/>
  <c r="AG259" i="88"/>
  <c r="AG260" i="88" s="1"/>
  <c r="AG259" i="96"/>
  <c r="AG260" i="96" s="1"/>
  <c r="AH107" i="88"/>
  <c r="AH108" i="88" s="1"/>
  <c r="AF335" i="92"/>
  <c r="AF336" i="92" s="1"/>
  <c r="AG256" i="52"/>
  <c r="AG282" i="52" s="1"/>
  <c r="AG285" i="52"/>
  <c r="AH180" i="52"/>
  <c r="AH206" i="52" s="1"/>
  <c r="AH209" i="52"/>
  <c r="AH210" i="52" s="1"/>
  <c r="AH256" i="92"/>
  <c r="AH259" i="92" s="1"/>
  <c r="AH285" i="92"/>
  <c r="AH286" i="92" s="1"/>
  <c r="AG332" i="96"/>
  <c r="AG335" i="96" s="1"/>
  <c r="AG361" i="96"/>
  <c r="AG408" i="88"/>
  <c r="AG411" i="88" s="1"/>
  <c r="AG437" i="88"/>
  <c r="AF434" i="88"/>
  <c r="AF335" i="88"/>
  <c r="AF336" i="88" s="1"/>
  <c r="AH256" i="88"/>
  <c r="AH282" i="88" s="1"/>
  <c r="AH285" i="88"/>
  <c r="AH286" i="88" s="1"/>
  <c r="AG332" i="92"/>
  <c r="AG335" i="92" s="1"/>
  <c r="AG361" i="92"/>
  <c r="AI180" i="88"/>
  <c r="AI183" i="88" s="1"/>
  <c r="AI209" i="88"/>
  <c r="AI210" i="88" s="1"/>
  <c r="AG408" i="96"/>
  <c r="AG411" i="96" s="1"/>
  <c r="AG437" i="96"/>
  <c r="AG332" i="88"/>
  <c r="AG358" i="88" s="1"/>
  <c r="AG361" i="88"/>
  <c r="AF408" i="52"/>
  <c r="AF411" i="52" s="1"/>
  <c r="AF437" i="52"/>
  <c r="AF438" i="52" s="1"/>
  <c r="AI104" i="52"/>
  <c r="AI130" i="52" s="1"/>
  <c r="AI133" i="52"/>
  <c r="AI134" i="52" s="1"/>
  <c r="AF332" i="52"/>
  <c r="AF358" i="52" s="1"/>
  <c r="AF361" i="52"/>
  <c r="AF362" i="52" s="1"/>
  <c r="AI180" i="96"/>
  <c r="AI183" i="96" s="1"/>
  <c r="AI209" i="96"/>
  <c r="AI210" i="96" s="1"/>
  <c r="AJ104" i="88"/>
  <c r="AJ130" i="88" s="1"/>
  <c r="AJ133" i="88"/>
  <c r="AJ134" i="88" s="1"/>
  <c r="AK72" i="88"/>
  <c r="AK148" i="88" s="1"/>
  <c r="AK72" i="52"/>
  <c r="Q124" i="92"/>
  <c r="R114" i="92"/>
  <c r="R124" i="92" s="1"/>
  <c r="S109" i="92"/>
  <c r="S131" i="92"/>
  <c r="U359" i="52"/>
  <c r="V185" i="52"/>
  <c r="AH248" i="96"/>
  <c r="AH249" i="96" s="1"/>
  <c r="R337" i="92"/>
  <c r="R338" i="92" s="1"/>
  <c r="R339" i="92" s="1"/>
  <c r="R340" i="92" s="1"/>
  <c r="R435" i="96"/>
  <c r="S124" i="88"/>
  <c r="T109" i="88"/>
  <c r="T131" i="88"/>
  <c r="P418" i="96"/>
  <c r="P431" i="96" s="1"/>
  <c r="P440" i="96" s="1"/>
  <c r="P441" i="96" s="1"/>
  <c r="Q190" i="96"/>
  <c r="Q200" i="96" s="1"/>
  <c r="R359" i="96"/>
  <c r="Q417" i="96"/>
  <c r="Q414" i="96"/>
  <c r="Q415" i="96" s="1"/>
  <c r="Q416" i="96" s="1"/>
  <c r="R186" i="96"/>
  <c r="R187" i="96" s="1"/>
  <c r="R188" i="96" s="1"/>
  <c r="R189" i="96"/>
  <c r="S185" i="96"/>
  <c r="S207" i="96"/>
  <c r="S114" i="96"/>
  <c r="T113" i="96"/>
  <c r="T110" i="96"/>
  <c r="T111" i="96" s="1"/>
  <c r="T112" i="96" s="1"/>
  <c r="R431" i="52"/>
  <c r="R440" i="52" s="1"/>
  <c r="R441" i="52" s="1"/>
  <c r="P428" i="92"/>
  <c r="Q435" i="88"/>
  <c r="S265" i="92"/>
  <c r="S262" i="92"/>
  <c r="S263" i="92" s="1"/>
  <c r="S264" i="92" s="1"/>
  <c r="R266" i="92"/>
  <c r="Q414" i="92"/>
  <c r="Q415" i="92" s="1"/>
  <c r="Q416" i="92" s="1"/>
  <c r="Q417" i="92"/>
  <c r="Q338" i="96"/>
  <c r="Q339" i="96" s="1"/>
  <c r="Q340" i="96" s="1"/>
  <c r="Q342" i="96" s="1"/>
  <c r="Q355" i="96" s="1"/>
  <c r="Q364" i="96" s="1"/>
  <c r="R266" i="96"/>
  <c r="R276" i="96" s="1"/>
  <c r="S262" i="96"/>
  <c r="S263" i="96" s="1"/>
  <c r="S264" i="96" s="1"/>
  <c r="S265" i="96"/>
  <c r="U262" i="52"/>
  <c r="U263" i="52" s="1"/>
  <c r="U264" i="52" s="1"/>
  <c r="U265" i="52"/>
  <c r="U283" i="88"/>
  <c r="U261" i="88"/>
  <c r="AI224" i="88"/>
  <c r="AI248" i="88" s="1"/>
  <c r="AI249" i="88" s="1"/>
  <c r="R342" i="88"/>
  <c r="R352" i="88" s="1"/>
  <c r="S190" i="88"/>
  <c r="S203" i="88" s="1"/>
  <c r="S212" i="88" s="1"/>
  <c r="Q417" i="88"/>
  <c r="Q414" i="88"/>
  <c r="Q415" i="88" s="1"/>
  <c r="Q416" i="88" s="1"/>
  <c r="T435" i="52"/>
  <c r="T413" i="52"/>
  <c r="S417" i="52"/>
  <c r="S414" i="52"/>
  <c r="S415" i="52" s="1"/>
  <c r="S416" i="52" s="1"/>
  <c r="P418" i="88"/>
  <c r="T342" i="52"/>
  <c r="T355" i="52" s="1"/>
  <c r="T364" i="52" s="1"/>
  <c r="AJ122" i="14"/>
  <c r="AJ135" i="14"/>
  <c r="S337" i="88"/>
  <c r="S359" i="88"/>
  <c r="U190" i="92"/>
  <c r="R203" i="88"/>
  <c r="R212" i="88" s="1"/>
  <c r="R213" i="88" s="1"/>
  <c r="R200" i="88"/>
  <c r="P355" i="96"/>
  <c r="P364" i="96" s="1"/>
  <c r="P365" i="96" s="1"/>
  <c r="P352" i="96"/>
  <c r="U190" i="52"/>
  <c r="U341" i="52"/>
  <c r="U338" i="52"/>
  <c r="U339" i="52" s="1"/>
  <c r="U340" i="52" s="1"/>
  <c r="R341" i="96"/>
  <c r="R338" i="96"/>
  <c r="R339" i="96" s="1"/>
  <c r="R340" i="96" s="1"/>
  <c r="V189" i="92"/>
  <c r="V186" i="92"/>
  <c r="V187" i="92" s="1"/>
  <c r="V188" i="92" s="1"/>
  <c r="AJ59" i="14"/>
  <c r="AJ72" i="14"/>
  <c r="AH376" i="96"/>
  <c r="AH400" i="96" s="1"/>
  <c r="AH401" i="96" s="1"/>
  <c r="AH324" i="96"/>
  <c r="AH325" i="96" s="1"/>
  <c r="AH184" i="96"/>
  <c r="AJ148" i="88"/>
  <c r="AJ224" i="88" s="1"/>
  <c r="AH376" i="88"/>
  <c r="AH400" i="88" s="1"/>
  <c r="AH401" i="88" s="1"/>
  <c r="AH324" i="88"/>
  <c r="AH325" i="88" s="1"/>
  <c r="AF412" i="88"/>
  <c r="AG376" i="52"/>
  <c r="AG400" i="52" s="1"/>
  <c r="AG401" i="52" s="1"/>
  <c r="AG324" i="52"/>
  <c r="AG325" i="52" s="1"/>
  <c r="AI224" i="52"/>
  <c r="AI172" i="52"/>
  <c r="AI173" i="52" s="1"/>
  <c r="AF260" i="52"/>
  <c r="AJ96" i="52"/>
  <c r="AJ97" i="52" s="1"/>
  <c r="AJ148" i="52"/>
  <c r="AI125" i="14"/>
  <c r="AI138" i="14"/>
  <c r="AE412" i="52"/>
  <c r="AG184" i="52"/>
  <c r="AE336" i="52"/>
  <c r="AI62" i="14"/>
  <c r="AI64" i="14" s="1"/>
  <c r="AI75" i="14"/>
  <c r="AI77" i="14" s="1"/>
  <c r="AH300" i="52"/>
  <c r="AH248" i="52"/>
  <c r="AH249" i="52" s="1"/>
  <c r="S127" i="52"/>
  <c r="S136" i="52" s="1"/>
  <c r="S137" i="52" s="1"/>
  <c r="T111" i="52"/>
  <c r="T112" i="52" s="1"/>
  <c r="T114" i="52" s="1"/>
  <c r="T124" i="52" s="1"/>
  <c r="U109" i="52"/>
  <c r="U131" i="52"/>
  <c r="AJ111" i="14"/>
  <c r="AJ114" i="14" s="1"/>
  <c r="AJ48" i="14"/>
  <c r="AJ50" i="14" s="1"/>
  <c r="AK101" i="14"/>
  <c r="AK38" i="14"/>
  <c r="AH324" i="92" l="1"/>
  <c r="AH325" i="92" s="1"/>
  <c r="AH332" i="92" s="1"/>
  <c r="AH358" i="92" s="1"/>
  <c r="AG256" i="92"/>
  <c r="AG259" i="92" s="1"/>
  <c r="AG260" i="92" s="1"/>
  <c r="AJ172" i="92"/>
  <c r="AJ173" i="92" s="1"/>
  <c r="AJ180" i="92" s="1"/>
  <c r="AJ206" i="92" s="1"/>
  <c r="AJ96" i="92"/>
  <c r="AJ97" i="92" s="1"/>
  <c r="AJ104" i="92" s="1"/>
  <c r="AJ130" i="92" s="1"/>
  <c r="AG437" i="92"/>
  <c r="H59" i="92" s="1"/>
  <c r="AI248" i="92"/>
  <c r="AI249" i="92" s="1"/>
  <c r="AI285" i="92" s="1"/>
  <c r="AI286" i="92" s="1"/>
  <c r="AI172" i="92"/>
  <c r="AI173" i="92" s="1"/>
  <c r="AI180" i="92" s="1"/>
  <c r="AI206" i="92" s="1"/>
  <c r="AI133" i="96"/>
  <c r="AI134" i="96" s="1"/>
  <c r="AI248" i="96"/>
  <c r="AI249" i="96" s="1"/>
  <c r="AI256" i="96" s="1"/>
  <c r="AI259" i="96" s="1"/>
  <c r="AJ148" i="96"/>
  <c r="AJ172" i="96" s="1"/>
  <c r="AJ173" i="96" s="1"/>
  <c r="AJ180" i="96" s="1"/>
  <c r="AJ206" i="96" s="1"/>
  <c r="AJ133" i="96"/>
  <c r="AJ134" i="96" s="1"/>
  <c r="AK72" i="92"/>
  <c r="AK96" i="92" s="1"/>
  <c r="AK97" i="92" s="1"/>
  <c r="AK104" i="92" s="1"/>
  <c r="AK130" i="92" s="1"/>
  <c r="AK72" i="96"/>
  <c r="AK96" i="96" s="1"/>
  <c r="AK97" i="96" s="1"/>
  <c r="AK104" i="96" s="1"/>
  <c r="AK130" i="96" s="1"/>
  <c r="AI140" i="14"/>
  <c r="AI127" i="14"/>
  <c r="AC310" i="88"/>
  <c r="AC320" i="88" s="1"/>
  <c r="AC386" i="88"/>
  <c r="AC396" i="88" s="1"/>
  <c r="AC310" i="92"/>
  <c r="AC320" i="92" s="1"/>
  <c r="AC386" i="92"/>
  <c r="AC396" i="92" s="1"/>
  <c r="AD310" i="52"/>
  <c r="AD320" i="52" s="1"/>
  <c r="AD386" i="52"/>
  <c r="AD396" i="52" s="1"/>
  <c r="AC310" i="96"/>
  <c r="AC320" i="96" s="1"/>
  <c r="AC386" i="96"/>
  <c r="AC396" i="96" s="1"/>
  <c r="AC158" i="92"/>
  <c r="AC168" i="92" s="1"/>
  <c r="AC234" i="92"/>
  <c r="AC244" i="92" s="1"/>
  <c r="AC158" i="88"/>
  <c r="AC168" i="88" s="1"/>
  <c r="AC234" i="88"/>
  <c r="AC244" i="88" s="1"/>
  <c r="AD158" i="52"/>
  <c r="AD168" i="52" s="1"/>
  <c r="AD234" i="52"/>
  <c r="AD244" i="52" s="1"/>
  <c r="AC158" i="96"/>
  <c r="AC168" i="96" s="1"/>
  <c r="AC234" i="96"/>
  <c r="AC244" i="96" s="1"/>
  <c r="AD82" i="88"/>
  <c r="AC92" i="88"/>
  <c r="AD82" i="92"/>
  <c r="AC92" i="92"/>
  <c r="AE82" i="52"/>
  <c r="AD92" i="52"/>
  <c r="AD82" i="96"/>
  <c r="AC92" i="96"/>
  <c r="T365" i="52"/>
  <c r="AJ51" i="14"/>
  <c r="AJ113" i="14"/>
  <c r="AJ107" i="88"/>
  <c r="AJ108" i="88" s="1"/>
  <c r="AG438" i="88"/>
  <c r="H60" i="88" s="1"/>
  <c r="H59" i="88"/>
  <c r="AG362" i="96"/>
  <c r="H55" i="96" s="1"/>
  <c r="H54" i="96"/>
  <c r="AF335" i="52"/>
  <c r="AF336" i="52" s="1"/>
  <c r="AG434" i="92"/>
  <c r="AG362" i="92"/>
  <c r="H55" i="92" s="1"/>
  <c r="H54" i="92"/>
  <c r="AI107" i="52"/>
  <c r="AI108" i="52" s="1"/>
  <c r="AG362" i="88"/>
  <c r="H55" i="88" s="1"/>
  <c r="H54" i="88"/>
  <c r="AG438" i="96"/>
  <c r="H60" i="96" s="1"/>
  <c r="H59" i="96"/>
  <c r="AG358" i="92"/>
  <c r="AG286" i="92"/>
  <c r="H50" i="92" s="1"/>
  <c r="H49" i="92"/>
  <c r="AG286" i="52"/>
  <c r="H50" i="52" s="1"/>
  <c r="H49" i="52"/>
  <c r="AG259" i="52"/>
  <c r="AG260" i="52" s="1"/>
  <c r="AH183" i="52"/>
  <c r="AH184" i="52" s="1"/>
  <c r="AF434" i="52"/>
  <c r="AI206" i="88"/>
  <c r="AG335" i="88"/>
  <c r="AG336" i="88" s="1"/>
  <c r="AI206" i="96"/>
  <c r="AI107" i="96"/>
  <c r="AI108" i="96" s="1"/>
  <c r="AJ107" i="96"/>
  <c r="AJ108" i="96" s="1"/>
  <c r="AH408" i="92"/>
  <c r="AH411" i="92" s="1"/>
  <c r="AH437" i="92"/>
  <c r="AH438" i="92" s="1"/>
  <c r="AJ104" i="52"/>
  <c r="AJ130" i="52" s="1"/>
  <c r="AJ133" i="52"/>
  <c r="AJ134" i="52" s="1"/>
  <c r="AI180" i="52"/>
  <c r="AI183" i="52" s="1"/>
  <c r="AI209" i="52"/>
  <c r="AI210" i="52" s="1"/>
  <c r="AG434" i="88"/>
  <c r="AG358" i="96"/>
  <c r="AG434" i="96"/>
  <c r="AH256" i="52"/>
  <c r="AH259" i="52" s="1"/>
  <c r="AH285" i="52"/>
  <c r="AH286" i="52" s="1"/>
  <c r="AG332" i="52"/>
  <c r="AG335" i="52" s="1"/>
  <c r="AG361" i="52"/>
  <c r="AH332" i="88"/>
  <c r="AH358" i="88" s="1"/>
  <c r="AH361" i="88"/>
  <c r="AH362" i="88" s="1"/>
  <c r="AH259" i="88"/>
  <c r="AH260" i="88" s="1"/>
  <c r="AH282" i="92"/>
  <c r="AH408" i="96"/>
  <c r="AH434" i="96" s="1"/>
  <c r="AH437" i="96"/>
  <c r="AH438" i="96" s="1"/>
  <c r="AH332" i="96"/>
  <c r="AH335" i="96" s="1"/>
  <c r="AH361" i="96"/>
  <c r="AH362" i="96" s="1"/>
  <c r="AI256" i="88"/>
  <c r="AI282" i="88" s="1"/>
  <c r="AI285" i="88"/>
  <c r="AI286" i="88" s="1"/>
  <c r="AH256" i="96"/>
  <c r="AH259" i="96" s="1"/>
  <c r="AH260" i="96" s="1"/>
  <c r="AH285" i="96"/>
  <c r="AH286" i="96" s="1"/>
  <c r="AG408" i="52"/>
  <c r="AG411" i="52" s="1"/>
  <c r="AG437" i="52"/>
  <c r="AH408" i="88"/>
  <c r="AH411" i="88" s="1"/>
  <c r="AH437" i="88"/>
  <c r="AH438" i="88" s="1"/>
  <c r="AL72" i="88"/>
  <c r="AL148" i="88" s="1"/>
  <c r="AL72" i="52"/>
  <c r="R127" i="92"/>
  <c r="R136" i="92" s="1"/>
  <c r="R137" i="92" s="1"/>
  <c r="S110" i="92"/>
  <c r="S111" i="92" s="1"/>
  <c r="S112" i="92" s="1"/>
  <c r="S113" i="92"/>
  <c r="V337" i="52"/>
  <c r="V207" i="52"/>
  <c r="AI300" i="88"/>
  <c r="AI324" i="88" s="1"/>
  <c r="AI325" i="88" s="1"/>
  <c r="R341" i="92"/>
  <c r="R342" i="92" s="1"/>
  <c r="R355" i="92" s="1"/>
  <c r="R364" i="92" s="1"/>
  <c r="R365" i="92" s="1"/>
  <c r="S337" i="92"/>
  <c r="S338" i="92" s="1"/>
  <c r="S339" i="92" s="1"/>
  <c r="S340" i="92" s="1"/>
  <c r="R413" i="96"/>
  <c r="R414" i="96" s="1"/>
  <c r="R415" i="96" s="1"/>
  <c r="R416" i="96" s="1"/>
  <c r="P428" i="96"/>
  <c r="T110" i="88"/>
  <c r="T111" i="88" s="1"/>
  <c r="T112" i="88" s="1"/>
  <c r="T113" i="88"/>
  <c r="Q203" i="96"/>
  <c r="Q212" i="96" s="1"/>
  <c r="Q213" i="96" s="1"/>
  <c r="R190" i="96"/>
  <c r="R200" i="96" s="1"/>
  <c r="Q418" i="96"/>
  <c r="S186" i="96"/>
  <c r="S187" i="96" s="1"/>
  <c r="S188" i="96" s="1"/>
  <c r="S189" i="96"/>
  <c r="T185" i="88"/>
  <c r="T207" i="88"/>
  <c r="S359" i="96"/>
  <c r="U109" i="96"/>
  <c r="U131" i="96"/>
  <c r="R435" i="88"/>
  <c r="T114" i="96"/>
  <c r="S124" i="96"/>
  <c r="S127" i="96"/>
  <c r="S136" i="96" s="1"/>
  <c r="S137" i="96" s="1"/>
  <c r="R355" i="88"/>
  <c r="R364" i="88" s="1"/>
  <c r="R365" i="88" s="1"/>
  <c r="T337" i="88"/>
  <c r="S200" i="88"/>
  <c r="S266" i="92"/>
  <c r="S276" i="92" s="1"/>
  <c r="U266" i="52"/>
  <c r="R279" i="96"/>
  <c r="R288" i="96" s="1"/>
  <c r="R289" i="96" s="1"/>
  <c r="Q418" i="92"/>
  <c r="T283" i="92"/>
  <c r="T261" i="92"/>
  <c r="R435" i="92"/>
  <c r="R413" i="92"/>
  <c r="R276" i="92"/>
  <c r="R279" i="92"/>
  <c r="R288" i="92" s="1"/>
  <c r="R289" i="92" s="1"/>
  <c r="T283" i="96"/>
  <c r="T261" i="96"/>
  <c r="S266" i="96"/>
  <c r="T352" i="52"/>
  <c r="Q352" i="96"/>
  <c r="U265" i="88"/>
  <c r="U262" i="88"/>
  <c r="U263" i="88" s="1"/>
  <c r="U264" i="88" s="1"/>
  <c r="S213" i="88"/>
  <c r="S418" i="52"/>
  <c r="S431" i="52" s="1"/>
  <c r="S440" i="52" s="1"/>
  <c r="S441" i="52" s="1"/>
  <c r="R342" i="96"/>
  <c r="R355" i="96" s="1"/>
  <c r="R364" i="96" s="1"/>
  <c r="R365" i="96" s="1"/>
  <c r="T417" i="52"/>
  <c r="T414" i="52"/>
  <c r="T415" i="52" s="1"/>
  <c r="T416" i="52" s="1"/>
  <c r="Q418" i="88"/>
  <c r="P428" i="88"/>
  <c r="P431" i="88"/>
  <c r="P440" i="88" s="1"/>
  <c r="P441" i="88" s="1"/>
  <c r="V190" i="92"/>
  <c r="U342" i="52"/>
  <c r="U200" i="52"/>
  <c r="U203" i="52"/>
  <c r="U212" i="52" s="1"/>
  <c r="V189" i="52"/>
  <c r="V186" i="52"/>
  <c r="V187" i="52" s="1"/>
  <c r="V188" i="52" s="1"/>
  <c r="AK122" i="14"/>
  <c r="AK135" i="14"/>
  <c r="U203" i="92"/>
  <c r="U212" i="92" s="1"/>
  <c r="U213" i="92" s="1"/>
  <c r="U200" i="92"/>
  <c r="AK59" i="14"/>
  <c r="AK72" i="14"/>
  <c r="Q365" i="96"/>
  <c r="W185" i="92"/>
  <c r="W207" i="92"/>
  <c r="S341" i="88"/>
  <c r="S338" i="88"/>
  <c r="S339" i="88" s="1"/>
  <c r="S340" i="88" s="1"/>
  <c r="AI376" i="96"/>
  <c r="AI400" i="96" s="1"/>
  <c r="AI401" i="96" s="1"/>
  <c r="AI324" i="96"/>
  <c r="AI325" i="96" s="1"/>
  <c r="AG336" i="96"/>
  <c r="AG412" i="96"/>
  <c r="AI184" i="96"/>
  <c r="AG412" i="92"/>
  <c r="AI376" i="92"/>
  <c r="AI400" i="92" s="1"/>
  <c r="AI401" i="92" s="1"/>
  <c r="AI324" i="92"/>
  <c r="AI325" i="92" s="1"/>
  <c r="AJ300" i="92"/>
  <c r="AJ248" i="92"/>
  <c r="AJ249" i="92" s="1"/>
  <c r="AG336" i="92"/>
  <c r="AH260" i="92"/>
  <c r="AK96" i="88"/>
  <c r="AK97" i="88" s="1"/>
  <c r="AJ172" i="88"/>
  <c r="AJ173" i="88" s="1"/>
  <c r="AJ300" i="88"/>
  <c r="AJ248" i="88"/>
  <c r="AJ249" i="88" s="1"/>
  <c r="AG412" i="88"/>
  <c r="AI184" i="88"/>
  <c r="AK224" i="88"/>
  <c r="AK172" i="88"/>
  <c r="AK173" i="88" s="1"/>
  <c r="AK96" i="52"/>
  <c r="AK97" i="52" s="1"/>
  <c r="AK148" i="52"/>
  <c r="AI300" i="52"/>
  <c r="AI248" i="52"/>
  <c r="AI249" i="52" s="1"/>
  <c r="AJ172" i="52"/>
  <c r="AJ173" i="52" s="1"/>
  <c r="AJ224" i="52"/>
  <c r="AF412" i="52"/>
  <c r="AJ62" i="14"/>
  <c r="AJ64" i="14" s="1"/>
  <c r="AJ75" i="14"/>
  <c r="AJ77" i="14" s="1"/>
  <c r="AJ125" i="14"/>
  <c r="AJ138" i="14"/>
  <c r="AH376" i="52"/>
  <c r="AH400" i="52" s="1"/>
  <c r="AH401" i="52" s="1"/>
  <c r="AH324" i="52"/>
  <c r="AH325" i="52" s="1"/>
  <c r="T127" i="52"/>
  <c r="T136" i="52" s="1"/>
  <c r="T137" i="52" s="1"/>
  <c r="U113" i="52"/>
  <c r="U110" i="52"/>
  <c r="U111" i="52" s="1"/>
  <c r="U112" i="52" s="1"/>
  <c r="AK48" i="14"/>
  <c r="AK50" i="14" s="1"/>
  <c r="AK111" i="14"/>
  <c r="AK114" i="14" s="1"/>
  <c r="AL38" i="14"/>
  <c r="AL101" i="14"/>
  <c r="AJ133" i="92" l="1"/>
  <c r="AJ134" i="92" s="1"/>
  <c r="AG438" i="92"/>
  <c r="H60" i="92" s="1"/>
  <c r="AI256" i="92"/>
  <c r="AI259" i="92" s="1"/>
  <c r="AI260" i="92" s="1"/>
  <c r="AH361" i="92"/>
  <c r="AH362" i="92" s="1"/>
  <c r="AJ209" i="92"/>
  <c r="AJ210" i="92" s="1"/>
  <c r="AJ224" i="96"/>
  <c r="AJ248" i="96" s="1"/>
  <c r="AJ249" i="96" s="1"/>
  <c r="AJ285" i="96" s="1"/>
  <c r="AJ286" i="96" s="1"/>
  <c r="AG282" i="92"/>
  <c r="AI285" i="96"/>
  <c r="AI286" i="96" s="1"/>
  <c r="AI209" i="92"/>
  <c r="AI210" i="92" s="1"/>
  <c r="AL72" i="96"/>
  <c r="AL96" i="96" s="1"/>
  <c r="AL97" i="96" s="1"/>
  <c r="AL133" i="96" s="1"/>
  <c r="I39" i="96" s="1"/>
  <c r="AJ209" i="96"/>
  <c r="AJ210" i="96" s="1"/>
  <c r="AK148" i="92"/>
  <c r="AK172" i="92" s="1"/>
  <c r="AK173" i="92" s="1"/>
  <c r="AK180" i="92" s="1"/>
  <c r="AK183" i="92" s="1"/>
  <c r="AK148" i="96"/>
  <c r="AK172" i="96" s="1"/>
  <c r="AK173" i="96" s="1"/>
  <c r="AK180" i="96" s="1"/>
  <c r="AK206" i="96" s="1"/>
  <c r="AK133" i="96"/>
  <c r="AK134" i="96" s="1"/>
  <c r="AK133" i="92"/>
  <c r="AK134" i="92" s="1"/>
  <c r="AL72" i="92"/>
  <c r="AL96" i="92" s="1"/>
  <c r="AL97" i="92" s="1"/>
  <c r="AL133" i="92" s="1"/>
  <c r="I39" i="92" s="1"/>
  <c r="AJ140" i="14"/>
  <c r="AJ127" i="14"/>
  <c r="AD310" i="92"/>
  <c r="AD320" i="92" s="1"/>
  <c r="AD386" i="92"/>
  <c r="AD396" i="92" s="1"/>
  <c r="AK113" i="14"/>
  <c r="AK51" i="14"/>
  <c r="AD310" i="96"/>
  <c r="AD320" i="96" s="1"/>
  <c r="AD386" i="96"/>
  <c r="AD396" i="96" s="1"/>
  <c r="AE310" i="52"/>
  <c r="AE320" i="52" s="1"/>
  <c r="AE386" i="52"/>
  <c r="AE396" i="52" s="1"/>
  <c r="AD310" i="88"/>
  <c r="AD320" i="88" s="1"/>
  <c r="AD386" i="88"/>
  <c r="AD396" i="88" s="1"/>
  <c r="AD158" i="96"/>
  <c r="AD168" i="96" s="1"/>
  <c r="AD234" i="96"/>
  <c r="AD244" i="96" s="1"/>
  <c r="AD158" i="92"/>
  <c r="AD168" i="92" s="1"/>
  <c r="AD234" i="92"/>
  <c r="AD244" i="92" s="1"/>
  <c r="AE158" i="52"/>
  <c r="AE168" i="52" s="1"/>
  <c r="AE234" i="52"/>
  <c r="AE244" i="52" s="1"/>
  <c r="AD158" i="88"/>
  <c r="AD168" i="88" s="1"/>
  <c r="AD234" i="88"/>
  <c r="AD244" i="88" s="1"/>
  <c r="AE82" i="88"/>
  <c r="AD92" i="88"/>
  <c r="AE82" i="96"/>
  <c r="AD92" i="96"/>
  <c r="AF82" i="52"/>
  <c r="AE92" i="52"/>
  <c r="AE82" i="92"/>
  <c r="AD92" i="92"/>
  <c r="AJ183" i="92"/>
  <c r="AJ184" i="92" s="1"/>
  <c r="AG434" i="52"/>
  <c r="AJ107" i="52"/>
  <c r="AJ108" i="52" s="1"/>
  <c r="AI183" i="92"/>
  <c r="AI184" i="92" s="1"/>
  <c r="AH282" i="96"/>
  <c r="AG438" i="52"/>
  <c r="H60" i="52" s="1"/>
  <c r="H59" i="52"/>
  <c r="AG362" i="52"/>
  <c r="H55" i="52" s="1"/>
  <c r="H54" i="52"/>
  <c r="AH434" i="88"/>
  <c r="AK107" i="92"/>
  <c r="AK108" i="92" s="1"/>
  <c r="AG358" i="52"/>
  <c r="AH282" i="52"/>
  <c r="AI282" i="96"/>
  <c r="AH335" i="88"/>
  <c r="AH336" i="88" s="1"/>
  <c r="AK107" i="96"/>
  <c r="AK108" i="96" s="1"/>
  <c r="AI259" i="88"/>
  <c r="AI260" i="88" s="1"/>
  <c r="AJ107" i="92"/>
  <c r="AJ108" i="92" s="1"/>
  <c r="AI206" i="52"/>
  <c r="AH411" i="96"/>
  <c r="AH412" i="96" s="1"/>
  <c r="AJ183" i="96"/>
  <c r="AJ184" i="96" s="1"/>
  <c r="AH358" i="96"/>
  <c r="AJ180" i="52"/>
  <c r="AJ206" i="52" s="1"/>
  <c r="AJ209" i="52"/>
  <c r="AJ210" i="52" s="1"/>
  <c r="AH434" i="92"/>
  <c r="AI332" i="92"/>
  <c r="AI358" i="92" s="1"/>
  <c r="AI361" i="92"/>
  <c r="AI362" i="92" s="1"/>
  <c r="AI332" i="88"/>
  <c r="AI358" i="88" s="1"/>
  <c r="AI361" i="88"/>
  <c r="AI362" i="88" s="1"/>
  <c r="AI332" i="96"/>
  <c r="AI358" i="96" s="1"/>
  <c r="AI361" i="96"/>
  <c r="AI362" i="96" s="1"/>
  <c r="AH408" i="52"/>
  <c r="AH411" i="52" s="1"/>
  <c r="AH437" i="52"/>
  <c r="AH438" i="52" s="1"/>
  <c r="AI256" i="52"/>
  <c r="AI259" i="52" s="1"/>
  <c r="AI285" i="52"/>
  <c r="AI286" i="52" s="1"/>
  <c r="AJ180" i="88"/>
  <c r="AJ206" i="88" s="1"/>
  <c r="AJ209" i="88"/>
  <c r="AJ210" i="88" s="1"/>
  <c r="AH335" i="92"/>
  <c r="AH336" i="92" s="1"/>
  <c r="AJ256" i="92"/>
  <c r="AJ282" i="92" s="1"/>
  <c r="AJ285" i="92"/>
  <c r="AJ286" i="92" s="1"/>
  <c r="AI408" i="96"/>
  <c r="AI434" i="96" s="1"/>
  <c r="AI437" i="96"/>
  <c r="AI438" i="96" s="1"/>
  <c r="AH332" i="52"/>
  <c r="AH335" i="52" s="1"/>
  <c r="AH361" i="52"/>
  <c r="AH362" i="52" s="1"/>
  <c r="AJ256" i="88"/>
  <c r="AJ259" i="88" s="1"/>
  <c r="AJ285" i="88"/>
  <c r="AJ286" i="88" s="1"/>
  <c r="AI408" i="92"/>
  <c r="AI411" i="92" s="1"/>
  <c r="AI437" i="92"/>
  <c r="AI438" i="92" s="1"/>
  <c r="AK104" i="52"/>
  <c r="AK107" i="52" s="1"/>
  <c r="AK108" i="52" s="1"/>
  <c r="AK133" i="52"/>
  <c r="AK134" i="52" s="1"/>
  <c r="AK180" i="88"/>
  <c r="AK206" i="88" s="1"/>
  <c r="AK209" i="88"/>
  <c r="AK210" i="88" s="1"/>
  <c r="AK104" i="88"/>
  <c r="AK107" i="88" s="1"/>
  <c r="AK108" i="88" s="1"/>
  <c r="AK133" i="88"/>
  <c r="AK134" i="88" s="1"/>
  <c r="AM72" i="88"/>
  <c r="AM96" i="88" s="1"/>
  <c r="AM97" i="88" s="1"/>
  <c r="AM72" i="52"/>
  <c r="T131" i="92"/>
  <c r="T109" i="92"/>
  <c r="S114" i="92"/>
  <c r="S359" i="92"/>
  <c r="AI376" i="88"/>
  <c r="AI400" i="88" s="1"/>
  <c r="AI401" i="88" s="1"/>
  <c r="V359" i="52"/>
  <c r="W359" i="52"/>
  <c r="S341" i="92"/>
  <c r="S342" i="92" s="1"/>
  <c r="S355" i="92" s="1"/>
  <c r="S364" i="92" s="1"/>
  <c r="S365" i="92" s="1"/>
  <c r="S413" i="96"/>
  <c r="S414" i="96" s="1"/>
  <c r="S415" i="96" s="1"/>
  <c r="S416" i="96" s="1"/>
  <c r="R352" i="92"/>
  <c r="T337" i="92"/>
  <c r="T338" i="92" s="1"/>
  <c r="T339" i="92" s="1"/>
  <c r="T340" i="92" s="1"/>
  <c r="R417" i="96"/>
  <c r="R418" i="96" s="1"/>
  <c r="R428" i="96" s="1"/>
  <c r="T114" i="88"/>
  <c r="T124" i="88" s="1"/>
  <c r="R203" i="96"/>
  <c r="R212" i="96" s="1"/>
  <c r="R213" i="96" s="1"/>
  <c r="Q431" i="96"/>
  <c r="Q440" i="96" s="1"/>
  <c r="Q441" i="96" s="1"/>
  <c r="Q428" i="96"/>
  <c r="U207" i="88"/>
  <c r="T185" i="96"/>
  <c r="T207" i="96"/>
  <c r="S190" i="96"/>
  <c r="T186" i="88"/>
  <c r="T187" i="88" s="1"/>
  <c r="T188" i="88" s="1"/>
  <c r="T189" i="88"/>
  <c r="S337" i="96"/>
  <c r="S338" i="96" s="1"/>
  <c r="S339" i="96" s="1"/>
  <c r="S340" i="96" s="1"/>
  <c r="U131" i="88"/>
  <c r="U109" i="88"/>
  <c r="U359" i="88"/>
  <c r="U110" i="96"/>
  <c r="U111" i="96" s="1"/>
  <c r="U112" i="96" s="1"/>
  <c r="U113" i="96"/>
  <c r="R413" i="88"/>
  <c r="R414" i="88" s="1"/>
  <c r="R415" i="88" s="1"/>
  <c r="R416" i="88" s="1"/>
  <c r="T127" i="96"/>
  <c r="T136" i="96" s="1"/>
  <c r="T124" i="96"/>
  <c r="U261" i="92"/>
  <c r="T359" i="88"/>
  <c r="S428" i="52"/>
  <c r="S279" i="92"/>
  <c r="S288" i="92" s="1"/>
  <c r="S289" i="92" s="1"/>
  <c r="U266" i="88"/>
  <c r="U276" i="88" s="1"/>
  <c r="U276" i="52"/>
  <c r="U279" i="52"/>
  <c r="U288" i="52" s="1"/>
  <c r="U289" i="52" s="1"/>
  <c r="V261" i="52"/>
  <c r="V283" i="52"/>
  <c r="R417" i="92"/>
  <c r="R414" i="92"/>
  <c r="R415" i="92" s="1"/>
  <c r="R416" i="92" s="1"/>
  <c r="T265" i="92"/>
  <c r="T262" i="92"/>
  <c r="T263" i="92" s="1"/>
  <c r="T264" i="92" s="1"/>
  <c r="Q431" i="92"/>
  <c r="Q440" i="92" s="1"/>
  <c r="Q441" i="92" s="1"/>
  <c r="Q428" i="92"/>
  <c r="S279" i="96"/>
  <c r="S288" i="96" s="1"/>
  <c r="S289" i="96" s="1"/>
  <c r="S276" i="96"/>
  <c r="T262" i="96"/>
  <c r="T263" i="96" s="1"/>
  <c r="T264" i="96" s="1"/>
  <c r="T265" i="96"/>
  <c r="R352" i="96"/>
  <c r="V261" i="88"/>
  <c r="V283" i="88"/>
  <c r="T418" i="52"/>
  <c r="U435" i="52"/>
  <c r="U413" i="52"/>
  <c r="Q428" i="88"/>
  <c r="Q431" i="88"/>
  <c r="Q440" i="88" s="1"/>
  <c r="Q441" i="88" s="1"/>
  <c r="V190" i="52"/>
  <c r="U352" i="52"/>
  <c r="U355" i="52"/>
  <c r="U364" i="52" s="1"/>
  <c r="U365" i="52" s="1"/>
  <c r="X185" i="92"/>
  <c r="X207" i="92"/>
  <c r="T341" i="88"/>
  <c r="T338" i="88"/>
  <c r="T339" i="88" s="1"/>
  <c r="T340" i="88" s="1"/>
  <c r="V200" i="92"/>
  <c r="V203" i="92"/>
  <c r="V212" i="92" s="1"/>
  <c r="V213" i="92" s="1"/>
  <c r="AL59" i="14"/>
  <c r="AL72" i="14"/>
  <c r="W189" i="92"/>
  <c r="W186" i="92"/>
  <c r="W187" i="92" s="1"/>
  <c r="W188" i="92" s="1"/>
  <c r="V341" i="52"/>
  <c r="V338" i="52"/>
  <c r="V339" i="52" s="1"/>
  <c r="V340" i="52" s="1"/>
  <c r="U213" i="52"/>
  <c r="AL122" i="14"/>
  <c r="AL135" i="14"/>
  <c r="S342" i="88"/>
  <c r="AH336" i="96"/>
  <c r="AI260" i="96"/>
  <c r="AH412" i="92"/>
  <c r="AJ376" i="92"/>
  <c r="AJ400" i="92" s="1"/>
  <c r="AJ401" i="92" s="1"/>
  <c r="AJ324" i="92"/>
  <c r="AJ325" i="92" s="1"/>
  <c r="AL96" i="88"/>
  <c r="AL97" i="88" s="1"/>
  <c r="U114" i="52"/>
  <c r="U124" i="52" s="1"/>
  <c r="AH412" i="88"/>
  <c r="AK300" i="88"/>
  <c r="AK248" i="88"/>
  <c r="AK249" i="88" s="1"/>
  <c r="AJ376" i="88"/>
  <c r="AJ400" i="88" s="1"/>
  <c r="AJ401" i="88" s="1"/>
  <c r="AJ324" i="88"/>
  <c r="AJ325" i="88" s="1"/>
  <c r="AL224" i="88"/>
  <c r="AL172" i="88"/>
  <c r="AL173" i="88" s="1"/>
  <c r="AK172" i="52"/>
  <c r="AK173" i="52" s="1"/>
  <c r="AK224" i="52"/>
  <c r="AH260" i="52"/>
  <c r="AK62" i="14"/>
  <c r="AK64" i="14" s="1"/>
  <c r="AK75" i="14"/>
  <c r="AK77" i="14" s="1"/>
  <c r="AI324" i="52"/>
  <c r="AI325" i="52" s="1"/>
  <c r="AI376" i="52"/>
  <c r="AI400" i="52" s="1"/>
  <c r="AI401" i="52" s="1"/>
  <c r="AL96" i="52"/>
  <c r="AL97" i="52" s="1"/>
  <c r="AL148" i="52"/>
  <c r="AK125" i="14"/>
  <c r="AK138" i="14"/>
  <c r="AI184" i="52"/>
  <c r="AG412" i="52"/>
  <c r="AG336" i="52"/>
  <c r="AJ248" i="52"/>
  <c r="AJ249" i="52" s="1"/>
  <c r="AJ300" i="52"/>
  <c r="V109" i="52"/>
  <c r="V131" i="52"/>
  <c r="AL111" i="14"/>
  <c r="AL113" i="14" s="1"/>
  <c r="AL48" i="14"/>
  <c r="AL51" i="14" s="1"/>
  <c r="AM38" i="14"/>
  <c r="AM101" i="14"/>
  <c r="AI282" i="92" l="1"/>
  <c r="AJ300" i="96"/>
  <c r="AJ376" i="96" s="1"/>
  <c r="AJ400" i="96" s="1"/>
  <c r="AJ401" i="96" s="1"/>
  <c r="AJ437" i="96" s="1"/>
  <c r="AJ438" i="96" s="1"/>
  <c r="AJ256" i="96"/>
  <c r="AJ259" i="96" s="1"/>
  <c r="AJ260" i="96" s="1"/>
  <c r="AL104" i="96"/>
  <c r="AL107" i="96" s="1"/>
  <c r="AL108" i="96" s="1"/>
  <c r="AK224" i="92"/>
  <c r="AK300" i="92" s="1"/>
  <c r="AK376" i="92" s="1"/>
  <c r="AK400" i="92" s="1"/>
  <c r="AK401" i="92" s="1"/>
  <c r="AL148" i="96"/>
  <c r="AL172" i="96" s="1"/>
  <c r="AL173" i="96" s="1"/>
  <c r="AL180" i="96" s="1"/>
  <c r="AL183" i="96" s="1"/>
  <c r="AL148" i="92"/>
  <c r="AL172" i="92" s="1"/>
  <c r="AL173" i="92" s="1"/>
  <c r="AL180" i="92" s="1"/>
  <c r="AK209" i="96"/>
  <c r="AK210" i="96" s="1"/>
  <c r="AL104" i="92"/>
  <c r="AL107" i="92" s="1"/>
  <c r="AL108" i="92" s="1"/>
  <c r="AK224" i="96"/>
  <c r="AK300" i="96" s="1"/>
  <c r="AK376" i="96" s="1"/>
  <c r="AK400" i="96" s="1"/>
  <c r="AK401" i="96" s="1"/>
  <c r="AM72" i="92"/>
  <c r="AM96" i="92" s="1"/>
  <c r="AM97" i="92" s="1"/>
  <c r="AM104" i="92" s="1"/>
  <c r="AM130" i="92" s="1"/>
  <c r="AK209" i="92"/>
  <c r="AK210" i="92" s="1"/>
  <c r="AM72" i="96"/>
  <c r="AM148" i="96" s="1"/>
  <c r="AM224" i="96" s="1"/>
  <c r="AK140" i="14"/>
  <c r="AK127" i="14"/>
  <c r="AE310" i="96"/>
  <c r="AE320" i="96" s="1"/>
  <c r="AE386" i="96"/>
  <c r="AE396" i="96" s="1"/>
  <c r="AE310" i="88"/>
  <c r="AE320" i="88" s="1"/>
  <c r="AE386" i="88"/>
  <c r="AE396" i="88" s="1"/>
  <c r="AE310" i="92"/>
  <c r="AE320" i="92" s="1"/>
  <c r="AE386" i="92"/>
  <c r="AE396" i="92" s="1"/>
  <c r="AF310" i="52"/>
  <c r="AF320" i="52" s="1"/>
  <c r="AF386" i="52"/>
  <c r="AF396" i="52" s="1"/>
  <c r="AF158" i="52"/>
  <c r="AF168" i="52" s="1"/>
  <c r="AF234" i="52"/>
  <c r="AF244" i="52" s="1"/>
  <c r="AE158" i="92"/>
  <c r="AE168" i="92" s="1"/>
  <c r="AE234" i="92"/>
  <c r="AE244" i="92" s="1"/>
  <c r="AE158" i="96"/>
  <c r="AE168" i="96" s="1"/>
  <c r="AE234" i="96"/>
  <c r="AE244" i="96" s="1"/>
  <c r="AE158" i="88"/>
  <c r="AE168" i="88" s="1"/>
  <c r="AE234" i="88"/>
  <c r="AE244" i="88" s="1"/>
  <c r="AF82" i="92"/>
  <c r="AE92" i="92"/>
  <c r="AG82" i="52"/>
  <c r="AF92" i="52"/>
  <c r="AF82" i="96"/>
  <c r="AE92" i="96"/>
  <c r="AF82" i="88"/>
  <c r="AE92" i="88"/>
  <c r="AL114" i="14"/>
  <c r="AJ183" i="88"/>
  <c r="AJ184" i="88" s="1"/>
  <c r="AH358" i="52"/>
  <c r="AK130" i="52"/>
  <c r="AK130" i="88"/>
  <c r="AI434" i="92"/>
  <c r="AI335" i="96"/>
  <c r="AI336" i="96" s="1"/>
  <c r="AI335" i="88"/>
  <c r="AI336" i="88" s="1"/>
  <c r="AI411" i="96"/>
  <c r="AI412" i="96" s="1"/>
  <c r="AJ183" i="52"/>
  <c r="AJ184" i="52" s="1"/>
  <c r="AI335" i="92"/>
  <c r="AI336" i="92" s="1"/>
  <c r="AK183" i="88"/>
  <c r="AK184" i="88" s="1"/>
  <c r="AI282" i="52"/>
  <c r="AL134" i="92"/>
  <c r="I40" i="92" s="1"/>
  <c r="AL134" i="96"/>
  <c r="I40" i="96" s="1"/>
  <c r="AH434" i="52"/>
  <c r="AJ282" i="88"/>
  <c r="AK183" i="96"/>
  <c r="AK184" i="96" s="1"/>
  <c r="AI332" i="52"/>
  <c r="AI335" i="52" s="1"/>
  <c r="AI361" i="52"/>
  <c r="AI362" i="52" s="1"/>
  <c r="AJ408" i="88"/>
  <c r="AJ434" i="88" s="1"/>
  <c r="AJ437" i="88"/>
  <c r="AJ438" i="88" s="1"/>
  <c r="AJ408" i="92"/>
  <c r="AJ411" i="92" s="1"/>
  <c r="AJ437" i="92"/>
  <c r="AJ438" i="92" s="1"/>
  <c r="AK256" i="88"/>
  <c r="AK259" i="88" s="1"/>
  <c r="AK285" i="88"/>
  <c r="AK286" i="88" s="1"/>
  <c r="AL104" i="52"/>
  <c r="AL130" i="52" s="1"/>
  <c r="AL133" i="52"/>
  <c r="I39" i="52" s="1"/>
  <c r="AK180" i="52"/>
  <c r="AK183" i="52" s="1"/>
  <c r="AK184" i="52" s="1"/>
  <c r="AK209" i="52"/>
  <c r="AK210" i="52" s="1"/>
  <c r="AK206" i="92"/>
  <c r="AJ259" i="92"/>
  <c r="AJ260" i="92" s="1"/>
  <c r="AI408" i="88"/>
  <c r="AI434" i="88" s="1"/>
  <c r="AI437" i="88"/>
  <c r="AI438" i="88" s="1"/>
  <c r="AM104" i="88"/>
  <c r="AM107" i="88" s="1"/>
  <c r="AM133" i="88"/>
  <c r="AM134" i="88" s="1"/>
  <c r="AL104" i="88"/>
  <c r="AL130" i="88" s="1"/>
  <c r="AL133" i="88"/>
  <c r="I39" i="88" s="1"/>
  <c r="AJ256" i="52"/>
  <c r="AJ282" i="52" s="1"/>
  <c r="AJ285" i="52"/>
  <c r="AJ286" i="52" s="1"/>
  <c r="AI408" i="52"/>
  <c r="AI411" i="52" s="1"/>
  <c r="AI437" i="52"/>
  <c r="AI438" i="52" s="1"/>
  <c r="AL180" i="88"/>
  <c r="AL183" i="88" s="1"/>
  <c r="AL209" i="88"/>
  <c r="AJ332" i="88"/>
  <c r="AJ335" i="88" s="1"/>
  <c r="AJ361" i="88"/>
  <c r="AJ362" i="88" s="1"/>
  <c r="AJ332" i="92"/>
  <c r="AJ335" i="92" s="1"/>
  <c r="AJ361" i="92"/>
  <c r="AJ362" i="92" s="1"/>
  <c r="AN72" i="52"/>
  <c r="AN72" i="88"/>
  <c r="AN96" i="88" s="1"/>
  <c r="AN97" i="88" s="1"/>
  <c r="S124" i="92"/>
  <c r="S127" i="92"/>
  <c r="S136" i="92" s="1"/>
  <c r="S137" i="92" s="1"/>
  <c r="T110" i="92"/>
  <c r="T111" i="92" s="1"/>
  <c r="T112" i="92" s="1"/>
  <c r="T113" i="92"/>
  <c r="W207" i="52"/>
  <c r="W337" i="52"/>
  <c r="W341" i="52" s="1"/>
  <c r="S435" i="96"/>
  <c r="S417" i="96"/>
  <c r="S418" i="96" s="1"/>
  <c r="S431" i="96" s="1"/>
  <c r="S440" i="96" s="1"/>
  <c r="R431" i="96"/>
  <c r="R440" i="96" s="1"/>
  <c r="R441" i="96" s="1"/>
  <c r="T341" i="92"/>
  <c r="T342" i="92" s="1"/>
  <c r="T355" i="92" s="1"/>
  <c r="T364" i="92" s="1"/>
  <c r="T365" i="92" s="1"/>
  <c r="T359" i="92"/>
  <c r="U283" i="92"/>
  <c r="T127" i="88"/>
  <c r="T136" i="88" s="1"/>
  <c r="T137" i="88" s="1"/>
  <c r="U337" i="88"/>
  <c r="U341" i="88" s="1"/>
  <c r="U207" i="96"/>
  <c r="R417" i="88"/>
  <c r="R418" i="88" s="1"/>
  <c r="T190" i="88"/>
  <c r="T200" i="88" s="1"/>
  <c r="U185" i="88"/>
  <c r="U186" i="88" s="1"/>
  <c r="U187" i="88" s="1"/>
  <c r="U188" i="88" s="1"/>
  <c r="S203" i="96"/>
  <c r="S212" i="96" s="1"/>
  <c r="S213" i="96" s="1"/>
  <c r="S200" i="96"/>
  <c r="T189" i="96"/>
  <c r="T186" i="96"/>
  <c r="T187" i="96" s="1"/>
  <c r="T188" i="96" s="1"/>
  <c r="T337" i="96"/>
  <c r="T338" i="96" s="1"/>
  <c r="T339" i="96" s="1"/>
  <c r="T340" i="96" s="1"/>
  <c r="S341" i="96"/>
  <c r="S342" i="96" s="1"/>
  <c r="S352" i="96" s="1"/>
  <c r="V109" i="88"/>
  <c r="V131" i="88"/>
  <c r="S413" i="88"/>
  <c r="S414" i="88" s="1"/>
  <c r="S415" i="88" s="1"/>
  <c r="S416" i="88" s="1"/>
  <c r="U113" i="88"/>
  <c r="U110" i="88"/>
  <c r="U111" i="88" s="1"/>
  <c r="U112" i="88" s="1"/>
  <c r="T137" i="96"/>
  <c r="U114" i="96"/>
  <c r="V283" i="92"/>
  <c r="S352" i="92"/>
  <c r="U279" i="88"/>
  <c r="U288" i="88" s="1"/>
  <c r="U289" i="88" s="1"/>
  <c r="R418" i="92"/>
  <c r="R428" i="92" s="1"/>
  <c r="V265" i="52"/>
  <c r="V262" i="52"/>
  <c r="V263" i="52" s="1"/>
  <c r="V264" i="52" s="1"/>
  <c r="T266" i="92"/>
  <c r="T279" i="92" s="1"/>
  <c r="T288" i="92" s="1"/>
  <c r="T289" i="92" s="1"/>
  <c r="S413" i="92"/>
  <c r="S435" i="92"/>
  <c r="T266" i="96"/>
  <c r="T276" i="96" s="1"/>
  <c r="U265" i="92"/>
  <c r="U262" i="92"/>
  <c r="U263" i="92" s="1"/>
  <c r="U264" i="92" s="1"/>
  <c r="U283" i="96"/>
  <c r="U261" i="96"/>
  <c r="T342" i="88"/>
  <c r="T355" i="88" s="1"/>
  <c r="T364" i="88" s="1"/>
  <c r="W261" i="88"/>
  <c r="W283" i="88"/>
  <c r="V262" i="88"/>
  <c r="V263" i="88" s="1"/>
  <c r="V264" i="88" s="1"/>
  <c r="V265" i="88"/>
  <c r="W190" i="92"/>
  <c r="W200" i="92" s="1"/>
  <c r="T431" i="52"/>
  <c r="T440" i="52" s="1"/>
  <c r="T428" i="52"/>
  <c r="U417" i="52"/>
  <c r="U414" i="52"/>
  <c r="U415" i="52" s="1"/>
  <c r="U416" i="52" s="1"/>
  <c r="X189" i="92"/>
  <c r="X186" i="92"/>
  <c r="X187" i="92" s="1"/>
  <c r="X188" i="92" s="1"/>
  <c r="V200" i="52"/>
  <c r="V203" i="52"/>
  <c r="V212" i="52" s="1"/>
  <c r="AM72" i="14"/>
  <c r="AM59" i="14"/>
  <c r="AM122" i="14"/>
  <c r="AM135" i="14"/>
  <c r="S352" i="88"/>
  <c r="S355" i="88"/>
  <c r="S364" i="88" s="1"/>
  <c r="S365" i="88" s="1"/>
  <c r="V342" i="52"/>
  <c r="Y185" i="92"/>
  <c r="Y207" i="92"/>
  <c r="AI412" i="92"/>
  <c r="AK184" i="92"/>
  <c r="AM148" i="88"/>
  <c r="AM172" i="88" s="1"/>
  <c r="AM173" i="88" s="1"/>
  <c r="U127" i="52"/>
  <c r="U136" i="52" s="1"/>
  <c r="U137" i="52" s="1"/>
  <c r="AL300" i="88"/>
  <c r="AL248" i="88"/>
  <c r="AL249" i="88" s="1"/>
  <c r="AK324" i="88"/>
  <c r="AK325" i="88" s="1"/>
  <c r="AK376" i="88"/>
  <c r="AK400" i="88" s="1"/>
  <c r="AK401" i="88" s="1"/>
  <c r="AJ260" i="88"/>
  <c r="AL224" i="52"/>
  <c r="AL172" i="52"/>
  <c r="AL173" i="52" s="1"/>
  <c r="AK300" i="52"/>
  <c r="AK248" i="52"/>
  <c r="AK249" i="52" s="1"/>
  <c r="AL125" i="14"/>
  <c r="AL138" i="14"/>
  <c r="AI260" i="52"/>
  <c r="AJ324" i="52"/>
  <c r="AJ325" i="52" s="1"/>
  <c r="AJ376" i="52"/>
  <c r="AJ400" i="52" s="1"/>
  <c r="AJ401" i="52" s="1"/>
  <c r="AH336" i="52"/>
  <c r="AH412" i="52"/>
  <c r="AL62" i="14"/>
  <c r="AL64" i="14" s="1"/>
  <c r="AL75" i="14"/>
  <c r="AL77" i="14" s="1"/>
  <c r="AM96" i="52"/>
  <c r="AM97" i="52" s="1"/>
  <c r="AM148" i="52"/>
  <c r="V113" i="52"/>
  <c r="V110" i="52"/>
  <c r="V111" i="52" s="1"/>
  <c r="V112" i="52" s="1"/>
  <c r="AL50" i="14"/>
  <c r="AM48" i="14"/>
  <c r="AM51" i="14" s="1"/>
  <c r="AM111" i="14"/>
  <c r="AM114" i="14" s="1"/>
  <c r="AN38" i="14"/>
  <c r="AN101" i="14"/>
  <c r="AJ408" i="96" l="1"/>
  <c r="AJ434" i="96" s="1"/>
  <c r="AJ282" i="96"/>
  <c r="AJ324" i="96"/>
  <c r="AJ325" i="96" s="1"/>
  <c r="AJ332" i="96" s="1"/>
  <c r="AJ358" i="96" s="1"/>
  <c r="AL130" i="96"/>
  <c r="AK248" i="96"/>
  <c r="AK249" i="96" s="1"/>
  <c r="AK256" i="96" s="1"/>
  <c r="AK259" i="96" s="1"/>
  <c r="AK260" i="96" s="1"/>
  <c r="AL224" i="92"/>
  <c r="AL248" i="92" s="1"/>
  <c r="AL249" i="92" s="1"/>
  <c r="AL256" i="92" s="1"/>
  <c r="AL282" i="92" s="1"/>
  <c r="AK248" i="92"/>
  <c r="AK249" i="92" s="1"/>
  <c r="AK285" i="92" s="1"/>
  <c r="AK286" i="92" s="1"/>
  <c r="AK324" i="92"/>
  <c r="AK325" i="92" s="1"/>
  <c r="AK332" i="92" s="1"/>
  <c r="AK335" i="92" s="1"/>
  <c r="AL224" i="96"/>
  <c r="AL300" i="96" s="1"/>
  <c r="AL324" i="96" s="1"/>
  <c r="AL325" i="96" s="1"/>
  <c r="AK324" i="96"/>
  <c r="AK325" i="96" s="1"/>
  <c r="AK361" i="96" s="1"/>
  <c r="AK362" i="96" s="1"/>
  <c r="AL130" i="92"/>
  <c r="AM96" i="96"/>
  <c r="AM97" i="96" s="1"/>
  <c r="AM133" i="96" s="1"/>
  <c r="AM134" i="96" s="1"/>
  <c r="AM172" i="96"/>
  <c r="AM173" i="96" s="1"/>
  <c r="AM209" i="96" s="1"/>
  <c r="AM210" i="96" s="1"/>
  <c r="AM133" i="92"/>
  <c r="AM134" i="92" s="1"/>
  <c r="AM148" i="92"/>
  <c r="AM172" i="92" s="1"/>
  <c r="AM173" i="92" s="1"/>
  <c r="AM209" i="92" s="1"/>
  <c r="AM210" i="92" s="1"/>
  <c r="AN72" i="92"/>
  <c r="AN148" i="92" s="1"/>
  <c r="AN224" i="92" s="1"/>
  <c r="AN72" i="96"/>
  <c r="AN96" i="96" s="1"/>
  <c r="AN97" i="96" s="1"/>
  <c r="AN133" i="96" s="1"/>
  <c r="AN134" i="96" s="1"/>
  <c r="AL127" i="14"/>
  <c r="AO72" i="96" s="1"/>
  <c r="AO148" i="96" s="1"/>
  <c r="AL140" i="14"/>
  <c r="AF310" i="88"/>
  <c r="AF320" i="88" s="1"/>
  <c r="AF386" i="88"/>
  <c r="AF396" i="88" s="1"/>
  <c r="AG310" i="52"/>
  <c r="AG320" i="52" s="1"/>
  <c r="AG386" i="52"/>
  <c r="AG396" i="52" s="1"/>
  <c r="AF310" i="92"/>
  <c r="AF320" i="92" s="1"/>
  <c r="AF386" i="92"/>
  <c r="AF396" i="92" s="1"/>
  <c r="AF310" i="96"/>
  <c r="AF320" i="96" s="1"/>
  <c r="AF386" i="96"/>
  <c r="AF396" i="96" s="1"/>
  <c r="AF158" i="96"/>
  <c r="AF168" i="96" s="1"/>
  <c r="AF234" i="96"/>
  <c r="AF244" i="96" s="1"/>
  <c r="AG158" i="52"/>
  <c r="AG168" i="52" s="1"/>
  <c r="AG234" i="52"/>
  <c r="AG244" i="52" s="1"/>
  <c r="AF158" i="92"/>
  <c r="AF168" i="92" s="1"/>
  <c r="AF234" i="92"/>
  <c r="AF244" i="92" s="1"/>
  <c r="AF158" i="88"/>
  <c r="AF168" i="88" s="1"/>
  <c r="AF234" i="88"/>
  <c r="AF244" i="88" s="1"/>
  <c r="AG82" i="88"/>
  <c r="AF92" i="88"/>
  <c r="AH82" i="52"/>
  <c r="AG92" i="52"/>
  <c r="AG82" i="92"/>
  <c r="AF92" i="92"/>
  <c r="AG82" i="96"/>
  <c r="AF92" i="96"/>
  <c r="AM113" i="14"/>
  <c r="U109" i="92"/>
  <c r="U131" i="92"/>
  <c r="T413" i="96"/>
  <c r="T417" i="96" s="1"/>
  <c r="AL206" i="88"/>
  <c r="AJ411" i="88"/>
  <c r="AJ412" i="88" s="1"/>
  <c r="AM130" i="88"/>
  <c r="AI434" i="52"/>
  <c r="AL209" i="92"/>
  <c r="I44" i="92" s="1"/>
  <c r="AL209" i="96"/>
  <c r="I44" i="96" s="1"/>
  <c r="AK282" i="88"/>
  <c r="AL210" i="88"/>
  <c r="I45" i="88" s="1"/>
  <c r="I44" i="88"/>
  <c r="AI358" i="52"/>
  <c r="AL206" i="92"/>
  <c r="AL183" i="92"/>
  <c r="AL184" i="92" s="1"/>
  <c r="AJ358" i="92"/>
  <c r="AL206" i="96"/>
  <c r="AL134" i="52"/>
  <c r="I40" i="52" s="1"/>
  <c r="AL107" i="52"/>
  <c r="AL108" i="52" s="1"/>
  <c r="AL134" i="88"/>
  <c r="I40" i="88" s="1"/>
  <c r="AJ434" i="92"/>
  <c r="AK408" i="88"/>
  <c r="AK411" i="88" s="1"/>
  <c r="AK437" i="88"/>
  <c r="AK438" i="88" s="1"/>
  <c r="AK408" i="96"/>
  <c r="AK434" i="96" s="1"/>
  <c r="AK437" i="96"/>
  <c r="AK438" i="96" s="1"/>
  <c r="AK332" i="88"/>
  <c r="AK358" i="88" s="1"/>
  <c r="AK361" i="88"/>
  <c r="AK362" i="88" s="1"/>
  <c r="AM104" i="52"/>
  <c r="AM130" i="52" s="1"/>
  <c r="AM133" i="52"/>
  <c r="AM134" i="52" s="1"/>
  <c r="AK206" i="52"/>
  <c r="AJ259" i="52"/>
  <c r="AJ260" i="52" s="1"/>
  <c r="AJ408" i="52"/>
  <c r="AJ411" i="52" s="1"/>
  <c r="AJ437" i="52"/>
  <c r="AJ438" i="52" s="1"/>
  <c r="AK256" i="52"/>
  <c r="AK259" i="52" s="1"/>
  <c r="AK260" i="52" s="1"/>
  <c r="AK285" i="52"/>
  <c r="AK286" i="52" s="1"/>
  <c r="AJ358" i="88"/>
  <c r="AM107" i="92"/>
  <c r="AM108" i="92" s="1"/>
  <c r="AK408" i="92"/>
  <c r="AK411" i="92" s="1"/>
  <c r="AK437" i="92"/>
  <c r="AK438" i="92" s="1"/>
  <c r="AJ332" i="52"/>
  <c r="AJ335" i="52" s="1"/>
  <c r="AJ361" i="52"/>
  <c r="AJ362" i="52" s="1"/>
  <c r="AM180" i="88"/>
  <c r="AM183" i="88" s="1"/>
  <c r="AM209" i="88"/>
  <c r="AM210" i="88" s="1"/>
  <c r="AN104" i="88"/>
  <c r="AN107" i="88" s="1"/>
  <c r="AN133" i="88"/>
  <c r="AN134" i="88" s="1"/>
  <c r="AL180" i="52"/>
  <c r="AL206" i="52" s="1"/>
  <c r="AL209" i="52"/>
  <c r="AL256" i="88"/>
  <c r="AL282" i="88" s="1"/>
  <c r="AL285" i="88"/>
  <c r="AL107" i="88"/>
  <c r="AL108" i="88" s="1"/>
  <c r="AI411" i="88"/>
  <c r="AI412" i="88" s="1"/>
  <c r="AO72" i="88"/>
  <c r="AO148" i="88" s="1"/>
  <c r="AO72" i="52"/>
  <c r="T114" i="92"/>
  <c r="T124" i="92" s="1"/>
  <c r="X359" i="52"/>
  <c r="W185" i="52"/>
  <c r="W186" i="52" s="1"/>
  <c r="W187" i="52" s="1"/>
  <c r="W188" i="52" s="1"/>
  <c r="W338" i="52"/>
  <c r="W339" i="52" s="1"/>
  <c r="W340" i="52" s="1"/>
  <c r="W342" i="52" s="1"/>
  <c r="S441" i="96"/>
  <c r="S428" i="96"/>
  <c r="U338" i="88"/>
  <c r="U339" i="88" s="1"/>
  <c r="U340" i="88" s="1"/>
  <c r="U342" i="88" s="1"/>
  <c r="U185" i="96"/>
  <c r="U189" i="96" s="1"/>
  <c r="S417" i="88"/>
  <c r="S418" i="88" s="1"/>
  <c r="S428" i="88" s="1"/>
  <c r="V261" i="92"/>
  <c r="V265" i="92" s="1"/>
  <c r="U189" i="88"/>
  <c r="U190" i="88" s="1"/>
  <c r="U200" i="88" s="1"/>
  <c r="T341" i="96"/>
  <c r="T342" i="96" s="1"/>
  <c r="T355" i="96" s="1"/>
  <c r="T364" i="96" s="1"/>
  <c r="T359" i="96"/>
  <c r="S355" i="96"/>
  <c r="S364" i="96" s="1"/>
  <c r="S365" i="96" s="1"/>
  <c r="T203" i="88"/>
  <c r="T212" i="88" s="1"/>
  <c r="T213" i="88" s="1"/>
  <c r="T190" i="96"/>
  <c r="T203" i="96" s="1"/>
  <c r="T212" i="96" s="1"/>
  <c r="T213" i="96" s="1"/>
  <c r="V131" i="96"/>
  <c r="V109" i="96"/>
  <c r="U114" i="88"/>
  <c r="U124" i="88" s="1"/>
  <c r="S435" i="88"/>
  <c r="V113" i="88"/>
  <c r="V110" i="88"/>
  <c r="V111" i="88" s="1"/>
  <c r="V112" i="88" s="1"/>
  <c r="U124" i="96"/>
  <c r="U127" i="96"/>
  <c r="U136" i="96" s="1"/>
  <c r="U137" i="96" s="1"/>
  <c r="R431" i="92"/>
  <c r="R440" i="92" s="1"/>
  <c r="R441" i="92" s="1"/>
  <c r="T352" i="88"/>
  <c r="T352" i="92"/>
  <c r="T276" i="92"/>
  <c r="T279" i="96"/>
  <c r="T288" i="96" s="1"/>
  <c r="T289" i="96" s="1"/>
  <c r="V266" i="52"/>
  <c r="W283" i="52"/>
  <c r="W261" i="52"/>
  <c r="U266" i="92"/>
  <c r="U279" i="92" s="1"/>
  <c r="U288" i="92" s="1"/>
  <c r="U289" i="92" s="1"/>
  <c r="S417" i="92"/>
  <c r="S414" i="92"/>
  <c r="S415" i="92" s="1"/>
  <c r="S416" i="92" s="1"/>
  <c r="U262" i="96"/>
  <c r="U263" i="96" s="1"/>
  <c r="U264" i="96" s="1"/>
  <c r="U265" i="96"/>
  <c r="V261" i="96"/>
  <c r="V283" i="96"/>
  <c r="V266" i="88"/>
  <c r="V276" i="88" s="1"/>
  <c r="W262" i="88"/>
  <c r="W263" i="88" s="1"/>
  <c r="W264" i="88" s="1"/>
  <c r="W265" i="88"/>
  <c r="W203" i="92"/>
  <c r="W212" i="92" s="1"/>
  <c r="W213" i="92" s="1"/>
  <c r="U418" i="52"/>
  <c r="U428" i="52" s="1"/>
  <c r="V435" i="52"/>
  <c r="V413" i="52"/>
  <c r="T441" i="52"/>
  <c r="R428" i="88"/>
  <c r="R431" i="88"/>
  <c r="R440" i="88" s="1"/>
  <c r="Y189" i="92"/>
  <c r="Y186" i="92"/>
  <c r="Y187" i="92" s="1"/>
  <c r="Y188" i="92" s="1"/>
  <c r="X190" i="92"/>
  <c r="V213" i="52"/>
  <c r="V352" i="52"/>
  <c r="V355" i="52"/>
  <c r="V364" i="52" s="1"/>
  <c r="V365" i="52" s="1"/>
  <c r="T365" i="88"/>
  <c r="AN135" i="14"/>
  <c r="AN122" i="14"/>
  <c r="AN72" i="14"/>
  <c r="AN59" i="14"/>
  <c r="AN148" i="88"/>
  <c r="AN224" i="88" s="1"/>
  <c r="AM224" i="88"/>
  <c r="AM248" i="88" s="1"/>
  <c r="AM249" i="88" s="1"/>
  <c r="AL184" i="96"/>
  <c r="AM300" i="96"/>
  <c r="AM248" i="96"/>
  <c r="AM249" i="96" s="1"/>
  <c r="AJ412" i="92"/>
  <c r="AJ336" i="92"/>
  <c r="AM108" i="88"/>
  <c r="AK260" i="88"/>
  <c r="AL376" i="88"/>
  <c r="AL400" i="88" s="1"/>
  <c r="AL401" i="88" s="1"/>
  <c r="AL324" i="88"/>
  <c r="AL325" i="88" s="1"/>
  <c r="AL184" i="88"/>
  <c r="AJ336" i="88"/>
  <c r="AK376" i="52"/>
  <c r="AK400" i="52" s="1"/>
  <c r="AK401" i="52" s="1"/>
  <c r="AK324" i="52"/>
  <c r="AK325" i="52" s="1"/>
  <c r="AM62" i="14"/>
  <c r="AM64" i="14" s="1"/>
  <c r="AM75" i="14"/>
  <c r="AM77" i="14" s="1"/>
  <c r="AL300" i="52"/>
  <c r="AL248" i="52"/>
  <c r="AL249" i="52" s="1"/>
  <c r="AM224" i="52"/>
  <c r="AM172" i="52"/>
  <c r="AM173" i="52" s="1"/>
  <c r="AN148" i="52"/>
  <c r="AN96" i="52"/>
  <c r="AN97" i="52" s="1"/>
  <c r="AI336" i="52"/>
  <c r="AM125" i="14"/>
  <c r="AM138" i="14"/>
  <c r="AI412" i="52"/>
  <c r="V114" i="52"/>
  <c r="V124" i="52" s="1"/>
  <c r="W109" i="52"/>
  <c r="W131" i="52"/>
  <c r="AM50" i="14"/>
  <c r="AN111" i="14"/>
  <c r="AN114" i="14" s="1"/>
  <c r="AN48" i="14"/>
  <c r="AN51" i="14" s="1"/>
  <c r="AO101" i="14"/>
  <c r="AO38" i="14"/>
  <c r="AJ411" i="96" l="1"/>
  <c r="AJ412" i="96" s="1"/>
  <c r="AM104" i="96"/>
  <c r="AM107" i="96" s="1"/>
  <c r="AM108" i="96" s="1"/>
  <c r="AJ361" i="96"/>
  <c r="AJ362" i="96" s="1"/>
  <c r="AL285" i="92"/>
  <c r="I49" i="92" s="1"/>
  <c r="AK332" i="96"/>
  <c r="AK335" i="96" s="1"/>
  <c r="AK336" i="96" s="1"/>
  <c r="AM180" i="92"/>
  <c r="AM206" i="92" s="1"/>
  <c r="AK285" i="96"/>
  <c r="AK286" i="96" s="1"/>
  <c r="AL300" i="92"/>
  <c r="AL376" i="92" s="1"/>
  <c r="AL400" i="92" s="1"/>
  <c r="AL401" i="92" s="1"/>
  <c r="AL437" i="92" s="1"/>
  <c r="AL376" i="96"/>
  <c r="AL400" i="96" s="1"/>
  <c r="AL401" i="96" s="1"/>
  <c r="AL408" i="96" s="1"/>
  <c r="AL434" i="96" s="1"/>
  <c r="AK256" i="92"/>
  <c r="AK282" i="92" s="1"/>
  <c r="AL248" i="96"/>
  <c r="AL249" i="96" s="1"/>
  <c r="AL285" i="96" s="1"/>
  <c r="AK361" i="92"/>
  <c r="AK362" i="92" s="1"/>
  <c r="AM180" i="96"/>
  <c r="AM206" i="96" s="1"/>
  <c r="AM224" i="92"/>
  <c r="AM248" i="92" s="1"/>
  <c r="AM249" i="92" s="1"/>
  <c r="AM256" i="92" s="1"/>
  <c r="AM282" i="92" s="1"/>
  <c r="AN104" i="96"/>
  <c r="AN107" i="96" s="1"/>
  <c r="AN108" i="96" s="1"/>
  <c r="AN172" i="92"/>
  <c r="AN173" i="92" s="1"/>
  <c r="AN209" i="92" s="1"/>
  <c r="AN210" i="92" s="1"/>
  <c r="AN96" i="92"/>
  <c r="AN97" i="92" s="1"/>
  <c r="AN133" i="92" s="1"/>
  <c r="AN134" i="92" s="1"/>
  <c r="AN148" i="96"/>
  <c r="AN224" i="96" s="1"/>
  <c r="AN300" i="96" s="1"/>
  <c r="AO72" i="92"/>
  <c r="AO148" i="92" s="1"/>
  <c r="AO224" i="92" s="1"/>
  <c r="AM140" i="14"/>
  <c r="AM127" i="14"/>
  <c r="AP72" i="96" s="1"/>
  <c r="AP148" i="96" s="1"/>
  <c r="AG310" i="92"/>
  <c r="AG320" i="92" s="1"/>
  <c r="AG386" i="92"/>
  <c r="AG396" i="92" s="1"/>
  <c r="AG310" i="88"/>
  <c r="AG320" i="88" s="1"/>
  <c r="AG386" i="88"/>
  <c r="AG396" i="88" s="1"/>
  <c r="AG310" i="96"/>
  <c r="AG320" i="96" s="1"/>
  <c r="AG386" i="96"/>
  <c r="AG396" i="96" s="1"/>
  <c r="AH310" i="52"/>
  <c r="AH320" i="52" s="1"/>
  <c r="AH386" i="52"/>
  <c r="AH396" i="52" s="1"/>
  <c r="AG158" i="88"/>
  <c r="AG168" i="88" s="1"/>
  <c r="AG234" i="88"/>
  <c r="AG244" i="88" s="1"/>
  <c r="AG158" i="92"/>
  <c r="AG168" i="92" s="1"/>
  <c r="AG234" i="92"/>
  <c r="AG244" i="92" s="1"/>
  <c r="AH158" i="52"/>
  <c r="AH168" i="52" s="1"/>
  <c r="AH234" i="52"/>
  <c r="AH244" i="52" s="1"/>
  <c r="AG158" i="96"/>
  <c r="AG168" i="96" s="1"/>
  <c r="AG234" i="96"/>
  <c r="AG244" i="96" s="1"/>
  <c r="AH82" i="96"/>
  <c r="AG92" i="96"/>
  <c r="AI82" i="52"/>
  <c r="AH92" i="52"/>
  <c r="AH82" i="88"/>
  <c r="AG92" i="88"/>
  <c r="AH82" i="92"/>
  <c r="AG92" i="92"/>
  <c r="AN113" i="14"/>
  <c r="U113" i="92"/>
  <c r="U110" i="92"/>
  <c r="U111" i="92" s="1"/>
  <c r="U112" i="92" s="1"/>
  <c r="T435" i="96"/>
  <c r="T414" i="96"/>
  <c r="T415" i="96" s="1"/>
  <c r="T416" i="96" s="1"/>
  <c r="T418" i="96" s="1"/>
  <c r="T428" i="96" s="1"/>
  <c r="U413" i="96"/>
  <c r="AJ335" i="96"/>
  <c r="AJ336" i="96" s="1"/>
  <c r="AL210" i="96"/>
  <c r="I45" i="96" s="1"/>
  <c r="AL210" i="92"/>
  <c r="I45" i="92" s="1"/>
  <c r="AM206" i="88"/>
  <c r="AL210" i="52"/>
  <c r="I45" i="52" s="1"/>
  <c r="I44" i="52"/>
  <c r="AL286" i="88"/>
  <c r="I50" i="88" s="1"/>
  <c r="I49" i="88"/>
  <c r="AK434" i="88"/>
  <c r="AL259" i="92"/>
  <c r="AL260" i="92" s="1"/>
  <c r="AJ434" i="52"/>
  <c r="AK335" i="88"/>
  <c r="AK336" i="88" s="1"/>
  <c r="AK434" i="92"/>
  <c r="AK282" i="52"/>
  <c r="AL183" i="52"/>
  <c r="AL184" i="52" s="1"/>
  <c r="AN130" i="88"/>
  <c r="AK282" i="96"/>
  <c r="AM107" i="52"/>
  <c r="AM108" i="52" s="1"/>
  <c r="AN104" i="52"/>
  <c r="AN130" i="52" s="1"/>
  <c r="AN133" i="52"/>
  <c r="AN134" i="52" s="1"/>
  <c r="AK332" i="52"/>
  <c r="AK335" i="52" s="1"/>
  <c r="AK336" i="52" s="1"/>
  <c r="AK361" i="52"/>
  <c r="AK362" i="52" s="1"/>
  <c r="AL408" i="88"/>
  <c r="AL411" i="88" s="1"/>
  <c r="AL437" i="88"/>
  <c r="AK411" i="96"/>
  <c r="AK412" i="96" s="1"/>
  <c r="AM180" i="52"/>
  <c r="AM206" i="52" s="1"/>
  <c r="AM209" i="52"/>
  <c r="AM210" i="52" s="1"/>
  <c r="AJ358" i="52"/>
  <c r="AL259" i="88"/>
  <c r="AL260" i="88" s="1"/>
  <c r="AK358" i="92"/>
  <c r="AL332" i="88"/>
  <c r="AL335" i="88" s="1"/>
  <c r="AL361" i="88"/>
  <c r="AM256" i="96"/>
  <c r="AM259" i="96" s="1"/>
  <c r="AM285" i="96"/>
  <c r="AM286" i="96" s="1"/>
  <c r="AL332" i="96"/>
  <c r="AL335" i="96" s="1"/>
  <c r="AL361" i="96"/>
  <c r="AM256" i="88"/>
  <c r="AM259" i="88" s="1"/>
  <c r="AM285" i="88"/>
  <c r="AM286" i="88" s="1"/>
  <c r="AL256" i="52"/>
  <c r="AL259" i="52" s="1"/>
  <c r="AL260" i="52" s="1"/>
  <c r="AL285" i="52"/>
  <c r="AK408" i="52"/>
  <c r="AK434" i="52" s="1"/>
  <c r="AK437" i="52"/>
  <c r="AK438" i="52" s="1"/>
  <c r="AP72" i="88"/>
  <c r="AP148" i="88" s="1"/>
  <c r="AP72" i="52"/>
  <c r="X337" i="52"/>
  <c r="X341" i="52" s="1"/>
  <c r="Y359" i="52"/>
  <c r="T127" i="92"/>
  <c r="T136" i="92" s="1"/>
  <c r="T137" i="92" s="1"/>
  <c r="W189" i="52"/>
  <c r="W190" i="52" s="1"/>
  <c r="W200" i="52" s="1"/>
  <c r="V359" i="88"/>
  <c r="U186" i="96"/>
  <c r="U187" i="96" s="1"/>
  <c r="U188" i="96" s="1"/>
  <c r="U190" i="96" s="1"/>
  <c r="V262" i="92"/>
  <c r="V263" i="92" s="1"/>
  <c r="V264" i="92" s="1"/>
  <c r="V266" i="92" s="1"/>
  <c r="U203" i="88"/>
  <c r="U212" i="88" s="1"/>
  <c r="U213" i="88" s="1"/>
  <c r="W283" i="92"/>
  <c r="T200" i="96"/>
  <c r="U359" i="96"/>
  <c r="T352" i="96"/>
  <c r="T365" i="96"/>
  <c r="V207" i="88"/>
  <c r="V185" i="88"/>
  <c r="U127" i="88"/>
  <c r="U136" i="88" s="1"/>
  <c r="U137" i="88" s="1"/>
  <c r="V110" i="96"/>
  <c r="V111" i="96" s="1"/>
  <c r="V112" i="96" s="1"/>
  <c r="V113" i="96"/>
  <c r="W131" i="96"/>
  <c r="W109" i="96"/>
  <c r="V114" i="88"/>
  <c r="V127" i="88" s="1"/>
  <c r="V136" i="88" s="1"/>
  <c r="W131" i="88"/>
  <c r="W109" i="88"/>
  <c r="V279" i="88"/>
  <c r="V288" i="88" s="1"/>
  <c r="V289" i="88" s="1"/>
  <c r="U276" i="92"/>
  <c r="X261" i="52"/>
  <c r="X283" i="52"/>
  <c r="V276" i="52"/>
  <c r="V279" i="52"/>
  <c r="V288" i="52" s="1"/>
  <c r="V289" i="52" s="1"/>
  <c r="W262" i="52"/>
  <c r="W263" i="52" s="1"/>
  <c r="W264" i="52" s="1"/>
  <c r="W265" i="52"/>
  <c r="S418" i="92"/>
  <c r="S428" i="92" s="1"/>
  <c r="W283" i="96"/>
  <c r="T413" i="92"/>
  <c r="T435" i="92"/>
  <c r="V262" i="96"/>
  <c r="V263" i="96" s="1"/>
  <c r="V264" i="96" s="1"/>
  <c r="V265" i="96"/>
  <c r="U266" i="96"/>
  <c r="S431" i="88"/>
  <c r="S440" i="88" s="1"/>
  <c r="S441" i="88" s="1"/>
  <c r="U431" i="52"/>
  <c r="U440" i="52" s="1"/>
  <c r="U441" i="52" s="1"/>
  <c r="X283" i="88"/>
  <c r="X261" i="88"/>
  <c r="W266" i="88"/>
  <c r="AO96" i="96"/>
  <c r="AO97" i="96" s="1"/>
  <c r="W435" i="52"/>
  <c r="W413" i="52"/>
  <c r="Y190" i="92"/>
  <c r="Y200" i="92" s="1"/>
  <c r="R441" i="88"/>
  <c r="V414" i="52"/>
  <c r="V415" i="52" s="1"/>
  <c r="V416" i="52" s="1"/>
  <c r="V417" i="52"/>
  <c r="X207" i="52"/>
  <c r="X185" i="52"/>
  <c r="AO59" i="14"/>
  <c r="AO72" i="14"/>
  <c r="Z185" i="92"/>
  <c r="Z207" i="92"/>
  <c r="AN172" i="88"/>
  <c r="AN173" i="88" s="1"/>
  <c r="W337" i="88"/>
  <c r="W359" i="88"/>
  <c r="W355" i="52"/>
  <c r="W364" i="52" s="1"/>
  <c r="W352" i="52"/>
  <c r="U355" i="88"/>
  <c r="U364" i="88" s="1"/>
  <c r="U365" i="88" s="1"/>
  <c r="U352" i="88"/>
  <c r="X203" i="92"/>
  <c r="X212" i="92" s="1"/>
  <c r="X213" i="92" s="1"/>
  <c r="X200" i="92"/>
  <c r="AO122" i="14"/>
  <c r="AO135" i="14"/>
  <c r="AM300" i="88"/>
  <c r="AM376" i="88" s="1"/>
  <c r="AM400" i="88" s="1"/>
  <c r="AM401" i="88" s="1"/>
  <c r="AO224" i="96"/>
  <c r="AO172" i="96"/>
  <c r="AO173" i="96" s="1"/>
  <c r="AM376" i="96"/>
  <c r="AM400" i="96" s="1"/>
  <c r="AM401" i="96" s="1"/>
  <c r="AM324" i="96"/>
  <c r="AM325" i="96" s="1"/>
  <c r="AN300" i="92"/>
  <c r="AN248" i="92"/>
  <c r="AN249" i="92" s="1"/>
  <c r="AK336" i="92"/>
  <c r="AK412" i="92"/>
  <c r="AO96" i="88"/>
  <c r="AO97" i="88" s="1"/>
  <c r="AN108" i="88"/>
  <c r="AK412" i="88"/>
  <c r="AO224" i="88"/>
  <c r="AO172" i="88"/>
  <c r="AO173" i="88" s="1"/>
  <c r="AM184" i="88"/>
  <c r="AN248" i="88"/>
  <c r="AN249" i="88" s="1"/>
  <c r="AN300" i="88"/>
  <c r="AN172" i="52"/>
  <c r="AN173" i="52" s="1"/>
  <c r="AN224" i="52"/>
  <c r="AN62" i="14"/>
  <c r="AN64" i="14" s="1"/>
  <c r="AN75" i="14"/>
  <c r="AN77" i="14" s="1"/>
  <c r="AN125" i="14"/>
  <c r="AN138" i="14"/>
  <c r="AO148" i="52"/>
  <c r="AO96" i="52"/>
  <c r="AO97" i="52" s="1"/>
  <c r="AM300" i="52"/>
  <c r="AM248" i="52"/>
  <c r="AM249" i="52" s="1"/>
  <c r="AJ412" i="52"/>
  <c r="AL376" i="52"/>
  <c r="AL400" i="52" s="1"/>
  <c r="AL401" i="52" s="1"/>
  <c r="AL324" i="52"/>
  <c r="AL325" i="52" s="1"/>
  <c r="AJ336" i="52"/>
  <c r="V127" i="52"/>
  <c r="V136" i="52" s="1"/>
  <c r="V137" i="52" s="1"/>
  <c r="W113" i="52"/>
  <c r="W110" i="52"/>
  <c r="AN50" i="14"/>
  <c r="AO111" i="14"/>
  <c r="AO113" i="14" s="1"/>
  <c r="AO48" i="14"/>
  <c r="AO51" i="14" s="1"/>
  <c r="AP101" i="14"/>
  <c r="AP38" i="14"/>
  <c r="AM130" i="96" l="1"/>
  <c r="AL286" i="92"/>
  <c r="I50" i="92" s="1"/>
  <c r="AK358" i="96"/>
  <c r="AK259" i="92"/>
  <c r="AK260" i="92" s="1"/>
  <c r="AL437" i="96"/>
  <c r="AL438" i="96" s="1"/>
  <c r="I60" i="96" s="1"/>
  <c r="AM183" i="92"/>
  <c r="AM184" i="92" s="1"/>
  <c r="AL256" i="96"/>
  <c r="AL259" i="96" s="1"/>
  <c r="AL260" i="96" s="1"/>
  <c r="AL408" i="92"/>
  <c r="AL434" i="92" s="1"/>
  <c r="AL324" i="92"/>
  <c r="AL325" i="92" s="1"/>
  <c r="AL361" i="92" s="1"/>
  <c r="AN248" i="96"/>
  <c r="AN249" i="96" s="1"/>
  <c r="AN285" i="96" s="1"/>
  <c r="AN286" i="96" s="1"/>
  <c r="AM183" i="96"/>
  <c r="AM184" i="96" s="1"/>
  <c r="AN104" i="92"/>
  <c r="AN130" i="92" s="1"/>
  <c r="AN180" i="92"/>
  <c r="AN206" i="92" s="1"/>
  <c r="AN172" i="96"/>
  <c r="AN173" i="96" s="1"/>
  <c r="AN180" i="96" s="1"/>
  <c r="AN206" i="96" s="1"/>
  <c r="AM285" i="92"/>
  <c r="AM286" i="92" s="1"/>
  <c r="AO172" i="92"/>
  <c r="AO173" i="92" s="1"/>
  <c r="AO209" i="92" s="1"/>
  <c r="AO210" i="92" s="1"/>
  <c r="AM300" i="92"/>
  <c r="AM376" i="92" s="1"/>
  <c r="AM400" i="92" s="1"/>
  <c r="AM401" i="92" s="1"/>
  <c r="AM408" i="92" s="1"/>
  <c r="AM434" i="92" s="1"/>
  <c r="AN130" i="96"/>
  <c r="AO96" i="92"/>
  <c r="AO97" i="92" s="1"/>
  <c r="AO133" i="92" s="1"/>
  <c r="AO134" i="92" s="1"/>
  <c r="AP72" i="92"/>
  <c r="AP148" i="92" s="1"/>
  <c r="AP172" i="92" s="1"/>
  <c r="AP173" i="92" s="1"/>
  <c r="AN140" i="14"/>
  <c r="AN127" i="14"/>
  <c r="AO114" i="14"/>
  <c r="AH310" i="92"/>
  <c r="AH320" i="92" s="1"/>
  <c r="AH386" i="92"/>
  <c r="AH396" i="92" s="1"/>
  <c r="AI310" i="52"/>
  <c r="AI320" i="52" s="1"/>
  <c r="AI386" i="52"/>
  <c r="AI396" i="52" s="1"/>
  <c r="AH310" i="88"/>
  <c r="AH320" i="88" s="1"/>
  <c r="AH386" i="88"/>
  <c r="AH396" i="88" s="1"/>
  <c r="AH310" i="96"/>
  <c r="AH320" i="96" s="1"/>
  <c r="AH386" i="96"/>
  <c r="AH396" i="96" s="1"/>
  <c r="AH158" i="92"/>
  <c r="AH168" i="92" s="1"/>
  <c r="AH234" i="92"/>
  <c r="AH244" i="92" s="1"/>
  <c r="AH158" i="96"/>
  <c r="AH168" i="96" s="1"/>
  <c r="AH234" i="96"/>
  <c r="AH244" i="96" s="1"/>
  <c r="AH158" i="88"/>
  <c r="AH168" i="88" s="1"/>
  <c r="AH234" i="88"/>
  <c r="AH244" i="88" s="1"/>
  <c r="AI158" i="52"/>
  <c r="AI168" i="52" s="1"/>
  <c r="AI234" i="52"/>
  <c r="AI244" i="52" s="1"/>
  <c r="AI82" i="96"/>
  <c r="AH92" i="96"/>
  <c r="AI82" i="88"/>
  <c r="AH92" i="88"/>
  <c r="AI82" i="92"/>
  <c r="AH92" i="92"/>
  <c r="AJ82" i="52"/>
  <c r="AI92" i="52"/>
  <c r="U114" i="92"/>
  <c r="U435" i="96"/>
  <c r="AL282" i="52"/>
  <c r="AL358" i="88"/>
  <c r="AL411" i="96"/>
  <c r="AL412" i="96" s="1"/>
  <c r="AL362" i="96"/>
  <c r="I55" i="96" s="1"/>
  <c r="I54" i="96"/>
  <c r="AL438" i="88"/>
  <c r="I60" i="88" s="1"/>
  <c r="I59" i="88"/>
  <c r="AL286" i="52"/>
  <c r="I50" i="52" s="1"/>
  <c r="I49" i="52"/>
  <c r="AL438" i="92"/>
  <c r="I60" i="92" s="1"/>
  <c r="I59" i="92"/>
  <c r="AL286" i="96"/>
  <c r="I50" i="96" s="1"/>
  <c r="I49" i="96"/>
  <c r="AL362" i="88"/>
  <c r="I55" i="88" s="1"/>
  <c r="I54" i="88"/>
  <c r="AN107" i="52"/>
  <c r="AN108" i="52" s="1"/>
  <c r="AL434" i="88"/>
  <c r="AL358" i="96"/>
  <c r="AM183" i="52"/>
  <c r="AM184" i="52" s="1"/>
  <c r="AK411" i="52"/>
  <c r="AK412" i="52" s="1"/>
  <c r="AM259" i="92"/>
  <c r="AM260" i="92" s="1"/>
  <c r="Y337" i="52"/>
  <c r="Y338" i="52" s="1"/>
  <c r="Y339" i="52" s="1"/>
  <c r="Y340" i="52" s="1"/>
  <c r="AK358" i="52"/>
  <c r="AM282" i="88"/>
  <c r="AM282" i="96"/>
  <c r="AO104" i="52"/>
  <c r="AO130" i="52" s="1"/>
  <c r="AO133" i="52"/>
  <c r="AO134" i="52" s="1"/>
  <c r="AL332" i="52"/>
  <c r="AL358" i="52" s="1"/>
  <c r="AL361" i="52"/>
  <c r="AM256" i="52"/>
  <c r="AM282" i="52" s="1"/>
  <c r="AM285" i="52"/>
  <c r="AM286" i="52" s="1"/>
  <c r="AN256" i="88"/>
  <c r="AN259" i="88" s="1"/>
  <c r="AN285" i="88"/>
  <c r="AN286" i="88" s="1"/>
  <c r="AM408" i="88"/>
  <c r="AM434" i="88" s="1"/>
  <c r="AM437" i="88"/>
  <c r="AM438" i="88" s="1"/>
  <c r="AO180" i="88"/>
  <c r="AO206" i="88" s="1"/>
  <c r="AO209" i="88"/>
  <c r="AO210" i="88" s="1"/>
  <c r="AO104" i="96"/>
  <c r="AO107" i="96" s="1"/>
  <c r="AO108" i="96" s="1"/>
  <c r="AO133" i="96"/>
  <c r="AO134" i="96" s="1"/>
  <c r="AL408" i="52"/>
  <c r="AL411" i="52" s="1"/>
  <c r="AL437" i="52"/>
  <c r="AO180" i="96"/>
  <c r="AO183" i="96" s="1"/>
  <c r="AO209" i="96"/>
  <c r="AO210" i="96" s="1"/>
  <c r="AM332" i="96"/>
  <c r="AM358" i="96" s="1"/>
  <c r="AM361" i="96"/>
  <c r="AM362" i="96" s="1"/>
  <c r="AN180" i="52"/>
  <c r="AN206" i="52" s="1"/>
  <c r="AN209" i="52"/>
  <c r="AN210" i="52" s="1"/>
  <c r="AO104" i="88"/>
  <c r="AO107" i="88" s="1"/>
  <c r="AO108" i="88" s="1"/>
  <c r="AO133" i="88"/>
  <c r="AO134" i="88" s="1"/>
  <c r="AN256" i="92"/>
  <c r="AN259" i="92" s="1"/>
  <c r="AN285" i="92"/>
  <c r="AN286" i="92" s="1"/>
  <c r="AM408" i="96"/>
  <c r="AM411" i="96" s="1"/>
  <c r="AM437" i="96"/>
  <c r="AM438" i="96" s="1"/>
  <c r="AN180" i="88"/>
  <c r="AN206" i="88" s="1"/>
  <c r="AN209" i="88"/>
  <c r="AN210" i="88" s="1"/>
  <c r="X338" i="52"/>
  <c r="X339" i="52" s="1"/>
  <c r="X340" i="52" s="1"/>
  <c r="X342" i="52" s="1"/>
  <c r="AQ72" i="88"/>
  <c r="AQ148" i="88" s="1"/>
  <c r="AQ72" i="52"/>
  <c r="V131" i="92"/>
  <c r="V109" i="92"/>
  <c r="V337" i="88"/>
  <c r="V341" i="88" s="1"/>
  <c r="U337" i="92"/>
  <c r="U359" i="92"/>
  <c r="W261" i="92"/>
  <c r="W262" i="92" s="1"/>
  <c r="W263" i="92" s="1"/>
  <c r="W264" i="92" s="1"/>
  <c r="T435" i="88"/>
  <c r="V114" i="96"/>
  <c r="V124" i="96" s="1"/>
  <c r="T431" i="96"/>
  <c r="T440" i="96" s="1"/>
  <c r="T441" i="96" s="1"/>
  <c r="U337" i="96"/>
  <c r="U341" i="96" s="1"/>
  <c r="U414" i="96"/>
  <c r="U415" i="96" s="1"/>
  <c r="U416" i="96" s="1"/>
  <c r="U417" i="96"/>
  <c r="V124" i="88"/>
  <c r="V189" i="88"/>
  <c r="V186" i="88"/>
  <c r="V187" i="88" s="1"/>
  <c r="V188" i="88" s="1"/>
  <c r="U203" i="96"/>
  <c r="U212" i="96" s="1"/>
  <c r="U213" i="96" s="1"/>
  <c r="U200" i="96"/>
  <c r="V137" i="88"/>
  <c r="W113" i="96"/>
  <c r="W110" i="96"/>
  <c r="W111" i="96" s="1"/>
  <c r="W112" i="96" s="1"/>
  <c r="W203" i="52"/>
  <c r="W212" i="52" s="1"/>
  <c r="W213" i="52" s="1"/>
  <c r="Y261" i="88"/>
  <c r="W113" i="88"/>
  <c r="W110" i="88"/>
  <c r="W111" i="88" s="1"/>
  <c r="W112" i="88" s="1"/>
  <c r="W266" i="52"/>
  <c r="W279" i="52" s="1"/>
  <c r="W288" i="52" s="1"/>
  <c r="W289" i="52" s="1"/>
  <c r="S431" i="92"/>
  <c r="S440" i="92" s="1"/>
  <c r="S441" i="92" s="1"/>
  <c r="X265" i="52"/>
  <c r="X262" i="52"/>
  <c r="X263" i="52" s="1"/>
  <c r="X264" i="52" s="1"/>
  <c r="W261" i="96"/>
  <c r="W262" i="96" s="1"/>
  <c r="W263" i="96" s="1"/>
  <c r="W264" i="96" s="1"/>
  <c r="U435" i="92"/>
  <c r="U413" i="92"/>
  <c r="V279" i="92"/>
  <c r="V288" i="92" s="1"/>
  <c r="V276" i="92"/>
  <c r="T417" i="92"/>
  <c r="T414" i="92"/>
  <c r="T415" i="92" s="1"/>
  <c r="T416" i="92" s="1"/>
  <c r="U276" i="96"/>
  <c r="U279" i="96"/>
  <c r="U288" i="96" s="1"/>
  <c r="V266" i="96"/>
  <c r="W279" i="88"/>
  <c r="W288" i="88" s="1"/>
  <c r="W289" i="88" s="1"/>
  <c r="W276" i="88"/>
  <c r="X262" i="88"/>
  <c r="X263" i="88" s="1"/>
  <c r="X264" i="88" s="1"/>
  <c r="X265" i="88"/>
  <c r="V418" i="52"/>
  <c r="V431" i="52" s="1"/>
  <c r="V440" i="52" s="1"/>
  <c r="V441" i="52" s="1"/>
  <c r="AP96" i="96"/>
  <c r="AP97" i="96" s="1"/>
  <c r="Y203" i="92"/>
  <c r="Y212" i="92" s="1"/>
  <c r="Y213" i="92" s="1"/>
  <c r="AM324" i="88"/>
  <c r="AM325" i="88" s="1"/>
  <c r="X189" i="52"/>
  <c r="X186" i="52"/>
  <c r="X187" i="52" s="1"/>
  <c r="X188" i="52" s="1"/>
  <c r="W417" i="52"/>
  <c r="W414" i="52"/>
  <c r="W415" i="52" s="1"/>
  <c r="W416" i="52" s="1"/>
  <c r="AP122" i="14"/>
  <c r="AP135" i="14"/>
  <c r="Z189" i="92"/>
  <c r="Z186" i="92"/>
  <c r="Z187" i="92" s="1"/>
  <c r="Z188" i="92" s="1"/>
  <c r="AP59" i="14"/>
  <c r="AP72" i="14"/>
  <c r="W365" i="52"/>
  <c r="W341" i="88"/>
  <c r="W338" i="88"/>
  <c r="W339" i="88" s="1"/>
  <c r="W340" i="88" s="1"/>
  <c r="AM260" i="96"/>
  <c r="AN376" i="96"/>
  <c r="AN400" i="96" s="1"/>
  <c r="AN401" i="96" s="1"/>
  <c r="AN324" i="96"/>
  <c r="AN325" i="96" s="1"/>
  <c r="AL336" i="96"/>
  <c r="AO300" i="96"/>
  <c r="AO248" i="96"/>
  <c r="AO249" i="96" s="1"/>
  <c r="AP224" i="96"/>
  <c r="AP172" i="96"/>
  <c r="AP173" i="96" s="1"/>
  <c r="AP96" i="88"/>
  <c r="AP97" i="88" s="1"/>
  <c r="AO300" i="92"/>
  <c r="AO248" i="92"/>
  <c r="AO249" i="92" s="1"/>
  <c r="AN376" i="92"/>
  <c r="AN400" i="92" s="1"/>
  <c r="AN401" i="92" s="1"/>
  <c r="AN324" i="92"/>
  <c r="AN325" i="92" s="1"/>
  <c r="AO300" i="88"/>
  <c r="AO248" i="88"/>
  <c r="AO249" i="88" s="1"/>
  <c r="AM260" i="88"/>
  <c r="AP224" i="88"/>
  <c r="AP172" i="88"/>
  <c r="AP173" i="88" s="1"/>
  <c r="AL412" i="88"/>
  <c r="AN376" i="88"/>
  <c r="AN400" i="88" s="1"/>
  <c r="AN401" i="88" s="1"/>
  <c r="AN324" i="88"/>
  <c r="AN325" i="88" s="1"/>
  <c r="AL336" i="88"/>
  <c r="AO125" i="14"/>
  <c r="AO138" i="14"/>
  <c r="AP96" i="52"/>
  <c r="AP97" i="52" s="1"/>
  <c r="AP148" i="52"/>
  <c r="AM324" i="52"/>
  <c r="AM325" i="52" s="1"/>
  <c r="AM376" i="52"/>
  <c r="AM400" i="52" s="1"/>
  <c r="AM401" i="52" s="1"/>
  <c r="AO62" i="14"/>
  <c r="AO64" i="14" s="1"/>
  <c r="AO75" i="14"/>
  <c r="AO77" i="14" s="1"/>
  <c r="AO224" i="52"/>
  <c r="AO172" i="52"/>
  <c r="AO173" i="52" s="1"/>
  <c r="AN300" i="52"/>
  <c r="AN248" i="52"/>
  <c r="AN249" i="52" s="1"/>
  <c r="W111" i="52"/>
  <c r="W112" i="52" s="1"/>
  <c r="W114" i="52" s="1"/>
  <c r="W124" i="52" s="1"/>
  <c r="X109" i="52"/>
  <c r="X131" i="52"/>
  <c r="AO50" i="14"/>
  <c r="AP48" i="14"/>
  <c r="AP51" i="14" s="1"/>
  <c r="AP111" i="14"/>
  <c r="AP113" i="14" s="1"/>
  <c r="AQ101" i="14"/>
  <c r="AQ38" i="14"/>
  <c r="I59" i="96" l="1"/>
  <c r="AL332" i="92"/>
  <c r="AL335" i="92" s="1"/>
  <c r="AL336" i="92" s="1"/>
  <c r="AL282" i="96"/>
  <c r="AN256" i="96"/>
  <c r="AN259" i="96" s="1"/>
  <c r="AN260" i="96" s="1"/>
  <c r="AL411" i="92"/>
  <c r="AL412" i="92" s="1"/>
  <c r="AN209" i="96"/>
  <c r="AN210" i="96" s="1"/>
  <c r="AN107" i="92"/>
  <c r="AN108" i="92" s="1"/>
  <c r="AO180" i="92"/>
  <c r="AO206" i="92" s="1"/>
  <c r="AN183" i="92"/>
  <c r="AN184" i="92" s="1"/>
  <c r="AO104" i="92"/>
  <c r="AO130" i="92" s="1"/>
  <c r="AM324" i="92"/>
  <c r="AM325" i="92" s="1"/>
  <c r="AM332" i="92" s="1"/>
  <c r="AM358" i="92" s="1"/>
  <c r="AM437" i="92"/>
  <c r="AM438" i="92" s="1"/>
  <c r="AP96" i="92"/>
  <c r="AP97" i="92" s="1"/>
  <c r="AP104" i="92" s="1"/>
  <c r="AP107" i="92" s="1"/>
  <c r="AP108" i="92" s="1"/>
  <c r="AP224" i="92"/>
  <c r="AP300" i="92" s="1"/>
  <c r="AQ72" i="92"/>
  <c r="AQ96" i="92" s="1"/>
  <c r="AQ97" i="92" s="1"/>
  <c r="AQ133" i="92" s="1"/>
  <c r="AQ134" i="92" s="1"/>
  <c r="AQ72" i="96"/>
  <c r="AQ96" i="96" s="1"/>
  <c r="AQ97" i="96" s="1"/>
  <c r="AQ104" i="96" s="1"/>
  <c r="AQ130" i="96" s="1"/>
  <c r="AO127" i="14"/>
  <c r="AO140" i="14"/>
  <c r="AJ310" i="52"/>
  <c r="AJ320" i="52" s="1"/>
  <c r="AJ386" i="52"/>
  <c r="AJ396" i="52" s="1"/>
  <c r="AI310" i="92"/>
  <c r="AI320" i="92" s="1"/>
  <c r="AI386" i="92"/>
  <c r="AI396" i="92" s="1"/>
  <c r="AI310" i="88"/>
  <c r="AI320" i="88" s="1"/>
  <c r="AI386" i="88"/>
  <c r="AI396" i="88" s="1"/>
  <c r="AI310" i="96"/>
  <c r="AI320" i="96" s="1"/>
  <c r="AI386" i="96"/>
  <c r="AI396" i="96" s="1"/>
  <c r="AJ158" i="52"/>
  <c r="AJ168" i="52" s="1"/>
  <c r="AJ234" i="52"/>
  <c r="AJ244" i="52" s="1"/>
  <c r="AI158" i="92"/>
  <c r="AI168" i="92" s="1"/>
  <c r="AI234" i="92"/>
  <c r="AI244" i="92" s="1"/>
  <c r="AI158" i="88"/>
  <c r="AI168" i="88" s="1"/>
  <c r="AI234" i="88"/>
  <c r="AI244" i="88" s="1"/>
  <c r="AI158" i="96"/>
  <c r="AI168" i="96" s="1"/>
  <c r="AI234" i="96"/>
  <c r="AI244" i="96" s="1"/>
  <c r="AK82" i="52"/>
  <c r="AJ92" i="52"/>
  <c r="AJ119" i="52" s="1"/>
  <c r="AJ82" i="92"/>
  <c r="AI92" i="92"/>
  <c r="AJ82" i="88"/>
  <c r="AI92" i="88"/>
  <c r="AJ82" i="96"/>
  <c r="AI92" i="96"/>
  <c r="AP114" i="14"/>
  <c r="U124" i="92"/>
  <c r="U127" i="92"/>
  <c r="U136" i="92" s="1"/>
  <c r="U137" i="92" s="1"/>
  <c r="AL335" i="52"/>
  <c r="AL336" i="52" s="1"/>
  <c r="AO183" i="88"/>
  <c r="AO184" i="88" s="1"/>
  <c r="AO206" i="96"/>
  <c r="AN183" i="96"/>
  <c r="AN184" i="96" s="1"/>
  <c r="AL362" i="92"/>
  <c r="I55" i="92" s="1"/>
  <c r="I54" i="92"/>
  <c r="AL362" i="52"/>
  <c r="I55" i="52" s="1"/>
  <c r="I54" i="52"/>
  <c r="AL438" i="52"/>
  <c r="I60" i="52" s="1"/>
  <c r="I59" i="52"/>
  <c r="Y341" i="52"/>
  <c r="Y342" i="52" s="1"/>
  <c r="Y352" i="52" s="1"/>
  <c r="AN282" i="88"/>
  <c r="AO130" i="88"/>
  <c r="AN183" i="52"/>
  <c r="AN184" i="52" s="1"/>
  <c r="AM259" i="52"/>
  <c r="AM260" i="52" s="1"/>
  <c r="AO130" i="96"/>
  <c r="AO107" i="52"/>
  <c r="AO108" i="52" s="1"/>
  <c r="AN282" i="92"/>
  <c r="AL434" i="52"/>
  <c r="AM335" i="96"/>
  <c r="AM336" i="96" s="1"/>
  <c r="AM434" i="96"/>
  <c r="AN183" i="88"/>
  <c r="AN184" i="88" s="1"/>
  <c r="AM411" i="88"/>
  <c r="AM412" i="88" s="1"/>
  <c r="AP104" i="52"/>
  <c r="AP130" i="52" s="1"/>
  <c r="AP133" i="52"/>
  <c r="AP134" i="52" s="1"/>
  <c r="AN408" i="88"/>
  <c r="AN411" i="88" s="1"/>
  <c r="AN437" i="88"/>
  <c r="AN438" i="88" s="1"/>
  <c r="AN332" i="88"/>
  <c r="AN358" i="88" s="1"/>
  <c r="AN361" i="88"/>
  <c r="AN362" i="88" s="1"/>
  <c r="AP180" i="88"/>
  <c r="AP183" i="88" s="1"/>
  <c r="AP209" i="88"/>
  <c r="AP210" i="88" s="1"/>
  <c r="AN332" i="92"/>
  <c r="AN358" i="92" s="1"/>
  <c r="AN361" i="92"/>
  <c r="AN362" i="92" s="1"/>
  <c r="AM411" i="92"/>
  <c r="AM412" i="92" s="1"/>
  <c r="AP180" i="92"/>
  <c r="AP183" i="92" s="1"/>
  <c r="AP209" i="92"/>
  <c r="AP210" i="92" s="1"/>
  <c r="AP180" i="96"/>
  <c r="AP206" i="96" s="1"/>
  <c r="AP209" i="96"/>
  <c r="AP210" i="96" s="1"/>
  <c r="AM332" i="88"/>
  <c r="AM358" i="88" s="1"/>
  <c r="AM361" i="88"/>
  <c r="AM362" i="88" s="1"/>
  <c r="AP104" i="96"/>
  <c r="AP107" i="96" s="1"/>
  <c r="AP108" i="96" s="1"/>
  <c r="AP133" i="96"/>
  <c r="AP134" i="96" s="1"/>
  <c r="AO256" i="88"/>
  <c r="AO282" i="88" s="1"/>
  <c r="AO285" i="88"/>
  <c r="AO286" i="88" s="1"/>
  <c r="AN408" i="92"/>
  <c r="AN411" i="92" s="1"/>
  <c r="AN437" i="92"/>
  <c r="AN438" i="92" s="1"/>
  <c r="AM408" i="52"/>
  <c r="AM411" i="52" s="1"/>
  <c r="AM437" i="52"/>
  <c r="AM438" i="52" s="1"/>
  <c r="AO256" i="92"/>
  <c r="AO259" i="92" s="1"/>
  <c r="AO285" i="92"/>
  <c r="AO286" i="92" s="1"/>
  <c r="AO256" i="96"/>
  <c r="AO259" i="96" s="1"/>
  <c r="AO285" i="96"/>
  <c r="AO286" i="96" s="1"/>
  <c r="AN332" i="96"/>
  <c r="AN335" i="96" s="1"/>
  <c r="AN361" i="96"/>
  <c r="AN362" i="96" s="1"/>
  <c r="AP104" i="88"/>
  <c r="AP130" i="88" s="1"/>
  <c r="AP133" i="88"/>
  <c r="AP134" i="88" s="1"/>
  <c r="AN256" i="52"/>
  <c r="AN282" i="52" s="1"/>
  <c r="AN285" i="52"/>
  <c r="AN286" i="52" s="1"/>
  <c r="AO180" i="52"/>
  <c r="AO206" i="52" s="1"/>
  <c r="AO209" i="52"/>
  <c r="AO210" i="52" s="1"/>
  <c r="AM332" i="52"/>
  <c r="AM335" i="52" s="1"/>
  <c r="AM336" i="52" s="1"/>
  <c r="AM361" i="52"/>
  <c r="AM362" i="52" s="1"/>
  <c r="AN408" i="96"/>
  <c r="AN434" i="96" s="1"/>
  <c r="AN437" i="96"/>
  <c r="AN438" i="96" s="1"/>
  <c r="AR72" i="88"/>
  <c r="AR96" i="88" s="1"/>
  <c r="AR97" i="88" s="1"/>
  <c r="AR72" i="52"/>
  <c r="V110" i="92"/>
  <c r="V111" i="92" s="1"/>
  <c r="V112" i="92" s="1"/>
  <c r="V113" i="92"/>
  <c r="V338" i="88"/>
  <c r="V339" i="88" s="1"/>
  <c r="V340" i="88" s="1"/>
  <c r="V342" i="88" s="1"/>
  <c r="V355" i="88" s="1"/>
  <c r="V364" i="88" s="1"/>
  <c r="V365" i="88" s="1"/>
  <c r="U341" i="92"/>
  <c r="U338" i="92"/>
  <c r="U339" i="92" s="1"/>
  <c r="U340" i="92" s="1"/>
  <c r="T413" i="88"/>
  <c r="T414" i="88" s="1"/>
  <c r="T415" i="88" s="1"/>
  <c r="T416" i="88" s="1"/>
  <c r="V127" i="96"/>
  <c r="V136" i="96" s="1"/>
  <c r="V137" i="96" s="1"/>
  <c r="W265" i="92"/>
  <c r="W266" i="92" s="1"/>
  <c r="W276" i="92" s="1"/>
  <c r="V359" i="96"/>
  <c r="U338" i="96"/>
  <c r="U339" i="96" s="1"/>
  <c r="U340" i="96" s="1"/>
  <c r="U342" i="96" s="1"/>
  <c r="U355" i="96" s="1"/>
  <c r="U364" i="96" s="1"/>
  <c r="U365" i="96" s="1"/>
  <c r="V190" i="88"/>
  <c r="V200" i="88" s="1"/>
  <c r="W207" i="96"/>
  <c r="V185" i="96"/>
  <c r="V207" i="96"/>
  <c r="V435" i="96"/>
  <c r="V413" i="96"/>
  <c r="U418" i="96"/>
  <c r="X109" i="96"/>
  <c r="X131" i="96"/>
  <c r="W114" i="88"/>
  <c r="W124" i="88" s="1"/>
  <c r="W114" i="96"/>
  <c r="W185" i="88"/>
  <c r="W207" i="88"/>
  <c r="Y283" i="88"/>
  <c r="X109" i="88"/>
  <c r="X131" i="88"/>
  <c r="W276" i="52"/>
  <c r="V428" i="52"/>
  <c r="W265" i="96"/>
  <c r="W266" i="96" s="1"/>
  <c r="W279" i="96" s="1"/>
  <c r="W288" i="96" s="1"/>
  <c r="X190" i="52"/>
  <c r="X200" i="52" s="1"/>
  <c r="T418" i="92"/>
  <c r="T431" i="92" s="1"/>
  <c r="T440" i="92" s="1"/>
  <c r="T441" i="92" s="1"/>
  <c r="Y261" i="52"/>
  <c r="Y283" i="52"/>
  <c r="X266" i="52"/>
  <c r="X261" i="96"/>
  <c r="V289" i="92"/>
  <c r="X261" i="92"/>
  <c r="X283" i="92"/>
  <c r="U414" i="92"/>
  <c r="U415" i="92" s="1"/>
  <c r="U416" i="92" s="1"/>
  <c r="U417" i="92"/>
  <c r="V276" i="96"/>
  <c r="V279" i="96"/>
  <c r="V288" i="96" s="1"/>
  <c r="V289" i="96" s="1"/>
  <c r="U289" i="96"/>
  <c r="Y265" i="88"/>
  <c r="Y262" i="88"/>
  <c r="Y263" i="88" s="1"/>
  <c r="Y264" i="88" s="1"/>
  <c r="X266" i="88"/>
  <c r="W418" i="52"/>
  <c r="W428" i="52" s="1"/>
  <c r="U413" i="88"/>
  <c r="U435" i="88"/>
  <c r="Z190" i="92"/>
  <c r="Z203" i="92" s="1"/>
  <c r="Z212" i="92" s="1"/>
  <c r="X413" i="52"/>
  <c r="X435" i="52"/>
  <c r="Y185" i="52"/>
  <c r="Y207" i="52"/>
  <c r="X337" i="88"/>
  <c r="X359" i="88"/>
  <c r="AQ72" i="14"/>
  <c r="AQ59" i="14"/>
  <c r="Z337" i="52"/>
  <c r="Z359" i="52"/>
  <c r="AA185" i="92"/>
  <c r="AA207" i="92"/>
  <c r="AQ122" i="14"/>
  <c r="AQ135" i="14"/>
  <c r="W342" i="88"/>
  <c r="X355" i="52"/>
  <c r="X364" i="52" s="1"/>
  <c r="X352" i="52"/>
  <c r="AO184" i="96"/>
  <c r="AM412" i="96"/>
  <c r="AP300" i="96"/>
  <c r="AP248" i="96"/>
  <c r="AP249" i="96" s="1"/>
  <c r="AO376" i="96"/>
  <c r="AO400" i="96" s="1"/>
  <c r="AO401" i="96" s="1"/>
  <c r="AO324" i="96"/>
  <c r="AO325" i="96" s="1"/>
  <c r="AO376" i="92"/>
  <c r="AO400" i="92" s="1"/>
  <c r="AO401" i="92" s="1"/>
  <c r="AO324" i="92"/>
  <c r="AO325" i="92" s="1"/>
  <c r="AN260" i="92"/>
  <c r="AQ96" i="88"/>
  <c r="AQ97" i="88" s="1"/>
  <c r="AO376" i="88"/>
  <c r="AO400" i="88" s="1"/>
  <c r="AO401" i="88" s="1"/>
  <c r="AO324" i="88"/>
  <c r="AO325" i="88" s="1"/>
  <c r="AP300" i="88"/>
  <c r="AP248" i="88"/>
  <c r="AP249" i="88" s="1"/>
  <c r="AN260" i="88"/>
  <c r="AQ224" i="88"/>
  <c r="AQ172" i="88"/>
  <c r="AQ173" i="88" s="1"/>
  <c r="AP125" i="14"/>
  <c r="AP138" i="14"/>
  <c r="AQ96" i="52"/>
  <c r="AQ97" i="52" s="1"/>
  <c r="AQ148" i="52"/>
  <c r="AN376" i="52"/>
  <c r="AN400" i="52" s="1"/>
  <c r="AN401" i="52" s="1"/>
  <c r="AN324" i="52"/>
  <c r="AN325" i="52" s="1"/>
  <c r="AO248" i="52"/>
  <c r="AO249" i="52" s="1"/>
  <c r="AO300" i="52"/>
  <c r="AP62" i="14"/>
  <c r="AP64" i="14" s="1"/>
  <c r="AP75" i="14"/>
  <c r="AP77" i="14" s="1"/>
  <c r="AP224" i="52"/>
  <c r="AP172" i="52"/>
  <c r="AP173" i="52" s="1"/>
  <c r="AL412" i="52"/>
  <c r="W127" i="52"/>
  <c r="W136" i="52" s="1"/>
  <c r="W137" i="52" s="1"/>
  <c r="Y109" i="52"/>
  <c r="Y131" i="52"/>
  <c r="X113" i="52"/>
  <c r="X110" i="52"/>
  <c r="AP50" i="14"/>
  <c r="AR38" i="14"/>
  <c r="AQ48" i="14"/>
  <c r="AQ51" i="14" s="1"/>
  <c r="AR101" i="14"/>
  <c r="AQ111" i="14"/>
  <c r="AQ113" i="14" s="1"/>
  <c r="AL358" i="92" l="1"/>
  <c r="AO183" i="92"/>
  <c r="AO184" i="92" s="1"/>
  <c r="AO107" i="92"/>
  <c r="AO108" i="92" s="1"/>
  <c r="AN282" i="96"/>
  <c r="AQ104" i="92"/>
  <c r="AQ130" i="92" s="1"/>
  <c r="AM361" i="92"/>
  <c r="AM362" i="92" s="1"/>
  <c r="AP248" i="92"/>
  <c r="AP249" i="92" s="1"/>
  <c r="AP285" i="92" s="1"/>
  <c r="AP286" i="92" s="1"/>
  <c r="AQ148" i="92"/>
  <c r="AQ172" i="92" s="1"/>
  <c r="AQ173" i="92" s="1"/>
  <c r="AQ180" i="92" s="1"/>
  <c r="AQ183" i="92" s="1"/>
  <c r="AP133" i="92"/>
  <c r="AP134" i="92" s="1"/>
  <c r="AQ133" i="96"/>
  <c r="AQ134" i="96" s="1"/>
  <c r="AQ148" i="96"/>
  <c r="AQ172" i="96" s="1"/>
  <c r="AQ173" i="96" s="1"/>
  <c r="AQ180" i="96" s="1"/>
  <c r="AQ183" i="96" s="1"/>
  <c r="AR72" i="92"/>
  <c r="AR148" i="92" s="1"/>
  <c r="AR172" i="92" s="1"/>
  <c r="AR173" i="92" s="1"/>
  <c r="AR72" i="96"/>
  <c r="AR148" i="96" s="1"/>
  <c r="AR172" i="96" s="1"/>
  <c r="AR173" i="96" s="1"/>
  <c r="AP140" i="14"/>
  <c r="AP127" i="14"/>
  <c r="AJ310" i="92"/>
  <c r="AJ320" i="92" s="1"/>
  <c r="AJ386" i="92"/>
  <c r="AJ396" i="92" s="1"/>
  <c r="AK310" i="52"/>
  <c r="AK320" i="52" s="1"/>
  <c r="AK386" i="52"/>
  <c r="AK396" i="52" s="1"/>
  <c r="AJ310" i="96"/>
  <c r="AJ320" i="96" s="1"/>
  <c r="AJ386" i="96"/>
  <c r="AJ396" i="96" s="1"/>
  <c r="AJ310" i="88"/>
  <c r="AJ320" i="88" s="1"/>
  <c r="AJ386" i="88"/>
  <c r="AJ396" i="88" s="1"/>
  <c r="AJ158" i="92"/>
  <c r="AJ168" i="92" s="1"/>
  <c r="AJ234" i="92"/>
  <c r="AJ244" i="92" s="1"/>
  <c r="AJ158" i="96"/>
  <c r="AJ168" i="96" s="1"/>
  <c r="AJ234" i="96"/>
  <c r="AJ244" i="96" s="1"/>
  <c r="AJ158" i="88"/>
  <c r="AJ168" i="88" s="1"/>
  <c r="AJ234" i="88"/>
  <c r="AJ244" i="88" s="1"/>
  <c r="AK158" i="52"/>
  <c r="AK168" i="52" s="1"/>
  <c r="AK234" i="52"/>
  <c r="AK244" i="52" s="1"/>
  <c r="AK82" i="96"/>
  <c r="AJ92" i="96"/>
  <c r="AK82" i="88"/>
  <c r="AJ92" i="88"/>
  <c r="AK82" i="92"/>
  <c r="AJ92" i="92"/>
  <c r="AL82" i="52"/>
  <c r="AK92" i="52"/>
  <c r="AQ114" i="14"/>
  <c r="AP206" i="88"/>
  <c r="AN358" i="96"/>
  <c r="AP107" i="52"/>
  <c r="AP108" i="52" s="1"/>
  <c r="AN434" i="92"/>
  <c r="AO183" i="52"/>
  <c r="AO184" i="52" s="1"/>
  <c r="AP130" i="92"/>
  <c r="AN259" i="52"/>
  <c r="AN260" i="52" s="1"/>
  <c r="AM358" i="52"/>
  <c r="AP183" i="96"/>
  <c r="AP184" i="96" s="1"/>
  <c r="AQ107" i="96"/>
  <c r="AQ108" i="96" s="1"/>
  <c r="AN411" i="96"/>
  <c r="AN412" i="96" s="1"/>
  <c r="AP107" i="88"/>
  <c r="AP108" i="88" s="1"/>
  <c r="AN335" i="92"/>
  <c r="AN336" i="92" s="1"/>
  <c r="AN335" i="88"/>
  <c r="AN336" i="88" s="1"/>
  <c r="AO282" i="96"/>
  <c r="AN434" i="88"/>
  <c r="AO282" i="92"/>
  <c r="AM335" i="88"/>
  <c r="AM336" i="88" s="1"/>
  <c r="AO332" i="92"/>
  <c r="AO358" i="92" s="1"/>
  <c r="AO361" i="92"/>
  <c r="AO362" i="92" s="1"/>
  <c r="AQ180" i="88"/>
  <c r="AQ183" i="88" s="1"/>
  <c r="AQ209" i="88"/>
  <c r="AQ210" i="88" s="1"/>
  <c r="AO408" i="88"/>
  <c r="AO434" i="88" s="1"/>
  <c r="AO437" i="88"/>
  <c r="AO438" i="88" s="1"/>
  <c r="AP206" i="92"/>
  <c r="AO408" i="96"/>
  <c r="AO411" i="96" s="1"/>
  <c r="AO437" i="96"/>
  <c r="AO438" i="96" s="1"/>
  <c r="AP256" i="96"/>
  <c r="AP282" i="96" s="1"/>
  <c r="AP285" i="96"/>
  <c r="AP286" i="96" s="1"/>
  <c r="AP180" i="52"/>
  <c r="AP183" i="52" s="1"/>
  <c r="AP184" i="52" s="1"/>
  <c r="AP209" i="52"/>
  <c r="AP210" i="52" s="1"/>
  <c r="AM434" i="52"/>
  <c r="AN332" i="52"/>
  <c r="AN358" i="52" s="1"/>
  <c r="AN361" i="52"/>
  <c r="AN362" i="52" s="1"/>
  <c r="AQ104" i="52"/>
  <c r="AQ107" i="52" s="1"/>
  <c r="AQ108" i="52" s="1"/>
  <c r="AQ133" i="52"/>
  <c r="AQ134" i="52" s="1"/>
  <c r="AO259" i="88"/>
  <c r="AO260" i="88" s="1"/>
  <c r="AP256" i="88"/>
  <c r="AP282" i="88" s="1"/>
  <c r="AP285" i="88"/>
  <c r="AP286" i="88" s="1"/>
  <c r="AO408" i="92"/>
  <c r="AO411" i="92" s="1"/>
  <c r="AO437" i="92"/>
  <c r="AO438" i="92" s="1"/>
  <c r="AP130" i="96"/>
  <c r="AO256" i="52"/>
  <c r="AO282" i="52" s="1"/>
  <c r="AO285" i="52"/>
  <c r="AO286" i="52" s="1"/>
  <c r="AN408" i="52"/>
  <c r="AN434" i="52" s="1"/>
  <c r="AN437" i="52"/>
  <c r="AN438" i="52" s="1"/>
  <c r="AO332" i="88"/>
  <c r="AO335" i="88" s="1"/>
  <c r="AO361" i="88"/>
  <c r="AO362" i="88" s="1"/>
  <c r="AQ104" i="88"/>
  <c r="AQ107" i="88" s="1"/>
  <c r="AQ108" i="88" s="1"/>
  <c r="AQ133" i="88"/>
  <c r="AQ134" i="88" s="1"/>
  <c r="AO332" i="96"/>
  <c r="AO358" i="96" s="1"/>
  <c r="AO361" i="96"/>
  <c r="AO362" i="96" s="1"/>
  <c r="AM335" i="92"/>
  <c r="AM336" i="92" s="1"/>
  <c r="AR104" i="88"/>
  <c r="AR130" i="88" s="1"/>
  <c r="AR133" i="88"/>
  <c r="AR134" i="88" s="1"/>
  <c r="AS72" i="88"/>
  <c r="AS148" i="88" s="1"/>
  <c r="AS72" i="52"/>
  <c r="V114" i="92"/>
  <c r="V124" i="92" s="1"/>
  <c r="W131" i="92"/>
  <c r="W109" i="92"/>
  <c r="V352" i="88"/>
  <c r="Y261" i="92"/>
  <c r="V359" i="92"/>
  <c r="V337" i="92"/>
  <c r="U342" i="92"/>
  <c r="T417" i="88"/>
  <c r="T418" i="88" s="1"/>
  <c r="T431" i="88" s="1"/>
  <c r="T440" i="88" s="1"/>
  <c r="T441" i="88" s="1"/>
  <c r="V337" i="96"/>
  <c r="V338" i="96" s="1"/>
  <c r="V339" i="96" s="1"/>
  <c r="V340" i="96" s="1"/>
  <c r="W359" i="96"/>
  <c r="V203" i="88"/>
  <c r="V212" i="88" s="1"/>
  <c r="V213" i="88" s="1"/>
  <c r="W185" i="96"/>
  <c r="W186" i="96" s="1"/>
  <c r="W187" i="96" s="1"/>
  <c r="W188" i="96" s="1"/>
  <c r="Z261" i="88"/>
  <c r="Z262" i="88" s="1"/>
  <c r="Z263" i="88" s="1"/>
  <c r="Z264" i="88" s="1"/>
  <c r="V186" i="96"/>
  <c r="V187" i="96" s="1"/>
  <c r="V188" i="96" s="1"/>
  <c r="V189" i="96"/>
  <c r="V414" i="96"/>
  <c r="V415" i="96" s="1"/>
  <c r="V416" i="96" s="1"/>
  <c r="V417" i="96"/>
  <c r="Y355" i="52"/>
  <c r="Y364" i="52" s="1"/>
  <c r="Y365" i="52" s="1"/>
  <c r="W127" i="88"/>
  <c r="W136" i="88" s="1"/>
  <c r="W137" i="88" s="1"/>
  <c r="U428" i="96"/>
  <c r="U431" i="96"/>
  <c r="U440" i="96" s="1"/>
  <c r="U441" i="96" s="1"/>
  <c r="W127" i="96"/>
  <c r="W136" i="96" s="1"/>
  <c r="W137" i="96" s="1"/>
  <c r="W124" i="96"/>
  <c r="W189" i="88"/>
  <c r="W186" i="88"/>
  <c r="W187" i="88" s="1"/>
  <c r="W188" i="88" s="1"/>
  <c r="X110" i="96"/>
  <c r="X111" i="96" s="1"/>
  <c r="X112" i="96" s="1"/>
  <c r="X113" i="96"/>
  <c r="U352" i="96"/>
  <c r="X113" i="88"/>
  <c r="X110" i="88"/>
  <c r="X111" i="88" s="1"/>
  <c r="X112" i="88" s="1"/>
  <c r="Y261" i="96"/>
  <c r="T428" i="92"/>
  <c r="X203" i="52"/>
  <c r="X212" i="52" s="1"/>
  <c r="X213" i="52" s="1"/>
  <c r="Y265" i="52"/>
  <c r="Y262" i="52"/>
  <c r="Y263" i="52" s="1"/>
  <c r="Y264" i="52" s="1"/>
  <c r="U418" i="92"/>
  <c r="U431" i="92" s="1"/>
  <c r="U440" i="92" s="1"/>
  <c r="U441" i="92" s="1"/>
  <c r="W279" i="92"/>
  <c r="W288" i="92" s="1"/>
  <c r="W289" i="92" s="1"/>
  <c r="X276" i="52"/>
  <c r="X279" i="52"/>
  <c r="X288" i="52" s="1"/>
  <c r="X289" i="52" s="1"/>
  <c r="X283" i="96"/>
  <c r="W276" i="96"/>
  <c r="W289" i="96"/>
  <c r="V413" i="92"/>
  <c r="V435" i="92"/>
  <c r="X262" i="92"/>
  <c r="X263" i="92" s="1"/>
  <c r="X264" i="92" s="1"/>
  <c r="X265" i="92"/>
  <c r="X262" i="96"/>
  <c r="X263" i="96" s="1"/>
  <c r="X264" i="96" s="1"/>
  <c r="X265" i="96"/>
  <c r="Z200" i="92"/>
  <c r="Y266" i="88"/>
  <c r="Y279" i="88" s="1"/>
  <c r="Y288" i="88" s="1"/>
  <c r="X279" i="88"/>
  <c r="X288" i="88" s="1"/>
  <c r="X289" i="88" s="1"/>
  <c r="X276" i="88"/>
  <c r="U417" i="88"/>
  <c r="U414" i="88"/>
  <c r="U415" i="88" s="1"/>
  <c r="U416" i="88" s="1"/>
  <c r="W431" i="52"/>
  <c r="W440" i="52" s="1"/>
  <c r="W441" i="52" s="1"/>
  <c r="Z185" i="52"/>
  <c r="Z207" i="52"/>
  <c r="Y189" i="52"/>
  <c r="Y186" i="52"/>
  <c r="Y187" i="52" s="1"/>
  <c r="Y188" i="52" s="1"/>
  <c r="X417" i="52"/>
  <c r="X414" i="52"/>
  <c r="X415" i="52" s="1"/>
  <c r="X416" i="52" s="1"/>
  <c r="X365" i="52"/>
  <c r="Z341" i="52"/>
  <c r="Z338" i="52"/>
  <c r="Z339" i="52" s="1"/>
  <c r="Z340" i="52" s="1"/>
  <c r="AB185" i="92"/>
  <c r="AB207" i="92"/>
  <c r="AR59" i="14"/>
  <c r="AR72" i="14"/>
  <c r="Z213" i="92"/>
  <c r="AA189" i="92"/>
  <c r="AA186" i="92"/>
  <c r="AA187" i="92" s="1"/>
  <c r="AA188" i="92" s="1"/>
  <c r="AR122" i="14"/>
  <c r="AR135" i="14"/>
  <c r="W352" i="88"/>
  <c r="W355" i="88"/>
  <c r="W364" i="88" s="1"/>
  <c r="AA337" i="52"/>
  <c r="AA359" i="52"/>
  <c r="X341" i="88"/>
  <c r="X338" i="88"/>
  <c r="X339" i="88" s="1"/>
  <c r="X340" i="88" s="1"/>
  <c r="AN336" i="96"/>
  <c r="AP376" i="96"/>
  <c r="AP400" i="96" s="1"/>
  <c r="AP401" i="96" s="1"/>
  <c r="AP324" i="96"/>
  <c r="AP325" i="96" s="1"/>
  <c r="AO260" i="96"/>
  <c r="AP376" i="92"/>
  <c r="AP400" i="92" s="1"/>
  <c r="AP401" i="92" s="1"/>
  <c r="AP324" i="92"/>
  <c r="AP325" i="92" s="1"/>
  <c r="AN412" i="92"/>
  <c r="AO260" i="92"/>
  <c r="AP184" i="92"/>
  <c r="AR148" i="88"/>
  <c r="AR224" i="88" s="1"/>
  <c r="AP184" i="88"/>
  <c r="AQ248" i="88"/>
  <c r="AQ249" i="88" s="1"/>
  <c r="AQ300" i="88"/>
  <c r="AP324" i="88"/>
  <c r="AP325" i="88" s="1"/>
  <c r="AP376" i="88"/>
  <c r="AP400" i="88" s="1"/>
  <c r="AP401" i="88" s="1"/>
  <c r="AN412" i="88"/>
  <c r="AO376" i="52"/>
  <c r="AO400" i="52" s="1"/>
  <c r="AO401" i="52" s="1"/>
  <c r="AO324" i="52"/>
  <c r="AO325" i="52" s="1"/>
  <c r="AQ125" i="14"/>
  <c r="AQ138" i="14"/>
  <c r="AP248" i="52"/>
  <c r="AP249" i="52" s="1"/>
  <c r="AP300" i="52"/>
  <c r="AQ224" i="52"/>
  <c r="AQ172" i="52"/>
  <c r="AQ173" i="52" s="1"/>
  <c r="AR96" i="52"/>
  <c r="AR97" i="52" s="1"/>
  <c r="AR148" i="52"/>
  <c r="AM412" i="52"/>
  <c r="AQ62" i="14"/>
  <c r="AQ64" i="14" s="1"/>
  <c r="AQ75" i="14"/>
  <c r="AQ77" i="14" s="1"/>
  <c r="Y110" i="52"/>
  <c r="Y111" i="52" s="1"/>
  <c r="Y112" i="52" s="1"/>
  <c r="Y113" i="52"/>
  <c r="X111" i="52"/>
  <c r="X112" i="52" s="1"/>
  <c r="X114" i="52" s="1"/>
  <c r="AQ50" i="14"/>
  <c r="AR111" i="14"/>
  <c r="AR113" i="14" s="1"/>
  <c r="AR48" i="14"/>
  <c r="AR51" i="14" s="1"/>
  <c r="AR224" i="96" l="1"/>
  <c r="AR248" i="96" s="1"/>
  <c r="AR249" i="96" s="1"/>
  <c r="AQ209" i="92"/>
  <c r="AQ210" i="92" s="1"/>
  <c r="AR224" i="92"/>
  <c r="AR248" i="92" s="1"/>
  <c r="AR249" i="92" s="1"/>
  <c r="AQ107" i="92"/>
  <c r="AQ108" i="92" s="1"/>
  <c r="AQ209" i="96"/>
  <c r="AQ210" i="96" s="1"/>
  <c r="AR96" i="92"/>
  <c r="AR97" i="92" s="1"/>
  <c r="AR104" i="92" s="1"/>
  <c r="AR130" i="92" s="1"/>
  <c r="AQ224" i="92"/>
  <c r="AQ300" i="92" s="1"/>
  <c r="AQ324" i="92" s="1"/>
  <c r="AQ325" i="92" s="1"/>
  <c r="AP256" i="92"/>
  <c r="AP259" i="92" s="1"/>
  <c r="AP260" i="92" s="1"/>
  <c r="AQ224" i="96"/>
  <c r="AQ300" i="96" s="1"/>
  <c r="AQ324" i="96" s="1"/>
  <c r="AQ325" i="96" s="1"/>
  <c r="AS72" i="92"/>
  <c r="AS96" i="92" s="1"/>
  <c r="AS97" i="92" s="1"/>
  <c r="AS133" i="92" s="1"/>
  <c r="AS134" i="92" s="1"/>
  <c r="AS72" i="96"/>
  <c r="AS96" i="96" s="1"/>
  <c r="AS97" i="96" s="1"/>
  <c r="AS104" i="96" s="1"/>
  <c r="AS107" i="96" s="1"/>
  <c r="AR96" i="96"/>
  <c r="AR97" i="96" s="1"/>
  <c r="AR104" i="96" s="1"/>
  <c r="AR130" i="96" s="1"/>
  <c r="AQ140" i="14"/>
  <c r="AQ127" i="14"/>
  <c r="AT72" i="96" s="1"/>
  <c r="AT148" i="96" s="1"/>
  <c r="AL310" i="52"/>
  <c r="AL320" i="52" s="1"/>
  <c r="AL386" i="52"/>
  <c r="AL396" i="52" s="1"/>
  <c r="AK310" i="92"/>
  <c r="AK320" i="92" s="1"/>
  <c r="AK386" i="92"/>
  <c r="AK396" i="92" s="1"/>
  <c r="AK310" i="88"/>
  <c r="AK320" i="88" s="1"/>
  <c r="AK386" i="88"/>
  <c r="AK396" i="88" s="1"/>
  <c r="AK310" i="96"/>
  <c r="AK320" i="96" s="1"/>
  <c r="AK386" i="96"/>
  <c r="AK396" i="96" s="1"/>
  <c r="AR114" i="14"/>
  <c r="AL158" i="52"/>
  <c r="AL168" i="52" s="1"/>
  <c r="AL234" i="52"/>
  <c r="AL244" i="52" s="1"/>
  <c r="AK158" i="92"/>
  <c r="AK168" i="92" s="1"/>
  <c r="AK234" i="92"/>
  <c r="AK244" i="92" s="1"/>
  <c r="AK158" i="88"/>
  <c r="AK168" i="88" s="1"/>
  <c r="AK234" i="88"/>
  <c r="AK244" i="88" s="1"/>
  <c r="AK158" i="96"/>
  <c r="AK168" i="96" s="1"/>
  <c r="AK234" i="96"/>
  <c r="AK244" i="96" s="1"/>
  <c r="AM82" i="52"/>
  <c r="AL92" i="52"/>
  <c r="AL82" i="92"/>
  <c r="AK92" i="92"/>
  <c r="AL82" i="88"/>
  <c r="AK92" i="88"/>
  <c r="AL82" i="96"/>
  <c r="AK92" i="96"/>
  <c r="AQ130" i="52"/>
  <c r="AQ206" i="88"/>
  <c r="AN335" i="52"/>
  <c r="AN336" i="52" s="1"/>
  <c r="AQ206" i="96"/>
  <c r="AO411" i="88"/>
  <c r="AO412" i="88" s="1"/>
  <c r="AR107" i="88"/>
  <c r="AR108" i="88" s="1"/>
  <c r="AO259" i="52"/>
  <c r="AO260" i="52" s="1"/>
  <c r="AP259" i="88"/>
  <c r="AP260" i="88" s="1"/>
  <c r="AN411" i="52"/>
  <c r="AN412" i="52" s="1"/>
  <c r="AO335" i="92"/>
  <c r="AO336" i="92" s="1"/>
  <c r="AQ130" i="88"/>
  <c r="AP206" i="52"/>
  <c r="AO358" i="88"/>
  <c r="AO335" i="96"/>
  <c r="AO336" i="96" s="1"/>
  <c r="AO434" i="92"/>
  <c r="AO434" i="96"/>
  <c r="AR104" i="52"/>
  <c r="AR130" i="52" s="1"/>
  <c r="AR133" i="52"/>
  <c r="AR134" i="52" s="1"/>
  <c r="AP256" i="52"/>
  <c r="AP259" i="52" s="1"/>
  <c r="AP260" i="52" s="1"/>
  <c r="AP285" i="52"/>
  <c r="AP286" i="52" s="1"/>
  <c r="AO332" i="52"/>
  <c r="AO358" i="52" s="1"/>
  <c r="AO361" i="52"/>
  <c r="AO362" i="52" s="1"/>
  <c r="AP332" i="88"/>
  <c r="AP358" i="88" s="1"/>
  <c r="AP361" i="88"/>
  <c r="AP362" i="88" s="1"/>
  <c r="AR180" i="92"/>
  <c r="AR206" i="92" s="1"/>
  <c r="AR209" i="92"/>
  <c r="AR210" i="92" s="1"/>
  <c r="AQ206" i="92"/>
  <c r="AP332" i="92"/>
  <c r="AP335" i="92" s="1"/>
  <c r="AP361" i="92"/>
  <c r="AP362" i="92" s="1"/>
  <c r="AQ256" i="88"/>
  <c r="AQ282" i="88" s="1"/>
  <c r="AQ285" i="88"/>
  <c r="AQ286" i="88" s="1"/>
  <c r="AP408" i="92"/>
  <c r="AP411" i="92" s="1"/>
  <c r="AP437" i="92"/>
  <c r="AP438" i="92" s="1"/>
  <c r="AP332" i="96"/>
  <c r="AP335" i="96" s="1"/>
  <c r="AP361" i="96"/>
  <c r="AP362" i="96" s="1"/>
  <c r="AP259" i="96"/>
  <c r="AP260" i="96" s="1"/>
  <c r="AO408" i="52"/>
  <c r="AO434" i="52" s="1"/>
  <c r="AO437" i="52"/>
  <c r="AO438" i="52" s="1"/>
  <c r="AR180" i="96"/>
  <c r="AR183" i="96" s="1"/>
  <c r="AR209" i="96"/>
  <c r="AR210" i="96" s="1"/>
  <c r="AQ180" i="52"/>
  <c r="AQ206" i="52" s="1"/>
  <c r="AQ209" i="52"/>
  <c r="AQ210" i="52" s="1"/>
  <c r="AP408" i="88"/>
  <c r="AP434" i="88" s="1"/>
  <c r="AP437" i="88"/>
  <c r="AP438" i="88" s="1"/>
  <c r="AP408" i="96"/>
  <c r="AP434" i="96" s="1"/>
  <c r="AP437" i="96"/>
  <c r="AP438" i="96" s="1"/>
  <c r="AT72" i="88"/>
  <c r="AT96" i="88" s="1"/>
  <c r="AT97" i="88" s="1"/>
  <c r="AT72" i="52"/>
  <c r="AR172" i="88"/>
  <c r="AR173" i="88" s="1"/>
  <c r="V127" i="92"/>
  <c r="V136" i="92" s="1"/>
  <c r="V137" i="92" s="1"/>
  <c r="W113" i="92"/>
  <c r="W110" i="92"/>
  <c r="W111" i="92" s="1"/>
  <c r="W112" i="92" s="1"/>
  <c r="Y283" i="92"/>
  <c r="V338" i="92"/>
  <c r="V339" i="92" s="1"/>
  <c r="V340" i="92" s="1"/>
  <c r="V341" i="92"/>
  <c r="U355" i="92"/>
  <c r="U364" i="92" s="1"/>
  <c r="U365" i="92" s="1"/>
  <c r="U352" i="92"/>
  <c r="W337" i="92"/>
  <c r="W359" i="92"/>
  <c r="V341" i="96"/>
  <c r="V342" i="96" s="1"/>
  <c r="W337" i="96"/>
  <c r="W338" i="96" s="1"/>
  <c r="W339" i="96" s="1"/>
  <c r="W340" i="96" s="1"/>
  <c r="X337" i="96"/>
  <c r="X338" i="96" s="1"/>
  <c r="X339" i="96" s="1"/>
  <c r="X340" i="96" s="1"/>
  <c r="W189" i="96"/>
  <c r="W190" i="96" s="1"/>
  <c r="Z265" i="88"/>
  <c r="Z266" i="88" s="1"/>
  <c r="Z276" i="88" s="1"/>
  <c r="Z283" i="88"/>
  <c r="W190" i="88"/>
  <c r="W200" i="88" s="1"/>
  <c r="V418" i="96"/>
  <c r="V431" i="96" s="1"/>
  <c r="V440" i="96" s="1"/>
  <c r="V441" i="96" s="1"/>
  <c r="V190" i="96"/>
  <c r="X114" i="96"/>
  <c r="X127" i="96" s="1"/>
  <c r="X136" i="96" s="1"/>
  <c r="W413" i="96"/>
  <c r="W435" i="96"/>
  <c r="Y131" i="96"/>
  <c r="Y109" i="96"/>
  <c r="Y131" i="88"/>
  <c r="Y109" i="88"/>
  <c r="X207" i="88"/>
  <c r="X185" i="88"/>
  <c r="Y283" i="96"/>
  <c r="X114" i="88"/>
  <c r="T428" i="88"/>
  <c r="U428" i="92"/>
  <c r="Y266" i="52"/>
  <c r="Y276" i="52" s="1"/>
  <c r="Y289" i="88"/>
  <c r="Z283" i="52"/>
  <c r="Z261" i="52"/>
  <c r="X266" i="92"/>
  <c r="W435" i="92"/>
  <c r="W413" i="92"/>
  <c r="Y265" i="92"/>
  <c r="Y262" i="92"/>
  <c r="Y263" i="92" s="1"/>
  <c r="Y264" i="92" s="1"/>
  <c r="V417" i="92"/>
  <c r="V414" i="92"/>
  <c r="V415" i="92" s="1"/>
  <c r="V416" i="92" s="1"/>
  <c r="X266" i="96"/>
  <c r="X279" i="96" s="1"/>
  <c r="X288" i="96" s="1"/>
  <c r="X289" i="96" s="1"/>
  <c r="Y265" i="96"/>
  <c r="Y262" i="96"/>
  <c r="Y263" i="96" s="1"/>
  <c r="Y264" i="96" s="1"/>
  <c r="Y276" i="88"/>
  <c r="U418" i="88"/>
  <c r="U428" i="88" s="1"/>
  <c r="X342" i="88"/>
  <c r="X352" i="88" s="1"/>
  <c r="Y190" i="52"/>
  <c r="Y203" i="52" s="1"/>
  <c r="Y212" i="52" s="1"/>
  <c r="Y213" i="52" s="1"/>
  <c r="V413" i="88"/>
  <c r="V435" i="88"/>
  <c r="X418" i="52"/>
  <c r="Y435" i="52"/>
  <c r="Y413" i="52"/>
  <c r="Z189" i="52"/>
  <c r="Z186" i="52"/>
  <c r="Z187" i="52" s="1"/>
  <c r="Z188" i="52" s="1"/>
  <c r="Y337" i="88"/>
  <c r="Y359" i="88"/>
  <c r="AC185" i="92"/>
  <c r="AC207" i="92"/>
  <c r="AB189" i="92"/>
  <c r="AB186" i="92"/>
  <c r="AB187" i="92" s="1"/>
  <c r="AB188" i="92" s="1"/>
  <c r="W365" i="88"/>
  <c r="AA341" i="52"/>
  <c r="AA338" i="52"/>
  <c r="AA339" i="52" s="1"/>
  <c r="AA340" i="52" s="1"/>
  <c r="AA190" i="92"/>
  <c r="Z342" i="52"/>
  <c r="AQ184" i="96"/>
  <c r="AO412" i="96"/>
  <c r="AO412" i="92"/>
  <c r="AQ184" i="92"/>
  <c r="AS96" i="88"/>
  <c r="AS97" i="88" s="1"/>
  <c r="AO336" i="88"/>
  <c r="AQ376" i="88"/>
  <c r="AQ400" i="88" s="1"/>
  <c r="AQ401" i="88" s="1"/>
  <c r="AQ324" i="88"/>
  <c r="AQ325" i="88" s="1"/>
  <c r="AS172" i="88"/>
  <c r="AS173" i="88" s="1"/>
  <c r="AS224" i="88"/>
  <c r="AQ184" i="88"/>
  <c r="AR248" i="88"/>
  <c r="AR249" i="88" s="1"/>
  <c r="AR300" i="88"/>
  <c r="AR172" i="52"/>
  <c r="AR173" i="52" s="1"/>
  <c r="AR224" i="52"/>
  <c r="AP324" i="52"/>
  <c r="AP325" i="52" s="1"/>
  <c r="AP376" i="52"/>
  <c r="AP400" i="52" s="1"/>
  <c r="AP401" i="52" s="1"/>
  <c r="AR62" i="14"/>
  <c r="AR64" i="14" s="1"/>
  <c r="AR75" i="14"/>
  <c r="AR77" i="14" s="1"/>
  <c r="AQ300" i="52"/>
  <c r="AQ248" i="52"/>
  <c r="AQ249" i="52" s="1"/>
  <c r="AS148" i="52"/>
  <c r="AS96" i="52"/>
  <c r="AS97" i="52" s="1"/>
  <c r="AR125" i="14"/>
  <c r="AR138" i="14"/>
  <c r="X124" i="52"/>
  <c r="X127" i="52"/>
  <c r="X136" i="52" s="1"/>
  <c r="X137" i="52" s="1"/>
  <c r="Y114" i="52"/>
  <c r="Y124" i="52" s="1"/>
  <c r="Z109" i="52"/>
  <c r="Z131" i="52"/>
  <c r="AR50" i="14"/>
  <c r="AP282" i="92" l="1"/>
  <c r="AR300" i="96"/>
  <c r="AR376" i="96" s="1"/>
  <c r="AR400" i="96" s="1"/>
  <c r="AR401" i="96" s="1"/>
  <c r="AR300" i="92"/>
  <c r="AR376" i="92" s="1"/>
  <c r="AR400" i="92" s="1"/>
  <c r="AR401" i="92" s="1"/>
  <c r="AQ248" i="92"/>
  <c r="AQ249" i="92" s="1"/>
  <c r="AQ256" i="92" s="1"/>
  <c r="AQ282" i="92" s="1"/>
  <c r="AS104" i="92"/>
  <c r="AS130" i="92" s="1"/>
  <c r="AQ376" i="96"/>
  <c r="AQ400" i="96" s="1"/>
  <c r="AQ401" i="96" s="1"/>
  <c r="AQ437" i="96" s="1"/>
  <c r="AQ438" i="96" s="1"/>
  <c r="AS148" i="92"/>
  <c r="AS172" i="92" s="1"/>
  <c r="AS173" i="92" s="1"/>
  <c r="AS180" i="92" s="1"/>
  <c r="AS206" i="92" s="1"/>
  <c r="AQ248" i="96"/>
  <c r="AQ249" i="96" s="1"/>
  <c r="AQ285" i="96" s="1"/>
  <c r="AQ286" i="96" s="1"/>
  <c r="AQ376" i="92"/>
  <c r="AQ400" i="92" s="1"/>
  <c r="AQ401" i="92" s="1"/>
  <c r="AQ437" i="92" s="1"/>
  <c r="AQ438" i="92" s="1"/>
  <c r="AR133" i="92"/>
  <c r="AR134" i="92" s="1"/>
  <c r="AS148" i="96"/>
  <c r="AS224" i="96" s="1"/>
  <c r="AS248" i="96" s="1"/>
  <c r="AS249" i="96" s="1"/>
  <c r="AR133" i="96"/>
  <c r="AR134" i="96" s="1"/>
  <c r="AS133" i="96"/>
  <c r="AS134" i="96" s="1"/>
  <c r="AT72" i="92"/>
  <c r="AT96" i="92" s="1"/>
  <c r="AT97" i="92" s="1"/>
  <c r="AT133" i="92" s="1"/>
  <c r="AT134" i="92" s="1"/>
  <c r="AR127" i="14"/>
  <c r="AR140" i="14"/>
  <c r="AL310" i="92"/>
  <c r="AL320" i="92" s="1"/>
  <c r="AL386" i="92"/>
  <c r="AL396" i="92" s="1"/>
  <c r="AL310" i="96"/>
  <c r="AL320" i="96" s="1"/>
  <c r="AL386" i="96"/>
  <c r="AL396" i="96" s="1"/>
  <c r="AL310" i="88"/>
  <c r="AL320" i="88" s="1"/>
  <c r="AL386" i="88"/>
  <c r="AL396" i="88" s="1"/>
  <c r="AM310" i="52"/>
  <c r="AM320" i="52" s="1"/>
  <c r="AM386" i="52"/>
  <c r="AM396" i="52" s="1"/>
  <c r="AM158" i="52"/>
  <c r="AM168" i="52" s="1"/>
  <c r="AM234" i="52"/>
  <c r="AM244" i="52" s="1"/>
  <c r="AL158" i="92"/>
  <c r="AL168" i="92" s="1"/>
  <c r="AL234" i="92"/>
  <c r="AL244" i="92" s="1"/>
  <c r="AL158" i="96"/>
  <c r="AL168" i="96" s="1"/>
  <c r="AL234" i="96"/>
  <c r="AL244" i="96" s="1"/>
  <c r="AL158" i="88"/>
  <c r="AL168" i="88" s="1"/>
  <c r="AL234" i="88"/>
  <c r="AL244" i="88" s="1"/>
  <c r="AN82" i="52"/>
  <c r="AM92" i="52"/>
  <c r="AM82" i="96"/>
  <c r="AL92" i="96"/>
  <c r="AM82" i="88"/>
  <c r="AL92" i="88"/>
  <c r="AM82" i="92"/>
  <c r="AL92" i="92"/>
  <c r="AO411" i="52"/>
  <c r="AO412" i="52" s="1"/>
  <c r="AR206" i="96"/>
  <c r="AQ183" i="52"/>
  <c r="AQ184" i="52" s="1"/>
  <c r="AQ259" i="88"/>
  <c r="AQ260" i="88" s="1"/>
  <c r="AP358" i="92"/>
  <c r="AR183" i="92"/>
  <c r="AR184" i="92" s="1"/>
  <c r="AP335" i="88"/>
  <c r="AP336" i="88" s="1"/>
  <c r="AP358" i="96"/>
  <c r="AP434" i="92"/>
  <c r="AR107" i="92"/>
  <c r="AR108" i="92" s="1"/>
  <c r="AR107" i="52"/>
  <c r="AR108" i="52" s="1"/>
  <c r="AS130" i="96"/>
  <c r="AO335" i="52"/>
  <c r="AO336" i="52" s="1"/>
  <c r="AP282" i="52"/>
  <c r="AR107" i="96"/>
  <c r="AR108" i="96" s="1"/>
  <c r="AS180" i="88"/>
  <c r="AS183" i="88" s="1"/>
  <c r="AS209" i="88"/>
  <c r="AS210" i="88" s="1"/>
  <c r="AQ256" i="52"/>
  <c r="AQ259" i="52" s="1"/>
  <c r="AQ260" i="52" s="1"/>
  <c r="AQ285" i="52"/>
  <c r="AQ286" i="52" s="1"/>
  <c r="AQ408" i="88"/>
  <c r="AQ411" i="88" s="1"/>
  <c r="AQ437" i="88"/>
  <c r="AQ438" i="88" s="1"/>
  <c r="AR256" i="96"/>
  <c r="AR282" i="96" s="1"/>
  <c r="AR285" i="96"/>
  <c r="AR286" i="96" s="1"/>
  <c r="AP408" i="52"/>
  <c r="AP434" i="52" s="1"/>
  <c r="AP437" i="52"/>
  <c r="AP438" i="52" s="1"/>
  <c r="AS104" i="52"/>
  <c r="AS130" i="52" s="1"/>
  <c r="AS133" i="52"/>
  <c r="AS134" i="52" s="1"/>
  <c r="AP332" i="52"/>
  <c r="AP335" i="52" s="1"/>
  <c r="AP336" i="52" s="1"/>
  <c r="AP361" i="52"/>
  <c r="AP362" i="52" s="1"/>
  <c r="AR180" i="52"/>
  <c r="AR206" i="52" s="1"/>
  <c r="AR209" i="52"/>
  <c r="AR210" i="52" s="1"/>
  <c r="AP411" i="88"/>
  <c r="AP412" i="88" s="1"/>
  <c r="AR256" i="92"/>
  <c r="AR259" i="92" s="1"/>
  <c r="AR285" i="92"/>
  <c r="AR286" i="92" s="1"/>
  <c r="AP411" i="96"/>
  <c r="AP412" i="96" s="1"/>
  <c r="AT104" i="88"/>
  <c r="AT130" i="88" s="1"/>
  <c r="AT133" i="88"/>
  <c r="AT134" i="88" s="1"/>
  <c r="AQ332" i="92"/>
  <c r="AQ335" i="92" s="1"/>
  <c r="AQ361" i="92"/>
  <c r="AQ362" i="92" s="1"/>
  <c r="AQ332" i="96"/>
  <c r="AQ358" i="96" s="1"/>
  <c r="AQ361" i="96"/>
  <c r="AQ362" i="96" s="1"/>
  <c r="AR180" i="88"/>
  <c r="AR183" i="88" s="1"/>
  <c r="AR184" i="88" s="1"/>
  <c r="AR209" i="88"/>
  <c r="AR210" i="88" s="1"/>
  <c r="AR256" i="88"/>
  <c r="AR259" i="88" s="1"/>
  <c r="AR285" i="88"/>
  <c r="AR286" i="88" s="1"/>
  <c r="AQ332" i="88"/>
  <c r="AQ335" i="88" s="1"/>
  <c r="AQ361" i="88"/>
  <c r="AQ362" i="88" s="1"/>
  <c r="AS104" i="88"/>
  <c r="AS130" i="88" s="1"/>
  <c r="AS133" i="88"/>
  <c r="AS134" i="88" s="1"/>
  <c r="W114" i="92"/>
  <c r="X109" i="92"/>
  <c r="X131" i="92"/>
  <c r="V342" i="92"/>
  <c r="V352" i="92" s="1"/>
  <c r="W341" i="92"/>
  <c r="W338" i="92"/>
  <c r="W339" i="92" s="1"/>
  <c r="W340" i="92" s="1"/>
  <c r="W341" i="96"/>
  <c r="W342" i="96" s="1"/>
  <c r="W355" i="96" s="1"/>
  <c r="W364" i="96" s="1"/>
  <c r="X341" i="96"/>
  <c r="X342" i="96" s="1"/>
  <c r="Y207" i="88"/>
  <c r="X359" i="96"/>
  <c r="W203" i="88"/>
  <c r="W212" i="88" s="1"/>
  <c r="W213" i="88" s="1"/>
  <c r="V428" i="96"/>
  <c r="X185" i="96"/>
  <c r="X207" i="96"/>
  <c r="V200" i="96"/>
  <c r="V203" i="96"/>
  <c r="V212" i="96" s="1"/>
  <c r="V213" i="96" s="1"/>
  <c r="X124" i="96"/>
  <c r="W417" i="96"/>
  <c r="W414" i="96"/>
  <c r="W415" i="96" s="1"/>
  <c r="W416" i="96" s="1"/>
  <c r="X186" i="88"/>
  <c r="X187" i="88" s="1"/>
  <c r="X188" i="88" s="1"/>
  <c r="X189" i="88"/>
  <c r="Y113" i="96"/>
  <c r="Y110" i="96"/>
  <c r="Y111" i="96" s="1"/>
  <c r="Y112" i="96" s="1"/>
  <c r="X137" i="96"/>
  <c r="Y113" i="88"/>
  <c r="Y110" i="88"/>
  <c r="Y111" i="88" s="1"/>
  <c r="Y112" i="88" s="1"/>
  <c r="W200" i="96"/>
  <c r="W203" i="96"/>
  <c r="W212" i="96" s="1"/>
  <c r="X127" i="88"/>
  <c r="X136" i="88" s="1"/>
  <c r="X137" i="88" s="1"/>
  <c r="X124" i="88"/>
  <c r="V352" i="96"/>
  <c r="V355" i="96"/>
  <c r="V364" i="96" s="1"/>
  <c r="Z279" i="88"/>
  <c r="Z288" i="88" s="1"/>
  <c r="Z289" i="88" s="1"/>
  <c r="U431" i="88"/>
  <c r="U440" i="88" s="1"/>
  <c r="U441" i="88" s="1"/>
  <c r="X276" i="96"/>
  <c r="Y279" i="52"/>
  <c r="Y288" i="52" s="1"/>
  <c r="Y289" i="52" s="1"/>
  <c r="V418" i="92"/>
  <c r="V431" i="92" s="1"/>
  <c r="V440" i="92" s="1"/>
  <c r="V441" i="92" s="1"/>
  <c r="Y266" i="92"/>
  <c r="Z262" i="52"/>
  <c r="Z263" i="52" s="1"/>
  <c r="Z264" i="52" s="1"/>
  <c r="Z265" i="52"/>
  <c r="X279" i="92"/>
  <c r="X288" i="92" s="1"/>
  <c r="X289" i="92" s="1"/>
  <c r="X276" i="92"/>
  <c r="W417" i="92"/>
  <c r="W414" i="92"/>
  <c r="W415" i="92" s="1"/>
  <c r="W416" i="92" s="1"/>
  <c r="Z283" i="92"/>
  <c r="Z261" i="92"/>
  <c r="Y266" i="96"/>
  <c r="Y276" i="96" s="1"/>
  <c r="Z261" i="96"/>
  <c r="Z283" i="96"/>
  <c r="Y200" i="52"/>
  <c r="X355" i="88"/>
  <c r="X364" i="88" s="1"/>
  <c r="X365" i="88" s="1"/>
  <c r="AT96" i="96"/>
  <c r="AT97" i="96" s="1"/>
  <c r="AB190" i="92"/>
  <c r="AB203" i="92" s="1"/>
  <c r="AB212" i="92" s="1"/>
  <c r="V414" i="88"/>
  <c r="V415" i="88" s="1"/>
  <c r="V416" i="88" s="1"/>
  <c r="V417" i="88"/>
  <c r="AA342" i="52"/>
  <c r="AA355" i="52" s="1"/>
  <c r="AA364" i="52" s="1"/>
  <c r="Z190" i="52"/>
  <c r="Y417" i="52"/>
  <c r="Y414" i="52"/>
  <c r="Y415" i="52" s="1"/>
  <c r="Y416" i="52" s="1"/>
  <c r="X431" i="52"/>
  <c r="X440" i="52" s="1"/>
  <c r="X441" i="52" s="1"/>
  <c r="X428" i="52"/>
  <c r="AA185" i="52"/>
  <c r="AA207" i="52"/>
  <c r="Y341" i="88"/>
  <c r="Y338" i="88"/>
  <c r="Y339" i="88" s="1"/>
  <c r="Y340" i="88" s="1"/>
  <c r="Z355" i="52"/>
  <c r="Z364" i="52" s="1"/>
  <c r="Z352" i="52"/>
  <c r="AA200" i="92"/>
  <c r="AA203" i="92"/>
  <c r="AA212" i="92" s="1"/>
  <c r="AC189" i="92"/>
  <c r="AC186" i="92"/>
  <c r="AC187" i="92" s="1"/>
  <c r="AC188" i="92" s="1"/>
  <c r="AS108" i="96"/>
  <c r="AT224" i="96"/>
  <c r="AT172" i="96"/>
  <c r="AT173" i="96" s="1"/>
  <c r="AR184" i="96"/>
  <c r="AP336" i="96"/>
  <c r="AT148" i="88"/>
  <c r="AT224" i="88" s="1"/>
  <c r="AP412" i="92"/>
  <c r="AP336" i="92"/>
  <c r="AR376" i="88"/>
  <c r="AR400" i="88" s="1"/>
  <c r="AR401" i="88" s="1"/>
  <c r="AR324" i="88"/>
  <c r="AR325" i="88" s="1"/>
  <c r="AS300" i="88"/>
  <c r="AS248" i="88"/>
  <c r="AS249" i="88" s="1"/>
  <c r="AQ324" i="52"/>
  <c r="AQ325" i="52" s="1"/>
  <c r="AQ376" i="52"/>
  <c r="AQ400" i="52" s="1"/>
  <c r="AQ401" i="52" s="1"/>
  <c r="AS224" i="52"/>
  <c r="AS172" i="52"/>
  <c r="AS173" i="52" s="1"/>
  <c r="AT96" i="52"/>
  <c r="AT97" i="52" s="1"/>
  <c r="AT148" i="52"/>
  <c r="AR300" i="52"/>
  <c r="AR248" i="52"/>
  <c r="AR249" i="52" s="1"/>
  <c r="Y127" i="52"/>
  <c r="Y136" i="52" s="1"/>
  <c r="Y137" i="52" s="1"/>
  <c r="Z113" i="52"/>
  <c r="Z110" i="52"/>
  <c r="Z111" i="52" s="1"/>
  <c r="Z112" i="52" s="1"/>
  <c r="AR324" i="96" l="1"/>
  <c r="AR325" i="96" s="1"/>
  <c r="AR332" i="96" s="1"/>
  <c r="AR358" i="96" s="1"/>
  <c r="AS209" i="92"/>
  <c r="AS210" i="92" s="1"/>
  <c r="AQ408" i="96"/>
  <c r="AQ411" i="96" s="1"/>
  <c r="AQ412" i="96" s="1"/>
  <c r="AR324" i="92"/>
  <c r="AR325" i="92" s="1"/>
  <c r="AR332" i="92" s="1"/>
  <c r="AR335" i="92" s="1"/>
  <c r="AQ285" i="92"/>
  <c r="AQ286" i="92" s="1"/>
  <c r="AQ256" i="96"/>
  <c r="AQ282" i="96" s="1"/>
  <c r="AS107" i="92"/>
  <c r="AS108" i="92" s="1"/>
  <c r="AT148" i="92"/>
  <c r="AT172" i="92" s="1"/>
  <c r="AT173" i="92" s="1"/>
  <c r="AT180" i="92" s="1"/>
  <c r="AT206" i="92" s="1"/>
  <c r="AQ408" i="92"/>
  <c r="AQ411" i="92" s="1"/>
  <c r="AQ412" i="92" s="1"/>
  <c r="AS224" i="92"/>
  <c r="AS300" i="92" s="1"/>
  <c r="AS376" i="92" s="1"/>
  <c r="AS400" i="92" s="1"/>
  <c r="AS401" i="92" s="1"/>
  <c r="AT104" i="92"/>
  <c r="AT130" i="92" s="1"/>
  <c r="AS300" i="96"/>
  <c r="AS376" i="96" s="1"/>
  <c r="AS400" i="96" s="1"/>
  <c r="AS401" i="96" s="1"/>
  <c r="AS172" i="96"/>
  <c r="AS173" i="96" s="1"/>
  <c r="AS209" i="96" s="1"/>
  <c r="AS210" i="96" s="1"/>
  <c r="AM310" i="92"/>
  <c r="AM320" i="92" s="1"/>
  <c r="AM386" i="92"/>
  <c r="AM396" i="92" s="1"/>
  <c r="AM310" i="96"/>
  <c r="AM320" i="96" s="1"/>
  <c r="AM386" i="96"/>
  <c r="AM396" i="96" s="1"/>
  <c r="AM310" i="88"/>
  <c r="AM320" i="88" s="1"/>
  <c r="AM386" i="88"/>
  <c r="AM396" i="88" s="1"/>
  <c r="AN310" i="52"/>
  <c r="AN320" i="52" s="1"/>
  <c r="AN386" i="52"/>
  <c r="AN396" i="52" s="1"/>
  <c r="AM158" i="88"/>
  <c r="AM168" i="88" s="1"/>
  <c r="AM234" i="88"/>
  <c r="AM244" i="88" s="1"/>
  <c r="AM158" i="92"/>
  <c r="AM168" i="92" s="1"/>
  <c r="AM234" i="92"/>
  <c r="AM244" i="92" s="1"/>
  <c r="AM158" i="96"/>
  <c r="AM168" i="96" s="1"/>
  <c r="AM234" i="96"/>
  <c r="AM244" i="96" s="1"/>
  <c r="AN158" i="52"/>
  <c r="AN168" i="52" s="1"/>
  <c r="AN234" i="52"/>
  <c r="AN244" i="52" s="1"/>
  <c r="AN82" i="96"/>
  <c r="AM92" i="96"/>
  <c r="AN82" i="92"/>
  <c r="AM92" i="92"/>
  <c r="AN82" i="88"/>
  <c r="AM92" i="88"/>
  <c r="AO82" i="52"/>
  <c r="AN92" i="52"/>
  <c r="AQ335" i="96"/>
  <c r="AQ336" i="96" s="1"/>
  <c r="AP411" i="52"/>
  <c r="AP412" i="52" s="1"/>
  <c r="AP358" i="52"/>
  <c r="AR259" i="96"/>
  <c r="AR260" i="96" s="1"/>
  <c r="AQ358" i="92"/>
  <c r="AT107" i="88"/>
  <c r="AT108" i="88" s="1"/>
  <c r="AS107" i="88"/>
  <c r="AS108" i="88" s="1"/>
  <c r="AQ259" i="92"/>
  <c r="AQ260" i="92" s="1"/>
  <c r="AS183" i="92"/>
  <c r="AS184" i="92" s="1"/>
  <c r="AR282" i="92"/>
  <c r="AR183" i="52"/>
  <c r="AR184" i="52" s="1"/>
  <c r="AQ434" i="88"/>
  <c r="AQ358" i="88"/>
  <c r="AQ408" i="52"/>
  <c r="AQ411" i="52" s="1"/>
  <c r="AQ412" i="52" s="1"/>
  <c r="AQ437" i="52"/>
  <c r="AQ438" i="52" s="1"/>
  <c r="AR408" i="96"/>
  <c r="AR411" i="96" s="1"/>
  <c r="AR437" i="96"/>
  <c r="AR438" i="96" s="1"/>
  <c r="AS107" i="52"/>
  <c r="AS108" i="52" s="1"/>
  <c r="AQ282" i="52"/>
  <c r="AT104" i="52"/>
  <c r="AT130" i="52" s="1"/>
  <c r="AT133" i="52"/>
  <c r="AT134" i="52" s="1"/>
  <c r="AS256" i="88"/>
  <c r="AS282" i="88" s="1"/>
  <c r="AS285" i="88"/>
  <c r="AS286" i="88" s="1"/>
  <c r="AR408" i="92"/>
  <c r="AR434" i="92" s="1"/>
  <c r="AR437" i="92"/>
  <c r="AR438" i="92" s="1"/>
  <c r="AR282" i="88"/>
  <c r="AT180" i="96"/>
  <c r="AT206" i="96" s="1"/>
  <c r="AT209" i="96"/>
  <c r="AT210" i="96" s="1"/>
  <c r="AR206" i="88"/>
  <c r="AS256" i="96"/>
  <c r="AS259" i="96" s="1"/>
  <c r="AS285" i="96"/>
  <c r="AS286" i="96" s="1"/>
  <c r="AS180" i="52"/>
  <c r="AS206" i="52" s="1"/>
  <c r="AS209" i="52"/>
  <c r="AS210" i="52" s="1"/>
  <c r="AQ332" i="52"/>
  <c r="AQ335" i="52" s="1"/>
  <c r="AQ336" i="52" s="1"/>
  <c r="AQ361" i="52"/>
  <c r="AQ362" i="52" s="1"/>
  <c r="AR332" i="88"/>
  <c r="AR335" i="88" s="1"/>
  <c r="AR361" i="88"/>
  <c r="AR362" i="88" s="1"/>
  <c r="AS206" i="88"/>
  <c r="AR256" i="52"/>
  <c r="AR259" i="52" s="1"/>
  <c r="AR260" i="52" s="1"/>
  <c r="AR285" i="52"/>
  <c r="AR286" i="52" s="1"/>
  <c r="AR408" i="88"/>
  <c r="AR434" i="88" s="1"/>
  <c r="AR437" i="88"/>
  <c r="AR438" i="88" s="1"/>
  <c r="AT104" i="96"/>
  <c r="AT107" i="96" s="1"/>
  <c r="AT108" i="96" s="1"/>
  <c r="AT133" i="96"/>
  <c r="AT134" i="96" s="1"/>
  <c r="Y131" i="92"/>
  <c r="Y109" i="92"/>
  <c r="X113" i="92"/>
  <c r="X110" i="92"/>
  <c r="X111" i="92" s="1"/>
  <c r="X112" i="92" s="1"/>
  <c r="W124" i="92"/>
  <c r="W127" i="92"/>
  <c r="W136" i="92" s="1"/>
  <c r="W137" i="92" s="1"/>
  <c r="W342" i="92"/>
  <c r="W355" i="92" s="1"/>
  <c r="W364" i="92" s="1"/>
  <c r="V355" i="92"/>
  <c r="V364" i="92" s="1"/>
  <c r="V365" i="92" s="1"/>
  <c r="X337" i="92"/>
  <c r="X359" i="92"/>
  <c r="W352" i="96"/>
  <c r="Y185" i="88"/>
  <c r="Y186" i="88" s="1"/>
  <c r="Y187" i="88" s="1"/>
  <c r="Y188" i="88" s="1"/>
  <c r="X435" i="96"/>
  <c r="X189" i="96"/>
  <c r="X186" i="96"/>
  <c r="X187" i="96" s="1"/>
  <c r="X188" i="96" s="1"/>
  <c r="W213" i="96"/>
  <c r="X190" i="88"/>
  <c r="X200" i="88" s="1"/>
  <c r="W418" i="96"/>
  <c r="Z109" i="88"/>
  <c r="Z131" i="88"/>
  <c r="Z131" i="96"/>
  <c r="Z109" i="96"/>
  <c r="Y114" i="88"/>
  <c r="Y114" i="96"/>
  <c r="V365" i="96"/>
  <c r="W365" i="96"/>
  <c r="X355" i="96"/>
  <c r="X364" i="96" s="1"/>
  <c r="X365" i="96" s="1"/>
  <c r="X352" i="96"/>
  <c r="V428" i="92"/>
  <c r="Z266" i="52"/>
  <c r="AA283" i="52"/>
  <c r="AA261" i="52"/>
  <c r="Y276" i="92"/>
  <c r="Y279" i="92"/>
  <c r="Y288" i="92" s="1"/>
  <c r="Y289" i="92" s="1"/>
  <c r="AB200" i="92"/>
  <c r="W418" i="92"/>
  <c r="W431" i="92" s="1"/>
  <c r="W440" i="92" s="1"/>
  <c r="W441" i="92" s="1"/>
  <c r="Z265" i="92"/>
  <c r="Z262" i="92"/>
  <c r="Z263" i="92" s="1"/>
  <c r="Z264" i="92" s="1"/>
  <c r="Y279" i="96"/>
  <c r="Y288" i="96" s="1"/>
  <c r="Y289" i="96" s="1"/>
  <c r="X435" i="92"/>
  <c r="X413" i="92"/>
  <c r="Z265" i="96"/>
  <c r="Z262" i="96"/>
  <c r="Z263" i="96" s="1"/>
  <c r="Z264" i="96" s="1"/>
  <c r="AA352" i="52"/>
  <c r="W413" i="88"/>
  <c r="W435" i="88"/>
  <c r="V418" i="88"/>
  <c r="Y342" i="88"/>
  <c r="Y352" i="88" s="1"/>
  <c r="Z200" i="52"/>
  <c r="Z203" i="52"/>
  <c r="Z212" i="52" s="1"/>
  <c r="Z213" i="52" s="1"/>
  <c r="Y418" i="52"/>
  <c r="AA189" i="52"/>
  <c r="AA186" i="52"/>
  <c r="AA187" i="52" s="1"/>
  <c r="AA188" i="52" s="1"/>
  <c r="Z435" i="52"/>
  <c r="Z413" i="52"/>
  <c r="AC190" i="92"/>
  <c r="AA213" i="92"/>
  <c r="AA365" i="52"/>
  <c r="Z337" i="88"/>
  <c r="Z359" i="88"/>
  <c r="AB337" i="52"/>
  <c r="AB359" i="52"/>
  <c r="AB213" i="92"/>
  <c r="Z365" i="52"/>
  <c r="AD185" i="92"/>
  <c r="AD207" i="92"/>
  <c r="AT172" i="88"/>
  <c r="AT173" i="88" s="1"/>
  <c r="AT300" i="96"/>
  <c r="AT248" i="96"/>
  <c r="AT249" i="96" s="1"/>
  <c r="AR260" i="92"/>
  <c r="AQ336" i="92"/>
  <c r="AR260" i="88"/>
  <c r="AQ412" i="88"/>
  <c r="AQ336" i="88"/>
  <c r="AS184" i="88"/>
  <c r="AS376" i="88"/>
  <c r="AS400" i="88" s="1"/>
  <c r="AS401" i="88" s="1"/>
  <c r="AS324" i="88"/>
  <c r="AS325" i="88" s="1"/>
  <c r="AT300" i="88"/>
  <c r="AT248" i="88"/>
  <c r="AT249" i="88" s="1"/>
  <c r="AT224" i="52"/>
  <c r="AT172" i="52"/>
  <c r="AT173" i="52" s="1"/>
  <c r="AR376" i="52"/>
  <c r="AR400" i="52" s="1"/>
  <c r="AR401" i="52" s="1"/>
  <c r="AR324" i="52"/>
  <c r="AR325" i="52" s="1"/>
  <c r="AS248" i="52"/>
  <c r="AS249" i="52" s="1"/>
  <c r="AS300" i="52"/>
  <c r="Z114" i="52"/>
  <c r="Z124" i="52" s="1"/>
  <c r="AR361" i="96" l="1"/>
  <c r="AR362" i="96" s="1"/>
  <c r="AT107" i="92"/>
  <c r="AT108" i="92" s="1"/>
  <c r="AR361" i="92"/>
  <c r="AR362" i="92" s="1"/>
  <c r="AQ434" i="96"/>
  <c r="AQ259" i="96"/>
  <c r="AQ260" i="96" s="1"/>
  <c r="AT209" i="92"/>
  <c r="AT210" i="92" s="1"/>
  <c r="AT224" i="92"/>
  <c r="AT248" i="92" s="1"/>
  <c r="AT249" i="92" s="1"/>
  <c r="AT285" i="92" s="1"/>
  <c r="AT286" i="92" s="1"/>
  <c r="AS324" i="96"/>
  <c r="AS325" i="96" s="1"/>
  <c r="AS332" i="96" s="1"/>
  <c r="AS358" i="96" s="1"/>
  <c r="AS180" i="96"/>
  <c r="AS183" i="96" s="1"/>
  <c r="AS184" i="96" s="1"/>
  <c r="AQ434" i="92"/>
  <c r="AS248" i="92"/>
  <c r="AS249" i="92" s="1"/>
  <c r="AS256" i="92" s="1"/>
  <c r="AS259" i="92" s="1"/>
  <c r="AS260" i="92" s="1"/>
  <c r="AS324" i="92"/>
  <c r="AS325" i="92" s="1"/>
  <c r="AS332" i="92" s="1"/>
  <c r="AS335" i="92" s="1"/>
  <c r="AO310" i="52"/>
  <c r="AO320" i="52" s="1"/>
  <c r="AO386" i="52"/>
  <c r="AO396" i="52" s="1"/>
  <c r="AN310" i="88"/>
  <c r="AN320" i="88" s="1"/>
  <c r="AN386" i="88"/>
  <c r="AN396" i="88" s="1"/>
  <c r="AN310" i="92"/>
  <c r="AN320" i="92" s="1"/>
  <c r="AN386" i="92"/>
  <c r="AN396" i="92" s="1"/>
  <c r="AN310" i="96"/>
  <c r="AN320" i="96" s="1"/>
  <c r="AN386" i="96"/>
  <c r="AN396" i="96" s="1"/>
  <c r="AR335" i="96"/>
  <c r="AR336" i="96" s="1"/>
  <c r="AO158" i="52"/>
  <c r="AO168" i="52" s="1"/>
  <c r="AO234" i="52"/>
  <c r="AO244" i="52" s="1"/>
  <c r="AN158" i="88"/>
  <c r="AN168" i="88" s="1"/>
  <c r="AN234" i="88"/>
  <c r="AN244" i="88" s="1"/>
  <c r="AN158" i="92"/>
  <c r="AN168" i="92" s="1"/>
  <c r="AN234" i="92"/>
  <c r="AN244" i="92" s="1"/>
  <c r="AN158" i="96"/>
  <c r="AN168" i="96" s="1"/>
  <c r="AN234" i="96"/>
  <c r="AN244" i="96" s="1"/>
  <c r="AP82" i="52"/>
  <c r="AO92" i="52"/>
  <c r="AO82" i="88"/>
  <c r="AN92" i="88"/>
  <c r="AO82" i="92"/>
  <c r="AN92" i="92"/>
  <c r="AO82" i="96"/>
  <c r="AN92" i="96"/>
  <c r="AR358" i="92"/>
  <c r="AA131" i="88"/>
  <c r="AQ358" i="52"/>
  <c r="AS183" i="52"/>
  <c r="AS184" i="52" s="1"/>
  <c r="AR282" i="52"/>
  <c r="AR411" i="88"/>
  <c r="AR412" i="88" s="1"/>
  <c r="AQ434" i="52"/>
  <c r="AT107" i="52"/>
  <c r="AT108" i="52" s="1"/>
  <c r="AR358" i="88"/>
  <c r="AR434" i="96"/>
  <c r="AT183" i="96"/>
  <c r="AT184" i="96" s="1"/>
  <c r="AS259" i="88"/>
  <c r="AS260" i="88" s="1"/>
  <c r="AT183" i="92"/>
  <c r="AT184" i="92" s="1"/>
  <c r="AS282" i="96"/>
  <c r="AT130" i="96"/>
  <c r="AR408" i="52"/>
  <c r="AR434" i="52" s="1"/>
  <c r="AR437" i="52"/>
  <c r="AR438" i="52" s="1"/>
  <c r="AR332" i="52"/>
  <c r="AR335" i="52" s="1"/>
  <c r="AR336" i="52" s="1"/>
  <c r="AR361" i="52"/>
  <c r="AR362" i="52" s="1"/>
  <c r="AT256" i="88"/>
  <c r="AT259" i="88" s="1"/>
  <c r="AT285" i="88"/>
  <c r="AT286" i="88" s="1"/>
  <c r="AT180" i="88"/>
  <c r="AT183" i="88" s="1"/>
  <c r="AT184" i="88" s="1"/>
  <c r="AT209" i="88"/>
  <c r="AT210" i="88" s="1"/>
  <c r="AS332" i="88"/>
  <c r="AS358" i="88" s="1"/>
  <c r="AS361" i="88"/>
  <c r="AS362" i="88" s="1"/>
  <c r="AR411" i="92"/>
  <c r="AR412" i="92" s="1"/>
  <c r="AS408" i="92"/>
  <c r="AS411" i="92" s="1"/>
  <c r="AS437" i="92"/>
  <c r="AS438" i="92" s="1"/>
  <c r="AT256" i="96"/>
  <c r="AT282" i="96" s="1"/>
  <c r="AT285" i="96"/>
  <c r="AT286" i="96" s="1"/>
  <c r="AT180" i="52"/>
  <c r="AT206" i="52" s="1"/>
  <c r="AT209" i="52"/>
  <c r="AT210" i="52" s="1"/>
  <c r="AS256" i="52"/>
  <c r="AS259" i="52" s="1"/>
  <c r="AS260" i="52" s="1"/>
  <c r="AS285" i="52"/>
  <c r="AS286" i="52" s="1"/>
  <c r="AS408" i="88"/>
  <c r="AS434" i="88" s="1"/>
  <c r="AS437" i="88"/>
  <c r="AS438" i="88" s="1"/>
  <c r="AS408" i="96"/>
  <c r="AS434" i="96" s="1"/>
  <c r="AS437" i="96"/>
  <c r="AS438" i="96" s="1"/>
  <c r="X114" i="92"/>
  <c r="X124" i="92" s="1"/>
  <c r="Y110" i="92"/>
  <c r="Y111" i="92" s="1"/>
  <c r="Y112" i="92" s="1"/>
  <c r="Y113" i="92"/>
  <c r="Y337" i="92"/>
  <c r="W352" i="92"/>
  <c r="W365" i="92"/>
  <c r="X341" i="92"/>
  <c r="X338" i="92"/>
  <c r="X339" i="92" s="1"/>
  <c r="X340" i="92" s="1"/>
  <c r="Y189" i="88"/>
  <c r="Y190" i="88" s="1"/>
  <c r="X413" i="96"/>
  <c r="X414" i="96" s="1"/>
  <c r="X415" i="96" s="1"/>
  <c r="X416" i="96" s="1"/>
  <c r="X203" i="88"/>
  <c r="X212" i="88" s="1"/>
  <c r="X213" i="88" s="1"/>
  <c r="X190" i="96"/>
  <c r="AA261" i="88"/>
  <c r="AA283" i="88"/>
  <c r="W428" i="96"/>
  <c r="W431" i="96"/>
  <c r="W440" i="96" s="1"/>
  <c r="W441" i="96" s="1"/>
  <c r="Y413" i="96"/>
  <c r="Y435" i="96"/>
  <c r="Z110" i="96"/>
  <c r="Z111" i="96" s="1"/>
  <c r="Z112" i="96" s="1"/>
  <c r="Z113" i="96"/>
  <c r="Y127" i="96"/>
  <c r="Y136" i="96" s="1"/>
  <c r="Y137" i="96" s="1"/>
  <c r="Y124" i="96"/>
  <c r="Z185" i="88"/>
  <c r="Z207" i="88"/>
  <c r="Y124" i="88"/>
  <c r="Y127" i="88"/>
  <c r="Y136" i="88" s="1"/>
  <c r="Z110" i="88"/>
  <c r="Z111" i="88" s="1"/>
  <c r="Z112" i="88" s="1"/>
  <c r="Z113" i="88"/>
  <c r="AB283" i="52"/>
  <c r="W428" i="92"/>
  <c r="Y355" i="88"/>
  <c r="Y364" i="88" s="1"/>
  <c r="Y365" i="88" s="1"/>
  <c r="Z276" i="52"/>
  <c r="Z279" i="52"/>
  <c r="Z288" i="52" s="1"/>
  <c r="Z289" i="52" s="1"/>
  <c r="AA265" i="52"/>
  <c r="AA262" i="52"/>
  <c r="AA263" i="52" s="1"/>
  <c r="AA264" i="52" s="1"/>
  <c r="Z266" i="92"/>
  <c r="Z279" i="92" s="1"/>
  <c r="Z288" i="92" s="1"/>
  <c r="Z289" i="92" s="1"/>
  <c r="AA261" i="92"/>
  <c r="AA283" i="92"/>
  <c r="X414" i="92"/>
  <c r="X415" i="92" s="1"/>
  <c r="X416" i="92" s="1"/>
  <c r="X417" i="92"/>
  <c r="AE185" i="92"/>
  <c r="Z266" i="96"/>
  <c r="AA283" i="96"/>
  <c r="AA261" i="96"/>
  <c r="AA337" i="88"/>
  <c r="X435" i="88"/>
  <c r="V431" i="88"/>
  <c r="V440" i="88" s="1"/>
  <c r="V441" i="88" s="1"/>
  <c r="V428" i="88"/>
  <c r="W417" i="88"/>
  <c r="W414" i="88"/>
  <c r="W415" i="88" s="1"/>
  <c r="W416" i="88" s="1"/>
  <c r="AB185" i="52"/>
  <c r="AB207" i="52"/>
  <c r="AA190" i="52"/>
  <c r="Y428" i="52"/>
  <c r="Y431" i="52"/>
  <c r="Y440" i="52" s="1"/>
  <c r="Y441" i="52" s="1"/>
  <c r="Z417" i="52"/>
  <c r="Z414" i="52"/>
  <c r="Z415" i="52" s="1"/>
  <c r="Z416" i="52" s="1"/>
  <c r="AD189" i="92"/>
  <c r="AD186" i="92"/>
  <c r="AD187" i="92" s="1"/>
  <c r="AD188" i="92" s="1"/>
  <c r="Z341" i="88"/>
  <c r="Z338" i="88"/>
  <c r="Z339" i="88" s="1"/>
  <c r="Z340" i="88" s="1"/>
  <c r="AC203" i="92"/>
  <c r="AC212" i="92" s="1"/>
  <c r="AC200" i="92"/>
  <c r="AB341" i="52"/>
  <c r="AB338" i="52"/>
  <c r="AB339" i="52" s="1"/>
  <c r="AB340" i="52" s="1"/>
  <c r="AR412" i="96"/>
  <c r="AS260" i="96"/>
  <c r="AT376" i="96"/>
  <c r="AT400" i="96" s="1"/>
  <c r="AT401" i="96" s="1"/>
  <c r="AT324" i="96"/>
  <c r="AT325" i="96" s="1"/>
  <c r="AR336" i="92"/>
  <c r="AT376" i="88"/>
  <c r="AT400" i="88" s="1"/>
  <c r="AT401" i="88" s="1"/>
  <c r="AT324" i="88"/>
  <c r="AT325" i="88" s="1"/>
  <c r="AR336" i="88"/>
  <c r="AS324" i="52"/>
  <c r="AS325" i="52" s="1"/>
  <c r="AS376" i="52"/>
  <c r="AS400" i="52" s="1"/>
  <c r="AS401" i="52" s="1"/>
  <c r="AT300" i="52"/>
  <c r="AT248" i="52"/>
  <c r="AT249" i="52" s="1"/>
  <c r="AA109" i="52"/>
  <c r="AA131" i="52"/>
  <c r="AB109" i="52"/>
  <c r="AB131" i="52"/>
  <c r="Z127" i="52"/>
  <c r="Z136" i="52" s="1"/>
  <c r="Z137" i="52" s="1"/>
  <c r="AS285" i="92" l="1"/>
  <c r="AS286" i="92" s="1"/>
  <c r="AT300" i="92"/>
  <c r="AT324" i="92" s="1"/>
  <c r="AT325" i="92" s="1"/>
  <c r="AT361" i="92" s="1"/>
  <c r="AT362" i="92" s="1"/>
  <c r="AT256" i="92"/>
  <c r="AT282" i="92" s="1"/>
  <c r="AS361" i="96"/>
  <c r="AS362" i="96" s="1"/>
  <c r="AS361" i="92"/>
  <c r="AS362" i="92" s="1"/>
  <c r="AS206" i="96"/>
  <c r="AO310" i="96"/>
  <c r="AO320" i="96" s="1"/>
  <c r="AO386" i="96"/>
  <c r="AO396" i="96" s="1"/>
  <c r="AO310" i="88"/>
  <c r="AO320" i="88" s="1"/>
  <c r="AO386" i="88"/>
  <c r="AO396" i="88" s="1"/>
  <c r="AP310" i="52"/>
  <c r="AP320" i="52" s="1"/>
  <c r="AP386" i="52"/>
  <c r="AP396" i="52" s="1"/>
  <c r="AO310" i="92"/>
  <c r="AO320" i="92" s="1"/>
  <c r="AO386" i="92"/>
  <c r="AO396" i="92" s="1"/>
  <c r="AO158" i="96"/>
  <c r="AO168" i="96" s="1"/>
  <c r="AO234" i="96"/>
  <c r="AO244" i="96" s="1"/>
  <c r="AO158" i="88"/>
  <c r="AO168" i="88" s="1"/>
  <c r="AO234" i="88"/>
  <c r="AO244" i="88" s="1"/>
  <c r="AO158" i="92"/>
  <c r="AO168" i="92" s="1"/>
  <c r="AO234" i="92"/>
  <c r="AO244" i="92" s="1"/>
  <c r="AP158" i="52"/>
  <c r="AP168" i="52" s="1"/>
  <c r="AP234" i="52"/>
  <c r="AP244" i="52" s="1"/>
  <c r="AP82" i="92"/>
  <c r="AO92" i="92"/>
  <c r="AP82" i="96"/>
  <c r="AO92" i="96"/>
  <c r="AP82" i="88"/>
  <c r="AO92" i="88"/>
  <c r="AQ82" i="52"/>
  <c r="AP92" i="52"/>
  <c r="AT183" i="52"/>
  <c r="AT184" i="52" s="1"/>
  <c r="AS411" i="96"/>
  <c r="AS412" i="96" s="1"/>
  <c r="AS411" i="88"/>
  <c r="AS412" i="88" s="1"/>
  <c r="AT259" i="96"/>
  <c r="AT260" i="96" s="1"/>
  <c r="AS335" i="88"/>
  <c r="AS336" i="88" s="1"/>
  <c r="AS335" i="96"/>
  <c r="AS336" i="96" s="1"/>
  <c r="AS282" i="52"/>
  <c r="AR358" i="52"/>
  <c r="AT206" i="88"/>
  <c r="AT282" i="88"/>
  <c r="AR411" i="52"/>
  <c r="AR412" i="52" s="1"/>
  <c r="AS358" i="92"/>
  <c r="AS282" i="92"/>
  <c r="AS332" i="52"/>
  <c r="AS335" i="52" s="1"/>
  <c r="AS336" i="52" s="1"/>
  <c r="AS361" i="52"/>
  <c r="AS362" i="52" s="1"/>
  <c r="AS408" i="52"/>
  <c r="AS434" i="52" s="1"/>
  <c r="AS437" i="52"/>
  <c r="AS438" i="52" s="1"/>
  <c r="AS434" i="92"/>
  <c r="AT332" i="88"/>
  <c r="AT335" i="88" s="1"/>
  <c r="AT361" i="88"/>
  <c r="AT362" i="88" s="1"/>
  <c r="AT408" i="88"/>
  <c r="AT411" i="88" s="1"/>
  <c r="AT437" i="88"/>
  <c r="AT438" i="88" s="1"/>
  <c r="AT408" i="96"/>
  <c r="AT434" i="96" s="1"/>
  <c r="AT437" i="96"/>
  <c r="AT438" i="96" s="1"/>
  <c r="AT332" i="96"/>
  <c r="AT335" i="96" s="1"/>
  <c r="AT361" i="96"/>
  <c r="AT362" i="96" s="1"/>
  <c r="AT256" i="52"/>
  <c r="AT282" i="52" s="1"/>
  <c r="AT285" i="52"/>
  <c r="AT286" i="52" s="1"/>
  <c r="Z109" i="92"/>
  <c r="X127" i="92"/>
  <c r="X136" i="92" s="1"/>
  <c r="X137" i="92" s="1"/>
  <c r="Y114" i="92"/>
  <c r="Y359" i="92"/>
  <c r="X417" i="96"/>
  <c r="X418" i="96" s="1"/>
  <c r="X431" i="96" s="1"/>
  <c r="X440" i="96" s="1"/>
  <c r="X441" i="96" s="1"/>
  <c r="Y341" i="92"/>
  <c r="Y338" i="92"/>
  <c r="Y339" i="92" s="1"/>
  <c r="Y340" i="92" s="1"/>
  <c r="X342" i="92"/>
  <c r="Y359" i="96"/>
  <c r="Y337" i="96"/>
  <c r="AA109" i="88"/>
  <c r="AA113" i="88" s="1"/>
  <c r="AB261" i="52"/>
  <c r="AB262" i="52" s="1"/>
  <c r="AB263" i="52" s="1"/>
  <c r="AB264" i="52" s="1"/>
  <c r="X203" i="96"/>
  <c r="X212" i="96" s="1"/>
  <c r="X213" i="96" s="1"/>
  <c r="X200" i="96"/>
  <c r="AA262" i="88"/>
  <c r="AA263" i="88" s="1"/>
  <c r="AA264" i="88" s="1"/>
  <c r="AA265" i="88"/>
  <c r="Y185" i="96"/>
  <c r="Y207" i="96"/>
  <c r="AB261" i="88"/>
  <c r="AB283" i="88"/>
  <c r="AA185" i="88"/>
  <c r="Z413" i="96"/>
  <c r="Z435" i="96"/>
  <c r="Y414" i="96"/>
  <c r="Y415" i="96" s="1"/>
  <c r="Y416" i="96" s="1"/>
  <c r="Y417" i="96"/>
  <c r="Y200" i="88"/>
  <c r="Y203" i="88"/>
  <c r="Y212" i="88" s="1"/>
  <c r="Y137" i="88"/>
  <c r="Z114" i="88"/>
  <c r="Z114" i="96"/>
  <c r="Z186" i="88"/>
  <c r="Z187" i="88" s="1"/>
  <c r="Z188" i="88" s="1"/>
  <c r="Z189" i="88"/>
  <c r="AE207" i="92"/>
  <c r="AA359" i="88"/>
  <c r="AA266" i="52"/>
  <c r="AA279" i="52" s="1"/>
  <c r="AA288" i="52" s="1"/>
  <c r="Z276" i="92"/>
  <c r="X418" i="92"/>
  <c r="AA262" i="92"/>
  <c r="AA263" i="92" s="1"/>
  <c r="AA264" i="92" s="1"/>
  <c r="AA265" i="92"/>
  <c r="Y435" i="92"/>
  <c r="Y413" i="92"/>
  <c r="AA262" i="96"/>
  <c r="AA263" i="96" s="1"/>
  <c r="AA264" i="96" s="1"/>
  <c r="AA265" i="96"/>
  <c r="AB261" i="96"/>
  <c r="AB283" i="96"/>
  <c r="Z276" i="96"/>
  <c r="Z279" i="96"/>
  <c r="Z288" i="96" s="1"/>
  <c r="Z289" i="96" s="1"/>
  <c r="X413" i="88"/>
  <c r="X414" i="88" s="1"/>
  <c r="X415" i="88" s="1"/>
  <c r="X416" i="88" s="1"/>
  <c r="W418" i="88"/>
  <c r="AB342" i="52"/>
  <c r="AB352" i="52" s="1"/>
  <c r="Z342" i="88"/>
  <c r="Z352" i="88" s="1"/>
  <c r="Z418" i="52"/>
  <c r="AA413" i="52"/>
  <c r="AA435" i="52"/>
  <c r="AA203" i="52"/>
  <c r="AA212" i="52" s="1"/>
  <c r="AA200" i="52"/>
  <c r="AB435" i="52"/>
  <c r="AB186" i="52"/>
  <c r="AB187" i="52" s="1"/>
  <c r="AB188" i="52" s="1"/>
  <c r="AB189" i="52"/>
  <c r="AE189" i="92"/>
  <c r="AE186" i="92"/>
  <c r="AE187" i="92" s="1"/>
  <c r="AE188" i="92" s="1"/>
  <c r="AC337" i="52"/>
  <c r="AC359" i="52"/>
  <c r="AA341" i="88"/>
  <c r="AA338" i="88"/>
  <c r="AA339" i="88" s="1"/>
  <c r="AA340" i="88" s="1"/>
  <c r="AC213" i="92"/>
  <c r="AD190" i="92"/>
  <c r="AS412" i="92"/>
  <c r="AS336" i="92"/>
  <c r="AT260" i="88"/>
  <c r="AT376" i="52"/>
  <c r="AT400" i="52" s="1"/>
  <c r="AT401" i="52" s="1"/>
  <c r="AT324" i="52"/>
  <c r="AT325" i="52" s="1"/>
  <c r="AA113" i="52"/>
  <c r="AA110" i="52"/>
  <c r="AA111" i="52" s="1"/>
  <c r="AA112" i="52" s="1"/>
  <c r="AB113" i="52"/>
  <c r="AB110" i="52"/>
  <c r="AT376" i="92" l="1"/>
  <c r="AT400" i="92" s="1"/>
  <c r="AT401" i="92" s="1"/>
  <c r="AT408" i="92" s="1"/>
  <c r="AT411" i="92" s="1"/>
  <c r="AT412" i="92" s="1"/>
  <c r="AT332" i="92"/>
  <c r="AT335" i="92" s="1"/>
  <c r="AT336" i="92" s="1"/>
  <c r="AT259" i="92"/>
  <c r="AT260" i="92" s="1"/>
  <c r="AQ310" i="52"/>
  <c r="AQ320" i="52" s="1"/>
  <c r="AQ386" i="52"/>
  <c r="AQ396" i="52" s="1"/>
  <c r="AP310" i="92"/>
  <c r="AP320" i="92" s="1"/>
  <c r="AP386" i="92"/>
  <c r="AP396" i="92" s="1"/>
  <c r="AP310" i="96"/>
  <c r="AP320" i="96" s="1"/>
  <c r="AP386" i="96"/>
  <c r="AP396" i="96" s="1"/>
  <c r="AP310" i="88"/>
  <c r="AP320" i="88" s="1"/>
  <c r="AP386" i="88"/>
  <c r="AP396" i="88" s="1"/>
  <c r="AP158" i="96"/>
  <c r="AP168" i="96" s="1"/>
  <c r="AP234" i="96"/>
  <c r="AP244" i="96" s="1"/>
  <c r="AQ158" i="52"/>
  <c r="AQ168" i="52" s="1"/>
  <c r="AQ234" i="52"/>
  <c r="AQ244" i="52" s="1"/>
  <c r="AP158" i="92"/>
  <c r="AP168" i="92" s="1"/>
  <c r="AP234" i="92"/>
  <c r="AP244" i="92" s="1"/>
  <c r="AP158" i="88"/>
  <c r="AP168" i="88" s="1"/>
  <c r="AP234" i="88"/>
  <c r="AP244" i="88" s="1"/>
  <c r="AR82" i="52"/>
  <c r="AQ92" i="52"/>
  <c r="AQ82" i="92"/>
  <c r="AP92" i="92"/>
  <c r="AQ82" i="96"/>
  <c r="AP92" i="96"/>
  <c r="AQ82" i="88"/>
  <c r="AP92" i="88"/>
  <c r="AA131" i="96"/>
  <c r="AA109" i="96"/>
  <c r="AB131" i="88"/>
  <c r="AT358" i="96"/>
  <c r="AS358" i="52"/>
  <c r="AT411" i="96"/>
  <c r="AT412" i="96" s="1"/>
  <c r="AT434" i="88"/>
  <c r="AT358" i="88"/>
  <c r="AS411" i="52"/>
  <c r="AS412" i="52" s="1"/>
  <c r="AT332" i="52"/>
  <c r="AT358" i="52" s="1"/>
  <c r="AT361" i="52"/>
  <c r="AT362" i="52" s="1"/>
  <c r="AT408" i="52"/>
  <c r="AT434" i="52" s="1"/>
  <c r="AT437" i="52"/>
  <c r="AT438" i="52" s="1"/>
  <c r="AT259" i="52"/>
  <c r="AT260" i="52" s="1"/>
  <c r="Z131" i="92"/>
  <c r="Z110" i="92"/>
  <c r="Z111" i="92" s="1"/>
  <c r="Z112" i="92" s="1"/>
  <c r="Z113" i="92"/>
  <c r="Y124" i="92"/>
  <c r="Y127" i="92"/>
  <c r="Y136" i="92" s="1"/>
  <c r="Y137" i="92" s="1"/>
  <c r="Z359" i="92"/>
  <c r="X355" i="92"/>
  <c r="X364" i="92" s="1"/>
  <c r="X365" i="92" s="1"/>
  <c r="X352" i="92"/>
  <c r="Y342" i="92"/>
  <c r="X428" i="96"/>
  <c r="AA266" i="88"/>
  <c r="AA279" i="88" s="1"/>
  <c r="AA288" i="88" s="1"/>
  <c r="AA289" i="88" s="1"/>
  <c r="Y341" i="96"/>
  <c r="Y338" i="96"/>
  <c r="Y339" i="96" s="1"/>
  <c r="Y340" i="96" s="1"/>
  <c r="AB265" i="52"/>
  <c r="AB266" i="52" s="1"/>
  <c r="AA110" i="88"/>
  <c r="AA111" i="88" s="1"/>
  <c r="AA112" i="88" s="1"/>
  <c r="AA114" i="88" s="1"/>
  <c r="AA124" i="88" s="1"/>
  <c r="AC283" i="52"/>
  <c r="AA185" i="96"/>
  <c r="Y189" i="96"/>
  <c r="Y186" i="96"/>
  <c r="Y187" i="96" s="1"/>
  <c r="Y188" i="96" s="1"/>
  <c r="Z190" i="88"/>
  <c r="Z200" i="88" s="1"/>
  <c r="AB262" i="88"/>
  <c r="AB263" i="88" s="1"/>
  <c r="AB264" i="88" s="1"/>
  <c r="AB265" i="88"/>
  <c r="Z185" i="96"/>
  <c r="Z207" i="96"/>
  <c r="AA207" i="88"/>
  <c r="Y418" i="96"/>
  <c r="Y431" i="96" s="1"/>
  <c r="Y440" i="96" s="1"/>
  <c r="Y441" i="96" s="1"/>
  <c r="AA276" i="52"/>
  <c r="Z417" i="96"/>
  <c r="Z414" i="96"/>
  <c r="Z415" i="96" s="1"/>
  <c r="Z416" i="96" s="1"/>
  <c r="Y213" i="88"/>
  <c r="Z355" i="88"/>
  <c r="Z364" i="88" s="1"/>
  <c r="Z365" i="88" s="1"/>
  <c r="AA189" i="88"/>
  <c r="AA186" i="88"/>
  <c r="AA187" i="88" s="1"/>
  <c r="AA188" i="88" s="1"/>
  <c r="Z124" i="96"/>
  <c r="Z127" i="96"/>
  <c r="Z136" i="96" s="1"/>
  <c r="Z124" i="88"/>
  <c r="Z127" i="88"/>
  <c r="Z136" i="88" s="1"/>
  <c r="Z137" i="88" s="1"/>
  <c r="AB109" i="96"/>
  <c r="AB131" i="96"/>
  <c r="AB359" i="88"/>
  <c r="Y413" i="88"/>
  <c r="X417" i="88"/>
  <c r="X418" i="88" s="1"/>
  <c r="AB261" i="92"/>
  <c r="AA289" i="52"/>
  <c r="Y414" i="92"/>
  <c r="Y415" i="92" s="1"/>
  <c r="Y416" i="92" s="1"/>
  <c r="Y417" i="92"/>
  <c r="AA266" i="92"/>
  <c r="X431" i="92"/>
  <c r="X440" i="92" s="1"/>
  <c r="X441" i="92" s="1"/>
  <c r="X428" i="92"/>
  <c r="AB262" i="96"/>
  <c r="AB263" i="96" s="1"/>
  <c r="AB264" i="96" s="1"/>
  <c r="AB265" i="96"/>
  <c r="AA266" i="96"/>
  <c r="AB413" i="52"/>
  <c r="AB417" i="52" s="1"/>
  <c r="W431" i="88"/>
  <c r="W440" i="88" s="1"/>
  <c r="W441" i="88" s="1"/>
  <c r="W428" i="88"/>
  <c r="AB355" i="52"/>
  <c r="AB364" i="52" s="1"/>
  <c r="AB365" i="52" s="1"/>
  <c r="AC185" i="52"/>
  <c r="AC207" i="52"/>
  <c r="AB190" i="52"/>
  <c r="AA414" i="52"/>
  <c r="AA415" i="52" s="1"/>
  <c r="AA416" i="52" s="1"/>
  <c r="AA417" i="52"/>
  <c r="AE190" i="92"/>
  <c r="AE203" i="92" s="1"/>
  <c r="AE212" i="92" s="1"/>
  <c r="AA213" i="52"/>
  <c r="Z428" i="52"/>
  <c r="Z431" i="52"/>
  <c r="Z440" i="52" s="1"/>
  <c r="Z441" i="52" s="1"/>
  <c r="AA342" i="88"/>
  <c r="AD203" i="92"/>
  <c r="AD212" i="92" s="1"/>
  <c r="AD200" i="92"/>
  <c r="AC341" i="52"/>
  <c r="AC338" i="52"/>
  <c r="AC339" i="52" s="1"/>
  <c r="AC340" i="52" s="1"/>
  <c r="AD337" i="52"/>
  <c r="AD359" i="52"/>
  <c r="AT336" i="96"/>
  <c r="AT412" i="88"/>
  <c r="AT336" i="88"/>
  <c r="AA114" i="52"/>
  <c r="AA127" i="52" s="1"/>
  <c r="AA136" i="52" s="1"/>
  <c r="AA137" i="52" s="1"/>
  <c r="AC109" i="52"/>
  <c r="AC131" i="52"/>
  <c r="AB111" i="52"/>
  <c r="AB112" i="52" s="1"/>
  <c r="AB114" i="52" s="1"/>
  <c r="AT437" i="92" l="1"/>
  <c r="AT438" i="92" s="1"/>
  <c r="AT358" i="92"/>
  <c r="AQ310" i="88"/>
  <c r="AQ320" i="88" s="1"/>
  <c r="AQ386" i="88"/>
  <c r="AQ396" i="88" s="1"/>
  <c r="AQ310" i="96"/>
  <c r="AQ320" i="96" s="1"/>
  <c r="AQ386" i="96"/>
  <c r="AQ396" i="96" s="1"/>
  <c r="AR310" i="52"/>
  <c r="AR320" i="52" s="1"/>
  <c r="AR386" i="52"/>
  <c r="AR396" i="52" s="1"/>
  <c r="AQ310" i="92"/>
  <c r="AQ320" i="92" s="1"/>
  <c r="AQ386" i="92"/>
  <c r="AQ396" i="92" s="1"/>
  <c r="AQ158" i="92"/>
  <c r="AQ168" i="92" s="1"/>
  <c r="AQ234" i="92"/>
  <c r="AQ244" i="92" s="1"/>
  <c r="AR158" i="52"/>
  <c r="AR168" i="52" s="1"/>
  <c r="AR234" i="52"/>
  <c r="AR244" i="52" s="1"/>
  <c r="AQ158" i="88"/>
  <c r="AQ168" i="88" s="1"/>
  <c r="AQ234" i="88"/>
  <c r="AQ244" i="88" s="1"/>
  <c r="AQ158" i="96"/>
  <c r="AQ168" i="96" s="1"/>
  <c r="AQ234" i="96"/>
  <c r="AQ244" i="96" s="1"/>
  <c r="AS82" i="52"/>
  <c r="AR92" i="52"/>
  <c r="AR82" i="88"/>
  <c r="AQ92" i="88"/>
  <c r="AR82" i="96"/>
  <c r="AQ92" i="96"/>
  <c r="AR82" i="92"/>
  <c r="AQ92" i="92"/>
  <c r="AA110" i="96"/>
  <c r="AA111" i="96" s="1"/>
  <c r="AA112" i="96" s="1"/>
  <c r="AA113" i="96"/>
  <c r="AT411" i="52"/>
  <c r="AT412" i="52" s="1"/>
  <c r="AT335" i="52"/>
  <c r="AT336" i="52" s="1"/>
  <c r="AT434" i="92"/>
  <c r="Z114" i="92"/>
  <c r="Z127" i="92" s="1"/>
  <c r="Z136" i="92" s="1"/>
  <c r="Z137" i="92" s="1"/>
  <c r="AA131" i="92"/>
  <c r="AA109" i="92"/>
  <c r="Z337" i="92"/>
  <c r="Z341" i="92" s="1"/>
  <c r="AB109" i="88"/>
  <c r="AB113" i="88" s="1"/>
  <c r="Y355" i="92"/>
  <c r="Y364" i="92" s="1"/>
  <c r="Y365" i="92" s="1"/>
  <c r="Y352" i="92"/>
  <c r="AA276" i="88"/>
  <c r="AD283" i="52"/>
  <c r="Y342" i="96"/>
  <c r="AC109" i="96"/>
  <c r="Z337" i="96"/>
  <c r="Z359" i="96"/>
  <c r="AC261" i="52"/>
  <c r="AC262" i="52" s="1"/>
  <c r="AC263" i="52" s="1"/>
  <c r="AC264" i="52" s="1"/>
  <c r="AA207" i="96"/>
  <c r="AB185" i="88"/>
  <c r="Z203" i="88"/>
  <c r="Z212" i="88" s="1"/>
  <c r="Z213" i="88" s="1"/>
  <c r="Y428" i="96"/>
  <c r="AB266" i="88"/>
  <c r="Y190" i="96"/>
  <c r="Y203" i="96" s="1"/>
  <c r="Y212" i="96" s="1"/>
  <c r="Y213" i="96" s="1"/>
  <c r="Z189" i="96"/>
  <c r="Z186" i="96"/>
  <c r="Z187" i="96" s="1"/>
  <c r="Z188" i="96" s="1"/>
  <c r="AA190" i="88"/>
  <c r="AA200" i="88" s="1"/>
  <c r="Z418" i="96"/>
  <c r="Z428" i="96" s="1"/>
  <c r="AA127" i="88"/>
  <c r="AA136" i="88" s="1"/>
  <c r="AA137" i="88" s="1"/>
  <c r="AB337" i="88"/>
  <c r="AB341" i="88" s="1"/>
  <c r="AA413" i="96"/>
  <c r="AA435" i="96"/>
  <c r="Z137" i="96"/>
  <c r="AB113" i="96"/>
  <c r="AB110" i="96"/>
  <c r="AB111" i="96" s="1"/>
  <c r="AB112" i="96" s="1"/>
  <c r="AA189" i="96"/>
  <c r="AA186" i="96"/>
  <c r="AA187" i="96" s="1"/>
  <c r="AA188" i="96" s="1"/>
  <c r="AB414" i="52"/>
  <c r="AB415" i="52" s="1"/>
  <c r="AB416" i="52" s="1"/>
  <c r="AB418" i="52" s="1"/>
  <c r="X428" i="88"/>
  <c r="X431" i="88"/>
  <c r="X440" i="88" s="1"/>
  <c r="X441" i="88" s="1"/>
  <c r="AB283" i="92"/>
  <c r="Y435" i="88"/>
  <c r="AF185" i="92"/>
  <c r="AF207" i="92"/>
  <c r="Y418" i="92"/>
  <c r="AB279" i="52"/>
  <c r="AB288" i="52" s="1"/>
  <c r="AB276" i="52"/>
  <c r="AE200" i="92"/>
  <c r="AB265" i="92"/>
  <c r="AB262" i="92"/>
  <c r="AB263" i="92" s="1"/>
  <c r="AB264" i="92" s="1"/>
  <c r="AA276" i="92"/>
  <c r="AA279" i="92"/>
  <c r="AA288" i="92" s="1"/>
  <c r="AA289" i="92" s="1"/>
  <c r="Z435" i="92"/>
  <c r="Z413" i="92"/>
  <c r="AB266" i="96"/>
  <c r="AC283" i="96"/>
  <c r="AC261" i="96"/>
  <c r="AA279" i="96"/>
  <c r="AA288" i="96" s="1"/>
  <c r="AA289" i="96" s="1"/>
  <c r="AA276" i="96"/>
  <c r="AE213" i="92"/>
  <c r="Y417" i="88"/>
  <c r="Y414" i="88"/>
  <c r="Y415" i="88" s="1"/>
  <c r="Y416" i="88" s="1"/>
  <c r="AA418" i="52"/>
  <c r="AC186" i="52"/>
  <c r="AC187" i="52" s="1"/>
  <c r="AC188" i="52" s="1"/>
  <c r="AC189" i="52"/>
  <c r="AB200" i="52"/>
  <c r="AB203" i="52"/>
  <c r="AB212" i="52" s="1"/>
  <c r="AE337" i="52"/>
  <c r="AE359" i="52"/>
  <c r="AD213" i="92"/>
  <c r="AA355" i="88"/>
  <c r="AA364" i="88" s="1"/>
  <c r="AA352" i="88"/>
  <c r="AD341" i="52"/>
  <c r="AD338" i="52"/>
  <c r="AD339" i="52" s="1"/>
  <c r="AD340" i="52" s="1"/>
  <c r="AC342" i="52"/>
  <c r="AA124" i="52"/>
  <c r="AB127" i="52"/>
  <c r="AB136" i="52" s="1"/>
  <c r="AB137" i="52" s="1"/>
  <c r="AB124" i="52"/>
  <c r="AC113" i="52"/>
  <c r="AC110" i="52"/>
  <c r="AC111" i="52" s="1"/>
  <c r="AC112" i="52" s="1"/>
  <c r="AR310" i="96" l="1"/>
  <c r="AR320" i="96" s="1"/>
  <c r="AR386" i="96"/>
  <c r="AR396" i="96" s="1"/>
  <c r="AR310" i="92"/>
  <c r="AR320" i="92" s="1"/>
  <c r="AR386" i="92"/>
  <c r="AR396" i="92" s="1"/>
  <c r="AR310" i="88"/>
  <c r="AR320" i="88" s="1"/>
  <c r="AR386" i="88"/>
  <c r="AR396" i="88" s="1"/>
  <c r="AS310" i="52"/>
  <c r="AS320" i="52" s="1"/>
  <c r="AS386" i="52"/>
  <c r="AS396" i="52" s="1"/>
  <c r="AR158" i="92"/>
  <c r="AR168" i="92" s="1"/>
  <c r="AR234" i="92"/>
  <c r="AR244" i="92" s="1"/>
  <c r="AR158" i="88"/>
  <c r="AR168" i="88" s="1"/>
  <c r="AR234" i="88"/>
  <c r="AR244" i="88" s="1"/>
  <c r="AR158" i="96"/>
  <c r="AR168" i="96" s="1"/>
  <c r="AR234" i="96"/>
  <c r="AR244" i="96" s="1"/>
  <c r="AS158" i="52"/>
  <c r="AS168" i="52" s="1"/>
  <c r="AS234" i="52"/>
  <c r="AS244" i="52" s="1"/>
  <c r="AS82" i="96"/>
  <c r="AR92" i="96"/>
  <c r="AS82" i="92"/>
  <c r="AR92" i="92"/>
  <c r="AS82" i="88"/>
  <c r="AR92" i="88"/>
  <c r="AT82" i="52"/>
  <c r="AS92" i="52"/>
  <c r="AA114" i="96"/>
  <c r="Z124" i="92"/>
  <c r="AB109" i="92"/>
  <c r="AB131" i="92"/>
  <c r="AA110" i="92"/>
  <c r="AA111" i="92" s="1"/>
  <c r="AA112" i="92" s="1"/>
  <c r="AA113" i="92"/>
  <c r="Z338" i="92"/>
  <c r="Z339" i="92" s="1"/>
  <c r="Z340" i="92" s="1"/>
  <c r="Z342" i="92" s="1"/>
  <c r="Z355" i="92" s="1"/>
  <c r="Z364" i="92" s="1"/>
  <c r="Z365" i="92" s="1"/>
  <c r="AB110" i="88"/>
  <c r="AB111" i="88" s="1"/>
  <c r="AB112" i="88" s="1"/>
  <c r="AB114" i="88" s="1"/>
  <c r="AB124" i="88" s="1"/>
  <c r="AC265" i="52"/>
  <c r="AC266" i="52" s="1"/>
  <c r="AC276" i="52" s="1"/>
  <c r="AA337" i="92"/>
  <c r="AA359" i="92"/>
  <c r="AD261" i="52"/>
  <c r="AD265" i="52" s="1"/>
  <c r="AE261" i="52"/>
  <c r="AB185" i="96"/>
  <c r="AB186" i="96" s="1"/>
  <c r="AB187" i="96" s="1"/>
  <c r="AB188" i="96" s="1"/>
  <c r="Y352" i="96"/>
  <c r="Y355" i="96"/>
  <c r="Y364" i="96" s="1"/>
  <c r="Y365" i="96" s="1"/>
  <c r="AC131" i="96"/>
  <c r="Z341" i="96"/>
  <c r="Z338" i="96"/>
  <c r="Z339" i="96" s="1"/>
  <c r="Z340" i="96" s="1"/>
  <c r="AB207" i="88"/>
  <c r="AB338" i="88"/>
  <c r="AB339" i="88" s="1"/>
  <c r="AB340" i="88" s="1"/>
  <c r="AB342" i="88" s="1"/>
  <c r="Z190" i="96"/>
  <c r="Z200" i="96" s="1"/>
  <c r="AA203" i="88"/>
  <c r="AA212" i="88" s="1"/>
  <c r="AA213" i="88" s="1"/>
  <c r="Y200" i="96"/>
  <c r="AB276" i="88"/>
  <c r="AB279" i="88"/>
  <c r="AB288" i="88" s="1"/>
  <c r="AB289" i="88" s="1"/>
  <c r="AC283" i="88"/>
  <c r="AC261" i="88"/>
  <c r="Z431" i="96"/>
  <c r="Z440" i="96" s="1"/>
  <c r="Z441" i="96" s="1"/>
  <c r="AA414" i="96"/>
  <c r="AA415" i="96" s="1"/>
  <c r="AA416" i="96" s="1"/>
  <c r="AA417" i="96"/>
  <c r="AB114" i="96"/>
  <c r="AC113" i="96"/>
  <c r="AC110" i="96"/>
  <c r="AC111" i="96" s="1"/>
  <c r="AC112" i="96" s="1"/>
  <c r="AB186" i="88"/>
  <c r="AB187" i="88" s="1"/>
  <c r="AB188" i="88" s="1"/>
  <c r="AB189" i="88"/>
  <c r="AA190" i="96"/>
  <c r="AA200" i="96" s="1"/>
  <c r="AB428" i="52"/>
  <c r="AB431" i="52"/>
  <c r="AB440" i="52" s="1"/>
  <c r="AF189" i="92"/>
  <c r="AF186" i="92"/>
  <c r="AF187" i="92" s="1"/>
  <c r="AF188" i="92" s="1"/>
  <c r="Y428" i="92"/>
  <c r="Y431" i="92"/>
  <c r="Y440" i="92" s="1"/>
  <c r="Y441" i="92" s="1"/>
  <c r="AB289" i="52"/>
  <c r="AB266" i="92"/>
  <c r="Z414" i="92"/>
  <c r="Z415" i="92" s="1"/>
  <c r="Z416" i="92" s="1"/>
  <c r="Z417" i="92"/>
  <c r="AC261" i="92"/>
  <c r="AC283" i="92"/>
  <c r="AD261" i="92"/>
  <c r="AC262" i="96"/>
  <c r="AC263" i="96" s="1"/>
  <c r="AC264" i="96" s="1"/>
  <c r="AC265" i="96"/>
  <c r="AB279" i="96"/>
  <c r="AB288" i="96" s="1"/>
  <c r="AB289" i="96" s="1"/>
  <c r="AB276" i="96"/>
  <c r="Y418" i="88"/>
  <c r="AB213" i="52"/>
  <c r="AC190" i="52"/>
  <c r="AA428" i="52"/>
  <c r="AA431" i="52"/>
  <c r="AA440" i="52" s="1"/>
  <c r="AA441" i="52" s="1"/>
  <c r="AD207" i="52"/>
  <c r="AD185" i="52"/>
  <c r="AC337" i="88"/>
  <c r="AC359" i="88"/>
  <c r="AD342" i="52"/>
  <c r="AA365" i="88"/>
  <c r="AC355" i="52"/>
  <c r="AC364" i="52" s="1"/>
  <c r="AC352" i="52"/>
  <c r="AE341" i="52"/>
  <c r="AE338" i="52"/>
  <c r="AE339" i="52" s="1"/>
  <c r="AE340" i="52" s="1"/>
  <c r="AC114" i="52"/>
  <c r="AC124" i="52" s="1"/>
  <c r="AD109" i="52"/>
  <c r="AD131" i="52"/>
  <c r="AT310" i="52" l="1"/>
  <c r="AT320" i="52" s="1"/>
  <c r="AT386" i="52"/>
  <c r="AT396" i="52" s="1"/>
  <c r="AS310" i="88"/>
  <c r="AS320" i="88" s="1"/>
  <c r="AS386" i="88"/>
  <c r="AS396" i="88" s="1"/>
  <c r="AS310" i="92"/>
  <c r="AS320" i="92" s="1"/>
  <c r="AS386" i="92"/>
  <c r="AS396" i="92" s="1"/>
  <c r="AS310" i="96"/>
  <c r="AS320" i="96" s="1"/>
  <c r="AS386" i="96"/>
  <c r="AS396" i="96" s="1"/>
  <c r="AS158" i="88"/>
  <c r="AS168" i="88" s="1"/>
  <c r="AS234" i="88"/>
  <c r="AS244" i="88" s="1"/>
  <c r="AS158" i="92"/>
  <c r="AS168" i="92" s="1"/>
  <c r="AS234" i="92"/>
  <c r="AS244" i="92" s="1"/>
  <c r="AS158" i="96"/>
  <c r="AS168" i="96" s="1"/>
  <c r="AS234" i="96"/>
  <c r="AS244" i="96" s="1"/>
  <c r="AT158" i="52"/>
  <c r="AT168" i="52" s="1"/>
  <c r="AT234" i="52"/>
  <c r="AT244" i="52" s="1"/>
  <c r="AT92" i="52"/>
  <c r="AT82" i="88"/>
  <c r="AT386" i="88" s="1"/>
  <c r="AT396" i="88" s="1"/>
  <c r="AS92" i="88"/>
  <c r="AT82" i="92"/>
  <c r="AT386" i="92" s="1"/>
  <c r="AT396" i="92" s="1"/>
  <c r="AS92" i="92"/>
  <c r="AT82" i="96"/>
  <c r="AT386" i="96" s="1"/>
  <c r="AT396" i="96" s="1"/>
  <c r="AS92" i="96"/>
  <c r="AA124" i="96"/>
  <c r="AA127" i="96"/>
  <c r="AA136" i="96" s="1"/>
  <c r="AA137" i="96" s="1"/>
  <c r="AC131" i="88"/>
  <c r="AC109" i="88"/>
  <c r="AC110" i="88" s="1"/>
  <c r="AC111" i="88" s="1"/>
  <c r="AC112" i="88" s="1"/>
  <c r="AD109" i="96"/>
  <c r="AA114" i="92"/>
  <c r="AB110" i="92"/>
  <c r="AB111" i="92" s="1"/>
  <c r="AB112" i="92" s="1"/>
  <c r="AB113" i="92"/>
  <c r="AB127" i="88"/>
  <c r="AB136" i="88" s="1"/>
  <c r="AB137" i="88" s="1"/>
  <c r="AD262" i="52"/>
  <c r="AD263" i="52" s="1"/>
  <c r="AD264" i="52" s="1"/>
  <c r="AD266" i="52" s="1"/>
  <c r="AD279" i="52" s="1"/>
  <c r="AD288" i="52" s="1"/>
  <c r="AC207" i="96"/>
  <c r="AC279" i="52"/>
  <c r="AC288" i="52" s="1"/>
  <c r="AC289" i="52" s="1"/>
  <c r="AB189" i="96"/>
  <c r="AB190" i="96" s="1"/>
  <c r="Z352" i="92"/>
  <c r="AA341" i="92"/>
  <c r="AA338" i="92"/>
  <c r="AA339" i="92" s="1"/>
  <c r="AA340" i="92" s="1"/>
  <c r="AB207" i="96"/>
  <c r="AE283" i="52"/>
  <c r="Z342" i="96"/>
  <c r="Z352" i="96" s="1"/>
  <c r="AA359" i="96"/>
  <c r="AA337" i="96"/>
  <c r="AC207" i="88"/>
  <c r="Z203" i="96"/>
  <c r="Z212" i="96" s="1"/>
  <c r="Z213" i="96" s="1"/>
  <c r="AD283" i="88"/>
  <c r="AD261" i="88"/>
  <c r="AC265" i="88"/>
  <c r="AC262" i="88"/>
  <c r="AC263" i="88" s="1"/>
  <c r="AC264" i="88" s="1"/>
  <c r="AA203" i="96"/>
  <c r="AA212" i="96" s="1"/>
  <c r="AA418" i="96"/>
  <c r="AA431" i="96" s="1"/>
  <c r="AA440" i="96" s="1"/>
  <c r="AA441" i="96" s="1"/>
  <c r="AC114" i="96"/>
  <c r="AC127" i="96" s="1"/>
  <c r="AC136" i="96" s="1"/>
  <c r="AB435" i="96"/>
  <c r="AB413" i="96"/>
  <c r="AB190" i="88"/>
  <c r="AB127" i="96"/>
  <c r="AB136" i="96" s="1"/>
  <c r="AB124" i="96"/>
  <c r="AG185" i="92"/>
  <c r="AG207" i="92"/>
  <c r="AD283" i="92"/>
  <c r="AF190" i="92"/>
  <c r="AE262" i="52"/>
  <c r="AE263" i="52" s="1"/>
  <c r="AE264" i="52" s="1"/>
  <c r="AE265" i="52"/>
  <c r="AB279" i="92"/>
  <c r="AB288" i="92" s="1"/>
  <c r="AB289" i="92" s="1"/>
  <c r="AB276" i="92"/>
  <c r="Z418" i="92"/>
  <c r="AA413" i="92"/>
  <c r="AA435" i="92"/>
  <c r="AC266" i="96"/>
  <c r="AC276" i="96" s="1"/>
  <c r="AC265" i="92"/>
  <c r="AC262" i="92"/>
  <c r="AC263" i="92" s="1"/>
  <c r="AC264" i="92" s="1"/>
  <c r="AD262" i="92"/>
  <c r="AD263" i="92" s="1"/>
  <c r="AD264" i="92" s="1"/>
  <c r="AD265" i="92"/>
  <c r="AD261" i="96"/>
  <c r="AD283" i="96"/>
  <c r="AE342" i="52"/>
  <c r="AE352" i="52" s="1"/>
  <c r="Y431" i="88"/>
  <c r="Y440" i="88" s="1"/>
  <c r="Y428" i="88"/>
  <c r="AB441" i="52"/>
  <c r="AD189" i="52"/>
  <c r="AD186" i="52"/>
  <c r="AD187" i="52" s="1"/>
  <c r="AD188" i="52" s="1"/>
  <c r="AC413" i="52"/>
  <c r="AC435" i="52"/>
  <c r="AC200" i="52"/>
  <c r="AC203" i="52"/>
  <c r="AC212" i="52" s="1"/>
  <c r="AB352" i="88"/>
  <c r="AB355" i="88"/>
  <c r="AC341" i="88"/>
  <c r="AC338" i="88"/>
  <c r="AC339" i="88" s="1"/>
  <c r="AC340" i="88" s="1"/>
  <c r="AC365" i="52"/>
  <c r="AD352" i="52"/>
  <c r="AD355" i="52"/>
  <c r="AD364" i="52" s="1"/>
  <c r="AD365" i="52" s="1"/>
  <c r="AC127" i="52"/>
  <c r="AC136" i="52" s="1"/>
  <c r="AC137" i="52" s="1"/>
  <c r="AD113" i="52"/>
  <c r="AD110" i="52"/>
  <c r="AD111" i="52" s="1"/>
  <c r="AD112" i="52" s="1"/>
  <c r="AT234" i="96" l="1"/>
  <c r="AT244" i="96" s="1"/>
  <c r="AT310" i="96"/>
  <c r="AT320" i="96" s="1"/>
  <c r="AT234" i="92"/>
  <c r="AT244" i="92" s="1"/>
  <c r="AT310" i="92"/>
  <c r="AT320" i="92" s="1"/>
  <c r="AT234" i="88"/>
  <c r="AT244" i="88" s="1"/>
  <c r="AT310" i="88"/>
  <c r="AT320" i="88" s="1"/>
  <c r="AT92" i="96"/>
  <c r="AT158" i="96"/>
  <c r="AT168" i="96" s="1"/>
  <c r="AT92" i="92"/>
  <c r="AT158" i="92"/>
  <c r="AT168" i="92" s="1"/>
  <c r="AT92" i="88"/>
  <c r="AT158" i="88"/>
  <c r="AT168" i="88" s="1"/>
  <c r="AB137" i="96"/>
  <c r="AC113" i="88"/>
  <c r="AC114" i="88" s="1"/>
  <c r="AC127" i="88" s="1"/>
  <c r="AC136" i="88" s="1"/>
  <c r="AC137" i="88" s="1"/>
  <c r="AD131" i="96"/>
  <c r="AB114" i="92"/>
  <c r="AA127" i="92"/>
  <c r="AA136" i="92" s="1"/>
  <c r="AA137" i="92" s="1"/>
  <c r="AA124" i="92"/>
  <c r="AC185" i="96"/>
  <c r="AC189" i="96" s="1"/>
  <c r="AF261" i="52"/>
  <c r="AF265" i="52" s="1"/>
  <c r="AD289" i="52"/>
  <c r="AA342" i="92"/>
  <c r="AA352" i="92" s="1"/>
  <c r="AB359" i="92"/>
  <c r="AB337" i="92"/>
  <c r="Z355" i="96"/>
  <c r="Z364" i="96" s="1"/>
  <c r="Z365" i="96" s="1"/>
  <c r="AC185" i="88"/>
  <c r="AC186" i="88" s="1"/>
  <c r="AC187" i="88" s="1"/>
  <c r="AC188" i="88" s="1"/>
  <c r="AD185" i="88"/>
  <c r="AA338" i="96"/>
  <c r="AA339" i="96" s="1"/>
  <c r="AA340" i="96" s="1"/>
  <c r="AA341" i="96"/>
  <c r="AA213" i="96"/>
  <c r="AC124" i="96"/>
  <c r="AD276" i="52"/>
  <c r="AE261" i="88"/>
  <c r="AE283" i="88"/>
  <c r="AC266" i="88"/>
  <c r="AD262" i="88"/>
  <c r="AD263" i="88" s="1"/>
  <c r="AD264" i="88" s="1"/>
  <c r="AD265" i="88"/>
  <c r="AA428" i="96"/>
  <c r="AC435" i="96"/>
  <c r="AC413" i="96"/>
  <c r="AB414" i="96"/>
  <c r="AB415" i="96" s="1"/>
  <c r="AB416" i="96" s="1"/>
  <c r="AB417" i="96"/>
  <c r="AC137" i="96"/>
  <c r="AB203" i="88"/>
  <c r="AB212" i="88" s="1"/>
  <c r="AB213" i="88" s="1"/>
  <c r="AB200" i="88"/>
  <c r="AD113" i="96"/>
  <c r="AD110" i="96"/>
  <c r="AD111" i="96" s="1"/>
  <c r="AD112" i="96" s="1"/>
  <c r="AB200" i="96"/>
  <c r="AB203" i="96"/>
  <c r="AB212" i="96" s="1"/>
  <c r="Z435" i="88"/>
  <c r="Z413" i="88"/>
  <c r="AH185" i="92"/>
  <c r="AH207" i="92"/>
  <c r="AG189" i="92"/>
  <c r="AG186" i="92"/>
  <c r="AG187" i="92" s="1"/>
  <c r="AG188" i="92" s="1"/>
  <c r="AC279" i="96"/>
  <c r="AC288" i="96" s="1"/>
  <c r="AC289" i="96" s="1"/>
  <c r="AF200" i="92"/>
  <c r="AF203" i="92"/>
  <c r="AF212" i="92" s="1"/>
  <c r="AE266" i="52"/>
  <c r="AC266" i="92"/>
  <c r="AC279" i="92" s="1"/>
  <c r="AC288" i="92" s="1"/>
  <c r="AC289" i="92" s="1"/>
  <c r="AA414" i="92"/>
  <c r="AA415" i="92" s="1"/>
  <c r="AA416" i="92" s="1"/>
  <c r="AA417" i="92"/>
  <c r="Z428" i="92"/>
  <c r="Z431" i="92"/>
  <c r="Z440" i="92" s="1"/>
  <c r="AD266" i="92"/>
  <c r="AE283" i="92"/>
  <c r="AE261" i="92"/>
  <c r="AD262" i="96"/>
  <c r="AD263" i="96" s="1"/>
  <c r="AD264" i="96" s="1"/>
  <c r="AD265" i="96"/>
  <c r="AE283" i="96"/>
  <c r="AE261" i="96"/>
  <c r="AE355" i="52"/>
  <c r="AE364" i="52" s="1"/>
  <c r="AE365" i="52" s="1"/>
  <c r="AC342" i="88"/>
  <c r="AC355" i="88" s="1"/>
  <c r="AC364" i="88" s="1"/>
  <c r="Y441" i="88"/>
  <c r="AC213" i="52"/>
  <c r="AC414" i="52"/>
  <c r="AC415" i="52" s="1"/>
  <c r="AC416" i="52" s="1"/>
  <c r="AC417" i="52"/>
  <c r="AD190" i="52"/>
  <c r="AE185" i="52"/>
  <c r="AE207" i="52"/>
  <c r="AF337" i="52"/>
  <c r="AF359" i="52"/>
  <c r="AD337" i="88"/>
  <c r="AD359" i="88"/>
  <c r="AB364" i="88"/>
  <c r="AD114" i="52"/>
  <c r="AD124" i="52" s="1"/>
  <c r="AE109" i="52"/>
  <c r="AE131" i="52"/>
  <c r="AC124" i="88" l="1"/>
  <c r="AE109" i="96"/>
  <c r="AE110" i="96" s="1"/>
  <c r="AE111" i="96" s="1"/>
  <c r="AE112" i="96" s="1"/>
  <c r="AE131" i="96"/>
  <c r="AE131" i="88"/>
  <c r="AE109" i="88"/>
  <c r="AE113" i="88" s="1"/>
  <c r="AD109" i="88"/>
  <c r="AD131" i="88"/>
  <c r="AC109" i="92"/>
  <c r="AC131" i="92"/>
  <c r="AB127" i="92"/>
  <c r="AB136" i="92" s="1"/>
  <c r="AB137" i="92" s="1"/>
  <c r="AB124" i="92"/>
  <c r="AC186" i="96"/>
  <c r="AC187" i="96" s="1"/>
  <c r="AC188" i="96" s="1"/>
  <c r="AC190" i="96" s="1"/>
  <c r="AC200" i="96" s="1"/>
  <c r="AF262" i="52"/>
  <c r="AF263" i="52" s="1"/>
  <c r="AF264" i="52" s="1"/>
  <c r="AF266" i="52" s="1"/>
  <c r="AF283" i="52"/>
  <c r="AA355" i="92"/>
  <c r="AA364" i="92" s="1"/>
  <c r="AA365" i="92" s="1"/>
  <c r="AB338" i="92"/>
  <c r="AB339" i="92" s="1"/>
  <c r="AB340" i="92" s="1"/>
  <c r="AB341" i="92"/>
  <c r="AC359" i="92"/>
  <c r="AC337" i="92"/>
  <c r="AD207" i="88"/>
  <c r="AE185" i="88"/>
  <c r="AC189" i="88"/>
  <c r="AC190" i="88" s="1"/>
  <c r="AC203" i="88" s="1"/>
  <c r="AC212" i="88" s="1"/>
  <c r="AC213" i="88" s="1"/>
  <c r="AA342" i="96"/>
  <c r="AA352" i="96" s="1"/>
  <c r="AB359" i="96"/>
  <c r="AB337" i="96"/>
  <c r="AD266" i="88"/>
  <c r="AD276" i="88" s="1"/>
  <c r="AD114" i="96"/>
  <c r="AD127" i="96" s="1"/>
  <c r="AD136" i="96" s="1"/>
  <c r="AD137" i="96" s="1"/>
  <c r="AB418" i="96"/>
  <c r="AB431" i="96" s="1"/>
  <c r="AB440" i="96" s="1"/>
  <c r="AB441" i="96" s="1"/>
  <c r="AC276" i="88"/>
  <c r="AC279" i="88"/>
  <c r="AC288" i="88" s="1"/>
  <c r="AE262" i="88"/>
  <c r="AE263" i="88" s="1"/>
  <c r="AE264" i="88" s="1"/>
  <c r="AE265" i="88"/>
  <c r="AC417" i="96"/>
  <c r="AC414" i="96"/>
  <c r="AC415" i="96" s="1"/>
  <c r="AC416" i="96" s="1"/>
  <c r="AD189" i="88"/>
  <c r="AD186" i="88"/>
  <c r="AD187" i="88" s="1"/>
  <c r="AD188" i="88" s="1"/>
  <c r="AD185" i="96"/>
  <c r="AD207" i="96"/>
  <c r="AB213" i="96"/>
  <c r="Z414" i="88"/>
  <c r="Z415" i="88" s="1"/>
  <c r="Z416" i="88" s="1"/>
  <c r="Z417" i="88"/>
  <c r="AI185" i="92"/>
  <c r="AH189" i="92"/>
  <c r="AH186" i="92"/>
  <c r="AH187" i="92" s="1"/>
  <c r="AH188" i="92" s="1"/>
  <c r="AG190" i="92"/>
  <c r="AE337" i="88"/>
  <c r="AC352" i="88"/>
  <c r="AF213" i="92"/>
  <c r="AE279" i="52"/>
  <c r="AE288" i="52" s="1"/>
  <c r="AE289" i="52" s="1"/>
  <c r="AE276" i="52"/>
  <c r="AC276" i="92"/>
  <c r="AA418" i="92"/>
  <c r="AB435" i="92"/>
  <c r="AB413" i="92"/>
  <c r="Z441" i="92"/>
  <c r="AF261" i="96"/>
  <c r="AD279" i="92"/>
  <c r="AD288" i="92" s="1"/>
  <c r="AD289" i="92" s="1"/>
  <c r="AD276" i="92"/>
  <c r="AE265" i="92"/>
  <c r="AE262" i="92"/>
  <c r="AE263" i="92" s="1"/>
  <c r="AE264" i="92" s="1"/>
  <c r="AD266" i="96"/>
  <c r="AE265" i="96"/>
  <c r="AE262" i="96"/>
  <c r="AE263" i="96" s="1"/>
  <c r="AE264" i="96" s="1"/>
  <c r="AE413" i="52"/>
  <c r="AE189" i="52"/>
  <c r="AE186" i="52"/>
  <c r="AE187" i="52" s="1"/>
  <c r="AE188" i="52" s="1"/>
  <c r="AD200" i="52"/>
  <c r="AD203" i="52"/>
  <c r="AD212" i="52" s="1"/>
  <c r="AD213" i="52" s="1"/>
  <c r="AC418" i="52"/>
  <c r="AC365" i="88"/>
  <c r="AD413" i="52"/>
  <c r="AD435" i="52"/>
  <c r="AF341" i="52"/>
  <c r="AF338" i="52"/>
  <c r="AF339" i="52" s="1"/>
  <c r="AF340" i="52" s="1"/>
  <c r="AG337" i="52"/>
  <c r="AG359" i="52"/>
  <c r="AB365" i="88"/>
  <c r="AD341" i="88"/>
  <c r="AD338" i="88"/>
  <c r="AD339" i="88" s="1"/>
  <c r="AD340" i="88" s="1"/>
  <c r="AD127" i="52"/>
  <c r="AD136" i="52" s="1"/>
  <c r="AD137" i="52" s="1"/>
  <c r="AE113" i="52"/>
  <c r="AE110" i="52"/>
  <c r="AE110" i="88" l="1"/>
  <c r="AE111" i="88" s="1"/>
  <c r="AE112" i="88" s="1"/>
  <c r="AE114" i="88" s="1"/>
  <c r="AE124" i="88" s="1"/>
  <c r="AE113" i="96"/>
  <c r="AE114" i="96" s="1"/>
  <c r="AE124" i="96" s="1"/>
  <c r="AF131" i="88"/>
  <c r="AD110" i="88"/>
  <c r="AD111" i="88" s="1"/>
  <c r="AD112" i="88" s="1"/>
  <c r="AD113" i="88"/>
  <c r="AC110" i="92"/>
  <c r="AC111" i="92" s="1"/>
  <c r="AC112" i="92" s="1"/>
  <c r="AC113" i="92"/>
  <c r="AC203" i="96"/>
  <c r="AC212" i="96" s="1"/>
  <c r="AC213" i="96" s="1"/>
  <c r="AG261" i="52"/>
  <c r="AG265" i="52" s="1"/>
  <c r="AB342" i="92"/>
  <c r="AB355" i="92" s="1"/>
  <c r="AB364" i="92" s="1"/>
  <c r="AB365" i="92" s="1"/>
  <c r="AC341" i="92"/>
  <c r="AC338" i="92"/>
  <c r="AC339" i="92" s="1"/>
  <c r="AC340" i="92" s="1"/>
  <c r="AD279" i="88"/>
  <c r="AD288" i="88" s="1"/>
  <c r="AD289" i="88" s="1"/>
  <c r="AF207" i="88"/>
  <c r="AC200" i="88"/>
  <c r="AA355" i="96"/>
  <c r="AA364" i="96" s="1"/>
  <c r="AA365" i="96" s="1"/>
  <c r="AE207" i="88"/>
  <c r="AB428" i="96"/>
  <c r="AD124" i="96"/>
  <c r="AI207" i="92"/>
  <c r="AB338" i="96"/>
  <c r="AB339" i="96" s="1"/>
  <c r="AB340" i="96" s="1"/>
  <c r="AB341" i="96"/>
  <c r="AC359" i="96"/>
  <c r="AC337" i="96"/>
  <c r="AE266" i="88"/>
  <c r="AE279" i="88" s="1"/>
  <c r="AE288" i="88" s="1"/>
  <c r="AF261" i="88"/>
  <c r="AF283" i="88"/>
  <c r="AC289" i="88"/>
  <c r="AD190" i="88"/>
  <c r="AD200" i="88" s="1"/>
  <c r="AC418" i="96"/>
  <c r="AC428" i="96" s="1"/>
  <c r="AE359" i="88"/>
  <c r="AD413" i="96"/>
  <c r="AD435" i="96"/>
  <c r="AF131" i="96"/>
  <c r="AF109" i="96"/>
  <c r="AE189" i="88"/>
  <c r="AE186" i="88"/>
  <c r="AE187" i="88" s="1"/>
  <c r="AE188" i="88" s="1"/>
  <c r="AE185" i="96"/>
  <c r="AE207" i="96"/>
  <c r="AD186" i="96"/>
  <c r="AD187" i="96" s="1"/>
  <c r="AD188" i="96" s="1"/>
  <c r="AD189" i="96"/>
  <c r="Z418" i="88"/>
  <c r="Z431" i="88" s="1"/>
  <c r="Z440" i="88" s="1"/>
  <c r="Z441" i="88" s="1"/>
  <c r="AH190" i="92"/>
  <c r="AH200" i="92" s="1"/>
  <c r="AA413" i="88"/>
  <c r="AA435" i="88"/>
  <c r="AG200" i="92"/>
  <c r="AG203" i="92"/>
  <c r="AG212" i="92" s="1"/>
  <c r="AI189" i="92"/>
  <c r="AI186" i="92"/>
  <c r="AI187" i="92" s="1"/>
  <c r="AI188" i="92" s="1"/>
  <c r="AE435" i="52"/>
  <c r="AF279" i="52"/>
  <c r="AF288" i="52" s="1"/>
  <c r="AF289" i="52" s="1"/>
  <c r="AF276" i="52"/>
  <c r="AE266" i="92"/>
  <c r="AE276" i="92" s="1"/>
  <c r="AF283" i="96"/>
  <c r="AA428" i="92"/>
  <c r="AA431" i="92"/>
  <c r="AA440" i="92" s="1"/>
  <c r="AA441" i="92" s="1"/>
  <c r="AB417" i="92"/>
  <c r="AB414" i="92"/>
  <c r="AB415" i="92" s="1"/>
  <c r="AB416" i="92" s="1"/>
  <c r="AE266" i="96"/>
  <c r="AE279" i="96" s="1"/>
  <c r="AE288" i="96" s="1"/>
  <c r="AF283" i="92"/>
  <c r="AF261" i="92"/>
  <c r="AF265" i="96"/>
  <c r="AF262" i="96"/>
  <c r="AF263" i="96" s="1"/>
  <c r="AF264" i="96" s="1"/>
  <c r="AD276" i="96"/>
  <c r="AD279" i="96"/>
  <c r="AD288" i="96" s="1"/>
  <c r="AD289" i="96" s="1"/>
  <c r="AF342" i="52"/>
  <c r="AF352" i="52" s="1"/>
  <c r="AE190" i="52"/>
  <c r="AE200" i="52" s="1"/>
  <c r="AD342" i="88"/>
  <c r="AD352" i="88" s="1"/>
  <c r="AF207" i="52"/>
  <c r="AF185" i="52"/>
  <c r="AD414" i="52"/>
  <c r="AD415" i="52" s="1"/>
  <c r="AD416" i="52" s="1"/>
  <c r="AD417" i="52"/>
  <c r="AC431" i="52"/>
  <c r="AC440" i="52" s="1"/>
  <c r="AC441" i="52" s="1"/>
  <c r="AC428" i="52"/>
  <c r="AE341" i="88"/>
  <c r="AE338" i="88"/>
  <c r="AE339" i="88" s="1"/>
  <c r="AE340" i="88" s="1"/>
  <c r="AG341" i="52"/>
  <c r="AG338" i="52"/>
  <c r="AG339" i="52" s="1"/>
  <c r="AG340" i="52" s="1"/>
  <c r="AE417" i="52"/>
  <c r="AE414" i="52"/>
  <c r="AE415" i="52" s="1"/>
  <c r="AE416" i="52" s="1"/>
  <c r="AE111" i="52"/>
  <c r="AE112" i="52" s="1"/>
  <c r="AE114" i="52" s="1"/>
  <c r="AE124" i="52" s="1"/>
  <c r="AE127" i="88" l="1"/>
  <c r="AE136" i="88" s="1"/>
  <c r="AF109" i="88"/>
  <c r="AF110" i="88" s="1"/>
  <c r="AF111" i="88" s="1"/>
  <c r="AF112" i="88" s="1"/>
  <c r="AD114" i="88"/>
  <c r="AD127" i="88" s="1"/>
  <c r="AD136" i="88" s="1"/>
  <c r="AD137" i="88" s="1"/>
  <c r="AC114" i="92"/>
  <c r="AD131" i="92"/>
  <c r="AD109" i="92"/>
  <c r="AG262" i="52"/>
  <c r="AG263" i="52" s="1"/>
  <c r="AG264" i="52" s="1"/>
  <c r="AG266" i="52" s="1"/>
  <c r="AG276" i="52" s="1"/>
  <c r="AH283" i="52"/>
  <c r="AG283" i="52"/>
  <c r="AC342" i="92"/>
  <c r="AC355" i="92" s="1"/>
  <c r="AC364" i="92" s="1"/>
  <c r="AC365" i="92" s="1"/>
  <c r="AB352" i="92"/>
  <c r="AD359" i="92"/>
  <c r="AD337" i="92"/>
  <c r="AF185" i="88"/>
  <c r="AF186" i="88" s="1"/>
  <c r="AF187" i="88" s="1"/>
  <c r="AF188" i="88" s="1"/>
  <c r="AB342" i="96"/>
  <c r="AB352" i="96" s="1"/>
  <c r="AC338" i="96"/>
  <c r="AC339" i="96" s="1"/>
  <c r="AC340" i="96" s="1"/>
  <c r="AC341" i="96"/>
  <c r="AC431" i="96"/>
  <c r="AC440" i="96" s="1"/>
  <c r="AC441" i="96" s="1"/>
  <c r="AE276" i="88"/>
  <c r="AE127" i="96"/>
  <c r="AE136" i="96" s="1"/>
  <c r="AE137" i="96" s="1"/>
  <c r="AF359" i="88"/>
  <c r="AE289" i="88"/>
  <c r="AF265" i="88"/>
  <c r="AF262" i="88"/>
  <c r="AF263" i="88" s="1"/>
  <c r="AF264" i="88" s="1"/>
  <c r="AD203" i="88"/>
  <c r="AD212" i="88" s="1"/>
  <c r="AD213" i="88" s="1"/>
  <c r="AD417" i="96"/>
  <c r="AD414" i="96"/>
  <c r="AD415" i="96" s="1"/>
  <c r="AD416" i="96" s="1"/>
  <c r="AF113" i="96"/>
  <c r="AF110" i="96"/>
  <c r="AF111" i="96" s="1"/>
  <c r="AF112" i="96" s="1"/>
  <c r="AH203" i="92"/>
  <c r="AH212" i="92" s="1"/>
  <c r="AH213" i="92" s="1"/>
  <c r="AE190" i="88"/>
  <c r="Z428" i="88"/>
  <c r="AD190" i="96"/>
  <c r="AE186" i="96"/>
  <c r="AE187" i="96" s="1"/>
  <c r="AE188" i="96" s="1"/>
  <c r="AE189" i="96"/>
  <c r="AI190" i="92"/>
  <c r="AI203" i="92" s="1"/>
  <c r="AI212" i="92" s="1"/>
  <c r="AG261" i="96"/>
  <c r="AA417" i="88"/>
  <c r="AA414" i="88"/>
  <c r="AA415" i="88" s="1"/>
  <c r="AA416" i="88" s="1"/>
  <c r="AG213" i="92"/>
  <c r="AE203" i="52"/>
  <c r="AE212" i="52" s="1"/>
  <c r="AE213" i="52" s="1"/>
  <c r="AF355" i="52"/>
  <c r="AF364" i="52" s="1"/>
  <c r="AF365" i="52" s="1"/>
  <c r="AF266" i="96"/>
  <c r="AF276" i="96" s="1"/>
  <c r="AB418" i="92"/>
  <c r="AB431" i="92" s="1"/>
  <c r="AB440" i="92" s="1"/>
  <c r="AB441" i="92" s="1"/>
  <c r="AE279" i="92"/>
  <c r="AE288" i="92" s="1"/>
  <c r="AE289" i="92" s="1"/>
  <c r="AC435" i="92"/>
  <c r="AC413" i="92"/>
  <c r="AF265" i="92"/>
  <c r="AF262" i="92"/>
  <c r="AF263" i="92" s="1"/>
  <c r="AF264" i="92" s="1"/>
  <c r="AE289" i="96"/>
  <c r="AE276" i="96"/>
  <c r="AD355" i="88"/>
  <c r="AD364" i="88" s="1"/>
  <c r="AD365" i="88" s="1"/>
  <c r="AE342" i="88"/>
  <c r="AE355" i="88" s="1"/>
  <c r="AE364" i="88" s="1"/>
  <c r="AF189" i="52"/>
  <c r="AF186" i="52"/>
  <c r="AF187" i="52" s="1"/>
  <c r="AF188" i="52" s="1"/>
  <c r="AD418" i="52"/>
  <c r="AG185" i="52"/>
  <c r="AG207" i="52"/>
  <c r="AH337" i="52"/>
  <c r="AH359" i="52"/>
  <c r="AE418" i="52"/>
  <c r="AG342" i="52"/>
  <c r="AE127" i="52"/>
  <c r="AE136" i="52" s="1"/>
  <c r="AE137" i="52" s="1"/>
  <c r="AF109" i="52"/>
  <c r="AF131" i="52"/>
  <c r="AD124" i="88" l="1"/>
  <c r="AF113" i="88"/>
  <c r="AF114" i="88" s="1"/>
  <c r="AF127" i="88" s="1"/>
  <c r="AF136" i="88" s="1"/>
  <c r="AF137" i="88" s="1"/>
  <c r="AG131" i="88"/>
  <c r="AG109" i="88"/>
  <c r="AG110" i="88" s="1"/>
  <c r="AG111" i="88" s="1"/>
  <c r="AG112" i="88" s="1"/>
  <c r="AE137" i="88"/>
  <c r="AC127" i="92"/>
  <c r="AC136" i="92" s="1"/>
  <c r="AC137" i="92" s="1"/>
  <c r="AC124" i="92"/>
  <c r="AD113" i="92"/>
  <c r="AD110" i="92"/>
  <c r="AD111" i="92" s="1"/>
  <c r="AD112" i="92" s="1"/>
  <c r="AH261" i="52"/>
  <c r="AH262" i="52" s="1"/>
  <c r="AH263" i="52" s="1"/>
  <c r="AH264" i="52" s="1"/>
  <c r="AE337" i="92"/>
  <c r="AC352" i="92"/>
  <c r="AF189" i="88"/>
  <c r="AF190" i="88" s="1"/>
  <c r="AD338" i="92"/>
  <c r="AD339" i="92" s="1"/>
  <c r="AD340" i="92" s="1"/>
  <c r="AD341" i="92"/>
  <c r="AG185" i="88"/>
  <c r="AB355" i="96"/>
  <c r="AB364" i="96" s="1"/>
  <c r="AB365" i="96" s="1"/>
  <c r="AG279" i="52"/>
  <c r="AG288" i="52" s="1"/>
  <c r="AG289" i="52" s="1"/>
  <c r="AD359" i="96"/>
  <c r="AD337" i="96"/>
  <c r="AC342" i="96"/>
  <c r="AF185" i="96"/>
  <c r="AF337" i="88"/>
  <c r="AF341" i="88" s="1"/>
  <c r="AH131" i="96"/>
  <c r="AG261" i="88"/>
  <c r="AG283" i="88"/>
  <c r="AF266" i="88"/>
  <c r="AI213" i="92"/>
  <c r="AD418" i="96"/>
  <c r="AD428" i="96" s="1"/>
  <c r="AG283" i="96"/>
  <c r="AE190" i="96"/>
  <c r="AE203" i="96" s="1"/>
  <c r="AE212" i="96" s="1"/>
  <c r="AE435" i="96"/>
  <c r="AE413" i="96"/>
  <c r="AE203" i="88"/>
  <c r="AE212" i="88" s="1"/>
  <c r="AE213" i="88" s="1"/>
  <c r="AE200" i="88"/>
  <c r="AF114" i="96"/>
  <c r="AD200" i="96"/>
  <c r="AD203" i="96"/>
  <c r="AD212" i="96" s="1"/>
  <c r="AD213" i="96" s="1"/>
  <c r="AH261" i="96"/>
  <c r="AI200" i="92"/>
  <c r="AJ185" i="92"/>
  <c r="AA418" i="88"/>
  <c r="AA428" i="88" s="1"/>
  <c r="AB413" i="88"/>
  <c r="AB435" i="88"/>
  <c r="AB428" i="92"/>
  <c r="AE352" i="88"/>
  <c r="AF279" i="96"/>
  <c r="AF288" i="96" s="1"/>
  <c r="AF289" i="96" s="1"/>
  <c r="AH185" i="52"/>
  <c r="AF266" i="92"/>
  <c r="AF276" i="92" s="1"/>
  <c r="AD413" i="92"/>
  <c r="AD435" i="92"/>
  <c r="AC417" i="92"/>
  <c r="AC414" i="92"/>
  <c r="AC415" i="92" s="1"/>
  <c r="AC416" i="92" s="1"/>
  <c r="AG261" i="92"/>
  <c r="AG283" i="92"/>
  <c r="AG262" i="96"/>
  <c r="AG263" i="96" s="1"/>
  <c r="AG264" i="96" s="1"/>
  <c r="AG265" i="96"/>
  <c r="AG186" i="52"/>
  <c r="AG187" i="52" s="1"/>
  <c r="AG188" i="52" s="1"/>
  <c r="AG189" i="52"/>
  <c r="AD431" i="52"/>
  <c r="AD440" i="52" s="1"/>
  <c r="AD441" i="52" s="1"/>
  <c r="AD428" i="52"/>
  <c r="AF190" i="52"/>
  <c r="AE365" i="88"/>
  <c r="AG355" i="52"/>
  <c r="AG364" i="52" s="1"/>
  <c r="AG365" i="52" s="1"/>
  <c r="AG352" i="52"/>
  <c r="AE431" i="52"/>
  <c r="AE428" i="52"/>
  <c r="AH341" i="52"/>
  <c r="AH338" i="52"/>
  <c r="AH339" i="52" s="1"/>
  <c r="AH340" i="52" s="1"/>
  <c r="AF113" i="52"/>
  <c r="AF110" i="52"/>
  <c r="AG109" i="52"/>
  <c r="AG131" i="52"/>
  <c r="AF124" i="88" l="1"/>
  <c r="AG113" i="88"/>
  <c r="AG114" i="88" s="1"/>
  <c r="AG127" i="88" s="1"/>
  <c r="AG136" i="88" s="1"/>
  <c r="AG137" i="88" s="1"/>
  <c r="AG109" i="96"/>
  <c r="AG131" i="96"/>
  <c r="AD114" i="92"/>
  <c r="AD127" i="92" s="1"/>
  <c r="AD136" i="92" s="1"/>
  <c r="AD137" i="92" s="1"/>
  <c r="AE109" i="92"/>
  <c r="AE131" i="92"/>
  <c r="AF109" i="92"/>
  <c r="AE359" i="92"/>
  <c r="AH265" i="52"/>
  <c r="AH266" i="52" s="1"/>
  <c r="AH276" i="52" s="1"/>
  <c r="AD342" i="92"/>
  <c r="AD355" i="92" s="1"/>
  <c r="AD364" i="92" s="1"/>
  <c r="AD365" i="92" s="1"/>
  <c r="AE338" i="92"/>
  <c r="AE339" i="92" s="1"/>
  <c r="AE340" i="92" s="1"/>
  <c r="AE341" i="92"/>
  <c r="AG207" i="88"/>
  <c r="AF207" i="96"/>
  <c r="AH109" i="96"/>
  <c r="AH110" i="96" s="1"/>
  <c r="AH111" i="96" s="1"/>
  <c r="AH112" i="96" s="1"/>
  <c r="AD341" i="96"/>
  <c r="AD338" i="96"/>
  <c r="AD339" i="96" s="1"/>
  <c r="AD340" i="96" s="1"/>
  <c r="AC352" i="96"/>
  <c r="AC355" i="96"/>
  <c r="AC364" i="96" s="1"/>
  <c r="AC365" i="96" s="1"/>
  <c r="AF338" i="88"/>
  <c r="AF339" i="88" s="1"/>
  <c r="AF340" i="88" s="1"/>
  <c r="AF342" i="88" s="1"/>
  <c r="AF355" i="88" s="1"/>
  <c r="AD431" i="96"/>
  <c r="AD440" i="96" s="1"/>
  <c r="AD441" i="96" s="1"/>
  <c r="AG337" i="88"/>
  <c r="AF413" i="96"/>
  <c r="AF417" i="96" s="1"/>
  <c r="AF435" i="96"/>
  <c r="AG262" i="88"/>
  <c r="AG263" i="88" s="1"/>
  <c r="AG264" i="88" s="1"/>
  <c r="AG265" i="88"/>
  <c r="AF279" i="88"/>
  <c r="AF288" i="88" s="1"/>
  <c r="AF289" i="88" s="1"/>
  <c r="AF276" i="88"/>
  <c r="AE213" i="96"/>
  <c r="AE200" i="96"/>
  <c r="AE417" i="96"/>
  <c r="AE414" i="96"/>
  <c r="AE415" i="96" s="1"/>
  <c r="AE416" i="96" s="1"/>
  <c r="AF200" i="88"/>
  <c r="AF203" i="88"/>
  <c r="AF212" i="88" s="1"/>
  <c r="AF213" i="88" s="1"/>
  <c r="AF127" i="96"/>
  <c r="AF136" i="96" s="1"/>
  <c r="AF137" i="96" s="1"/>
  <c r="AF124" i="96"/>
  <c r="AJ207" i="92"/>
  <c r="AG189" i="88"/>
  <c r="AG186" i="88"/>
  <c r="AG187" i="88" s="1"/>
  <c r="AG188" i="88" s="1"/>
  <c r="AF189" i="96"/>
  <c r="AF186" i="96"/>
  <c r="AF187" i="96" s="1"/>
  <c r="AF188" i="96" s="1"/>
  <c r="AH283" i="96"/>
  <c r="AI283" i="96"/>
  <c r="AG185" i="96"/>
  <c r="AG207" i="96"/>
  <c r="AA431" i="88"/>
  <c r="AA440" i="88" s="1"/>
  <c r="AA441" i="88" s="1"/>
  <c r="AB417" i="88"/>
  <c r="AB414" i="88"/>
  <c r="AB415" i="88" s="1"/>
  <c r="AB416" i="88" s="1"/>
  <c r="AJ186" i="92"/>
  <c r="AJ187" i="92" s="1"/>
  <c r="AJ188" i="92" s="1"/>
  <c r="AJ189" i="92"/>
  <c r="AH207" i="52"/>
  <c r="AF279" i="92"/>
  <c r="AF288" i="92" s="1"/>
  <c r="AF289" i="92" s="1"/>
  <c r="AF413" i="52"/>
  <c r="AF435" i="52"/>
  <c r="AC418" i="92"/>
  <c r="AC431" i="92" s="1"/>
  <c r="AC440" i="92" s="1"/>
  <c r="AC441" i="92" s="1"/>
  <c r="AE413" i="92"/>
  <c r="AG266" i="96"/>
  <c r="AG279" i="96" s="1"/>
  <c r="AG288" i="96" s="1"/>
  <c r="AG289" i="96" s="1"/>
  <c r="AD414" i="92"/>
  <c r="AD415" i="92" s="1"/>
  <c r="AD416" i="92" s="1"/>
  <c r="AD417" i="92"/>
  <c r="AG265" i="92"/>
  <c r="AG262" i="92"/>
  <c r="AG263" i="92" s="1"/>
  <c r="AG264" i="92" s="1"/>
  <c r="AH262" i="96"/>
  <c r="AH263" i="96" s="1"/>
  <c r="AH264" i="96" s="1"/>
  <c r="AH265" i="96"/>
  <c r="AH342" i="52"/>
  <c r="AH355" i="52" s="1"/>
  <c r="AH364" i="52" s="1"/>
  <c r="AH365" i="52" s="1"/>
  <c r="AF200" i="52"/>
  <c r="AF203" i="52"/>
  <c r="AF212" i="52" s="1"/>
  <c r="AF213" i="52" s="1"/>
  <c r="AG190" i="52"/>
  <c r="AH186" i="52"/>
  <c r="AH187" i="52" s="1"/>
  <c r="AH188" i="52" s="1"/>
  <c r="AH189" i="52"/>
  <c r="AE440" i="52"/>
  <c r="AI337" i="52"/>
  <c r="AI359" i="52"/>
  <c r="AH109" i="52"/>
  <c r="AH131" i="52"/>
  <c r="AF111" i="52"/>
  <c r="AF112" i="52" s="1"/>
  <c r="AF114" i="52" s="1"/>
  <c r="AG110" i="52"/>
  <c r="AG111" i="52" s="1"/>
  <c r="AG112" i="52" s="1"/>
  <c r="AG113" i="52"/>
  <c r="AG124" i="88" l="1"/>
  <c r="AG110" i="96"/>
  <c r="AG111" i="96" s="1"/>
  <c r="AG112" i="96" s="1"/>
  <c r="AG113" i="96"/>
  <c r="AD124" i="92"/>
  <c r="AF131" i="92"/>
  <c r="AE113" i="92"/>
  <c r="AE110" i="92"/>
  <c r="AE111" i="92" s="1"/>
  <c r="AE112" i="92" s="1"/>
  <c r="AI261" i="52"/>
  <c r="AI265" i="52" s="1"/>
  <c r="AD352" i="92"/>
  <c r="AE342" i="92"/>
  <c r="AF359" i="92"/>
  <c r="AF337" i="92"/>
  <c r="AH337" i="88"/>
  <c r="AH113" i="96"/>
  <c r="AH114" i="96" s="1"/>
  <c r="AH127" i="96" s="1"/>
  <c r="AH136" i="96" s="1"/>
  <c r="AD342" i="96"/>
  <c r="AG359" i="88"/>
  <c r="AE359" i="96"/>
  <c r="AE337" i="96"/>
  <c r="AF414" i="96"/>
  <c r="AF415" i="96" s="1"/>
  <c r="AF416" i="96" s="1"/>
  <c r="AF418" i="96" s="1"/>
  <c r="AF110" i="92"/>
  <c r="AF111" i="92" s="1"/>
  <c r="AF112" i="92" s="1"/>
  <c r="AF113" i="92"/>
  <c r="AG266" i="88"/>
  <c r="AG276" i="88" s="1"/>
  <c r="AG190" i="88"/>
  <c r="AG203" i="88" s="1"/>
  <c r="AG212" i="88" s="1"/>
  <c r="AG213" i="88" s="1"/>
  <c r="AH283" i="88"/>
  <c r="AH261" i="88"/>
  <c r="AE418" i="96"/>
  <c r="AH207" i="88"/>
  <c r="AH185" i="88"/>
  <c r="AF190" i="96"/>
  <c r="AG186" i="96"/>
  <c r="AG187" i="96" s="1"/>
  <c r="AG188" i="96" s="1"/>
  <c r="AG189" i="96"/>
  <c r="AI261" i="96"/>
  <c r="AI262" i="96" s="1"/>
  <c r="AI263" i="96" s="1"/>
  <c r="AI264" i="96" s="1"/>
  <c r="AJ283" i="96"/>
  <c r="AH352" i="52"/>
  <c r="AB418" i="88"/>
  <c r="AB431" i="88" s="1"/>
  <c r="AB440" i="88" s="1"/>
  <c r="AB441" i="88" s="1"/>
  <c r="AC435" i="88"/>
  <c r="AC413" i="88"/>
  <c r="AH279" i="52"/>
  <c r="AH288" i="52" s="1"/>
  <c r="AH289" i="52" s="1"/>
  <c r="AK207" i="92"/>
  <c r="AK185" i="92"/>
  <c r="AJ190" i="92"/>
  <c r="AE435" i="92"/>
  <c r="AG276" i="96"/>
  <c r="AF352" i="88"/>
  <c r="AF417" i="52"/>
  <c r="AF414" i="52"/>
  <c r="AF415" i="52" s="1"/>
  <c r="AF416" i="52" s="1"/>
  <c r="AD418" i="92"/>
  <c r="AD431" i="92" s="1"/>
  <c r="AD440" i="92" s="1"/>
  <c r="AC428" i="92"/>
  <c r="AE417" i="92"/>
  <c r="AE414" i="92"/>
  <c r="AE415" i="92" s="1"/>
  <c r="AE416" i="92" s="1"/>
  <c r="AH261" i="92"/>
  <c r="AH283" i="92"/>
  <c r="AG266" i="92"/>
  <c r="AH266" i="96"/>
  <c r="AH190" i="52"/>
  <c r="AI185" i="52"/>
  <c r="AI207" i="52"/>
  <c r="AG203" i="52"/>
  <c r="AG212" i="52" s="1"/>
  <c r="AG200" i="52"/>
  <c r="AG341" i="88"/>
  <c r="AG338" i="88"/>
  <c r="AG339" i="88" s="1"/>
  <c r="AG340" i="88" s="1"/>
  <c r="AE441" i="52"/>
  <c r="AI341" i="52"/>
  <c r="AI338" i="52"/>
  <c r="AI339" i="52" s="1"/>
  <c r="AI340" i="52" s="1"/>
  <c r="AF364" i="88"/>
  <c r="AF365" i="88" s="1"/>
  <c r="AG114" i="52"/>
  <c r="AG124" i="52" s="1"/>
  <c r="AF124" i="52"/>
  <c r="AF127" i="52"/>
  <c r="AF136" i="52" s="1"/>
  <c r="AF137" i="52" s="1"/>
  <c r="AH113" i="52"/>
  <c r="AH110" i="52"/>
  <c r="AH111" i="52" s="1"/>
  <c r="AH112" i="52" s="1"/>
  <c r="AI109" i="96" l="1"/>
  <c r="AI131" i="96"/>
  <c r="AH109" i="88"/>
  <c r="AH131" i="88"/>
  <c r="AG114" i="96"/>
  <c r="AI262" i="52"/>
  <c r="AI263" i="52" s="1"/>
  <c r="AI264" i="52" s="1"/>
  <c r="AI266" i="52" s="1"/>
  <c r="AI283" i="52"/>
  <c r="AJ283" i="52"/>
  <c r="AE114" i="92"/>
  <c r="AG131" i="92"/>
  <c r="AI337" i="88"/>
  <c r="AE355" i="92"/>
  <c r="AE364" i="92" s="1"/>
  <c r="AE365" i="92" s="1"/>
  <c r="AE352" i="92"/>
  <c r="AF338" i="92"/>
  <c r="AF339" i="92" s="1"/>
  <c r="AF340" i="92" s="1"/>
  <c r="AF341" i="92"/>
  <c r="AG200" i="88"/>
  <c r="AF337" i="96"/>
  <c r="AF359" i="96"/>
  <c r="AE338" i="96"/>
  <c r="AE339" i="96" s="1"/>
  <c r="AE340" i="96" s="1"/>
  <c r="AE341" i="96"/>
  <c r="AD352" i="96"/>
  <c r="AD355" i="96"/>
  <c r="AD364" i="96" s="1"/>
  <c r="AD365" i="96" s="1"/>
  <c r="AF114" i="92"/>
  <c r="AF127" i="92" s="1"/>
  <c r="AF136" i="92" s="1"/>
  <c r="AF431" i="96"/>
  <c r="AF440" i="96" s="1"/>
  <c r="AF428" i="96"/>
  <c r="AJ261" i="96"/>
  <c r="AJ262" i="96" s="1"/>
  <c r="AJ263" i="96" s="1"/>
  <c r="AJ264" i="96" s="1"/>
  <c r="AG279" i="88"/>
  <c r="AG288" i="88" s="1"/>
  <c r="AG289" i="88" s="1"/>
  <c r="AI265" i="96"/>
  <c r="AI266" i="96" s="1"/>
  <c r="AI276" i="96" s="1"/>
  <c r="AH265" i="88"/>
  <c r="AH262" i="88"/>
  <c r="AH263" i="88" s="1"/>
  <c r="AH264" i="88" s="1"/>
  <c r="AH124" i="96"/>
  <c r="AE428" i="96"/>
  <c r="AE431" i="96"/>
  <c r="AE440" i="96" s="1"/>
  <c r="AE441" i="96" s="1"/>
  <c r="AH186" i="88"/>
  <c r="AH187" i="88" s="1"/>
  <c r="AH188" i="88" s="1"/>
  <c r="AH189" i="88"/>
  <c r="AH207" i="96"/>
  <c r="AH185" i="96"/>
  <c r="AG190" i="96"/>
  <c r="AH359" i="88"/>
  <c r="AF203" i="96"/>
  <c r="AF212" i="96" s="1"/>
  <c r="AF213" i="96" s="1"/>
  <c r="AF200" i="96"/>
  <c r="AB428" i="88"/>
  <c r="AC414" i="88"/>
  <c r="AC415" i="88" s="1"/>
  <c r="AC416" i="88" s="1"/>
  <c r="AC417" i="88"/>
  <c r="AD435" i="88"/>
  <c r="AD413" i="88"/>
  <c r="AK189" i="92"/>
  <c r="AK186" i="92"/>
  <c r="AK187" i="92" s="1"/>
  <c r="AK188" i="92" s="1"/>
  <c r="AJ203" i="92"/>
  <c r="AJ212" i="92" s="1"/>
  <c r="AJ213" i="92" s="1"/>
  <c r="D32" i="92" s="1"/>
  <c r="AL185" i="92"/>
  <c r="AL207" i="92"/>
  <c r="AF418" i="52"/>
  <c r="AE418" i="92"/>
  <c r="AE431" i="92" s="1"/>
  <c r="AE440" i="92" s="1"/>
  <c r="AE441" i="92" s="1"/>
  <c r="AG413" i="52"/>
  <c r="AG435" i="52"/>
  <c r="AJ271" i="52"/>
  <c r="AJ272" i="52" s="1"/>
  <c r="AD428" i="92"/>
  <c r="AD441" i="92"/>
  <c r="AI261" i="92"/>
  <c r="AI283" i="92"/>
  <c r="AG276" i="92"/>
  <c r="AG279" i="92"/>
  <c r="AG288" i="92" s="1"/>
  <c r="AG289" i="92" s="1"/>
  <c r="AH265" i="92"/>
  <c r="AH262" i="92"/>
  <c r="AH263" i="92" s="1"/>
  <c r="AH264" i="92" s="1"/>
  <c r="AH279" i="96"/>
  <c r="AH288" i="96" s="1"/>
  <c r="AH289" i="96" s="1"/>
  <c r="AH276" i="96"/>
  <c r="AG213" i="52"/>
  <c r="AI189" i="52"/>
  <c r="AI186" i="52"/>
  <c r="AI187" i="52" s="1"/>
  <c r="AI188" i="52" s="1"/>
  <c r="AH203" i="52"/>
  <c r="AH212" i="52" s="1"/>
  <c r="AH213" i="52" s="1"/>
  <c r="AH200" i="52"/>
  <c r="AI342" i="52"/>
  <c r="AG342" i="88"/>
  <c r="AH341" i="88"/>
  <c r="AH338" i="88"/>
  <c r="AH339" i="88" s="1"/>
  <c r="AH340" i="88" s="1"/>
  <c r="AG127" i="52"/>
  <c r="AG136" i="52" s="1"/>
  <c r="AG137" i="52" s="1"/>
  <c r="AH114" i="52"/>
  <c r="AH124" i="52" s="1"/>
  <c r="AI109" i="52"/>
  <c r="AI131" i="52"/>
  <c r="AJ271" i="96" l="1"/>
  <c r="AJ272" i="96" s="1"/>
  <c r="AJ131" i="96"/>
  <c r="AJ109" i="96"/>
  <c r="AJ113" i="96" s="1"/>
  <c r="AG124" i="96"/>
  <c r="AG127" i="96"/>
  <c r="AG136" i="96" s="1"/>
  <c r="AH113" i="88"/>
  <c r="AH110" i="88"/>
  <c r="AH111" i="88" s="1"/>
  <c r="AH112" i="88" s="1"/>
  <c r="AI109" i="88"/>
  <c r="AI131" i="88"/>
  <c r="AJ119" i="96"/>
  <c r="AI110" i="96"/>
  <c r="AI111" i="96" s="1"/>
  <c r="AI112" i="96" s="1"/>
  <c r="AI113" i="96"/>
  <c r="AJ261" i="52"/>
  <c r="AJ262" i="52" s="1"/>
  <c r="AJ263" i="52" s="1"/>
  <c r="AJ264" i="52" s="1"/>
  <c r="AG109" i="92"/>
  <c r="AG110" i="92" s="1"/>
  <c r="AG111" i="92" s="1"/>
  <c r="AG112" i="92" s="1"/>
  <c r="AE127" i="92"/>
  <c r="AE136" i="92" s="1"/>
  <c r="AE137" i="92" s="1"/>
  <c r="AE124" i="92"/>
  <c r="AI359" i="88"/>
  <c r="AF342" i="92"/>
  <c r="AJ265" i="96"/>
  <c r="AJ266" i="96" s="1"/>
  <c r="AJ279" i="96" s="1"/>
  <c r="AJ288" i="96" s="1"/>
  <c r="AG359" i="92"/>
  <c r="AG337" i="92"/>
  <c r="AE342" i="96"/>
  <c r="AE355" i="96" s="1"/>
  <c r="AE364" i="96" s="1"/>
  <c r="AE365" i="96" s="1"/>
  <c r="AF124" i="92"/>
  <c r="AF338" i="96"/>
  <c r="AF339" i="96" s="1"/>
  <c r="AF340" i="96" s="1"/>
  <c r="AF341" i="96"/>
  <c r="AH266" i="88"/>
  <c r="AH276" i="88" s="1"/>
  <c r="AH190" i="88"/>
  <c r="AH200" i="88" s="1"/>
  <c r="AI283" i="88"/>
  <c r="AI261" i="88"/>
  <c r="AG435" i="96"/>
  <c r="AG413" i="96"/>
  <c r="AF441" i="96"/>
  <c r="AI185" i="88"/>
  <c r="AI207" i="88"/>
  <c r="AG200" i="96"/>
  <c r="AG203" i="96"/>
  <c r="AG212" i="96" s="1"/>
  <c r="AG213" i="96" s="1"/>
  <c r="AI207" i="96"/>
  <c r="AI185" i="96"/>
  <c r="AH186" i="96"/>
  <c r="AH187" i="96" s="1"/>
  <c r="AH188" i="96" s="1"/>
  <c r="AH189" i="96"/>
  <c r="AJ261" i="92"/>
  <c r="AK190" i="92"/>
  <c r="AK203" i="92" s="1"/>
  <c r="AK212" i="92" s="1"/>
  <c r="AK213" i="92" s="1"/>
  <c r="AC418" i="88"/>
  <c r="AD417" i="88"/>
  <c r="AD414" i="88"/>
  <c r="AD415" i="88" s="1"/>
  <c r="AD416" i="88" s="1"/>
  <c r="AL186" i="92"/>
  <c r="AL187" i="92" s="1"/>
  <c r="AL188" i="92" s="1"/>
  <c r="AL189" i="92"/>
  <c r="AM185" i="92"/>
  <c r="AE428" i="92"/>
  <c r="AF428" i="52"/>
  <c r="AF431" i="52"/>
  <c r="AF440" i="52" s="1"/>
  <c r="AF441" i="52" s="1"/>
  <c r="AI279" i="96"/>
  <c r="AI288" i="96" s="1"/>
  <c r="AI289" i="96" s="1"/>
  <c r="AI276" i="52"/>
  <c r="AI279" i="52"/>
  <c r="AI288" i="52" s="1"/>
  <c r="AI289" i="52" s="1"/>
  <c r="AG417" i="52"/>
  <c r="AG414" i="52"/>
  <c r="AG415" i="52" s="1"/>
  <c r="AG416" i="52" s="1"/>
  <c r="AH266" i="92"/>
  <c r="AI265" i="92"/>
  <c r="AI262" i="92"/>
  <c r="AI263" i="92" s="1"/>
  <c r="AI264" i="92" s="1"/>
  <c r="AK261" i="96"/>
  <c r="AK283" i="96"/>
  <c r="AJ347" i="52"/>
  <c r="AJ348" i="52" s="1"/>
  <c r="AJ359" i="52"/>
  <c r="AJ337" i="52"/>
  <c r="AJ207" i="52"/>
  <c r="AJ185" i="52"/>
  <c r="AI190" i="52"/>
  <c r="AG355" i="88"/>
  <c r="AG352" i="88"/>
  <c r="AH342" i="88"/>
  <c r="AI341" i="88"/>
  <c r="AI338" i="88"/>
  <c r="AI339" i="88" s="1"/>
  <c r="AI340" i="88" s="1"/>
  <c r="AI355" i="52"/>
  <c r="AI364" i="52" s="1"/>
  <c r="AI365" i="52" s="1"/>
  <c r="AI352" i="52"/>
  <c r="AH127" i="52"/>
  <c r="AH136" i="52" s="1"/>
  <c r="AH137" i="52" s="1"/>
  <c r="AJ109" i="52"/>
  <c r="AJ131" i="52"/>
  <c r="AI113" i="52"/>
  <c r="AI110" i="52"/>
  <c r="AI111" i="52" s="1"/>
  <c r="AI112" i="52" s="1"/>
  <c r="AJ120" i="52"/>
  <c r="AJ120" i="96" l="1"/>
  <c r="AH114" i="88"/>
  <c r="AH127" i="88" s="1"/>
  <c r="AH136" i="88" s="1"/>
  <c r="AH137" i="88" s="1"/>
  <c r="AH131" i="92"/>
  <c r="AJ110" i="96"/>
  <c r="AJ111" i="96" s="1"/>
  <c r="AJ112" i="96" s="1"/>
  <c r="AJ114" i="96" s="1"/>
  <c r="AJ127" i="96" s="1"/>
  <c r="AJ136" i="96" s="1"/>
  <c r="AI114" i="96"/>
  <c r="AI110" i="88"/>
  <c r="AI111" i="88" s="1"/>
  <c r="AI112" i="88" s="1"/>
  <c r="AI113" i="88"/>
  <c r="AJ131" i="88"/>
  <c r="AG137" i="96"/>
  <c r="AH137" i="96"/>
  <c r="AJ265" i="52"/>
  <c r="AJ266" i="52" s="1"/>
  <c r="AG113" i="92"/>
  <c r="AG114" i="92" s="1"/>
  <c r="AG127" i="92" s="1"/>
  <c r="AG136" i="92" s="1"/>
  <c r="AG137" i="92" s="1"/>
  <c r="AF137" i="92"/>
  <c r="AJ337" i="88"/>
  <c r="AF352" i="92"/>
  <c r="AF355" i="92"/>
  <c r="AF364" i="92" s="1"/>
  <c r="AF365" i="92" s="1"/>
  <c r="AG341" i="92"/>
  <c r="AG338" i="92"/>
  <c r="AG339" i="92" s="1"/>
  <c r="AG340" i="92" s="1"/>
  <c r="AE352" i="96"/>
  <c r="AJ283" i="92"/>
  <c r="AF342" i="96"/>
  <c r="AG359" i="96"/>
  <c r="AG337" i="96"/>
  <c r="AH203" i="88"/>
  <c r="AH212" i="88" s="1"/>
  <c r="AH213" i="88" s="1"/>
  <c r="AH279" i="88"/>
  <c r="AH288" i="88" s="1"/>
  <c r="AH289" i="88" s="1"/>
  <c r="AK207" i="88"/>
  <c r="AI262" i="88"/>
  <c r="AI263" i="88" s="1"/>
  <c r="AI264" i="88" s="1"/>
  <c r="AI265" i="88"/>
  <c r="AJ261" i="88"/>
  <c r="AJ283" i="88"/>
  <c r="AJ207" i="96"/>
  <c r="AG417" i="96"/>
  <c r="AG414" i="96"/>
  <c r="AG415" i="96" s="1"/>
  <c r="AG416" i="96" s="1"/>
  <c r="AJ185" i="88"/>
  <c r="AJ207" i="88"/>
  <c r="AI186" i="88"/>
  <c r="AI187" i="88" s="1"/>
  <c r="AI188" i="88" s="1"/>
  <c r="AI189" i="88"/>
  <c r="AH190" i="96"/>
  <c r="AI186" i="96"/>
  <c r="AI187" i="96" s="1"/>
  <c r="AI188" i="96" s="1"/>
  <c r="AI189" i="96"/>
  <c r="AM207" i="92"/>
  <c r="AL190" i="92"/>
  <c r="AL203" i="92" s="1"/>
  <c r="AL212" i="92" s="1"/>
  <c r="AL213" i="92" s="1"/>
  <c r="AD418" i="88"/>
  <c r="AE435" i="88"/>
  <c r="AE413" i="88"/>
  <c r="AC428" i="88"/>
  <c r="AC431" i="88"/>
  <c r="AC440" i="88" s="1"/>
  <c r="AJ289" i="96"/>
  <c r="E32" i="96" s="1"/>
  <c r="AK109" i="96"/>
  <c r="AK131" i="96"/>
  <c r="AG418" i="52"/>
  <c r="AK283" i="52"/>
  <c r="AK261" i="52"/>
  <c r="AF435" i="92"/>
  <c r="AF413" i="92"/>
  <c r="AH413" i="52"/>
  <c r="AH435" i="52"/>
  <c r="AI266" i="92"/>
  <c r="AI279" i="92" s="1"/>
  <c r="AI288" i="92" s="1"/>
  <c r="AJ276" i="96"/>
  <c r="AJ277" i="96" s="1"/>
  <c r="E31" i="96" s="1"/>
  <c r="AJ262" i="92"/>
  <c r="AJ263" i="92" s="1"/>
  <c r="AJ264" i="92" s="1"/>
  <c r="AJ265" i="92"/>
  <c r="AH276" i="92"/>
  <c r="AH279" i="92"/>
  <c r="AH288" i="92" s="1"/>
  <c r="AK262" i="96"/>
  <c r="AK263" i="96" s="1"/>
  <c r="AK264" i="96" s="1"/>
  <c r="AK265" i="96"/>
  <c r="AJ341" i="52"/>
  <c r="AJ338" i="52"/>
  <c r="AJ339" i="52" s="1"/>
  <c r="AJ340" i="52" s="1"/>
  <c r="AM189" i="92"/>
  <c r="AM186" i="92"/>
  <c r="AM187" i="92" s="1"/>
  <c r="AM188" i="92" s="1"/>
  <c r="AJ195" i="52"/>
  <c r="AJ196" i="52" s="1"/>
  <c r="AI342" i="88"/>
  <c r="AI352" i="88" s="1"/>
  <c r="AI200" i="52"/>
  <c r="AI203" i="52"/>
  <c r="AI212" i="52" s="1"/>
  <c r="AJ186" i="52"/>
  <c r="AJ187" i="52" s="1"/>
  <c r="AJ188" i="52" s="1"/>
  <c r="AJ189" i="52"/>
  <c r="AG364" i="88"/>
  <c r="AG365" i="88" s="1"/>
  <c r="AH352" i="88"/>
  <c r="AH355" i="88"/>
  <c r="AH364" i="88" s="1"/>
  <c r="AI114" i="52"/>
  <c r="AI124" i="52" s="1"/>
  <c r="AK109" i="52"/>
  <c r="AK131" i="52"/>
  <c r="AJ113" i="52"/>
  <c r="AJ110" i="52"/>
  <c r="AJ109" i="88" l="1"/>
  <c r="AJ110" i="88" s="1"/>
  <c r="AJ111" i="88" s="1"/>
  <c r="AJ112" i="88" s="1"/>
  <c r="AH124" i="88"/>
  <c r="AJ347" i="88"/>
  <c r="AJ348" i="88" s="1"/>
  <c r="AJ271" i="88"/>
  <c r="AJ272" i="88" s="1"/>
  <c r="AJ195" i="88"/>
  <c r="AJ196" i="88" s="1"/>
  <c r="AH109" i="92"/>
  <c r="AH113" i="92" s="1"/>
  <c r="AJ119" i="88"/>
  <c r="AJ120" i="88" s="1"/>
  <c r="AI109" i="92"/>
  <c r="AI113" i="92" s="1"/>
  <c r="AI114" i="88"/>
  <c r="AI124" i="96"/>
  <c r="AI127" i="96"/>
  <c r="AI136" i="96" s="1"/>
  <c r="AI137" i="96" s="1"/>
  <c r="F9" i="110"/>
  <c r="AH359" i="92"/>
  <c r="AH337" i="92"/>
  <c r="AG342" i="92"/>
  <c r="AH337" i="96"/>
  <c r="AG124" i="92"/>
  <c r="AF352" i="96"/>
  <c r="AF355" i="96"/>
  <c r="AF364" i="96" s="1"/>
  <c r="AF365" i="96" s="1"/>
  <c r="AL109" i="88"/>
  <c r="AG338" i="96"/>
  <c r="AG339" i="96" s="1"/>
  <c r="AG340" i="96" s="1"/>
  <c r="AG341" i="96"/>
  <c r="AK185" i="88"/>
  <c r="AJ185" i="96"/>
  <c r="AJ189" i="96" s="1"/>
  <c r="AJ195" i="96"/>
  <c r="AJ196" i="96" s="1"/>
  <c r="AJ265" i="88"/>
  <c r="AJ262" i="88"/>
  <c r="AJ263" i="88" s="1"/>
  <c r="AJ264" i="88" s="1"/>
  <c r="AI266" i="88"/>
  <c r="AI190" i="88"/>
  <c r="AI203" i="88" s="1"/>
  <c r="AI212" i="88" s="1"/>
  <c r="AI213" i="88" s="1"/>
  <c r="AH413" i="96"/>
  <c r="AH435" i="96"/>
  <c r="AG418" i="96"/>
  <c r="AJ189" i="88"/>
  <c r="AJ186" i="88"/>
  <c r="AJ187" i="88" s="1"/>
  <c r="AJ188" i="88" s="1"/>
  <c r="AI190" i="96"/>
  <c r="AH200" i="96"/>
  <c r="AH203" i="96"/>
  <c r="AH212" i="96" s="1"/>
  <c r="AH213" i="96" s="1"/>
  <c r="AK283" i="92"/>
  <c r="AF435" i="88"/>
  <c r="AE414" i="88"/>
  <c r="AE415" i="88" s="1"/>
  <c r="AE416" i="88" s="1"/>
  <c r="AE417" i="88"/>
  <c r="AD428" i="88"/>
  <c r="AD431" i="88"/>
  <c r="AD440" i="88" s="1"/>
  <c r="AD441" i="88" s="1"/>
  <c r="AC441" i="88"/>
  <c r="AJ124" i="96"/>
  <c r="AH365" i="88"/>
  <c r="AH417" i="52"/>
  <c r="AH414" i="52"/>
  <c r="AH415" i="52" s="1"/>
  <c r="AH416" i="52" s="1"/>
  <c r="AL261" i="52"/>
  <c r="AL283" i="52"/>
  <c r="AJ279" i="52"/>
  <c r="AJ288" i="52" s="1"/>
  <c r="AJ289" i="52" s="1"/>
  <c r="E32" i="52" s="1"/>
  <c r="AJ276" i="52"/>
  <c r="AJ277" i="52" s="1"/>
  <c r="E31" i="52" s="1"/>
  <c r="AF417" i="92"/>
  <c r="AF414" i="92"/>
  <c r="AF415" i="92" s="1"/>
  <c r="AF416" i="92" s="1"/>
  <c r="AK262" i="52"/>
  <c r="AK263" i="52" s="1"/>
  <c r="AK264" i="52" s="1"/>
  <c r="AK265" i="52"/>
  <c r="AK113" i="96"/>
  <c r="AK110" i="96"/>
  <c r="AK111" i="96" s="1"/>
  <c r="AK112" i="96" s="1"/>
  <c r="AI355" i="88"/>
  <c r="AI364" i="88" s="1"/>
  <c r="AI365" i="88" s="1"/>
  <c r="AJ342" i="52"/>
  <c r="AJ355" i="52" s="1"/>
  <c r="AJ364" i="52" s="1"/>
  <c r="AG428" i="52"/>
  <c r="AG431" i="52"/>
  <c r="AG440" i="52" s="1"/>
  <c r="AG441" i="52" s="1"/>
  <c r="AG435" i="92"/>
  <c r="AG413" i="92"/>
  <c r="AJ266" i="92"/>
  <c r="AJ279" i="92" s="1"/>
  <c r="AJ288" i="92" s="1"/>
  <c r="AJ289" i="92" s="1"/>
  <c r="E32" i="92" s="1"/>
  <c r="AI276" i="92"/>
  <c r="AH289" i="92"/>
  <c r="AI289" i="92"/>
  <c r="AL261" i="96"/>
  <c r="AL283" i="96"/>
  <c r="AK266" i="96"/>
  <c r="AK279" i="96" s="1"/>
  <c r="AK288" i="96" s="1"/>
  <c r="AK289" i="96" s="1"/>
  <c r="AJ190" i="52"/>
  <c r="AJ203" i="52" s="1"/>
  <c r="AJ212" i="52" s="1"/>
  <c r="AJ213" i="52" s="1"/>
  <c r="D32" i="52" s="1"/>
  <c r="AM190" i="92"/>
  <c r="AM203" i="92" s="1"/>
  <c r="AM212" i="92" s="1"/>
  <c r="AM213" i="92" s="1"/>
  <c r="AK337" i="52"/>
  <c r="AK359" i="52"/>
  <c r="AJ359" i="88"/>
  <c r="AK207" i="52"/>
  <c r="AK185" i="52"/>
  <c r="AI213" i="52"/>
  <c r="AJ341" i="88"/>
  <c r="AJ338" i="88"/>
  <c r="AJ339" i="88" s="1"/>
  <c r="AJ340" i="88" s="1"/>
  <c r="AI127" i="52"/>
  <c r="AI136" i="52" s="1"/>
  <c r="AI137" i="52" s="1"/>
  <c r="AJ111" i="52"/>
  <c r="AJ112" i="52" s="1"/>
  <c r="AJ114" i="52" s="1"/>
  <c r="AK113" i="52"/>
  <c r="AK110" i="52"/>
  <c r="AK111" i="52" s="1"/>
  <c r="AK112" i="52" s="1"/>
  <c r="AJ113" i="88" l="1"/>
  <c r="AJ114" i="88" s="1"/>
  <c r="AJ127" i="88" s="1"/>
  <c r="AJ136" i="88" s="1"/>
  <c r="AH110" i="92"/>
  <c r="AH111" i="92" s="1"/>
  <c r="AH112" i="92" s="1"/>
  <c r="AH114" i="92" s="1"/>
  <c r="AH124" i="92" s="1"/>
  <c r="AJ125" i="96"/>
  <c r="C31" i="96" s="1"/>
  <c r="D9" i="110" s="1"/>
  <c r="AL109" i="96"/>
  <c r="AL113" i="96" s="1"/>
  <c r="AL131" i="96"/>
  <c r="AI127" i="88"/>
  <c r="AI136" i="88" s="1"/>
  <c r="AI137" i="88" s="1"/>
  <c r="AI124" i="88"/>
  <c r="AJ137" i="96"/>
  <c r="C32" i="96" s="1"/>
  <c r="AK109" i="88"/>
  <c r="AK131" i="88"/>
  <c r="AI110" i="92"/>
  <c r="AI111" i="92" s="1"/>
  <c r="AI112" i="92" s="1"/>
  <c r="AI114" i="92" s="1"/>
  <c r="AI131" i="92"/>
  <c r="AK337" i="88"/>
  <c r="AK338" i="88" s="1"/>
  <c r="AK339" i="88" s="1"/>
  <c r="AK340" i="88" s="1"/>
  <c r="F8" i="110"/>
  <c r="AI359" i="96"/>
  <c r="AH359" i="96"/>
  <c r="AL131" i="88"/>
  <c r="AG352" i="92"/>
  <c r="AG355" i="92"/>
  <c r="AG364" i="92" s="1"/>
  <c r="AG365" i="92" s="1"/>
  <c r="AH338" i="92"/>
  <c r="AH339" i="92" s="1"/>
  <c r="AH340" i="92" s="1"/>
  <c r="AH341" i="92"/>
  <c r="AK207" i="96"/>
  <c r="AG342" i="96"/>
  <c r="AH338" i="96"/>
  <c r="AH339" i="96" s="1"/>
  <c r="AH340" i="96" s="1"/>
  <c r="AH341" i="96"/>
  <c r="AL113" i="88"/>
  <c r="AL110" i="88"/>
  <c r="AL111" i="88" s="1"/>
  <c r="AL112" i="88" s="1"/>
  <c r="AJ186" i="96"/>
  <c r="AJ187" i="96" s="1"/>
  <c r="AJ188" i="96" s="1"/>
  <c r="AJ190" i="96" s="1"/>
  <c r="AK189" i="88"/>
  <c r="AK186" i="88"/>
  <c r="AK187" i="88" s="1"/>
  <c r="AK188" i="88" s="1"/>
  <c r="AJ266" i="88"/>
  <c r="AJ279" i="88" s="1"/>
  <c r="AJ288" i="88" s="1"/>
  <c r="AI279" i="88"/>
  <c r="AI288" i="88" s="1"/>
  <c r="AI289" i="88" s="1"/>
  <c r="AI276" i="88"/>
  <c r="AK261" i="88"/>
  <c r="AK283" i="88"/>
  <c r="AI200" i="88"/>
  <c r="AI413" i="96"/>
  <c r="AI435" i="96"/>
  <c r="AG431" i="96"/>
  <c r="AG440" i="96" s="1"/>
  <c r="AG441" i="96" s="1"/>
  <c r="AG428" i="96"/>
  <c r="AH417" i="96"/>
  <c r="AH414" i="96"/>
  <c r="AH415" i="96" s="1"/>
  <c r="AH416" i="96" s="1"/>
  <c r="AJ190" i="88"/>
  <c r="AI200" i="96"/>
  <c r="AI203" i="96"/>
  <c r="AI212" i="96" s="1"/>
  <c r="AI213" i="96" s="1"/>
  <c r="AK261" i="92"/>
  <c r="AK265" i="92" s="1"/>
  <c r="AF413" i="88"/>
  <c r="AF414" i="88" s="1"/>
  <c r="AF415" i="88" s="1"/>
  <c r="AF416" i="88" s="1"/>
  <c r="AJ200" i="52"/>
  <c r="AJ201" i="52" s="1"/>
  <c r="D31" i="52" s="1"/>
  <c r="AE418" i="88"/>
  <c r="AM261" i="96"/>
  <c r="AJ352" i="52"/>
  <c r="AJ353" i="52" s="1"/>
  <c r="F31" i="52" s="1"/>
  <c r="AG417" i="92"/>
  <c r="AG414" i="92"/>
  <c r="AG415" i="92" s="1"/>
  <c r="AG416" i="92" s="1"/>
  <c r="AK266" i="52"/>
  <c r="AK279" i="52" s="1"/>
  <c r="AK288" i="52" s="1"/>
  <c r="AK289" i="52" s="1"/>
  <c r="AH418" i="52"/>
  <c r="AI413" i="52"/>
  <c r="AI435" i="52"/>
  <c r="AK114" i="96"/>
  <c r="AK127" i="96" s="1"/>
  <c r="AK136" i="96" s="1"/>
  <c r="AK137" i="96" s="1"/>
  <c r="AF418" i="92"/>
  <c r="AL265" i="52"/>
  <c r="AL262" i="52"/>
  <c r="AL263" i="52" s="1"/>
  <c r="AL264" i="52" s="1"/>
  <c r="AL262" i="96"/>
  <c r="AL263" i="96" s="1"/>
  <c r="AL264" i="96" s="1"/>
  <c r="AL265" i="96"/>
  <c r="AL359" i="52"/>
  <c r="AL337" i="52"/>
  <c r="AK338" i="52"/>
  <c r="AK339" i="52" s="1"/>
  <c r="AK340" i="52" s="1"/>
  <c r="AK341" i="52"/>
  <c r="AJ365" i="52"/>
  <c r="F32" i="52" s="1"/>
  <c r="AK186" i="52"/>
  <c r="AK187" i="52" s="1"/>
  <c r="AK188" i="52" s="1"/>
  <c r="AK189" i="52"/>
  <c r="AJ342" i="88"/>
  <c r="AK114" i="52"/>
  <c r="AJ127" i="52"/>
  <c r="AJ136" i="52" s="1"/>
  <c r="AJ137" i="52" s="1"/>
  <c r="C32" i="52" s="1"/>
  <c r="AJ124" i="52"/>
  <c r="AJ125" i="52" s="1"/>
  <c r="C31" i="52" s="1"/>
  <c r="AL109" i="52"/>
  <c r="AL131" i="52"/>
  <c r="AJ124" i="88" l="1"/>
  <c r="AJ125" i="88" s="1"/>
  <c r="C31" i="88" s="1"/>
  <c r="D7" i="110" s="1"/>
  <c r="AH127" i="92"/>
  <c r="AH136" i="92" s="1"/>
  <c r="AH137" i="92" s="1"/>
  <c r="AJ137" i="88"/>
  <c r="C32" i="88" s="1"/>
  <c r="AL110" i="96"/>
  <c r="AL111" i="96" s="1"/>
  <c r="AL112" i="96" s="1"/>
  <c r="AL114" i="96" s="1"/>
  <c r="AL127" i="96" s="1"/>
  <c r="AL136" i="96" s="1"/>
  <c r="AL137" i="96" s="1"/>
  <c r="AM109" i="88"/>
  <c r="AM110" i="88" s="1"/>
  <c r="AM111" i="88" s="1"/>
  <c r="AM112" i="88" s="1"/>
  <c r="AJ131" i="92"/>
  <c r="AK113" i="88"/>
  <c r="AK110" i="88"/>
  <c r="AK111" i="88" s="1"/>
  <c r="AK112" i="88" s="1"/>
  <c r="AK341" i="88"/>
  <c r="AK342" i="88" s="1"/>
  <c r="AK355" i="88" s="1"/>
  <c r="AK364" i="88" s="1"/>
  <c r="AK359" i="88"/>
  <c r="G8" i="110"/>
  <c r="D8" i="110"/>
  <c r="E8" i="110"/>
  <c r="AI337" i="96"/>
  <c r="AI341" i="96" s="1"/>
  <c r="AH342" i="92"/>
  <c r="AL185" i="88"/>
  <c r="AK185" i="96"/>
  <c r="AK186" i="96" s="1"/>
  <c r="AK187" i="96" s="1"/>
  <c r="AK188" i="96" s="1"/>
  <c r="AI337" i="92"/>
  <c r="AI359" i="92"/>
  <c r="AK262" i="92"/>
  <c r="AK263" i="92" s="1"/>
  <c r="AK264" i="92" s="1"/>
  <c r="AK266" i="92" s="1"/>
  <c r="AK279" i="92" s="1"/>
  <c r="AK288" i="92" s="1"/>
  <c r="AK289" i="92" s="1"/>
  <c r="AH342" i="96"/>
  <c r="AH355" i="96" s="1"/>
  <c r="AH364" i="96" s="1"/>
  <c r="AL207" i="96"/>
  <c r="AG352" i="96"/>
  <c r="AG355" i="96"/>
  <c r="AG364" i="96" s="1"/>
  <c r="AJ276" i="88"/>
  <c r="AJ277" i="88" s="1"/>
  <c r="E31" i="88" s="1"/>
  <c r="AL261" i="88"/>
  <c r="AK190" i="88"/>
  <c r="AK203" i="88" s="1"/>
  <c r="AK212" i="88" s="1"/>
  <c r="AL114" i="88"/>
  <c r="AL127" i="88" s="1"/>
  <c r="AL136" i="88" s="1"/>
  <c r="AI127" i="92"/>
  <c r="AI136" i="92" s="1"/>
  <c r="AI124" i="92"/>
  <c r="AJ289" i="88"/>
  <c r="E32" i="88" s="1"/>
  <c r="AH435" i="92"/>
  <c r="AK265" i="88"/>
  <c r="AK262" i="88"/>
  <c r="AK263" i="88" s="1"/>
  <c r="AK264" i="88" s="1"/>
  <c r="AI414" i="96"/>
  <c r="AI415" i="96" s="1"/>
  <c r="AI416" i="96" s="1"/>
  <c r="AI417" i="96"/>
  <c r="AH418" i="96"/>
  <c r="AJ203" i="88"/>
  <c r="AJ212" i="88" s="1"/>
  <c r="AJ200" i="88"/>
  <c r="AJ201" i="88" s="1"/>
  <c r="D31" i="88" s="1"/>
  <c r="AJ200" i="96"/>
  <c r="AJ201" i="96" s="1"/>
  <c r="D31" i="96" s="1"/>
  <c r="AJ203" i="96"/>
  <c r="AJ212" i="96" s="1"/>
  <c r="AJ213" i="96" s="1"/>
  <c r="D32" i="96" s="1"/>
  <c r="AF417" i="88"/>
  <c r="AF418" i="88" s="1"/>
  <c r="AM283" i="96"/>
  <c r="AE428" i="88"/>
  <c r="AE431" i="88"/>
  <c r="AE440" i="88" s="1"/>
  <c r="AE441" i="88" s="1"/>
  <c r="AN185" i="92"/>
  <c r="AN207" i="92"/>
  <c r="AG418" i="92"/>
  <c r="AG431" i="92" s="1"/>
  <c r="AG440" i="92" s="1"/>
  <c r="AL266" i="52"/>
  <c r="AL279" i="52" s="1"/>
  <c r="AL288" i="52" s="1"/>
  <c r="AL289" i="52" s="1"/>
  <c r="AF431" i="92"/>
  <c r="AF440" i="92" s="1"/>
  <c r="AF441" i="92" s="1"/>
  <c r="AF428" i="92"/>
  <c r="AI414" i="52"/>
  <c r="AI415" i="52" s="1"/>
  <c r="AI416" i="52" s="1"/>
  <c r="AI417" i="52"/>
  <c r="AH428" i="52"/>
  <c r="AH431" i="52"/>
  <c r="AH440" i="52" s="1"/>
  <c r="AH441" i="52" s="1"/>
  <c r="AM283" i="52"/>
  <c r="AM261" i="52"/>
  <c r="AM109" i="96"/>
  <c r="AM131" i="96"/>
  <c r="AL266" i="96"/>
  <c r="AL279" i="96" s="1"/>
  <c r="AL288" i="96" s="1"/>
  <c r="AL289" i="96" s="1"/>
  <c r="AL261" i="92"/>
  <c r="AL283" i="92"/>
  <c r="AM265" i="96"/>
  <c r="AM262" i="96"/>
  <c r="AM263" i="96" s="1"/>
  <c r="AM264" i="96" s="1"/>
  <c r="AK342" i="52"/>
  <c r="AK355" i="52" s="1"/>
  <c r="AK364" i="52" s="1"/>
  <c r="AK365" i="52" s="1"/>
  <c r="AL338" i="52"/>
  <c r="AL339" i="52" s="1"/>
  <c r="AL340" i="52" s="1"/>
  <c r="AL341" i="52"/>
  <c r="AL207" i="52"/>
  <c r="AL185" i="52"/>
  <c r="AK190" i="52"/>
  <c r="AK203" i="52" s="1"/>
  <c r="AK212" i="52" s="1"/>
  <c r="AK213" i="52" s="1"/>
  <c r="AJ352" i="88"/>
  <c r="AJ353" i="88" s="1"/>
  <c r="F31" i="88" s="1"/>
  <c r="AJ355" i="88"/>
  <c r="AJ364" i="88" s="1"/>
  <c r="AJ365" i="88" s="1"/>
  <c r="F32" i="88" s="1"/>
  <c r="AL113" i="52"/>
  <c r="AL110" i="52"/>
  <c r="AK127" i="52"/>
  <c r="AK136" i="52" s="1"/>
  <c r="AK137" i="52" s="1"/>
  <c r="AM113" i="88" l="1"/>
  <c r="AM114" i="88" s="1"/>
  <c r="AM127" i="88" s="1"/>
  <c r="AM136" i="88" s="1"/>
  <c r="AM131" i="88"/>
  <c r="AK114" i="88"/>
  <c r="AK127" i="88" s="1"/>
  <c r="AK136" i="88" s="1"/>
  <c r="AK137" i="88" s="1"/>
  <c r="AL359" i="88"/>
  <c r="AJ109" i="92"/>
  <c r="AJ110" i="92" s="1"/>
  <c r="AJ111" i="92" s="1"/>
  <c r="AJ112" i="92" s="1"/>
  <c r="F7" i="110"/>
  <c r="G7" i="110"/>
  <c r="E9" i="110"/>
  <c r="E7" i="110"/>
  <c r="AH352" i="96"/>
  <c r="AL207" i="88"/>
  <c r="AI338" i="96"/>
  <c r="AI339" i="96" s="1"/>
  <c r="AI340" i="96" s="1"/>
  <c r="AI342" i="96" s="1"/>
  <c r="AI355" i="96" s="1"/>
  <c r="AI364" i="96" s="1"/>
  <c r="AI365" i="96" s="1"/>
  <c r="AH355" i="92"/>
  <c r="AH364" i="92" s="1"/>
  <c r="AH365" i="92" s="1"/>
  <c r="AH352" i="92"/>
  <c r="AK189" i="96"/>
  <c r="AK190" i="96" s="1"/>
  <c r="AK203" i="96" s="1"/>
  <c r="AK212" i="96" s="1"/>
  <c r="AK213" i="96" s="1"/>
  <c r="AI338" i="92"/>
  <c r="AI339" i="92" s="1"/>
  <c r="AI340" i="92" s="1"/>
  <c r="AI341" i="92"/>
  <c r="AM261" i="92"/>
  <c r="AH413" i="92"/>
  <c r="AH417" i="92" s="1"/>
  <c r="AL185" i="96"/>
  <c r="AL189" i="96" s="1"/>
  <c r="AG365" i="96"/>
  <c r="AH365" i="96"/>
  <c r="AL283" i="88"/>
  <c r="AI137" i="92"/>
  <c r="AI418" i="96"/>
  <c r="AI431" i="96" s="1"/>
  <c r="AI440" i="96" s="1"/>
  <c r="AK266" i="88"/>
  <c r="AK279" i="88" s="1"/>
  <c r="AK288" i="88" s="1"/>
  <c r="AK289" i="88" s="1"/>
  <c r="AL265" i="88"/>
  <c r="AL262" i="88"/>
  <c r="AL263" i="88" s="1"/>
  <c r="AL264" i="88" s="1"/>
  <c r="AJ435" i="96"/>
  <c r="AJ413" i="96"/>
  <c r="AL189" i="88"/>
  <c r="AL186" i="88"/>
  <c r="AL187" i="88" s="1"/>
  <c r="AL188" i="88" s="1"/>
  <c r="AH431" i="96"/>
  <c r="AH440" i="96" s="1"/>
  <c r="AH428" i="96"/>
  <c r="AM207" i="88"/>
  <c r="AM185" i="88"/>
  <c r="AJ213" i="88"/>
  <c r="D32" i="88" s="1"/>
  <c r="AK213" i="88"/>
  <c r="AN261" i="96"/>
  <c r="AM185" i="52"/>
  <c r="AF428" i="88"/>
  <c r="AF431" i="88"/>
  <c r="AF440" i="88" s="1"/>
  <c r="AF441" i="88" s="1"/>
  <c r="AG428" i="92"/>
  <c r="AN186" i="92"/>
  <c r="AN187" i="92" s="1"/>
  <c r="AN188" i="92" s="1"/>
  <c r="AN189" i="92"/>
  <c r="AI418" i="52"/>
  <c r="AM113" i="96"/>
  <c r="AM110" i="96"/>
  <c r="AM111" i="96" s="1"/>
  <c r="AM112" i="96" s="1"/>
  <c r="AL342" i="52"/>
  <c r="AL355" i="52" s="1"/>
  <c r="AL364" i="52" s="1"/>
  <c r="AL365" i="52" s="1"/>
  <c r="AM262" i="52"/>
  <c r="AM263" i="52" s="1"/>
  <c r="AM264" i="52" s="1"/>
  <c r="AM265" i="52"/>
  <c r="AJ413" i="52"/>
  <c r="AJ435" i="52"/>
  <c r="AG441" i="92"/>
  <c r="AJ423" i="52"/>
  <c r="AJ424" i="52" s="1"/>
  <c r="AL265" i="92"/>
  <c r="AL262" i="92"/>
  <c r="AL263" i="92" s="1"/>
  <c r="AL264" i="92" s="1"/>
  <c r="AM266" i="96"/>
  <c r="AM279" i="96" s="1"/>
  <c r="AM288" i="96" s="1"/>
  <c r="AM289" i="96" s="1"/>
  <c r="AM337" i="52"/>
  <c r="AM359" i="52"/>
  <c r="AL186" i="52"/>
  <c r="AL187" i="52" s="1"/>
  <c r="AL188" i="52" s="1"/>
  <c r="AL189" i="52"/>
  <c r="AK365" i="88"/>
  <c r="AL111" i="52"/>
  <c r="AL112" i="52" s="1"/>
  <c r="AL114" i="52" s="1"/>
  <c r="AL127" i="52" s="1"/>
  <c r="AL136" i="52" s="1"/>
  <c r="AL137" i="52" s="1"/>
  <c r="AM109" i="52"/>
  <c r="AM131" i="52"/>
  <c r="AM137" i="88" l="1"/>
  <c r="AL137" i="88"/>
  <c r="AJ347" i="92"/>
  <c r="AJ348" i="92" s="1"/>
  <c r="AJ271" i="92"/>
  <c r="AJ272" i="92" s="1"/>
  <c r="AJ276" i="92" s="1"/>
  <c r="AJ277" i="92" s="1"/>
  <c r="E31" i="92" s="1"/>
  <c r="F10" i="110" s="1"/>
  <c r="AJ195" i="92"/>
  <c r="AJ196" i="92" s="1"/>
  <c r="AJ200" i="92" s="1"/>
  <c r="AJ201" i="92" s="1"/>
  <c r="D31" i="92" s="1"/>
  <c r="E10" i="110" s="1"/>
  <c r="AJ119" i="92"/>
  <c r="AK131" i="92"/>
  <c r="AJ113" i="92"/>
  <c r="AJ114" i="92" s="1"/>
  <c r="AL337" i="88"/>
  <c r="AL341" i="88" s="1"/>
  <c r="AI352" i="96"/>
  <c r="AK337" i="96"/>
  <c r="AJ359" i="96"/>
  <c r="AJ337" i="96"/>
  <c r="AI342" i="92"/>
  <c r="AI352" i="92" s="1"/>
  <c r="AH414" i="92"/>
  <c r="AH415" i="92" s="1"/>
  <c r="AH416" i="92" s="1"/>
  <c r="AH418" i="92" s="1"/>
  <c r="AH428" i="92" s="1"/>
  <c r="AJ337" i="92"/>
  <c r="AJ359" i="92"/>
  <c r="AM283" i="92"/>
  <c r="AL186" i="96"/>
  <c r="AL187" i="96" s="1"/>
  <c r="AL188" i="96" s="1"/>
  <c r="AL190" i="96" s="1"/>
  <c r="AL203" i="96" s="1"/>
  <c r="AL212" i="96" s="1"/>
  <c r="AL213" i="96" s="1"/>
  <c r="AI428" i="96"/>
  <c r="AL266" i="88"/>
  <c r="AL279" i="88" s="1"/>
  <c r="AL288" i="88" s="1"/>
  <c r="AL289" i="88" s="1"/>
  <c r="AM207" i="52"/>
  <c r="AN283" i="96"/>
  <c r="AI441" i="96"/>
  <c r="AJ414" i="96"/>
  <c r="AJ415" i="96" s="1"/>
  <c r="AJ416" i="96" s="1"/>
  <c r="AJ417" i="96"/>
  <c r="AJ423" i="96"/>
  <c r="AJ424" i="96" s="1"/>
  <c r="AL190" i="88"/>
  <c r="AL203" i="88" s="1"/>
  <c r="AL212" i="88" s="1"/>
  <c r="AL213" i="88" s="1"/>
  <c r="AM189" i="88"/>
  <c r="AM186" i="88"/>
  <c r="AM187" i="88" s="1"/>
  <c r="AM188" i="88" s="1"/>
  <c r="AH441" i="96"/>
  <c r="AG435" i="88"/>
  <c r="AG413" i="88"/>
  <c r="AN190" i="92"/>
  <c r="AN203" i="92" s="1"/>
  <c r="AN212" i="92" s="1"/>
  <c r="AN213" i="92" s="1"/>
  <c r="AO185" i="92"/>
  <c r="AO207" i="92"/>
  <c r="AI431" i="52"/>
  <c r="AI440" i="52" s="1"/>
  <c r="AI441" i="52" s="1"/>
  <c r="AI428" i="52"/>
  <c r="AN109" i="96"/>
  <c r="AN131" i="96"/>
  <c r="AI435" i="92"/>
  <c r="AI413" i="92"/>
  <c r="AN261" i="52"/>
  <c r="AN283" i="52"/>
  <c r="AJ417" i="52"/>
  <c r="AJ414" i="52"/>
  <c r="AJ415" i="52" s="1"/>
  <c r="AJ416" i="52" s="1"/>
  <c r="AM266" i="52"/>
  <c r="AM279" i="52" s="1"/>
  <c r="AM288" i="52" s="1"/>
  <c r="AM114" i="96"/>
  <c r="AM127" i="96" s="1"/>
  <c r="AM136" i="96" s="1"/>
  <c r="AM137" i="96" s="1"/>
  <c r="AL266" i="92"/>
  <c r="AL279" i="92" s="1"/>
  <c r="AL288" i="92" s="1"/>
  <c r="AL289" i="92" s="1"/>
  <c r="AM265" i="92"/>
  <c r="AM262" i="92"/>
  <c r="AM263" i="92" s="1"/>
  <c r="AM264" i="92" s="1"/>
  <c r="AN265" i="96"/>
  <c r="AN262" i="96"/>
  <c r="AN263" i="96" s="1"/>
  <c r="AN264" i="96" s="1"/>
  <c r="AM341" i="52"/>
  <c r="AM338" i="52"/>
  <c r="AM339" i="52" s="1"/>
  <c r="AM340" i="52" s="1"/>
  <c r="AL190" i="52"/>
  <c r="AL203" i="52" s="1"/>
  <c r="AL212" i="52" s="1"/>
  <c r="AL213" i="52" s="1"/>
  <c r="AM186" i="52"/>
  <c r="AM187" i="52" s="1"/>
  <c r="AM188" i="52" s="1"/>
  <c r="AM189" i="52"/>
  <c r="AM113" i="52"/>
  <c r="AM110" i="52"/>
  <c r="AJ120" i="92" l="1"/>
  <c r="AJ124" i="92" s="1"/>
  <c r="AJ125" i="92" s="1"/>
  <c r="C31" i="92" s="1"/>
  <c r="D10" i="110" s="1"/>
  <c r="AO131" i="96"/>
  <c r="AK109" i="92"/>
  <c r="AK110" i="92" s="1"/>
  <c r="AK111" i="92" s="1"/>
  <c r="AK112" i="92" s="1"/>
  <c r="AJ127" i="92"/>
  <c r="AJ136" i="92" s="1"/>
  <c r="AJ137" i="92" s="1"/>
  <c r="C32" i="92" s="1"/>
  <c r="AL338" i="88"/>
  <c r="AL339" i="88" s="1"/>
  <c r="AL340" i="88" s="1"/>
  <c r="AL342" i="88" s="1"/>
  <c r="AL355" i="88" s="1"/>
  <c r="AL364" i="88" s="1"/>
  <c r="AL365" i="88" s="1"/>
  <c r="AI355" i="92"/>
  <c r="AI364" i="92" s="1"/>
  <c r="AI365" i="92" s="1"/>
  <c r="AM207" i="96"/>
  <c r="AK359" i="96"/>
  <c r="AJ347" i="96"/>
  <c r="AJ348" i="96" s="1"/>
  <c r="AJ341" i="96"/>
  <c r="AJ338" i="96"/>
  <c r="AJ339" i="96" s="1"/>
  <c r="AJ340" i="96" s="1"/>
  <c r="AJ341" i="92"/>
  <c r="AJ338" i="92"/>
  <c r="AJ339" i="92" s="1"/>
  <c r="AJ340" i="92" s="1"/>
  <c r="AN109" i="88"/>
  <c r="AN131" i="88"/>
  <c r="AM190" i="88"/>
  <c r="AM203" i="88" s="1"/>
  <c r="AM212" i="88" s="1"/>
  <c r="AM213" i="88" s="1"/>
  <c r="AM283" i="88"/>
  <c r="AM261" i="88"/>
  <c r="AN207" i="52"/>
  <c r="AJ418" i="96"/>
  <c r="AK413" i="96"/>
  <c r="AK435" i="96"/>
  <c r="AK338" i="96"/>
  <c r="AK339" i="96" s="1"/>
  <c r="AK340" i="96" s="1"/>
  <c r="AK341" i="96"/>
  <c r="AG414" i="88"/>
  <c r="AG415" i="88" s="1"/>
  <c r="AG416" i="88" s="1"/>
  <c r="AG417" i="88"/>
  <c r="AH435" i="88"/>
  <c r="AH413" i="88"/>
  <c r="AP185" i="92"/>
  <c r="AP207" i="92"/>
  <c r="AO186" i="92"/>
  <c r="AO187" i="92" s="1"/>
  <c r="AO188" i="92" s="1"/>
  <c r="AO189" i="92"/>
  <c r="AH431" i="92"/>
  <c r="AH440" i="92" s="1"/>
  <c r="AH441" i="92" s="1"/>
  <c r="AJ418" i="52"/>
  <c r="AJ431" i="52" s="1"/>
  <c r="AJ440" i="52" s="1"/>
  <c r="AJ441" i="52" s="1"/>
  <c r="G32" i="52" s="1"/>
  <c r="AM289" i="52"/>
  <c r="AM266" i="92"/>
  <c r="AM279" i="92" s="1"/>
  <c r="AM288" i="92" s="1"/>
  <c r="AM289" i="92" s="1"/>
  <c r="AK413" i="52"/>
  <c r="AK435" i="52"/>
  <c r="AN262" i="52"/>
  <c r="AN263" i="52" s="1"/>
  <c r="AN264" i="52" s="1"/>
  <c r="AN265" i="52"/>
  <c r="AI414" i="92"/>
  <c r="AI415" i="92" s="1"/>
  <c r="AI416" i="92" s="1"/>
  <c r="AI417" i="92"/>
  <c r="AN113" i="96"/>
  <c r="AN110" i="96"/>
  <c r="AN111" i="96" s="1"/>
  <c r="AN112" i="96" s="1"/>
  <c r="AN266" i="96"/>
  <c r="AN279" i="96" s="1"/>
  <c r="AN288" i="96" s="1"/>
  <c r="AN289" i="96" s="1"/>
  <c r="AN261" i="92"/>
  <c r="AN283" i="92"/>
  <c r="AO261" i="96"/>
  <c r="AO283" i="96"/>
  <c r="AM342" i="52"/>
  <c r="AM355" i="52" s="1"/>
  <c r="AM364" i="52" s="1"/>
  <c r="AM365" i="52" s="1"/>
  <c r="AN359" i="52"/>
  <c r="AN337" i="52"/>
  <c r="AM190" i="52"/>
  <c r="AM203" i="52" s="1"/>
  <c r="AM212" i="52" s="1"/>
  <c r="AM213" i="52" s="1"/>
  <c r="AM111" i="52"/>
  <c r="AM112" i="52" s="1"/>
  <c r="AM114" i="52" s="1"/>
  <c r="AM127" i="52" s="1"/>
  <c r="AM136" i="52" s="1"/>
  <c r="AM137" i="52" s="1"/>
  <c r="AN109" i="52"/>
  <c r="AN131" i="52"/>
  <c r="AL109" i="92" l="1"/>
  <c r="AL110" i="92" s="1"/>
  <c r="AL111" i="92" s="1"/>
  <c r="AL112" i="92" s="1"/>
  <c r="AL131" i="92"/>
  <c r="AK113" i="92"/>
  <c r="AK114" i="92" s="1"/>
  <c r="AK127" i="92" s="1"/>
  <c r="AK136" i="92" s="1"/>
  <c r="AK137" i="92" s="1"/>
  <c r="AM185" i="96"/>
  <c r="AM186" i="96" s="1"/>
  <c r="AM187" i="96" s="1"/>
  <c r="AM188" i="96" s="1"/>
  <c r="AL337" i="96"/>
  <c r="AL341" i="96" s="1"/>
  <c r="AJ342" i="96"/>
  <c r="AJ355" i="96" s="1"/>
  <c r="AJ364" i="96" s="1"/>
  <c r="AJ365" i="96" s="1"/>
  <c r="F32" i="96" s="1"/>
  <c r="AJ342" i="92"/>
  <c r="AK359" i="92"/>
  <c r="AK337" i="92"/>
  <c r="AN113" i="88"/>
  <c r="AN110" i="88"/>
  <c r="AN111" i="88" s="1"/>
  <c r="AN112" i="88" s="1"/>
  <c r="AN185" i="88"/>
  <c r="AN207" i="88"/>
  <c r="AM262" i="88"/>
  <c r="AM263" i="88" s="1"/>
  <c r="AM264" i="88" s="1"/>
  <c r="AM265" i="88"/>
  <c r="AN185" i="52"/>
  <c r="AN189" i="52" s="1"/>
  <c r="AK414" i="96"/>
  <c r="AK415" i="96" s="1"/>
  <c r="AK416" i="96" s="1"/>
  <c r="AK417" i="96"/>
  <c r="AJ431" i="96"/>
  <c r="AJ440" i="96" s="1"/>
  <c r="AJ428" i="96"/>
  <c r="AJ429" i="96" s="1"/>
  <c r="G31" i="96" s="1"/>
  <c r="AK342" i="96"/>
  <c r="AK355" i="96" s="1"/>
  <c r="AK364" i="96" s="1"/>
  <c r="AG418" i="88"/>
  <c r="AG431" i="88" s="1"/>
  <c r="AG440" i="88" s="1"/>
  <c r="AG441" i="88" s="1"/>
  <c r="AH417" i="88"/>
  <c r="AH414" i="88"/>
  <c r="AH415" i="88" s="1"/>
  <c r="AH416" i="88" s="1"/>
  <c r="AO190" i="92"/>
  <c r="AO203" i="92" s="1"/>
  <c r="AO212" i="92" s="1"/>
  <c r="AO213" i="92" s="1"/>
  <c r="AN114" i="96"/>
  <c r="AN127" i="96" s="1"/>
  <c r="AN136" i="96" s="1"/>
  <c r="AN137" i="96" s="1"/>
  <c r="AP189" i="92"/>
  <c r="AP186" i="92"/>
  <c r="AP187" i="92" s="1"/>
  <c r="AP188" i="92" s="1"/>
  <c r="AM337" i="88"/>
  <c r="AM359" i="88"/>
  <c r="AJ428" i="52"/>
  <c r="AJ429" i="52" s="1"/>
  <c r="G31" i="52" s="1"/>
  <c r="AO109" i="96"/>
  <c r="AO113" i="96" s="1"/>
  <c r="AI418" i="92"/>
  <c r="AK417" i="52"/>
  <c r="AK414" i="52"/>
  <c r="AK415" i="52" s="1"/>
  <c r="AK416" i="52" s="1"/>
  <c r="AN266" i="52"/>
  <c r="AN279" i="52" s="1"/>
  <c r="AN288" i="52" s="1"/>
  <c r="AN289" i="52" s="1"/>
  <c r="AJ413" i="92"/>
  <c r="AJ435" i="92"/>
  <c r="AJ423" i="92"/>
  <c r="AJ424" i="92" s="1"/>
  <c r="AO283" i="52"/>
  <c r="AO261" i="52"/>
  <c r="AN262" i="92"/>
  <c r="AN263" i="92" s="1"/>
  <c r="AN264" i="92" s="1"/>
  <c r="AN265" i="92"/>
  <c r="AO265" i="96"/>
  <c r="AO262" i="96"/>
  <c r="AO263" i="96" s="1"/>
  <c r="AO264" i="96" s="1"/>
  <c r="AN341" i="52"/>
  <c r="AN338" i="52"/>
  <c r="AN339" i="52" s="1"/>
  <c r="AN340" i="52" s="1"/>
  <c r="AO337" i="52"/>
  <c r="AO359" i="52"/>
  <c r="AN113" i="52"/>
  <c r="AN110" i="52"/>
  <c r="AL113" i="92" l="1"/>
  <c r="AL114" i="92" s="1"/>
  <c r="AL127" i="92" s="1"/>
  <c r="AL136" i="92" s="1"/>
  <c r="AL137" i="92" s="1"/>
  <c r="AM131" i="92"/>
  <c r="AM359" i="96"/>
  <c r="AO283" i="92"/>
  <c r="AM189" i="96"/>
  <c r="AM190" i="96" s="1"/>
  <c r="AM203" i="96" s="1"/>
  <c r="AM212" i="96" s="1"/>
  <c r="AM213" i="96" s="1"/>
  <c r="AL338" i="96"/>
  <c r="AL339" i="96" s="1"/>
  <c r="AL340" i="96" s="1"/>
  <c r="AL342" i="96" s="1"/>
  <c r="AL355" i="96" s="1"/>
  <c r="AL364" i="96" s="1"/>
  <c r="AL365" i="96" s="1"/>
  <c r="AL359" i="96"/>
  <c r="H8" i="110"/>
  <c r="H9" i="110"/>
  <c r="AJ352" i="96"/>
  <c r="AJ353" i="96" s="1"/>
  <c r="F31" i="96" s="1"/>
  <c r="AK365" i="96"/>
  <c r="AK341" i="92"/>
  <c r="AK338" i="92"/>
  <c r="AK339" i="92" s="1"/>
  <c r="AK340" i="92" s="1"/>
  <c r="AN114" i="88"/>
  <c r="AN127" i="88" s="1"/>
  <c r="AN136" i="88" s="1"/>
  <c r="AN137" i="88" s="1"/>
  <c r="AJ355" i="92"/>
  <c r="AJ364" i="92" s="1"/>
  <c r="AJ365" i="92" s="1"/>
  <c r="F32" i="92" s="1"/>
  <c r="AJ352" i="92"/>
  <c r="AJ353" i="92" s="1"/>
  <c r="F31" i="92" s="1"/>
  <c r="AO131" i="88"/>
  <c r="AO109" i="88"/>
  <c r="AN186" i="52"/>
  <c r="AN187" i="52" s="1"/>
  <c r="AN188" i="52" s="1"/>
  <c r="AN190" i="52" s="1"/>
  <c r="AN203" i="52" s="1"/>
  <c r="AN212" i="52" s="1"/>
  <c r="AN213" i="52" s="1"/>
  <c r="AO185" i="52"/>
  <c r="AO189" i="52" s="1"/>
  <c r="AO185" i="88"/>
  <c r="AO207" i="88"/>
  <c r="AN189" i="88"/>
  <c r="AN186" i="88"/>
  <c r="AN187" i="88" s="1"/>
  <c r="AN188" i="88" s="1"/>
  <c r="AM266" i="88"/>
  <c r="AM279" i="88" s="1"/>
  <c r="AM288" i="88" s="1"/>
  <c r="AM289" i="88" s="1"/>
  <c r="AN261" i="88"/>
  <c r="AN283" i="88"/>
  <c r="AG428" i="88"/>
  <c r="AK418" i="96"/>
  <c r="AK431" i="96" s="1"/>
  <c r="AK440" i="96" s="1"/>
  <c r="AK441" i="96" s="1"/>
  <c r="AL413" i="96"/>
  <c r="AL435" i="96"/>
  <c r="AJ441" i="96"/>
  <c r="G32" i="96" s="1"/>
  <c r="AP261" i="52"/>
  <c r="AN185" i="96"/>
  <c r="AN207" i="96"/>
  <c r="AH418" i="88"/>
  <c r="AH431" i="88" s="1"/>
  <c r="AH440" i="88" s="1"/>
  <c r="AH441" i="88" s="1"/>
  <c r="AI435" i="88"/>
  <c r="AI413" i="88"/>
  <c r="AO110" i="96"/>
  <c r="AO111" i="96" s="1"/>
  <c r="AO112" i="96" s="1"/>
  <c r="AO114" i="96" s="1"/>
  <c r="AO127" i="96" s="1"/>
  <c r="AO136" i="96" s="1"/>
  <c r="AO137" i="96" s="1"/>
  <c r="AQ207" i="92"/>
  <c r="AQ185" i="92"/>
  <c r="AP131" i="96"/>
  <c r="AM338" i="88"/>
  <c r="AM339" i="88" s="1"/>
  <c r="AM340" i="88" s="1"/>
  <c r="AM341" i="88"/>
  <c r="AP190" i="92"/>
  <c r="AP203" i="92" s="1"/>
  <c r="AP212" i="92" s="1"/>
  <c r="AP213" i="92" s="1"/>
  <c r="AK418" i="52"/>
  <c r="AK431" i="52" s="1"/>
  <c r="AK440" i="52" s="1"/>
  <c r="AK441" i="52" s="1"/>
  <c r="AN342" i="52"/>
  <c r="AN355" i="52" s="1"/>
  <c r="AN364" i="52" s="1"/>
  <c r="AN365" i="52" s="1"/>
  <c r="AO262" i="52"/>
  <c r="AO263" i="52" s="1"/>
  <c r="AO264" i="52" s="1"/>
  <c r="AO265" i="52"/>
  <c r="AK435" i="92"/>
  <c r="AK413" i="92"/>
  <c r="AL435" i="52"/>
  <c r="AL413" i="52"/>
  <c r="AJ417" i="92"/>
  <c r="AJ414" i="92"/>
  <c r="AJ415" i="92" s="1"/>
  <c r="AJ416" i="92" s="1"/>
  <c r="AI431" i="92"/>
  <c r="AI440" i="92" s="1"/>
  <c r="AI441" i="92" s="1"/>
  <c r="AI428" i="92"/>
  <c r="AN266" i="92"/>
  <c r="AN279" i="92" s="1"/>
  <c r="AN288" i="92" s="1"/>
  <c r="AN289" i="92" s="1"/>
  <c r="AO266" i="96"/>
  <c r="AO279" i="96" s="1"/>
  <c r="AO288" i="96" s="1"/>
  <c r="AO289" i="96" s="1"/>
  <c r="AP283" i="96"/>
  <c r="AP261" i="96"/>
  <c r="AO338" i="52"/>
  <c r="AO339" i="52" s="1"/>
  <c r="AO340" i="52" s="1"/>
  <c r="AO341" i="52"/>
  <c r="AN111" i="52"/>
  <c r="AN112" i="52" s="1"/>
  <c r="AN114" i="52" s="1"/>
  <c r="AN127" i="52" s="1"/>
  <c r="AN136" i="52" s="1"/>
  <c r="AN137" i="52" s="1"/>
  <c r="AO109" i="52"/>
  <c r="AO131" i="52"/>
  <c r="AM109" i="92" l="1"/>
  <c r="AM337" i="96"/>
  <c r="AM338" i="96" s="1"/>
  <c r="AM339" i="96" s="1"/>
  <c r="AM340" i="96" s="1"/>
  <c r="AO261" i="92"/>
  <c r="AO265" i="92" s="1"/>
  <c r="G10" i="110"/>
  <c r="G9" i="110"/>
  <c r="AO186" i="52"/>
  <c r="AO187" i="52" s="1"/>
  <c r="AO188" i="52" s="1"/>
  <c r="AO190" i="52" s="1"/>
  <c r="AO203" i="52" s="1"/>
  <c r="AO212" i="52" s="1"/>
  <c r="AO213" i="52" s="1"/>
  <c r="AK342" i="92"/>
  <c r="AK355" i="92" s="1"/>
  <c r="AK364" i="92" s="1"/>
  <c r="AK365" i="92" s="1"/>
  <c r="AL359" i="92"/>
  <c r="AL337" i="92"/>
  <c r="AO113" i="88"/>
  <c r="AO110" i="88"/>
  <c r="AO111" i="88" s="1"/>
  <c r="AO112" i="88" s="1"/>
  <c r="AO207" i="52"/>
  <c r="AN190" i="88"/>
  <c r="AN203" i="88" s="1"/>
  <c r="AN212" i="88" s="1"/>
  <c r="AN213" i="88" s="1"/>
  <c r="AO186" i="88"/>
  <c r="AO187" i="88" s="1"/>
  <c r="AO188" i="88" s="1"/>
  <c r="AO189" i="88"/>
  <c r="AN265" i="88"/>
  <c r="AN262" i="88"/>
  <c r="AN263" i="88" s="1"/>
  <c r="AN264" i="88" s="1"/>
  <c r="AP283" i="52"/>
  <c r="AL414" i="96"/>
  <c r="AL415" i="96" s="1"/>
  <c r="AL416" i="96" s="1"/>
  <c r="AL417" i="96"/>
  <c r="AN189" i="96"/>
  <c r="AN186" i="96"/>
  <c r="AN187" i="96" s="1"/>
  <c r="AN188" i="96" s="1"/>
  <c r="AH428" i="88"/>
  <c r="AP109" i="96"/>
  <c r="AP110" i="96" s="1"/>
  <c r="AP111" i="96" s="1"/>
  <c r="AP112" i="96" s="1"/>
  <c r="AI414" i="88"/>
  <c r="AI415" i="88" s="1"/>
  <c r="AI416" i="88" s="1"/>
  <c r="AI417" i="88"/>
  <c r="AL435" i="92"/>
  <c r="AM342" i="88"/>
  <c r="AM355" i="88" s="1"/>
  <c r="AM364" i="88" s="1"/>
  <c r="AM365" i="88" s="1"/>
  <c r="AQ189" i="92"/>
  <c r="AQ186" i="92"/>
  <c r="AQ187" i="92" s="1"/>
  <c r="AQ188" i="92" s="1"/>
  <c r="AN337" i="88"/>
  <c r="AN359" i="88"/>
  <c r="AJ418" i="92"/>
  <c r="AJ431" i="92" s="1"/>
  <c r="AJ440" i="92" s="1"/>
  <c r="AJ441" i="92" s="1"/>
  <c r="G32" i="92" s="1"/>
  <c r="AO342" i="52"/>
  <c r="AO355" i="52" s="1"/>
  <c r="AO364" i="52" s="1"/>
  <c r="AO365" i="52" s="1"/>
  <c r="AL414" i="52"/>
  <c r="AL415" i="52" s="1"/>
  <c r="AL416" i="52" s="1"/>
  <c r="AL417" i="52"/>
  <c r="AK414" i="92"/>
  <c r="AK415" i="92" s="1"/>
  <c r="AK416" i="92" s="1"/>
  <c r="AK417" i="92"/>
  <c r="AP265" i="52"/>
  <c r="AP262" i="52"/>
  <c r="AP263" i="52" s="1"/>
  <c r="AP264" i="52" s="1"/>
  <c r="AO266" i="52"/>
  <c r="AO279" i="52" s="1"/>
  <c r="AO288" i="52" s="1"/>
  <c r="AO289" i="52" s="1"/>
  <c r="AM435" i="52"/>
  <c r="AM413" i="52"/>
  <c r="AP262" i="96"/>
  <c r="AP263" i="96" s="1"/>
  <c r="AP264" i="96" s="1"/>
  <c r="AP265" i="96"/>
  <c r="AP359" i="52"/>
  <c r="AP337" i="52"/>
  <c r="AO110" i="52"/>
  <c r="AO111" i="52" s="1"/>
  <c r="AO112" i="52" s="1"/>
  <c r="AO113" i="52"/>
  <c r="AM341" i="96" l="1"/>
  <c r="AM342" i="96" s="1"/>
  <c r="AM355" i="96" s="1"/>
  <c r="AM364" i="96" s="1"/>
  <c r="AM365" i="96" s="1"/>
  <c r="AO131" i="92"/>
  <c r="AM110" i="92"/>
  <c r="AM111" i="92" s="1"/>
  <c r="AM112" i="92" s="1"/>
  <c r="AM113" i="92"/>
  <c r="AN131" i="92"/>
  <c r="AN109" i="92"/>
  <c r="AO262" i="92"/>
  <c r="AO263" i="92" s="1"/>
  <c r="AO264" i="92" s="1"/>
  <c r="AO266" i="92" s="1"/>
  <c r="AO279" i="92" s="1"/>
  <c r="AO288" i="92" s="1"/>
  <c r="AO289" i="92" s="1"/>
  <c r="AO114" i="88"/>
  <c r="AO127" i="88" s="1"/>
  <c r="AO136" i="88" s="1"/>
  <c r="AO137" i="88" s="1"/>
  <c r="AL341" i="92"/>
  <c r="AL338" i="92"/>
  <c r="AL339" i="92" s="1"/>
  <c r="AL340" i="92" s="1"/>
  <c r="AP207" i="52"/>
  <c r="AP109" i="88"/>
  <c r="AP131" i="88"/>
  <c r="AQ261" i="52"/>
  <c r="AN266" i="88"/>
  <c r="AN279" i="88" s="1"/>
  <c r="AN288" i="88" s="1"/>
  <c r="AN289" i="88" s="1"/>
  <c r="AO190" i="88"/>
  <c r="AO203" i="88" s="1"/>
  <c r="AO212" i="88" s="1"/>
  <c r="AO213" i="88" s="1"/>
  <c r="AP185" i="88"/>
  <c r="AP207" i="88"/>
  <c r="AO283" i="88"/>
  <c r="AO261" i="88"/>
  <c r="AL418" i="96"/>
  <c r="AL431" i="96" s="1"/>
  <c r="AL440" i="96" s="1"/>
  <c r="AL441" i="96" s="1"/>
  <c r="AL413" i="92"/>
  <c r="AL414" i="92" s="1"/>
  <c r="AL415" i="92" s="1"/>
  <c r="AL416" i="92" s="1"/>
  <c r="AJ423" i="88"/>
  <c r="AJ424" i="88" s="1"/>
  <c r="AJ428" i="92"/>
  <c r="AJ429" i="92" s="1"/>
  <c r="G31" i="92" s="1"/>
  <c r="AM435" i="96"/>
  <c r="AM413" i="96"/>
  <c r="AP113" i="96"/>
  <c r="AP114" i="96" s="1"/>
  <c r="AP127" i="96" s="1"/>
  <c r="AP136" i="96" s="1"/>
  <c r="AP137" i="96" s="1"/>
  <c r="AN337" i="96"/>
  <c r="AN359" i="96"/>
  <c r="AO185" i="96"/>
  <c r="AO207" i="96"/>
  <c r="AN190" i="96"/>
  <c r="AN203" i="96" s="1"/>
  <c r="AN212" i="96" s="1"/>
  <c r="AN213" i="96" s="1"/>
  <c r="AI418" i="88"/>
  <c r="AJ413" i="88"/>
  <c r="AJ435" i="88"/>
  <c r="AQ190" i="92"/>
  <c r="AQ203" i="92" s="1"/>
  <c r="AQ212" i="92" s="1"/>
  <c r="AQ213" i="92" s="1"/>
  <c r="AR207" i="92"/>
  <c r="AR185" i="92"/>
  <c r="AO337" i="88"/>
  <c r="AO359" i="88"/>
  <c r="AP266" i="52"/>
  <c r="AP279" i="52" s="1"/>
  <c r="AP288" i="52" s="1"/>
  <c r="AP289" i="52" s="1"/>
  <c r="AN341" i="88"/>
  <c r="AN338" i="88"/>
  <c r="AN339" i="88" s="1"/>
  <c r="AN340" i="88" s="1"/>
  <c r="AL418" i="52"/>
  <c r="AL431" i="52" s="1"/>
  <c r="AL440" i="52" s="1"/>
  <c r="AL441" i="52" s="1"/>
  <c r="AM414" i="52"/>
  <c r="AM415" i="52" s="1"/>
  <c r="AM416" i="52" s="1"/>
  <c r="AM417" i="52"/>
  <c r="AK418" i="92"/>
  <c r="AK431" i="92" s="1"/>
  <c r="AK440" i="92" s="1"/>
  <c r="AK441" i="92" s="1"/>
  <c r="AP261" i="92"/>
  <c r="AP283" i="92"/>
  <c r="AQ261" i="96"/>
  <c r="AQ283" i="96"/>
  <c r="AP266" i="96"/>
  <c r="AP279" i="96" s="1"/>
  <c r="AP288" i="96" s="1"/>
  <c r="AP289" i="96" s="1"/>
  <c r="AP341" i="52"/>
  <c r="AP338" i="52"/>
  <c r="AP339" i="52" s="1"/>
  <c r="AP340" i="52" s="1"/>
  <c r="AO114" i="52"/>
  <c r="AO127" i="52" s="1"/>
  <c r="AO136" i="52" s="1"/>
  <c r="AO137" i="52" s="1"/>
  <c r="AP109" i="52"/>
  <c r="AP131" i="52"/>
  <c r="AO109" i="92" l="1"/>
  <c r="AO110" i="92" s="1"/>
  <c r="AO111" i="92" s="1"/>
  <c r="AO112" i="92" s="1"/>
  <c r="AQ131" i="96"/>
  <c r="AQ109" i="96"/>
  <c r="AQ113" i="96" s="1"/>
  <c r="AM114" i="92"/>
  <c r="AM127" i="92" s="1"/>
  <c r="AM136" i="92" s="1"/>
  <c r="AM137" i="92" s="1"/>
  <c r="AN113" i="92"/>
  <c r="AN110" i="92"/>
  <c r="AN111" i="92" s="1"/>
  <c r="AN112" i="92" s="1"/>
  <c r="H10" i="110"/>
  <c r="AL342" i="92"/>
  <c r="AL355" i="92" s="1"/>
  <c r="AL364" i="92" s="1"/>
  <c r="AL365" i="92" s="1"/>
  <c r="AQ283" i="52"/>
  <c r="AM337" i="92"/>
  <c r="AM359" i="92"/>
  <c r="AL417" i="92"/>
  <c r="AL418" i="92" s="1"/>
  <c r="AL431" i="92" s="1"/>
  <c r="AL440" i="92" s="1"/>
  <c r="AL441" i="92" s="1"/>
  <c r="AP185" i="52"/>
  <c r="AP186" i="52" s="1"/>
  <c r="AP187" i="52" s="1"/>
  <c r="AP188" i="52" s="1"/>
  <c r="AQ109" i="88"/>
  <c r="AQ131" i="88"/>
  <c r="AP110" i="88"/>
  <c r="AP111" i="88" s="1"/>
  <c r="AP112" i="88" s="1"/>
  <c r="AP113" i="88"/>
  <c r="AP186" i="88"/>
  <c r="AP187" i="88" s="1"/>
  <c r="AP188" i="88" s="1"/>
  <c r="AP189" i="88"/>
  <c r="AO265" i="88"/>
  <c r="AO262" i="88"/>
  <c r="AO263" i="88" s="1"/>
  <c r="AO264" i="88" s="1"/>
  <c r="AO359" i="96"/>
  <c r="AN435" i="96"/>
  <c r="AN413" i="96"/>
  <c r="AM414" i="96"/>
  <c r="AM415" i="96" s="1"/>
  <c r="AM416" i="96" s="1"/>
  <c r="AM417" i="96"/>
  <c r="AN338" i="96"/>
  <c r="AN339" i="96" s="1"/>
  <c r="AN340" i="96" s="1"/>
  <c r="AN341" i="96"/>
  <c r="AM435" i="92"/>
  <c r="AO189" i="96"/>
  <c r="AO186" i="96"/>
  <c r="AO187" i="96" s="1"/>
  <c r="AO188" i="96" s="1"/>
  <c r="AI428" i="88"/>
  <c r="AI431" i="88"/>
  <c r="AI440" i="88" s="1"/>
  <c r="AJ417" i="88"/>
  <c r="AJ414" i="88"/>
  <c r="AJ415" i="88" s="1"/>
  <c r="AJ416" i="88" s="1"/>
  <c r="AN342" i="88"/>
  <c r="AN355" i="88" s="1"/>
  <c r="AN364" i="88" s="1"/>
  <c r="AN365" i="88" s="1"/>
  <c r="AO338" i="88"/>
  <c r="AO339" i="88" s="1"/>
  <c r="AO340" i="88" s="1"/>
  <c r="AO341" i="88"/>
  <c r="AR186" i="92"/>
  <c r="AR187" i="92" s="1"/>
  <c r="AR188" i="92" s="1"/>
  <c r="AR189" i="92"/>
  <c r="AS207" i="92"/>
  <c r="AS185" i="92"/>
  <c r="AM418" i="52"/>
  <c r="AM431" i="52" s="1"/>
  <c r="AM440" i="52" s="1"/>
  <c r="AM441" i="52" s="1"/>
  <c r="AQ265" i="52"/>
  <c r="AQ262" i="52"/>
  <c r="AQ263" i="52" s="1"/>
  <c r="AQ264" i="52" s="1"/>
  <c r="AN413" i="52"/>
  <c r="AN435" i="52"/>
  <c r="AP265" i="92"/>
  <c r="AP262" i="92"/>
  <c r="AP263" i="92" s="1"/>
  <c r="AP264" i="92" s="1"/>
  <c r="AQ261" i="92"/>
  <c r="AQ283" i="92"/>
  <c r="AQ262" i="96"/>
  <c r="AQ263" i="96" s="1"/>
  <c r="AQ264" i="96" s="1"/>
  <c r="AQ265" i="96"/>
  <c r="AP342" i="52"/>
  <c r="AP355" i="52" s="1"/>
  <c r="AP364" i="52" s="1"/>
  <c r="AP365" i="52" s="1"/>
  <c r="AQ359" i="52"/>
  <c r="AQ337" i="52"/>
  <c r="AP113" i="52"/>
  <c r="AP110" i="52"/>
  <c r="AP111" i="52" s="1"/>
  <c r="AP112" i="52" s="1"/>
  <c r="AQ109" i="52"/>
  <c r="AQ131" i="52"/>
  <c r="AQ110" i="96" l="1"/>
  <c r="AQ111" i="96" s="1"/>
  <c r="AQ112" i="96" s="1"/>
  <c r="AQ114" i="96" s="1"/>
  <c r="AQ127" i="96" s="1"/>
  <c r="AQ136" i="96" s="1"/>
  <c r="AQ137" i="96" s="1"/>
  <c r="AO113" i="92"/>
  <c r="AO114" i="92" s="1"/>
  <c r="AO127" i="92" s="1"/>
  <c r="AO136" i="92" s="1"/>
  <c r="AN114" i="92"/>
  <c r="AN127" i="92" s="1"/>
  <c r="AN136" i="92" s="1"/>
  <c r="AN137" i="92" s="1"/>
  <c r="AR109" i="96"/>
  <c r="AR131" i="88"/>
  <c r="AR261" i="52"/>
  <c r="AR262" i="52" s="1"/>
  <c r="AR263" i="52" s="1"/>
  <c r="AR264" i="52" s="1"/>
  <c r="AO337" i="96"/>
  <c r="AO338" i="96" s="1"/>
  <c r="AO339" i="96" s="1"/>
  <c r="AO340" i="96" s="1"/>
  <c r="AP189" i="52"/>
  <c r="AP190" i="52" s="1"/>
  <c r="AP203" i="52" s="1"/>
  <c r="AP212" i="52" s="1"/>
  <c r="AP213" i="52" s="1"/>
  <c r="AP114" i="88"/>
  <c r="AP127" i="88" s="1"/>
  <c r="AP136" i="88" s="1"/>
  <c r="AP137" i="88" s="1"/>
  <c r="AM338" i="92"/>
  <c r="AM339" i="92" s="1"/>
  <c r="AM340" i="92" s="1"/>
  <c r="AM341" i="92"/>
  <c r="AN337" i="92"/>
  <c r="AN359" i="92"/>
  <c r="AQ113" i="88"/>
  <c r="AQ110" i="88"/>
  <c r="AQ111" i="88" s="1"/>
  <c r="AQ112" i="88" s="1"/>
  <c r="AK413" i="88"/>
  <c r="AP190" i="88"/>
  <c r="AP203" i="88" s="1"/>
  <c r="AP212" i="88" s="1"/>
  <c r="AP213" i="88" s="1"/>
  <c r="AQ185" i="88"/>
  <c r="AQ207" i="88"/>
  <c r="AO266" i="88"/>
  <c r="AO279" i="88" s="1"/>
  <c r="AO288" i="88" s="1"/>
  <c r="AO289" i="88" s="1"/>
  <c r="AM413" i="92"/>
  <c r="AM417" i="92" s="1"/>
  <c r="AP131" i="92"/>
  <c r="AP109" i="92"/>
  <c r="AP283" i="88"/>
  <c r="AP261" i="88"/>
  <c r="AO413" i="96"/>
  <c r="AM418" i="96"/>
  <c r="AM431" i="96" s="1"/>
  <c r="AM440" i="96" s="1"/>
  <c r="AM441" i="96" s="1"/>
  <c r="AN417" i="96"/>
  <c r="AN414" i="96"/>
  <c r="AN415" i="96" s="1"/>
  <c r="AN416" i="96" s="1"/>
  <c r="AN342" i="96"/>
  <c r="AN355" i="96" s="1"/>
  <c r="AN364" i="96" s="1"/>
  <c r="AN365" i="96" s="1"/>
  <c r="AT207" i="92"/>
  <c r="AO190" i="96"/>
  <c r="AO203" i="96" s="1"/>
  <c r="AO212" i="96" s="1"/>
  <c r="AO213" i="96" s="1"/>
  <c r="AP185" i="96"/>
  <c r="AP207" i="96"/>
  <c r="AJ418" i="88"/>
  <c r="AJ431" i="88" s="1"/>
  <c r="AJ440" i="88" s="1"/>
  <c r="AJ441" i="88" s="1"/>
  <c r="G32" i="88" s="1"/>
  <c r="AI441" i="88"/>
  <c r="AR190" i="92"/>
  <c r="AR203" i="92" s="1"/>
  <c r="AR212" i="92" s="1"/>
  <c r="AR213" i="92" s="1"/>
  <c r="AO342" i="88"/>
  <c r="AO355" i="88" s="1"/>
  <c r="AO364" i="88" s="1"/>
  <c r="AO365" i="88" s="1"/>
  <c r="AP359" i="88"/>
  <c r="AP337" i="88"/>
  <c r="AS189" i="92"/>
  <c r="AS186" i="92"/>
  <c r="AS187" i="92" s="1"/>
  <c r="AS188" i="92" s="1"/>
  <c r="AN414" i="52"/>
  <c r="AN415" i="52" s="1"/>
  <c r="AN416" i="52" s="1"/>
  <c r="AN417" i="52"/>
  <c r="AQ266" i="52"/>
  <c r="AQ279" i="52" s="1"/>
  <c r="AQ288" i="52" s="1"/>
  <c r="AP266" i="92"/>
  <c r="AP279" i="92" s="1"/>
  <c r="AP288" i="92" s="1"/>
  <c r="AP289" i="92" s="1"/>
  <c r="AR283" i="92"/>
  <c r="AQ266" i="96"/>
  <c r="AQ279" i="96" s="1"/>
  <c r="AQ288" i="96" s="1"/>
  <c r="AQ289" i="96" s="1"/>
  <c r="AQ265" i="92"/>
  <c r="AQ262" i="92"/>
  <c r="AQ263" i="92" s="1"/>
  <c r="AQ264" i="92" s="1"/>
  <c r="AR283" i="96"/>
  <c r="AR261" i="96"/>
  <c r="AQ341" i="52"/>
  <c r="AQ338" i="52"/>
  <c r="AQ339" i="52" s="1"/>
  <c r="AQ340" i="52" s="1"/>
  <c r="AP114" i="52"/>
  <c r="AP127" i="52" s="1"/>
  <c r="AP136" i="52" s="1"/>
  <c r="AP137" i="52" s="1"/>
  <c r="AR109" i="52"/>
  <c r="AR131" i="52"/>
  <c r="AQ113" i="52"/>
  <c r="AQ110" i="52"/>
  <c r="AR131" i="96" l="1"/>
  <c r="AO137" i="92"/>
  <c r="AR109" i="88"/>
  <c r="AR113" i="88" s="1"/>
  <c r="AR283" i="52"/>
  <c r="AR265" i="52"/>
  <c r="AR266" i="52" s="1"/>
  <c r="AR279" i="52" s="1"/>
  <c r="AR288" i="52" s="1"/>
  <c r="AR289" i="52" s="1"/>
  <c r="AQ207" i="52"/>
  <c r="AO341" i="96"/>
  <c r="AO342" i="96" s="1"/>
  <c r="AO355" i="96" s="1"/>
  <c r="AO364" i="96" s="1"/>
  <c r="AO365" i="96" s="1"/>
  <c r="AN341" i="92"/>
  <c r="AN338" i="92"/>
  <c r="AN339" i="92" s="1"/>
  <c r="AN340" i="92" s="1"/>
  <c r="AO337" i="92"/>
  <c r="AO359" i="92"/>
  <c r="AM342" i="92"/>
  <c r="AM355" i="92" s="1"/>
  <c r="AM364" i="92" s="1"/>
  <c r="AM365" i="92" s="1"/>
  <c r="AQ114" i="88"/>
  <c r="AQ127" i="88" s="1"/>
  <c r="AQ136" i="88" s="1"/>
  <c r="AQ137" i="88" s="1"/>
  <c r="AK435" i="88"/>
  <c r="AO435" i="96"/>
  <c r="AN435" i="92"/>
  <c r="AM414" i="92"/>
  <c r="AM415" i="92" s="1"/>
  <c r="AM416" i="92" s="1"/>
  <c r="AM418" i="92" s="1"/>
  <c r="AM431" i="92" s="1"/>
  <c r="AM440" i="92" s="1"/>
  <c r="AM441" i="92" s="1"/>
  <c r="AQ109" i="92"/>
  <c r="AQ189" i="88"/>
  <c r="AQ186" i="88"/>
  <c r="AQ187" i="88" s="1"/>
  <c r="AQ188" i="88" s="1"/>
  <c r="AT185" i="92"/>
  <c r="AT186" i="92" s="1"/>
  <c r="AT187" i="92" s="1"/>
  <c r="AT188" i="92" s="1"/>
  <c r="AP113" i="92"/>
  <c r="AP110" i="92"/>
  <c r="AP111" i="92" s="1"/>
  <c r="AP112" i="92" s="1"/>
  <c r="AP262" i="88"/>
  <c r="AP263" i="88" s="1"/>
  <c r="AP264" i="88" s="1"/>
  <c r="AP265" i="88"/>
  <c r="AQ283" i="88"/>
  <c r="AQ261" i="88"/>
  <c r="AJ428" i="88"/>
  <c r="AJ429" i="88" s="1"/>
  <c r="G31" i="88" s="1"/>
  <c r="AN418" i="96"/>
  <c r="AN431" i="96" s="1"/>
  <c r="AN440" i="96" s="1"/>
  <c r="AO414" i="96"/>
  <c r="AO415" i="96" s="1"/>
  <c r="AO416" i="96" s="1"/>
  <c r="AO417" i="96"/>
  <c r="AP359" i="96"/>
  <c r="AP337" i="96"/>
  <c r="AP189" i="96"/>
  <c r="AP186" i="96"/>
  <c r="AP187" i="96" s="1"/>
  <c r="AP188" i="96" s="1"/>
  <c r="AK414" i="88"/>
  <c r="AK415" i="88" s="1"/>
  <c r="AK416" i="88" s="1"/>
  <c r="AK417" i="88"/>
  <c r="AS190" i="92"/>
  <c r="AS203" i="92" s="1"/>
  <c r="AS212" i="92" s="1"/>
  <c r="AS213" i="92" s="1"/>
  <c r="AP341" i="88"/>
  <c r="AP338" i="88"/>
  <c r="AP339" i="88" s="1"/>
  <c r="AP340" i="88" s="1"/>
  <c r="AR261" i="92"/>
  <c r="AR262" i="92" s="1"/>
  <c r="AR263" i="92" s="1"/>
  <c r="AR264" i="92" s="1"/>
  <c r="AR113" i="96"/>
  <c r="AR110" i="96"/>
  <c r="AR111" i="96" s="1"/>
  <c r="AR112" i="96" s="1"/>
  <c r="AN418" i="52"/>
  <c r="AN431" i="52" s="1"/>
  <c r="AN440" i="52" s="1"/>
  <c r="AN441" i="52" s="1"/>
  <c r="AQ289" i="52"/>
  <c r="AO413" i="52"/>
  <c r="AO435" i="52"/>
  <c r="AQ266" i="92"/>
  <c r="AQ279" i="92" s="1"/>
  <c r="AQ288" i="92" s="1"/>
  <c r="AQ289" i="92" s="1"/>
  <c r="AR265" i="96"/>
  <c r="AR262" i="96"/>
  <c r="AR263" i="96" s="1"/>
  <c r="AR264" i="96" s="1"/>
  <c r="AQ342" i="52"/>
  <c r="AQ355" i="52" s="1"/>
  <c r="AQ364" i="52" s="1"/>
  <c r="AQ365" i="52" s="1"/>
  <c r="AR359" i="52"/>
  <c r="AR337" i="52"/>
  <c r="AS109" i="52"/>
  <c r="AS131" i="52"/>
  <c r="AR113" i="52"/>
  <c r="AR110" i="52"/>
  <c r="AQ111" i="52"/>
  <c r="AQ112" i="52" s="1"/>
  <c r="AQ114" i="52" s="1"/>
  <c r="AQ127" i="52" s="1"/>
  <c r="AQ136" i="52" s="1"/>
  <c r="AQ137" i="52" s="1"/>
  <c r="D22" i="110" l="1"/>
  <c r="AR110" i="88"/>
  <c r="AR111" i="88" s="1"/>
  <c r="AR112" i="88" s="1"/>
  <c r="AR114" i="88" s="1"/>
  <c r="AR127" i="88" s="1"/>
  <c r="AR136" i="88" s="1"/>
  <c r="AR137" i="88" s="1"/>
  <c r="AS261" i="52"/>
  <c r="AS262" i="52" s="1"/>
  <c r="AS263" i="52" s="1"/>
  <c r="AS264" i="52" s="1"/>
  <c r="H7" i="110"/>
  <c r="AQ185" i="52"/>
  <c r="AQ186" i="52" s="1"/>
  <c r="AQ187" i="52" s="1"/>
  <c r="AQ188" i="52" s="1"/>
  <c r="AN342" i="92"/>
  <c r="AN355" i="92" s="1"/>
  <c r="AN364" i="92" s="1"/>
  <c r="AN365" i="92" s="1"/>
  <c r="AO341" i="92"/>
  <c r="AO338" i="92"/>
  <c r="AO339" i="92" s="1"/>
  <c r="AO340" i="92" s="1"/>
  <c r="AN413" i="92"/>
  <c r="AN417" i="92" s="1"/>
  <c r="AS131" i="88"/>
  <c r="AS109" i="88"/>
  <c r="AT189" i="92"/>
  <c r="AT190" i="92" s="1"/>
  <c r="AP114" i="92"/>
  <c r="AP127" i="92" s="1"/>
  <c r="AP136" i="92" s="1"/>
  <c r="AP137" i="92" s="1"/>
  <c r="AQ131" i="92"/>
  <c r="AP266" i="88"/>
  <c r="AP279" i="88" s="1"/>
  <c r="AP288" i="88" s="1"/>
  <c r="AP289" i="88" s="1"/>
  <c r="AR207" i="88"/>
  <c r="AR185" i="88"/>
  <c r="AQ190" i="88"/>
  <c r="AQ203" i="88" s="1"/>
  <c r="AQ212" i="88" s="1"/>
  <c r="AQ213" i="88" s="1"/>
  <c r="AQ113" i="92"/>
  <c r="AQ110" i="92"/>
  <c r="AQ111" i="92" s="1"/>
  <c r="AQ112" i="92" s="1"/>
  <c r="AQ265" i="88"/>
  <c r="AQ262" i="88"/>
  <c r="AQ263" i="88" s="1"/>
  <c r="AQ264" i="88" s="1"/>
  <c r="AP413" i="96"/>
  <c r="AP435" i="96"/>
  <c r="AO418" i="96"/>
  <c r="AO431" i="96" s="1"/>
  <c r="AO440" i="96" s="1"/>
  <c r="AO441" i="96" s="1"/>
  <c r="AN441" i="96"/>
  <c r="AP338" i="96"/>
  <c r="AP339" i="96" s="1"/>
  <c r="AP340" i="96" s="1"/>
  <c r="AP341" i="96"/>
  <c r="AP190" i="96"/>
  <c r="AP203" i="96" s="1"/>
  <c r="AP212" i="96" s="1"/>
  <c r="AP213" i="96" s="1"/>
  <c r="AQ207" i="96"/>
  <c r="AQ185" i="96"/>
  <c r="AP342" i="88"/>
  <c r="AP355" i="88" s="1"/>
  <c r="AP364" i="88" s="1"/>
  <c r="AP365" i="88" s="1"/>
  <c r="AR265" i="92"/>
  <c r="AR266" i="92" s="1"/>
  <c r="AR279" i="92" s="1"/>
  <c r="AR288" i="92" s="1"/>
  <c r="AR289" i="92" s="1"/>
  <c r="AK418" i="88"/>
  <c r="AK431" i="88" s="1"/>
  <c r="AK440" i="88" s="1"/>
  <c r="AL413" i="88"/>
  <c r="AL435" i="88"/>
  <c r="AQ337" i="88"/>
  <c r="AQ359" i="88"/>
  <c r="AR114" i="96"/>
  <c r="AR127" i="96" s="1"/>
  <c r="AR136" i="96" s="1"/>
  <c r="AR137" i="96" s="1"/>
  <c r="AS131" i="96"/>
  <c r="AS109" i="96"/>
  <c r="AO414" i="52"/>
  <c r="AO415" i="52" s="1"/>
  <c r="AO416" i="52" s="1"/>
  <c r="AO417" i="52"/>
  <c r="AR266" i="96"/>
  <c r="AR279" i="96" s="1"/>
  <c r="AR288" i="96" s="1"/>
  <c r="AR289" i="96" s="1"/>
  <c r="AS283" i="96"/>
  <c r="AS261" i="96"/>
  <c r="AR338" i="52"/>
  <c r="AR339" i="52" s="1"/>
  <c r="AR340" i="52" s="1"/>
  <c r="AR341" i="52"/>
  <c r="AS113" i="52"/>
  <c r="AS110" i="52"/>
  <c r="AS111" i="52" s="1"/>
  <c r="AS112" i="52" s="1"/>
  <c r="AR111" i="52"/>
  <c r="AR112" i="52" s="1"/>
  <c r="AR114" i="52" s="1"/>
  <c r="AR127" i="52" s="1"/>
  <c r="AR136" i="52" s="1"/>
  <c r="AR137" i="52" s="1"/>
  <c r="F28" i="110" l="1"/>
  <c r="AS265" i="52"/>
  <c r="AS266" i="52" s="1"/>
  <c r="AS279" i="52" s="1"/>
  <c r="AS283" i="52"/>
  <c r="AT261" i="52"/>
  <c r="AT265" i="52" s="1"/>
  <c r="AQ189" i="52"/>
  <c r="AQ190" i="52" s="1"/>
  <c r="AQ203" i="52" s="1"/>
  <c r="AQ212" i="52" s="1"/>
  <c r="AQ213" i="52" s="1"/>
  <c r="AO342" i="92"/>
  <c r="AO355" i="92" s="1"/>
  <c r="AO364" i="92" s="1"/>
  <c r="AO365" i="92" s="1"/>
  <c r="AN414" i="92"/>
  <c r="AN415" i="92" s="1"/>
  <c r="AN416" i="92" s="1"/>
  <c r="AN418" i="92" s="1"/>
  <c r="AN431" i="92" s="1"/>
  <c r="AN440" i="92" s="1"/>
  <c r="AN441" i="92" s="1"/>
  <c r="AS113" i="88"/>
  <c r="AS110" i="88"/>
  <c r="AS111" i="88" s="1"/>
  <c r="AS112" i="88" s="1"/>
  <c r="AQ114" i="92"/>
  <c r="AQ127" i="92" s="1"/>
  <c r="AQ136" i="92" s="1"/>
  <c r="AQ137" i="92" s="1"/>
  <c r="AR186" i="88"/>
  <c r="AR187" i="88" s="1"/>
  <c r="AR188" i="88" s="1"/>
  <c r="AR189" i="88"/>
  <c r="AS185" i="88"/>
  <c r="AS207" i="88"/>
  <c r="AQ266" i="88"/>
  <c r="AQ279" i="88" s="1"/>
  <c r="AQ288" i="88" s="1"/>
  <c r="AQ289" i="88" s="1"/>
  <c r="AR261" i="88"/>
  <c r="AR283" i="88"/>
  <c r="AP342" i="96"/>
  <c r="AP355" i="96" s="1"/>
  <c r="AP364" i="96" s="1"/>
  <c r="AP365" i="96" s="1"/>
  <c r="AP417" i="96"/>
  <c r="AP414" i="96"/>
  <c r="AP415" i="96" s="1"/>
  <c r="AP416" i="96" s="1"/>
  <c r="AQ337" i="96"/>
  <c r="AQ359" i="96"/>
  <c r="AR207" i="96"/>
  <c r="AR185" i="96"/>
  <c r="AQ189" i="96"/>
  <c r="AQ186" i="96"/>
  <c r="AQ187" i="96" s="1"/>
  <c r="AQ188" i="96" s="1"/>
  <c r="AK441" i="88"/>
  <c r="AL414" i="88"/>
  <c r="AL415" i="88" s="1"/>
  <c r="AL416" i="88" s="1"/>
  <c r="AL417" i="88"/>
  <c r="AR185" i="52"/>
  <c r="AR207" i="52"/>
  <c r="AQ338" i="88"/>
  <c r="AQ339" i="88" s="1"/>
  <c r="AQ340" i="88" s="1"/>
  <c r="AQ341" i="88"/>
  <c r="AS110" i="96"/>
  <c r="AS111" i="96" s="1"/>
  <c r="AS112" i="96" s="1"/>
  <c r="AS113" i="96"/>
  <c r="AO418" i="52"/>
  <c r="AO431" i="52" s="1"/>
  <c r="AO440" i="52" s="1"/>
  <c r="AO441" i="52" s="1"/>
  <c r="AP435" i="52"/>
  <c r="AP413" i="52"/>
  <c r="AO413" i="92"/>
  <c r="AO435" i="92"/>
  <c r="AT261" i="96"/>
  <c r="AS265" i="96"/>
  <c r="AS262" i="96"/>
  <c r="AS263" i="96" s="1"/>
  <c r="AS264" i="96" s="1"/>
  <c r="AS359" i="52"/>
  <c r="AS337" i="52"/>
  <c r="AR342" i="52"/>
  <c r="AR355" i="52" s="1"/>
  <c r="AR364" i="52" s="1"/>
  <c r="AR365" i="52" s="1"/>
  <c r="AS114" i="52"/>
  <c r="AS127" i="52" s="1"/>
  <c r="AS136" i="52" s="1"/>
  <c r="AS137" i="52" s="1"/>
  <c r="AT109" i="52"/>
  <c r="AT131" i="52"/>
  <c r="AT119" i="52"/>
  <c r="AT120" i="52" s="1"/>
  <c r="D28" i="110" l="1"/>
  <c r="G19" i="110"/>
  <c r="AT119" i="96"/>
  <c r="AT271" i="96"/>
  <c r="AT272" i="96" s="1"/>
  <c r="AT262" i="52"/>
  <c r="AT263" i="52" s="1"/>
  <c r="AT264" i="52" s="1"/>
  <c r="AT266" i="52" s="1"/>
  <c r="AT283" i="52"/>
  <c r="AT271" i="52"/>
  <c r="AT272" i="52" s="1"/>
  <c r="H19" i="110"/>
  <c r="AP359" i="92"/>
  <c r="AP337" i="92"/>
  <c r="AS114" i="88"/>
  <c r="AS127" i="88" s="1"/>
  <c r="AS136" i="88" s="1"/>
  <c r="AS137" i="88" s="1"/>
  <c r="AT109" i="88"/>
  <c r="AT131" i="88"/>
  <c r="AR190" i="88"/>
  <c r="AR203" i="88" s="1"/>
  <c r="AR212" i="88" s="1"/>
  <c r="AR213" i="88" s="1"/>
  <c r="AS186" i="88"/>
  <c r="AS187" i="88" s="1"/>
  <c r="AS188" i="88" s="1"/>
  <c r="AS189" i="88"/>
  <c r="AR262" i="88"/>
  <c r="AR263" i="88" s="1"/>
  <c r="AR264" i="88" s="1"/>
  <c r="AR265" i="88"/>
  <c r="AS185" i="96"/>
  <c r="AP418" i="96"/>
  <c r="AP431" i="96" s="1"/>
  <c r="AP440" i="96" s="1"/>
  <c r="AP441" i="96" s="1"/>
  <c r="AL418" i="88"/>
  <c r="AL431" i="88" s="1"/>
  <c r="AL440" i="88" s="1"/>
  <c r="AL441" i="88" s="1"/>
  <c r="AQ413" i="96"/>
  <c r="AQ435" i="96"/>
  <c r="AQ341" i="96"/>
  <c r="AQ338" i="96"/>
  <c r="AQ339" i="96" s="1"/>
  <c r="AQ340" i="96" s="1"/>
  <c r="AQ190" i="96"/>
  <c r="AQ203" i="96" s="1"/>
  <c r="AQ212" i="96" s="1"/>
  <c r="AR186" i="96"/>
  <c r="AR187" i="96" s="1"/>
  <c r="AR188" i="96" s="1"/>
  <c r="AR189" i="96"/>
  <c r="AM435" i="88"/>
  <c r="AM413" i="88"/>
  <c r="AT283" i="96"/>
  <c r="AQ342" i="88"/>
  <c r="AQ355" i="88" s="1"/>
  <c r="AQ364" i="88" s="1"/>
  <c r="AQ365" i="88" s="1"/>
  <c r="AR189" i="52"/>
  <c r="AR186" i="52"/>
  <c r="AR187" i="52" s="1"/>
  <c r="AR188" i="52" s="1"/>
  <c r="AR337" i="88"/>
  <c r="AR359" i="88"/>
  <c r="AS266" i="96"/>
  <c r="AS279" i="96" s="1"/>
  <c r="AS288" i="96" s="1"/>
  <c r="AS289" i="96" s="1"/>
  <c r="AS114" i="96"/>
  <c r="AS127" i="96" s="1"/>
  <c r="AS136" i="96" s="1"/>
  <c r="AS137" i="96" s="1"/>
  <c r="AT109" i="96"/>
  <c r="AT131" i="96"/>
  <c r="AS288" i="52"/>
  <c r="AS289" i="52" s="1"/>
  <c r="AP417" i="52"/>
  <c r="AP414" i="52"/>
  <c r="AP415" i="52" s="1"/>
  <c r="AP416" i="52" s="1"/>
  <c r="AQ435" i="52"/>
  <c r="AQ413" i="52"/>
  <c r="AO417" i="92"/>
  <c r="AO414" i="92"/>
  <c r="AO415" i="92" s="1"/>
  <c r="AO416" i="92" s="1"/>
  <c r="AS261" i="92"/>
  <c r="AS283" i="92"/>
  <c r="AT265" i="96"/>
  <c r="AT262" i="96"/>
  <c r="AT263" i="96" s="1"/>
  <c r="AT264" i="96" s="1"/>
  <c r="AS341" i="52"/>
  <c r="AS338" i="52"/>
  <c r="AS339" i="52" s="1"/>
  <c r="AS340" i="52" s="1"/>
  <c r="AT113" i="52"/>
  <c r="AT110" i="52"/>
  <c r="AT111" i="52" s="1"/>
  <c r="AT112" i="52" s="1"/>
  <c r="AT120" i="96" l="1"/>
  <c r="D26" i="110"/>
  <c r="AT119" i="88"/>
  <c r="AT120" i="88" s="1"/>
  <c r="AT195" i="88"/>
  <c r="AT196" i="88" s="1"/>
  <c r="G26" i="110"/>
  <c r="AT279" i="52"/>
  <c r="AT288" i="52" s="1"/>
  <c r="AT289" i="52" s="1"/>
  <c r="E34" i="52" s="1"/>
  <c r="AS261" i="88"/>
  <c r="AP341" i="92"/>
  <c r="AP338" i="92"/>
  <c r="AP339" i="92" s="1"/>
  <c r="AP340" i="92" s="1"/>
  <c r="AT113" i="88"/>
  <c r="AT110" i="88"/>
  <c r="AT111" i="88" s="1"/>
  <c r="AT112" i="88" s="1"/>
  <c r="AS207" i="96"/>
  <c r="AR266" i="88"/>
  <c r="AR279" i="88" s="1"/>
  <c r="AR288" i="88" s="1"/>
  <c r="AR289" i="88" s="1"/>
  <c r="AR131" i="92"/>
  <c r="AR109" i="92"/>
  <c r="AS190" i="88"/>
  <c r="AS203" i="88" s="1"/>
  <c r="AT207" i="88"/>
  <c r="AT185" i="88"/>
  <c r="AT283" i="88"/>
  <c r="AQ342" i="96"/>
  <c r="AQ355" i="96" s="1"/>
  <c r="AQ364" i="96" s="1"/>
  <c r="AQ365" i="96" s="1"/>
  <c r="AQ414" i="96"/>
  <c r="AQ415" i="96" s="1"/>
  <c r="AQ416" i="96" s="1"/>
  <c r="AQ417" i="96"/>
  <c r="AR337" i="96"/>
  <c r="AR359" i="96"/>
  <c r="AS189" i="96"/>
  <c r="AS186" i="96"/>
  <c r="AS187" i="96" s="1"/>
  <c r="AS188" i="96" s="1"/>
  <c r="AR190" i="96"/>
  <c r="AR203" i="96" s="1"/>
  <c r="AR212" i="96" s="1"/>
  <c r="AR213" i="96" s="1"/>
  <c r="AQ213" i="96"/>
  <c r="AR190" i="52"/>
  <c r="AR203" i="52" s="1"/>
  <c r="AR212" i="52" s="1"/>
  <c r="AR213" i="52" s="1"/>
  <c r="AM417" i="88"/>
  <c r="AM414" i="88"/>
  <c r="AM415" i="88" s="1"/>
  <c r="AM416" i="88" s="1"/>
  <c r="AS207" i="52"/>
  <c r="AS185" i="52"/>
  <c r="AS337" i="88"/>
  <c r="AS359" i="88"/>
  <c r="AR341" i="88"/>
  <c r="AR338" i="88"/>
  <c r="AR339" i="88" s="1"/>
  <c r="AR340" i="88" s="1"/>
  <c r="AT113" i="96"/>
  <c r="AT110" i="96"/>
  <c r="AT111" i="96" s="1"/>
  <c r="AT112" i="96" s="1"/>
  <c r="AO418" i="92"/>
  <c r="AO431" i="92" s="1"/>
  <c r="AO440" i="92" s="1"/>
  <c r="AO441" i="92" s="1"/>
  <c r="AT347" i="52"/>
  <c r="AT348" i="52" s="1"/>
  <c r="AQ417" i="52"/>
  <c r="AQ414" i="52"/>
  <c r="AQ415" i="52" s="1"/>
  <c r="AQ416" i="52" s="1"/>
  <c r="AP435" i="92"/>
  <c r="AP413" i="92"/>
  <c r="AP418" i="52"/>
  <c r="AP431" i="52" s="1"/>
  <c r="AP440" i="52" s="1"/>
  <c r="AP441" i="52" s="1"/>
  <c r="AS262" i="92"/>
  <c r="AS263" i="92" s="1"/>
  <c r="AS264" i="92" s="1"/>
  <c r="AS265" i="92"/>
  <c r="AT266" i="96"/>
  <c r="AT279" i="96" s="1"/>
  <c r="AT337" i="52"/>
  <c r="AT359" i="52"/>
  <c r="AS342" i="52"/>
  <c r="AS355" i="52" s="1"/>
  <c r="AT114" i="52"/>
  <c r="AT127" i="52" s="1"/>
  <c r="AT128" i="52" s="1"/>
  <c r="C33" i="52" s="1"/>
  <c r="AT280" i="52" l="1"/>
  <c r="E33" i="52" s="1"/>
  <c r="F18" i="110" s="1"/>
  <c r="AS283" i="88"/>
  <c r="AQ435" i="92"/>
  <c r="D19" i="110"/>
  <c r="D18" i="110"/>
  <c r="E19" i="110"/>
  <c r="AP342" i="92"/>
  <c r="AP355" i="92" s="1"/>
  <c r="AP364" i="92" s="1"/>
  <c r="AP365" i="92" s="1"/>
  <c r="AQ359" i="92"/>
  <c r="AQ337" i="92"/>
  <c r="AT114" i="88"/>
  <c r="AT127" i="88" s="1"/>
  <c r="AS131" i="92"/>
  <c r="AS109" i="92"/>
  <c r="AS212" i="88"/>
  <c r="AS213" i="88" s="1"/>
  <c r="AT186" i="88"/>
  <c r="AT187" i="88" s="1"/>
  <c r="AT188" i="88" s="1"/>
  <c r="AT189" i="88"/>
  <c r="AR110" i="92"/>
  <c r="AR111" i="92" s="1"/>
  <c r="AR112" i="92" s="1"/>
  <c r="AR113" i="92"/>
  <c r="AT261" i="88"/>
  <c r="AT262" i="88" s="1"/>
  <c r="AT263" i="88" s="1"/>
  <c r="AT264" i="88" s="1"/>
  <c r="AS265" i="88"/>
  <c r="AS262" i="88"/>
  <c r="AS263" i="88" s="1"/>
  <c r="AS264" i="88" s="1"/>
  <c r="AT271" i="88"/>
  <c r="AT272" i="88" s="1"/>
  <c r="AQ418" i="96"/>
  <c r="AQ431" i="96" s="1"/>
  <c r="AQ440" i="96" s="1"/>
  <c r="AQ441" i="96" s="1"/>
  <c r="AR435" i="96"/>
  <c r="AR413" i="96"/>
  <c r="AR338" i="96"/>
  <c r="AR339" i="96" s="1"/>
  <c r="AR340" i="96" s="1"/>
  <c r="AR341" i="96"/>
  <c r="AT195" i="96"/>
  <c r="AT196" i="96" s="1"/>
  <c r="AT207" i="96"/>
  <c r="AT185" i="96"/>
  <c r="AS190" i="96"/>
  <c r="AS203" i="96" s="1"/>
  <c r="AR342" i="88"/>
  <c r="AR355" i="88" s="1"/>
  <c r="AR364" i="88" s="1"/>
  <c r="AR365" i="88" s="1"/>
  <c r="AM418" i="88"/>
  <c r="AM431" i="88" s="1"/>
  <c r="AM440" i="88" s="1"/>
  <c r="AM441" i="88" s="1"/>
  <c r="AT337" i="88"/>
  <c r="AN435" i="88"/>
  <c r="AN413" i="88"/>
  <c r="AS186" i="52"/>
  <c r="AS187" i="52" s="1"/>
  <c r="AS188" i="52" s="1"/>
  <c r="AS189" i="52"/>
  <c r="AT195" i="52"/>
  <c r="AT196" i="52" s="1"/>
  <c r="AS341" i="88"/>
  <c r="AS338" i="88"/>
  <c r="AS339" i="88" s="1"/>
  <c r="AS340" i="88" s="1"/>
  <c r="AT114" i="96"/>
  <c r="AT127" i="96" s="1"/>
  <c r="AQ418" i="52"/>
  <c r="AQ431" i="52" s="1"/>
  <c r="AQ440" i="52" s="1"/>
  <c r="AQ441" i="52" s="1"/>
  <c r="AP417" i="92"/>
  <c r="AP414" i="92"/>
  <c r="AP415" i="92" s="1"/>
  <c r="AP416" i="92" s="1"/>
  <c r="AR413" i="52"/>
  <c r="AR435" i="52"/>
  <c r="AS266" i="92"/>
  <c r="AS279" i="92" s="1"/>
  <c r="AS288" i="92" s="1"/>
  <c r="AS289" i="92" s="1"/>
  <c r="AT283" i="92"/>
  <c r="AT261" i="92"/>
  <c r="AT288" i="96"/>
  <c r="AT289" i="96" s="1"/>
  <c r="E34" i="96" s="1"/>
  <c r="AT280" i="96"/>
  <c r="E33" i="96" s="1"/>
  <c r="AT338" i="52"/>
  <c r="AT339" i="52" s="1"/>
  <c r="AT340" i="52" s="1"/>
  <c r="AT341" i="52"/>
  <c r="AS364" i="52"/>
  <c r="AS365" i="52" s="1"/>
  <c r="AT136" i="52"/>
  <c r="AT137" i="52" s="1"/>
  <c r="C34" i="52" s="1"/>
  <c r="AT109" i="92" l="1"/>
  <c r="AQ413" i="92"/>
  <c r="AQ417" i="92" s="1"/>
  <c r="AP413" i="88"/>
  <c r="F20" i="110"/>
  <c r="E26" i="110"/>
  <c r="AQ338" i="92"/>
  <c r="AQ339" i="92" s="1"/>
  <c r="AQ340" i="92" s="1"/>
  <c r="AQ341" i="92"/>
  <c r="AT136" i="88"/>
  <c r="AT137" i="88" s="1"/>
  <c r="C34" i="88" s="1"/>
  <c r="AT128" i="88"/>
  <c r="C33" i="88" s="1"/>
  <c r="AT190" i="88"/>
  <c r="AT203" i="88" s="1"/>
  <c r="AT212" i="88" s="1"/>
  <c r="AT213" i="88" s="1"/>
  <c r="D34" i="88" s="1"/>
  <c r="AR114" i="92"/>
  <c r="AR127" i="92" s="1"/>
  <c r="AS113" i="92"/>
  <c r="AS110" i="92"/>
  <c r="AS111" i="92" s="1"/>
  <c r="AS112" i="92" s="1"/>
  <c r="AT265" i="88"/>
  <c r="AT266" i="88" s="1"/>
  <c r="AT279" i="88" s="1"/>
  <c r="AT288" i="88" s="1"/>
  <c r="AS266" i="88"/>
  <c r="AS279" i="88" s="1"/>
  <c r="AS288" i="88" s="1"/>
  <c r="AS289" i="88" s="1"/>
  <c r="AR417" i="96"/>
  <c r="AR414" i="96"/>
  <c r="AR415" i="96" s="1"/>
  <c r="AR416" i="96" s="1"/>
  <c r="AS413" i="96"/>
  <c r="AS435" i="96"/>
  <c r="AR342" i="96"/>
  <c r="AR355" i="96" s="1"/>
  <c r="AR364" i="96" s="1"/>
  <c r="AR365" i="96" s="1"/>
  <c r="AT347" i="88"/>
  <c r="AT348" i="88" s="1"/>
  <c r="AS337" i="96"/>
  <c r="AS359" i="96"/>
  <c r="AS212" i="96"/>
  <c r="AS213" i="96" s="1"/>
  <c r="AT189" i="96"/>
  <c r="AT186" i="96"/>
  <c r="AT187" i="96" s="1"/>
  <c r="AT188" i="96" s="1"/>
  <c r="AT359" i="88"/>
  <c r="AN414" i="88"/>
  <c r="AN415" i="88" s="1"/>
  <c r="AN416" i="88" s="1"/>
  <c r="AN417" i="88"/>
  <c r="AO435" i="88"/>
  <c r="AO413" i="88"/>
  <c r="AS190" i="52"/>
  <c r="AS203" i="52" s="1"/>
  <c r="AS212" i="52" s="1"/>
  <c r="AS213" i="52" s="1"/>
  <c r="AT207" i="52"/>
  <c r="AT185" i="52"/>
  <c r="AT341" i="88"/>
  <c r="AT338" i="88"/>
  <c r="AT339" i="88" s="1"/>
  <c r="AT340" i="88" s="1"/>
  <c r="AS342" i="88"/>
  <c r="AS355" i="88" s="1"/>
  <c r="AT136" i="96"/>
  <c r="AT137" i="96" s="1"/>
  <c r="C34" i="96" s="1"/>
  <c r="AT128" i="96"/>
  <c r="C33" i="96" s="1"/>
  <c r="AP418" i="92"/>
  <c r="AP431" i="92" s="1"/>
  <c r="AP440" i="92" s="1"/>
  <c r="AP441" i="92" s="1"/>
  <c r="AR417" i="52"/>
  <c r="AR414" i="52"/>
  <c r="AR415" i="52" s="1"/>
  <c r="AR416" i="52" s="1"/>
  <c r="AT262" i="92"/>
  <c r="AT263" i="92" s="1"/>
  <c r="AT264" i="92" s="1"/>
  <c r="AT265" i="92"/>
  <c r="AT342" i="52"/>
  <c r="AT355" i="52" s="1"/>
  <c r="AQ414" i="92" l="1"/>
  <c r="AQ415" i="92" s="1"/>
  <c r="AQ416" i="92" s="1"/>
  <c r="AQ418" i="92" s="1"/>
  <c r="AQ431" i="92" s="1"/>
  <c r="AQ440" i="92" s="1"/>
  <c r="AQ441" i="92" s="1"/>
  <c r="AR413" i="92"/>
  <c r="AR417" i="92" s="1"/>
  <c r="AP435" i="88"/>
  <c r="AT131" i="92"/>
  <c r="D17" i="110"/>
  <c r="D20" i="110"/>
  <c r="E22" i="110"/>
  <c r="D23" i="110"/>
  <c r="H28" i="110"/>
  <c r="AQ342" i="92"/>
  <c r="AQ355" i="92" s="1"/>
  <c r="AQ364" i="92" s="1"/>
  <c r="AQ365" i="92" s="1"/>
  <c r="AR337" i="92"/>
  <c r="AR359" i="92"/>
  <c r="AT204" i="88"/>
  <c r="D33" i="88" s="1"/>
  <c r="AT289" i="88"/>
  <c r="E34" i="88" s="1"/>
  <c r="AS114" i="92"/>
  <c r="AS127" i="92" s="1"/>
  <c r="AS136" i="92" s="1"/>
  <c r="AR136" i="92"/>
  <c r="AT110" i="92"/>
  <c r="AT111" i="92" s="1"/>
  <c r="AT112" i="92" s="1"/>
  <c r="AT113" i="92"/>
  <c r="AR418" i="96"/>
  <c r="AR431" i="96" s="1"/>
  <c r="AR440" i="96" s="1"/>
  <c r="AR441" i="96" s="1"/>
  <c r="AT423" i="96"/>
  <c r="AT424" i="96" s="1"/>
  <c r="AS417" i="96"/>
  <c r="AS414" i="96"/>
  <c r="AS415" i="96" s="1"/>
  <c r="AS416" i="96" s="1"/>
  <c r="AT413" i="96"/>
  <c r="AT435" i="96"/>
  <c r="AT347" i="96"/>
  <c r="AT348" i="96" s="1"/>
  <c r="AS341" i="96"/>
  <c r="AS338" i="96"/>
  <c r="AS339" i="96" s="1"/>
  <c r="AS340" i="96" s="1"/>
  <c r="AT337" i="96"/>
  <c r="AT359" i="96"/>
  <c r="AT190" i="96"/>
  <c r="AT203" i="96" s="1"/>
  <c r="AT280" i="88"/>
  <c r="E33" i="88" s="1"/>
  <c r="AN418" i="88"/>
  <c r="AN431" i="88" s="1"/>
  <c r="AN440" i="88" s="1"/>
  <c r="AN441" i="88" s="1"/>
  <c r="AO417" i="88"/>
  <c r="AO414" i="88"/>
  <c r="AO415" i="88" s="1"/>
  <c r="AO416" i="88" s="1"/>
  <c r="AP417" i="88"/>
  <c r="AP414" i="88"/>
  <c r="AP415" i="88" s="1"/>
  <c r="AP416" i="88" s="1"/>
  <c r="AR418" i="52"/>
  <c r="AR431" i="52" s="1"/>
  <c r="AR440" i="52" s="1"/>
  <c r="AR441" i="52" s="1"/>
  <c r="AT189" i="52"/>
  <c r="AT186" i="52"/>
  <c r="AT187" i="52" s="1"/>
  <c r="AT188" i="52" s="1"/>
  <c r="AT342" i="88"/>
  <c r="AT355" i="88" s="1"/>
  <c r="AT364" i="88" s="1"/>
  <c r="AS364" i="88"/>
  <c r="AS365" i="88" s="1"/>
  <c r="AS413" i="52"/>
  <c r="AS435" i="52"/>
  <c r="AT266" i="92"/>
  <c r="AT364" i="52"/>
  <c r="AT365" i="52" s="1"/>
  <c r="F34" i="52" s="1"/>
  <c r="AT356" i="52"/>
  <c r="F33" i="52" s="1"/>
  <c r="AT119" i="92" l="1"/>
  <c r="AT271" i="92"/>
  <c r="AT272" i="92" s="1"/>
  <c r="AT279" i="92" s="1"/>
  <c r="AT195" i="92"/>
  <c r="AT196" i="92" s="1"/>
  <c r="AT203" i="92" s="1"/>
  <c r="AR414" i="92"/>
  <c r="AR415" i="92" s="1"/>
  <c r="AR416" i="92" s="1"/>
  <c r="AR418" i="92" s="1"/>
  <c r="AR431" i="92" s="1"/>
  <c r="AR440" i="92" s="1"/>
  <c r="AR441" i="92" s="1"/>
  <c r="AQ413" i="88"/>
  <c r="AR435" i="92"/>
  <c r="F17" i="110"/>
  <c r="E17" i="110"/>
  <c r="F19" i="110"/>
  <c r="G18" i="110"/>
  <c r="E23" i="110"/>
  <c r="F22" i="110"/>
  <c r="AR341" i="92"/>
  <c r="AR338" i="92"/>
  <c r="AR339" i="92" s="1"/>
  <c r="AR340" i="92" s="1"/>
  <c r="AR137" i="92"/>
  <c r="AT114" i="92"/>
  <c r="AS137" i="92"/>
  <c r="AS418" i="96"/>
  <c r="AS431" i="96" s="1"/>
  <c r="AS440" i="96" s="1"/>
  <c r="AS441" i="96" s="1"/>
  <c r="AS342" i="96"/>
  <c r="AS355" i="96" s="1"/>
  <c r="AS364" i="96" s="1"/>
  <c r="AS365" i="96" s="1"/>
  <c r="AT414" i="96"/>
  <c r="AT415" i="96" s="1"/>
  <c r="AT416" i="96" s="1"/>
  <c r="AT417" i="96"/>
  <c r="AT341" i="96"/>
  <c r="AT338" i="96"/>
  <c r="AT339" i="96" s="1"/>
  <c r="AT340" i="96" s="1"/>
  <c r="AT212" i="96"/>
  <c r="AT213" i="96" s="1"/>
  <c r="D34" i="96" s="1"/>
  <c r="AT204" i="96"/>
  <c r="D33" i="96" s="1"/>
  <c r="AP418" i="88"/>
  <c r="AP431" i="88" s="1"/>
  <c r="AP440" i="88" s="1"/>
  <c r="AO418" i="88"/>
  <c r="AO431" i="88" s="1"/>
  <c r="AO440" i="88" s="1"/>
  <c r="AO441" i="88" s="1"/>
  <c r="AT365" i="88"/>
  <c r="F34" i="88" s="1"/>
  <c r="AT190" i="52"/>
  <c r="AT203" i="52" s="1"/>
  <c r="AT356" i="88"/>
  <c r="F33" i="88" s="1"/>
  <c r="AS417" i="52"/>
  <c r="AS414" i="52"/>
  <c r="AS415" i="52" s="1"/>
  <c r="AS416" i="52" s="1"/>
  <c r="AT120" i="92" l="1"/>
  <c r="AT127" i="92" s="1"/>
  <c r="AT128" i="92" s="1"/>
  <c r="C33" i="92" s="1"/>
  <c r="AQ435" i="88"/>
  <c r="AT288" i="92"/>
  <c r="AT289" i="92" s="1"/>
  <c r="E34" i="92" s="1"/>
  <c r="AT280" i="92"/>
  <c r="E33" i="92" s="1"/>
  <c r="F21" i="110" s="1"/>
  <c r="E27" i="110"/>
  <c r="G27" i="110"/>
  <c r="AT212" i="92"/>
  <c r="AT213" i="92" s="1"/>
  <c r="D34" i="92" s="1"/>
  <c r="AT204" i="92"/>
  <c r="D33" i="92" s="1"/>
  <c r="E21" i="110" s="1"/>
  <c r="F27" i="110"/>
  <c r="G17" i="110"/>
  <c r="E20" i="110"/>
  <c r="AR342" i="92"/>
  <c r="AR355" i="92" s="1"/>
  <c r="AR364" i="92" s="1"/>
  <c r="AR365" i="92" s="1"/>
  <c r="AS337" i="92"/>
  <c r="AS359" i="92"/>
  <c r="AT342" i="96"/>
  <c r="AT355" i="96" s="1"/>
  <c r="AT364" i="96" s="1"/>
  <c r="AT365" i="96" s="1"/>
  <c r="F34" i="96" s="1"/>
  <c r="AT418" i="96"/>
  <c r="AT431" i="96" s="1"/>
  <c r="AP441" i="88"/>
  <c r="AQ417" i="88"/>
  <c r="AQ414" i="88"/>
  <c r="AQ415" i="88" s="1"/>
  <c r="AQ416" i="88" s="1"/>
  <c r="AT212" i="52"/>
  <c r="AT213" i="52" s="1"/>
  <c r="D34" i="52" s="1"/>
  <c r="AT204" i="52"/>
  <c r="D33" i="52" s="1"/>
  <c r="AT423" i="52"/>
  <c r="AT424" i="52" s="1"/>
  <c r="AT435" i="52"/>
  <c r="AT413" i="52"/>
  <c r="AS418" i="52"/>
  <c r="AS431" i="52" s="1"/>
  <c r="AS413" i="92"/>
  <c r="AS435" i="92"/>
  <c r="AT136" i="92" l="1"/>
  <c r="AT137" i="92" s="1"/>
  <c r="C34" i="92" s="1"/>
  <c r="H27" i="110"/>
  <c r="G24" i="110"/>
  <c r="H24" i="110"/>
  <c r="E24" i="110"/>
  <c r="AT356" i="96"/>
  <c r="F33" i="96" s="1"/>
  <c r="G20" i="110" s="1"/>
  <c r="F26" i="110"/>
  <c r="H22" i="110"/>
  <c r="G23" i="110"/>
  <c r="D21" i="110"/>
  <c r="F23" i="110"/>
  <c r="E18" i="110"/>
  <c r="E28" i="110"/>
  <c r="AT347" i="92"/>
  <c r="AT348" i="92" s="1"/>
  <c r="AS341" i="92"/>
  <c r="AS338" i="92"/>
  <c r="AS339" i="92" s="1"/>
  <c r="AS340" i="92" s="1"/>
  <c r="AT337" i="92"/>
  <c r="AT359" i="92"/>
  <c r="AT413" i="92"/>
  <c r="AT440" i="96"/>
  <c r="AT441" i="96" s="1"/>
  <c r="G34" i="96" s="1"/>
  <c r="AT432" i="96"/>
  <c r="G33" i="96" s="1"/>
  <c r="AQ418" i="88"/>
  <c r="AQ431" i="88" s="1"/>
  <c r="AQ440" i="88" s="1"/>
  <c r="AQ441" i="88" s="1"/>
  <c r="AR435" i="88"/>
  <c r="AR413" i="88"/>
  <c r="AS414" i="92"/>
  <c r="AS415" i="92" s="1"/>
  <c r="AS416" i="92" s="1"/>
  <c r="AS417" i="92"/>
  <c r="AS440" i="52"/>
  <c r="AS441" i="52" s="1"/>
  <c r="AT414" i="52"/>
  <c r="AT415" i="52" s="1"/>
  <c r="AT416" i="52" s="1"/>
  <c r="AT417" i="52"/>
  <c r="D24" i="110" l="1"/>
  <c r="AT435" i="92"/>
  <c r="G22" i="110"/>
  <c r="H20" i="110"/>
  <c r="AT423" i="92"/>
  <c r="AT424" i="92" s="1"/>
  <c r="AS342" i="92"/>
  <c r="AS355" i="92" s="1"/>
  <c r="AS364" i="92" s="1"/>
  <c r="AS365" i="92" s="1"/>
  <c r="AT338" i="92"/>
  <c r="AT339" i="92" s="1"/>
  <c r="AT340" i="92" s="1"/>
  <c r="AT341" i="92"/>
  <c r="AR414" i="88"/>
  <c r="AR415" i="88" s="1"/>
  <c r="AR416" i="88" s="1"/>
  <c r="AR417" i="88"/>
  <c r="AS413" i="88"/>
  <c r="AS435" i="88"/>
  <c r="AT418" i="52"/>
  <c r="AT431" i="52" s="1"/>
  <c r="AT440" i="52" s="1"/>
  <c r="AT441" i="52" s="1"/>
  <c r="G34" i="52" s="1"/>
  <c r="AS418" i="92"/>
  <c r="AS431" i="92" s="1"/>
  <c r="AS440" i="92" s="1"/>
  <c r="AS441" i="92" s="1"/>
  <c r="AT417" i="92"/>
  <c r="AT414" i="92"/>
  <c r="AT415" i="92" s="1"/>
  <c r="AT416" i="92" s="1"/>
  <c r="D27" i="110" l="1"/>
  <c r="F24" i="110"/>
  <c r="D25" i="110"/>
  <c r="G28" i="110"/>
  <c r="AT342" i="92"/>
  <c r="AT355" i="92" s="1"/>
  <c r="AS414" i="88"/>
  <c r="AS415" i="88" s="1"/>
  <c r="AS416" i="88" s="1"/>
  <c r="AS417" i="88"/>
  <c r="AR418" i="88"/>
  <c r="AR431" i="88" s="1"/>
  <c r="AR440" i="88" s="1"/>
  <c r="AR441" i="88" s="1"/>
  <c r="AT432" i="52"/>
  <c r="G33" i="52" s="1"/>
  <c r="AT418" i="92"/>
  <c r="AT431" i="92" s="1"/>
  <c r="H26" i="110" l="1"/>
  <c r="F25" i="110"/>
  <c r="H18" i="110"/>
  <c r="H23" i="110"/>
  <c r="AT356" i="92"/>
  <c r="F33" i="92" s="1"/>
  <c r="AT364" i="92"/>
  <c r="AT365" i="92" s="1"/>
  <c r="F34" i="92" s="1"/>
  <c r="AT423" i="88"/>
  <c r="AT424" i="88" s="1"/>
  <c r="AT435" i="88"/>
  <c r="AT413" i="88"/>
  <c r="AS418" i="88"/>
  <c r="AS431" i="88" s="1"/>
  <c r="AT432" i="92"/>
  <c r="G33" i="92" s="1"/>
  <c r="AT440" i="92"/>
  <c r="AT441" i="92" s="1"/>
  <c r="G34" i="92" s="1"/>
  <c r="E25" i="110" l="1"/>
  <c r="G25" i="110"/>
  <c r="H21" i="110"/>
  <c r="G21" i="110"/>
  <c r="AS440" i="88"/>
  <c r="AS441" i="88" s="1"/>
  <c r="AT417" i="88"/>
  <c r="AT414" i="88"/>
  <c r="AT415" i="88" s="1"/>
  <c r="AT416" i="88" s="1"/>
  <c r="AT418" i="88" l="1"/>
  <c r="AT431" i="88" s="1"/>
  <c r="AT440" i="88" l="1"/>
  <c r="AT441" i="88" s="1"/>
  <c r="G34" i="88" s="1"/>
  <c r="AT432" i="88"/>
  <c r="G33" i="88" s="1"/>
  <c r="H25" i="110" l="1"/>
  <c r="H17" i="110"/>
</calcChain>
</file>

<file path=xl/sharedStrings.xml><?xml version="1.0" encoding="utf-8"?>
<sst xmlns="http://schemas.openxmlformats.org/spreadsheetml/2006/main" count="3368" uniqueCount="575">
  <si>
    <t>Local de supervision</t>
  </si>
  <si>
    <t>U</t>
  </si>
  <si>
    <t>m2</t>
  </si>
  <si>
    <t>ml</t>
  </si>
  <si>
    <t>3S</t>
  </si>
  <si>
    <t>Forfait</t>
  </si>
  <si>
    <t>Ratios :</t>
  </si>
  <si>
    <t>N/A</t>
  </si>
  <si>
    <t>forfait</t>
  </si>
  <si>
    <t>Unidad</t>
  </si>
  <si>
    <t>($ sin IVA)</t>
  </si>
  <si>
    <t>Servidumbres en linea</t>
  </si>
  <si>
    <t>Decontaminacion de suelo</t>
  </si>
  <si>
    <t>Proteccion contra incendios (techos)</t>
  </si>
  <si>
    <t>Proteccion contra incendios (fachadas)</t>
  </si>
  <si>
    <t>Precio unitario</t>
  </si>
  <si>
    <t>Infraestructura y estructuras de lineas</t>
  </si>
  <si>
    <t>Cables de soportes</t>
  </si>
  <si>
    <t>Cable de traccion</t>
  </si>
  <si>
    <t>Cabeza de poste (patibulo + pendulos y equipamientos)</t>
  </si>
  <si>
    <t>Postes y fundaciones</t>
  </si>
  <si>
    <t>Obras de via y reubicacion de redes</t>
  </si>
  <si>
    <t>Obras de via</t>
  </si>
  <si>
    <t>Cabinas</t>
  </si>
  <si>
    <t>Cabinas y soportes</t>
  </si>
  <si>
    <t>Equipamiento de conforte en las cabinas</t>
  </si>
  <si>
    <t>Lanzador (por ramita y por media-estacion)</t>
  </si>
  <si>
    <t>Cola y andenes (por numero de andenes, y/c puertas de anden)</t>
  </si>
  <si>
    <t>Mantenimiento de transito</t>
  </si>
  <si>
    <t>Redes subterraneas</t>
  </si>
  <si>
    <t>Desplazamiento de lamparas</t>
  </si>
  <si>
    <t>Redes aereas</t>
  </si>
  <si>
    <t>Redes aereas de alta tension</t>
  </si>
  <si>
    <t>Equipamiento electrico</t>
  </si>
  <si>
    <t>Cuarto de mandos</t>
  </si>
  <si>
    <t>Cuarto de electricidad (400V tres fases)</t>
  </si>
  <si>
    <t>Telecomunicaciones y boleteria</t>
  </si>
  <si>
    <t>Pasarela</t>
  </si>
  <si>
    <t>Cuarto de manejo del traslado y zona de mantenimiento</t>
  </si>
  <si>
    <t>Doble motorizacion, reductores y traccion del cable</t>
  </si>
  <si>
    <t>Superficies comerciales</t>
  </si>
  <si>
    <t>Centro de mando + Locales tecnicos cubiertos</t>
  </si>
  <si>
    <t xml:space="preserve">Locales tecnicos non cerrados </t>
  </si>
  <si>
    <t>Anden al primer piso</t>
  </si>
  <si>
    <t>Superficies cerradas (m²)</t>
  </si>
  <si>
    <t>Zona de almacenamiento de tipo local industrial</t>
  </si>
  <si>
    <t>Almacen y taller</t>
  </si>
  <si>
    <t>Transporte cabinas</t>
  </si>
  <si>
    <t>Instrumentos, elevador y piezas de recambio</t>
  </si>
  <si>
    <t>Ascensores inclinados para las cabinas</t>
  </si>
  <si>
    <t>Operaciones adicionales : estacionamiento incitativo y buses</t>
  </si>
  <si>
    <t>Estacionamiento incitativo</t>
  </si>
  <si>
    <t>Modificacion de parada de bus</t>
  </si>
  <si>
    <t>Sistema de boleteria</t>
  </si>
  <si>
    <t>Sistema de deteccion incendio y de control de acceso</t>
  </si>
  <si>
    <t>Sistema de vigilancia con video en estaciones</t>
  </si>
  <si>
    <t>Sistema de vigilancia visio + termica por postes</t>
  </si>
  <si>
    <t>Sistema de antenas y de mando securizado WIFI</t>
  </si>
  <si>
    <t>Cronometria, relojes marcadores</t>
  </si>
  <si>
    <t>Sistema de supervision SCADA del centro de mando</t>
  </si>
  <si>
    <t>Sistema de informacion a los pasajeros en las estaciones</t>
  </si>
  <si>
    <t>Red de telefonia entre estaciones</t>
  </si>
  <si>
    <t>Sonorizacion de anuncios publicos en estaciones</t>
  </si>
  <si>
    <t>Consola de mandos y Tablero de control optico</t>
  </si>
  <si>
    <t>Fibra de seguridad y equipos de transmision Ethernet</t>
  </si>
  <si>
    <t>N°Estaciones</t>
  </si>
  <si>
    <t>Terminal</t>
  </si>
  <si>
    <t>N° Postes</t>
  </si>
  <si>
    <t>N°Cabinas (incluido reserva)</t>
  </si>
  <si>
    <t>Programa</t>
  </si>
  <si>
    <t>Notas</t>
  </si>
  <si>
    <t>Centro de mantenimiento</t>
  </si>
  <si>
    <t>Telecabinas</t>
  </si>
  <si>
    <t>Edificio - Estacion Centenario (Terminal)</t>
  </si>
  <si>
    <t>Estacion Puerto Santa Ana (Norte)</t>
  </si>
  <si>
    <t>Estacion Puerto Santa Ana (Sur)</t>
  </si>
  <si>
    <t>Estacion Malecon Centro Cultural</t>
  </si>
  <si>
    <t>Estacion Cimentero (Tecnica)</t>
  </si>
  <si>
    <t>Estacion Centenario (Terminal)</t>
  </si>
  <si>
    <t>Centro de mantenimiento - Samborondon</t>
  </si>
  <si>
    <t>Edificio - Estacion Malecon Centro Cultural</t>
  </si>
  <si>
    <t>Edificio - Estacion Puerto Santa Ana (Sur)</t>
  </si>
  <si>
    <t>Edificio - Estacion Cimentero (Tecnica)</t>
  </si>
  <si>
    <t>Tecnica</t>
  </si>
  <si>
    <t>Terrains industriels</t>
  </si>
  <si>
    <t>Municipal</t>
  </si>
  <si>
    <t>Privado</t>
  </si>
  <si>
    <t>Longitud (m)</t>
  </si>
  <si>
    <t>Proteccion contra incendios (m²)</t>
  </si>
  <si>
    <t>Techos</t>
  </si>
  <si>
    <t>Fachadas</t>
  </si>
  <si>
    <t>Estacion Avenida Quito</t>
  </si>
  <si>
    <t>Compra de terrenos para estaciones y servidumbres</t>
  </si>
  <si>
    <t>Decontaminacion y proteccion</t>
  </si>
  <si>
    <t>Tiempo de recorrido (mn)</t>
  </si>
  <si>
    <t>Distancia promedia entre estaciones de pasajeros (m)</t>
  </si>
  <si>
    <t>Actual</t>
  </si>
  <si>
    <t>Potencial</t>
  </si>
  <si>
    <t>N° Estaciones intermodales con Metrovia o trenes</t>
  </si>
  <si>
    <t>Demanda (pphpd)</t>
  </si>
  <si>
    <t>Distancia entre vehiculos</t>
  </si>
  <si>
    <t>Numero de personas por vehiculos</t>
  </si>
  <si>
    <t>Velocidad maxima en linea (m/s)</t>
  </si>
  <si>
    <t>Tiempo entre las cabinas en segundas</t>
  </si>
  <si>
    <t>Numero de vehiculos en linea (afuera de las estaciones)</t>
  </si>
  <si>
    <t>Numero de vehiculos en operacion (incluyendo vehiculos en estaciones)</t>
  </si>
  <si>
    <t>Numero de vehiculos en operacion y mantenimiento</t>
  </si>
  <si>
    <t>Linea</t>
  </si>
  <si>
    <t>Edificio - Avenida Quito</t>
  </si>
  <si>
    <t>Area del taller (m²)</t>
  </si>
  <si>
    <t>Superficie Total</t>
  </si>
  <si>
    <t>Costo total incluyendo operaciones adicionales</t>
  </si>
  <si>
    <t>Costo total sin operaciones adicionales (sin contingencias)</t>
  </si>
  <si>
    <t>Costo total incluyendo operaciones adicionales (sin contingencias)</t>
  </si>
  <si>
    <t>Costo total sin operaciones adicionales</t>
  </si>
  <si>
    <t>Compra de terrenos para estacionamiento (operacion adicional)</t>
  </si>
  <si>
    <t>Fundaciones en el rio</t>
  </si>
  <si>
    <t>ml (de la red)</t>
  </si>
  <si>
    <t>ml (de linea)</t>
  </si>
  <si>
    <t>Gastos de estudios, gestion y administracion del proyecto</t>
  </si>
  <si>
    <t>Tramites administrativos</t>
  </si>
  <si>
    <t>% costo de obra</t>
  </si>
  <si>
    <t>Municipio</t>
  </si>
  <si>
    <t>Consultor en asesoria al Municipio o Concesionario</t>
  </si>
  <si>
    <t>Consultor en asesoria al municipio</t>
  </si>
  <si>
    <t>% costo de la obra</t>
  </si>
  <si>
    <t>costo/km</t>
  </si>
  <si>
    <t>Monocable</t>
  </si>
  <si>
    <t>Estaciones</t>
  </si>
  <si>
    <t xml:space="preserve">Ingreso y circulaciones al piso tierra 
(y/c servicios, escaleras mecanicas, escaleras y ascencores) </t>
  </si>
  <si>
    <t>Piso tierra sobrelevado y fundaciones</t>
  </si>
  <si>
    <t>Tecnologias en las estaciones</t>
  </si>
  <si>
    <t>Velocidad promedia (km/h)</t>
  </si>
  <si>
    <t>Tiempo de recorrido (sec)</t>
  </si>
  <si>
    <t>Y0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</si>
  <si>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</si>
  <si>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</si>
  <si>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</si>
  <si>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</si>
  <si>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</si>
  <si>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</si>
  <si>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</si>
  <si>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</si>
  <si>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</si>
  <si>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</si>
  <si>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Y11</t>
  </si>
  <si>
    <t>Y12</t>
  </si>
  <si>
    <t>Y13</t>
  </si>
  <si>
    <t>Y14</t>
  </si>
  <si>
    <t>Y15</t>
  </si>
  <si>
    <t>Y16</t>
  </si>
  <si>
    <t>Y17</t>
  </si>
  <si>
    <t>Y18</t>
  </si>
  <si>
    <t>Y19</t>
  </si>
  <si>
    <t>Y20</t>
  </si>
  <si>
    <t>Y21</t>
  </si>
  <si>
    <t>Y22</t>
  </si>
  <si>
    <t>Y23</t>
  </si>
  <si>
    <t>Y24</t>
  </si>
  <si>
    <t>Y25</t>
  </si>
  <si>
    <t>Y26</t>
  </si>
  <si>
    <t>Y27</t>
  </si>
  <si>
    <t>Y28</t>
  </si>
  <si>
    <t>Y29</t>
  </si>
  <si>
    <t>Y30</t>
  </si>
  <si>
    <t>Y31</t>
  </si>
  <si>
    <t>Y32</t>
  </si>
  <si>
    <t>Y33</t>
  </si>
  <si>
    <t>Y34</t>
  </si>
  <si>
    <t>Y35</t>
  </si>
  <si>
    <t>Y36</t>
  </si>
  <si>
    <t>Y37</t>
  </si>
  <si>
    <t>Y38</t>
  </si>
  <si>
    <t>Y39</t>
  </si>
  <si>
    <t>Y40</t>
  </si>
  <si>
    <t>3. Depreciation</t>
  </si>
  <si>
    <t>Materia</t>
  </si>
  <si>
    <t>TOTAL</t>
  </si>
  <si>
    <t>Tasas de aduanas</t>
  </si>
  <si>
    <t>Constitucion de una linea de reserva para la estacion motrice</t>
  </si>
  <si>
    <t>Contingencias</t>
  </si>
  <si>
    <t>Supervision</t>
  </si>
  <si>
    <t>Tiempo en estacion (s)</t>
  </si>
  <si>
    <t>h/año</t>
  </si>
  <si>
    <t>Gerente general</t>
  </si>
  <si>
    <t>Asesor administrativo 
(comptabilidad, Recursos humanos)</t>
  </si>
  <si>
    <t>Direccion y administracion</t>
  </si>
  <si>
    <t>Operacion</t>
  </si>
  <si>
    <t>Gerente de operacion</t>
  </si>
  <si>
    <t>Supervisor de mantenancia</t>
  </si>
  <si>
    <t>Jefe de operacion</t>
  </si>
  <si>
    <t>Jefe de anden</t>
  </si>
  <si>
    <t>Auxiliar de operacion</t>
  </si>
  <si>
    <t>Auxiliar de operacion (supervision de seguridad)</t>
  </si>
  <si>
    <t>Auxiliar de limpieza (cabinas)</t>
  </si>
  <si>
    <t>Mantenancia</t>
  </si>
  <si>
    <t>Auxiliar de mantenancia anual</t>
  </si>
  <si>
    <t>Numero de empleados  (eq. Tiempo completo anual)</t>
  </si>
  <si>
    <t>Auxiliar de mantenancia cuotidiana</t>
  </si>
  <si>
    <t>Estimacionde operacion anual</t>
  </si>
  <si>
    <t>365j/año : 7000h</t>
  </si>
  <si>
    <t>Estimation quotidienne maintenance : 2h pour une équipe de 2 por 2500m de linea</t>
  </si>
  <si>
    <t>Estimacion : 1 tiempo completo : 2080h</t>
  </si>
  <si>
    <t>Año de puesta en operacion</t>
  </si>
  <si>
    <t>Costo/m</t>
  </si>
  <si>
    <t>Costo de materia anual</t>
  </si>
  <si>
    <t>Costo de materia para mantenancia preventiva cada 5 años</t>
  </si>
  <si>
    <t>Costos de operacion</t>
  </si>
  <si>
    <t>Costo de mano de obras</t>
  </si>
  <si>
    <t>Formacion</t>
  </si>
  <si>
    <t>Mantenancia de edificios (años 1 a 5)</t>
  </si>
  <si>
    <t>Mantenancia de edificios (a partir del año 6)</t>
  </si>
  <si>
    <t>Mantenancia Telecomunicaciones</t>
  </si>
  <si>
    <t>Consumo electrico</t>
  </si>
  <si>
    <t>Costo de materia - mantenancia anual</t>
  </si>
  <si>
    <t>Costo de materia - mantenancia preventiva (cada 5 año)</t>
  </si>
  <si>
    <t>Costos de mantenancia</t>
  </si>
  <si>
    <t>Edificios</t>
  </si>
  <si>
    <t>Equipos de telecomunicaciones</t>
  </si>
  <si>
    <t>Costos</t>
  </si>
  <si>
    <t>Costos de mantenancia y sustitucion</t>
  </si>
  <si>
    <t>Cable de soporte/traccion (cada 5 años)</t>
  </si>
  <si>
    <t>Gastos generales</t>
  </si>
  <si>
    <t>Total - costos de operacion y mantenancia</t>
  </si>
  <si>
    <t>Y41</t>
  </si>
  <si>
    <t>Y42</t>
  </si>
  <si>
    <t>Y43</t>
  </si>
  <si>
    <t>Impuesto a la renta para sociedades en Ecuador</t>
  </si>
  <si>
    <t>Superficies funcionales</t>
  </si>
  <si>
    <t>Superficies tecnicas</t>
  </si>
  <si>
    <t>A</t>
  </si>
  <si>
    <t>B</t>
  </si>
  <si>
    <t>C</t>
  </si>
  <si>
    <t>D</t>
  </si>
  <si>
    <t>m²</t>
  </si>
  <si>
    <t>Creacion de vias de acceso en Samborondon</t>
  </si>
  <si>
    <t>Creacion de paraderos en Samborondon</t>
  </si>
  <si>
    <t>Edificio - Terminal</t>
  </si>
  <si>
    <t>Edificio - De linea</t>
  </si>
  <si>
    <t>Creacion de paraderos en Duran</t>
  </si>
  <si>
    <t>Sobrecostos para fundaciones con pilotes</t>
  </si>
  <si>
    <t>Costo de materia - mantenancia preventiva (alisado)</t>
  </si>
  <si>
    <t>Cambio de cable de soporte/traccion (cada 5 años)</t>
  </si>
  <si>
    <t>Cambio de soporte/traccion (alisado)</t>
  </si>
  <si>
    <t>Mano de obras local</t>
  </si>
  <si>
    <t>Adecuacion urbana 
(demolicion, reconstruccion, mobiliario urbano, paisaje)</t>
  </si>
  <si>
    <t>Escaleras mecanicas, escaleras y ascencores adicionales 
(piso tierra sobrelevado)</t>
  </si>
  <si>
    <t>Fundaciones tipicas 
(edificio con piso tierra y primer piso)</t>
  </si>
  <si>
    <t>Equipamiento embarcado en la cabinas 
(videocamara/interponia/DI/LCD/WIFI)</t>
  </si>
  <si>
    <t>Alimentacion de auxilio de emergencia 
de la estacion motrice y del centro de mando</t>
  </si>
  <si>
    <t>Alimentaciones auxiliarias y equipamientos electricos 
en las estaciones y en el taller (aire acondicionado, alumbrado, 
mando de las puertas de anden, etc.)</t>
  </si>
  <si>
    <t>Operaciones adicionales : 
estacionamiento incitativo y buses</t>
  </si>
  <si>
    <t>Suministro</t>
  </si>
  <si>
    <t>N° de estaciones</t>
  </si>
  <si>
    <t>N° de estaciones + 1</t>
  </si>
  <si>
    <t>N° de cabinas + reserva</t>
  </si>
  <si>
    <t>N° de postes + estaciones</t>
  </si>
  <si>
    <t>Unidades</t>
  </si>
  <si>
    <t>Plaza</t>
  </si>
  <si>
    <t xml:space="preserve"> Año</t>
  </si>
  <si>
    <t>Legenda</t>
  </si>
  <si>
    <t>Dato calculado</t>
  </si>
  <si>
    <t>Generalidades</t>
  </si>
  <si>
    <t>Horizonte 1</t>
  </si>
  <si>
    <t>Horizonte 2</t>
  </si>
  <si>
    <t>Horizonte 3</t>
  </si>
  <si>
    <t>Ano puesta en servicio</t>
  </si>
  <si>
    <t>Ano base</t>
  </si>
  <si>
    <t>Periodo de evaluacion</t>
  </si>
  <si>
    <t>anos</t>
  </si>
  <si>
    <t>Ultimo ano</t>
  </si>
  <si>
    <t>Horizonte 4</t>
  </si>
  <si>
    <t>Horizonte 5</t>
  </si>
  <si>
    <t>Provisiones para imprevistos</t>
  </si>
  <si>
    <t>% gastos de Gestión externalizados (auditores, seguros)</t>
  </si>
  <si>
    <t>Divisa del modelo</t>
  </si>
  <si>
    <t>USD</t>
  </si>
  <si>
    <t>INFRA</t>
  </si>
  <si>
    <t>EQUIP</t>
  </si>
  <si>
    <t>Capex Category Name</t>
  </si>
  <si>
    <t>% provisiones imprevistos</t>
  </si>
  <si>
    <t>Estudios, Diseños y Supervisión</t>
  </si>
  <si>
    <t>Ratio</t>
  </si>
  <si>
    <t>Consumo (kW*h)</t>
  </si>
  <si>
    <t>USD / kWh</t>
  </si>
  <si>
    <t>Año de referencia (primer año de la simulacion)</t>
  </si>
  <si>
    <t>el 01/03/2015</t>
  </si>
  <si>
    <t>VEH</t>
  </si>
  <si>
    <t>Infraestructura</t>
  </si>
  <si>
    <t>Vehiculos</t>
  </si>
  <si>
    <t>Predios</t>
  </si>
  <si>
    <t>PRED</t>
  </si>
  <si>
    <t>Tasa de inflacion anual de Ecuador</t>
  </si>
  <si>
    <t>Costos generales y provisiones para imprevistos</t>
  </si>
  <si>
    <t>Aplica</t>
  </si>
  <si>
    <t>No aplica</t>
  </si>
  <si>
    <t>Categoria</t>
  </si>
  <si>
    <t>Aumentacion anual de los salarios en Ecuador</t>
  </si>
  <si>
    <t>Tarifa electricidad</t>
  </si>
  <si>
    <t>Tarifa industrial maxima aplicada en Ecuador en el 2014</t>
  </si>
  <si>
    <t>Aumentacion anual de las tarifas de electricidad en Ecuador</t>
  </si>
  <si>
    <t>Tasa de inflacion anual para el internacional (Union Europea)</t>
  </si>
  <si>
    <t>Hipotesis baja</t>
  </si>
  <si>
    <t>Hipotesis alta</t>
  </si>
  <si>
    <t>Hipotesis unica</t>
  </si>
  <si>
    <t>Parametros de Evaluacion socio-economica y financiera</t>
  </si>
  <si>
    <t>Masse salariale annuelle en USD 2015</t>
  </si>
  <si>
    <t>Transporte maritimo</t>
  </si>
  <si>
    <t>Transporte vial</t>
  </si>
  <si>
    <t>Tasa de cambio Euro/USD (2015)</t>
  </si>
  <si>
    <t>Tasa de cambio Euro/USD (2012)</t>
  </si>
  <si>
    <t>el 01/03/2012</t>
  </si>
  <si>
    <t>Dato de entrada</t>
  </si>
  <si>
    <t>Parte local</t>
  </si>
  <si>
    <t>Parte extranjera</t>
  </si>
  <si>
    <t xml:space="preserve">Capex Category Code </t>
  </si>
  <si>
    <t>Liste: "Capex_Category_Code"</t>
  </si>
  <si>
    <t>LOCAL</t>
  </si>
  <si>
    <t>EUROPA</t>
  </si>
  <si>
    <t>Liste:"Suministro"</t>
  </si>
  <si>
    <t>Compra de terrenos</t>
  </si>
  <si>
    <t>Terreno</t>
  </si>
  <si>
    <t>CANTIDADES</t>
  </si>
  <si>
    <t>COSTOS</t>
  </si>
  <si>
    <t>Error</t>
  </si>
  <si>
    <t>Celda llave</t>
  </si>
  <si>
    <t>Proyecto de Guayaquil- Costos en USD 2015 - Precios unitarios</t>
  </si>
  <si>
    <t>Proyecto de Guayaquil- Costos en USD 2015 - Parte local vs Parte extranjera</t>
  </si>
  <si>
    <t>REPARTICION</t>
  </si>
  <si>
    <t>JOB</t>
  </si>
  <si>
    <t>Pasajeros Anuales</t>
  </si>
  <si>
    <t>HIPOTESIS</t>
  </si>
  <si>
    <t>Dias de operacion</t>
  </si>
  <si>
    <t>Escenario base</t>
  </si>
  <si>
    <t>% de tarifas reducidas</t>
  </si>
  <si>
    <t>Parqueardero de Samborondon gratuido</t>
  </si>
  <si>
    <t>Alimentadoras de Samborondon con tarifa integrada (gratuidas)</t>
  </si>
  <si>
    <t>Sin integracion tarifaria con el Metrovia</t>
  </si>
  <si>
    <t>Ficheros fuentes</t>
  </si>
  <si>
    <t>Facteur de passage Salaire Canada / Ecuador 
(comparaison des salaires minimums)</t>
  </si>
  <si>
    <t>COSTOS - Parte local vs Parte extranjera</t>
  </si>
  <si>
    <t>Contengias</t>
  </si>
  <si>
    <t>Plazas necesaria</t>
  </si>
  <si>
    <t>Demanda hora pico (pphpd)</t>
  </si>
  <si>
    <t>Samborondon</t>
  </si>
  <si>
    <t>Duran</t>
  </si>
  <si>
    <t>Frecuencias (mn)</t>
  </si>
  <si>
    <t>Lineas</t>
  </si>
  <si>
    <t>Longitud comercial (m)</t>
  </si>
  <si>
    <t>Flota</t>
  </si>
  <si>
    <t>Frecuencia en hora pico (sec)</t>
  </si>
  <si>
    <t>Frecuencia at hora pico (mn)</t>
  </si>
  <si>
    <t>Recorrido (km)</t>
  </si>
  <si>
    <t>Duracion de cambio sentido (mn)</t>
  </si>
  <si>
    <t>Objectivo de velocidad comercial (km/h)</t>
  </si>
  <si>
    <t>Duracion del recorrido comercial (mn)</t>
  </si>
  <si>
    <t>Tiempo de rotacion (mn)</t>
  </si>
  <si>
    <t>Flota de material rodante (trenes)</t>
  </si>
  <si>
    <t>Flota Total 
[+10% operacion *(+ 10% mantenimiento)]</t>
  </si>
  <si>
    <t>Flota total</t>
  </si>
  <si>
    <t>Tipo de bus</t>
  </si>
  <si>
    <t>Capacidad Maxima  en personas por horas y por sentido (pphpd)</t>
  </si>
  <si>
    <t>Frecuencia en horas pico (sec)</t>
  </si>
  <si>
    <t>Buses por hora</t>
  </si>
  <si>
    <t>Capacidad con 4 pers./m² (pax)</t>
  </si>
  <si>
    <t>Carga maxima pphd (4 pers./m²)</t>
  </si>
  <si>
    <t>Duran 1</t>
  </si>
  <si>
    <t>Duran 2</t>
  </si>
  <si>
    <t>Recorridos diarios / bus</t>
  </si>
  <si>
    <t>km diarios / bus</t>
  </si>
  <si>
    <t>Km recorridos anualmente por la flota</t>
  </si>
  <si>
    <t>Tarifas</t>
  </si>
  <si>
    <t>Ingresos anuales en USD 2015</t>
  </si>
  <si>
    <t>2020-2050</t>
  </si>
  <si>
    <t>Ingresos anuales en precios actualizados (hipotesis de inflacion baja)</t>
  </si>
  <si>
    <t>Reducida</t>
  </si>
  <si>
    <t>% de tarifas normales</t>
  </si>
  <si>
    <t>Ingresos anuales en precios actualizados (hipotesis de inflacion alta)</t>
  </si>
  <si>
    <t>Año</t>
  </si>
  <si>
    <t>Trafico anual</t>
  </si>
  <si>
    <t>Locales comerciales (m2)</t>
  </si>
  <si>
    <t>Alquiler mensual de locales comerciales ($/m2)</t>
  </si>
  <si>
    <t xml:space="preserve">Depreciation de activos </t>
  </si>
  <si>
    <t xml:space="preserve"> 2. Nuevos equipos</t>
  </si>
  <si>
    <t xml:space="preserve"> 3. Valor residual despues tasas</t>
  </si>
  <si>
    <t>Flujo de caja del capital</t>
  </si>
  <si>
    <t>Flujo de caja de operacion (6+7)</t>
  </si>
  <si>
    <t>Flujo de caja neto (Ingreso total - Gasto total)</t>
  </si>
  <si>
    <t>Ingreso totale</t>
  </si>
  <si>
    <t>Gasto totale</t>
  </si>
  <si>
    <t xml:space="preserve">A. GASTOS </t>
  </si>
  <si>
    <t>1. Costos anuales de O&amp;M</t>
  </si>
  <si>
    <t>B. INGRESOS</t>
  </si>
  <si>
    <t>1. Ingresos de pasajeros</t>
  </si>
  <si>
    <t>2. Ingresos comerciales</t>
  </si>
  <si>
    <t>Ingresos de pasajeros (valor actualizado)</t>
  </si>
  <si>
    <t>Alquiler de areas comerciales (valor actualizado)</t>
  </si>
  <si>
    <t>C. FLUJO DE CAJA DE OPERACION</t>
  </si>
  <si>
    <t>Tasa de actualizacion</t>
  </si>
  <si>
    <t>Impuesto a la renta</t>
  </si>
  <si>
    <t>TRI 30 años</t>
  </si>
  <si>
    <t>TRI 40 años</t>
  </si>
  <si>
    <t>DATOS</t>
  </si>
  <si>
    <t>VAN (cumulado)</t>
  </si>
  <si>
    <t>VAN (anual)</t>
  </si>
  <si>
    <t>Alternativa A - Inversion anualizada</t>
  </si>
  <si>
    <t>Parte Extranjera</t>
  </si>
  <si>
    <t>PARTE LOCAL</t>
  </si>
  <si>
    <t>PARTE EXTRANJERA</t>
  </si>
  <si>
    <t>Base</t>
  </si>
  <si>
    <t>Base + Contingencias</t>
  </si>
  <si>
    <t>Precio constante</t>
  </si>
  <si>
    <t>Precio actualizado</t>
  </si>
  <si>
    <t>HIPOTESIS DE INFLACION BAJA</t>
  </si>
  <si>
    <t>HIPOTESIS DE INFLACION ALTA</t>
  </si>
  <si>
    <t>TOTAL ACTUALIZADO</t>
  </si>
  <si>
    <t>-</t>
  </si>
  <si>
    <t>Costos de mantenancia (100% parte extranjera)</t>
  </si>
  <si>
    <t>Total - costos de operacion y mantenancia (alisado)</t>
  </si>
  <si>
    <t>SUMINISTRO</t>
  </si>
  <si>
    <t>Cambio preventivo del cable de soporte/traccion cada 5 años</t>
  </si>
  <si>
    <t>EURO 2015</t>
  </si>
  <si>
    <t>USD 2015</t>
  </si>
  <si>
    <t>Formacion de la mano de obras (3% del costo de mano de obras)</t>
  </si>
  <si>
    <t>Cambio preventivo del cable de traccion cada 10 años</t>
  </si>
  <si>
    <t>Rutas alimentadoras</t>
  </si>
  <si>
    <t>Operacion de buses</t>
  </si>
  <si>
    <t>Salarios</t>
  </si>
  <si>
    <t>Energia</t>
  </si>
  <si>
    <t>Equipos locales</t>
  </si>
  <si>
    <t>Equipos extranjeros</t>
  </si>
  <si>
    <t>Gastos</t>
  </si>
  <si>
    <t>Renta concesional</t>
  </si>
  <si>
    <t>de la Utilitad neta de operacion antes de impuestos</t>
  </si>
  <si>
    <t>DATOS PROYECTADOS</t>
  </si>
  <si>
    <t>Valor residual de activos</t>
  </si>
  <si>
    <t>TOTAL CASHFLOW (30 años)</t>
  </si>
  <si>
    <t>TOTAL CASHFLOW (40 años)</t>
  </si>
  <si>
    <t>TRI (30 años)</t>
  </si>
  <si>
    <t>TRI (40 años)</t>
  </si>
  <si>
    <t>2. Renta concessional</t>
  </si>
  <si>
    <t>Depreciacion de activos</t>
  </si>
  <si>
    <t>1. Utilitad antes de impuestos</t>
  </si>
  <si>
    <t>5. Impuesta a la renta</t>
  </si>
  <si>
    <t>4. Base imponible ( 1-2-3)</t>
  </si>
  <si>
    <t>6. Utilidad despues de impuestos</t>
  </si>
  <si>
    <t>7.Depreciacion (agrego)</t>
  </si>
  <si>
    <t>D. FLUJO DE CAJA DE INVERSION</t>
  </si>
  <si>
    <t xml:space="preserve"> 1. Inversion inicial</t>
  </si>
  <si>
    <t>Costos anuales de O&amp;M</t>
  </si>
  <si>
    <t>EBE (Excedente Bruto de Explotacion)</t>
  </si>
  <si>
    <t>ENE (Excedente Neto de Explotacion)</t>
  </si>
  <si>
    <t xml:space="preserve">Hipotesis general de Inflacion 2019 - 2050 </t>
  </si>
  <si>
    <t>Tarifa (USD 2019)</t>
  </si>
  <si>
    <t>MONOCABLE</t>
  </si>
  <si>
    <t>Tasa de Rentabilidad Interna (TRI) - 30 años</t>
  </si>
  <si>
    <t>Tasa de Rentabilidad Interna (TRI) - 40 años</t>
  </si>
  <si>
    <t>Worst case</t>
  </si>
  <si>
    <t>Best case</t>
  </si>
  <si>
    <t>Alternativa</t>
  </si>
  <si>
    <t>Escenario</t>
  </si>
  <si>
    <t>EN USD 2015</t>
  </si>
  <si>
    <t>Tecnologias de cable en las estaciones</t>
  </si>
  <si>
    <t>Obra civil y arquitectura</t>
  </si>
  <si>
    <t>INVERSION TOTAL</t>
  </si>
  <si>
    <t>Operaciones adicionales : 
estacionamiento incitativo y buses alimentadores</t>
  </si>
  <si>
    <t>TOTAL (sin contingencias)</t>
  </si>
  <si>
    <t>TOTAL (con contingencias)</t>
  </si>
  <si>
    <t>Base case</t>
  </si>
  <si>
    <t>Parametros de modelacion de trafico</t>
  </si>
  <si>
    <t xml:space="preserve">Coeficiente de pasaje [Periodo de modelacion =&gt; HPS] </t>
  </si>
  <si>
    <t xml:space="preserve">Coeficiente [HPS =&gt; JOB] </t>
  </si>
  <si>
    <t>Numero de vehiculos en operacion (con margen de seguridad relativo a la demanda)</t>
  </si>
  <si>
    <t>Inversion inicial con la inflacion</t>
  </si>
  <si>
    <t>Demande de modelo (pphpd)</t>
  </si>
  <si>
    <t>Escenarios de Evaluacion socio-economica y financiera</t>
  </si>
  <si>
    <t xml:space="preserve">Worst case </t>
  </si>
  <si>
    <t>Coeficiente sobre demanda</t>
  </si>
  <si>
    <t>Inflacion local</t>
  </si>
  <si>
    <t>SI</t>
  </si>
  <si>
    <t>NO</t>
  </si>
  <si>
    <t>Contingencias aplicadas sobre CAPEX</t>
  </si>
  <si>
    <t>Contingencias aplicadas sobre OPEX</t>
  </si>
  <si>
    <t>Contingencias aplicada sobre OPEX</t>
  </si>
  <si>
    <t>Inversion inicial (USD 2015)</t>
  </si>
  <si>
    <t>Inversion inicial con inflacion (USD valor nominal)</t>
  </si>
  <si>
    <t>Inflacion sobre inversion inicial (USD valor nominal)</t>
  </si>
  <si>
    <t>VAN 30 años</t>
  </si>
  <si>
    <t>VAN 40 años</t>
  </si>
  <si>
    <t>Ratio de coberture (Ingresos/Egresos)</t>
  </si>
  <si>
    <t>Margen neta de la operacion</t>
  </si>
  <si>
    <t>Ratio de cobertura (Ingresos / Egresos) de la operacion</t>
  </si>
  <si>
    <t>Tarifa de 0,75$ (USD 2019)</t>
  </si>
  <si>
    <t>Tarifa de 1,00$ (USD 2019)</t>
  </si>
  <si>
    <t>Tarifa de 1,25$ (USD 2019)</t>
  </si>
  <si>
    <t>Tarifa de 1,50$ (USD 2019)</t>
  </si>
  <si>
    <t>Alternativa B - Inversion anualizada</t>
  </si>
  <si>
    <t>Sin depreciacion</t>
  </si>
  <si>
    <t>Depreciacion 50 años</t>
  </si>
  <si>
    <t>Depreciacion 40 años</t>
  </si>
  <si>
    <t>Depreciacion 15 años</t>
  </si>
  <si>
    <t>ESTUDIOS</t>
  </si>
  <si>
    <t>Duracion de vida</t>
  </si>
  <si>
    <t>Infinida</t>
  </si>
  <si>
    <t>Duracion de vida (años)</t>
  </si>
  <si>
    <t>Depreciacion 10 años</t>
  </si>
  <si>
    <t>Depreciacion 5 años</t>
  </si>
  <si>
    <t>Duracion de vida infinida</t>
  </si>
  <si>
    <t>Duracion de vida de 50 años</t>
  </si>
  <si>
    <t>Duracion de vida de 40 años</t>
  </si>
  <si>
    <t>Duracion de vida de 15 años</t>
  </si>
  <si>
    <t>Duracion de vida de 10 años</t>
  </si>
  <si>
    <t>Duracion de vida de 5 años</t>
  </si>
  <si>
    <t>de los activos</t>
  </si>
  <si>
    <t>Costo de operacion de busetas</t>
  </si>
  <si>
    <t>USD /km recorrido</t>
  </si>
  <si>
    <t>Activos iniciales - Depreciacion 50 años</t>
  </si>
  <si>
    <t>Activos iniciales - Depreciacion 40 años</t>
  </si>
  <si>
    <t>Activos iniciales - Depreciacion 15 años</t>
  </si>
  <si>
    <t>Activos iniciales - Depreciacion 10 años</t>
  </si>
  <si>
    <t>Activos iniciales - Depreciacion 5 años</t>
  </si>
  <si>
    <t>Activos nuevos 1 - Depreciacion 10 años</t>
  </si>
  <si>
    <t>Activos nuevos 1 - Valor residual</t>
  </si>
  <si>
    <t>Activos nuevos 2 - Valor residual</t>
  </si>
  <si>
    <t>Activos nuevos 3 - Depreciacion 10 años</t>
  </si>
  <si>
    <t>Activos nuevos 3 - Valor residual</t>
  </si>
  <si>
    <t>Activos nuevos 4 - Valor residual</t>
  </si>
  <si>
    <t>Activos nuevos 2 - Depreciacion 15 años</t>
  </si>
  <si>
    <t>Activos nuevos 4 - Depreciacion 15 años</t>
  </si>
  <si>
    <t>Activos iniciales - Valor residual</t>
  </si>
  <si>
    <t>ESCENARIO DE BASE - TARIFA 0,75$</t>
  </si>
  <si>
    <t xml:space="preserve">ESCENARIO DE BASE - TARIFA 1,00$ </t>
  </si>
  <si>
    <t xml:space="preserve">ESCENARIO DE BASE - TARIFA 1,25$ </t>
  </si>
  <si>
    <t>ESCENARIO DE BASE - TARIFA 1,45$</t>
  </si>
  <si>
    <t>IVA</t>
  </si>
  <si>
    <t>Tarifa con IVA</t>
  </si>
  <si>
    <t>Compra de buses alimentadores para Samborondon (12 m)</t>
  </si>
  <si>
    <t>Compra de buses alimentadores para Duran (12 m)</t>
  </si>
  <si>
    <t>Tarifa sin IVA</t>
  </si>
  <si>
    <t>Infraestructura de lineas (fundaciones, postes y cables)</t>
  </si>
  <si>
    <t>Fiscalizacion del proyecto</t>
  </si>
  <si>
    <t>Supervision de obras</t>
  </si>
  <si>
    <t>Tarifa 1</t>
  </si>
  <si>
    <t>Tarifa 2</t>
  </si>
  <si>
    <t>Tarifa 3</t>
  </si>
  <si>
    <t>Tarifa 4</t>
  </si>
  <si>
    <t>Tarifa 5</t>
  </si>
  <si>
    <t>Estacion Duran (Terminal)</t>
  </si>
  <si>
    <t>Edificio - Estacion Duran (Terminal)</t>
  </si>
  <si>
    <t>Estudios y diseños</t>
  </si>
  <si>
    <t>Equipamientos</t>
  </si>
  <si>
    <t xml:space="preserve">Centro(s) de mantenimiento </t>
  </si>
  <si>
    <t>Proteccion anti-incendios de edificios (+ decontaminacion)</t>
  </si>
  <si>
    <t>Estudios y supervision de obras</t>
  </si>
  <si>
    <t>Provisiones - Compra de terrenos para estaciones y servidumbres</t>
  </si>
  <si>
    <t>Provisiones - Fiscalizacion y tramites administrativos</t>
  </si>
  <si>
    <t>TOTAL (sin provisiones / con contingencias)</t>
  </si>
  <si>
    <t>TOTAL (sin provisiones / sin contingencias)</t>
  </si>
  <si>
    <t>ALTERNATIVA 4</t>
  </si>
  <si>
    <t>ALTERNATIVA 20</t>
  </si>
  <si>
    <t>Bus 12m</t>
  </si>
  <si>
    <t>Alternativa 4</t>
  </si>
  <si>
    <t>Alternativa 20</t>
  </si>
  <si>
    <t>Alternativa 22</t>
  </si>
  <si>
    <t>Alternativa 4 - Local</t>
  </si>
  <si>
    <t>Alternativa 4 - Extranjero</t>
  </si>
  <si>
    <t>Alternativa 22 - Local</t>
  </si>
  <si>
    <t>Alternativa 22 - Extranjero</t>
  </si>
  <si>
    <t>0,6$</t>
  </si>
  <si>
    <t xml:space="preserve">ESCENARIO DE BASE - TARIFA 0,60$ </t>
  </si>
  <si>
    <t>Tarifa de 0,60$ (USD 2019)</t>
  </si>
  <si>
    <t>Edificio - Estacion Samborondon</t>
  </si>
  <si>
    <t>Edificio - Estacion Puerto Santa Ana (Norte)</t>
  </si>
  <si>
    <t>Estacion Samborondon</t>
  </si>
  <si>
    <t>ACTIVAR MACRO PARA ACCEDER ALCONTENIDO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</si>
</sst>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€_-;\-* #,##0.00\ _€_-;_-* &quot;-&quot;??\ _€_-;_-@_-"/>
    <numFmt numFmtId="164" formatCode="[$$-1009]#,##0;[Red][$$-1009]#,##0"/>
    <numFmt numFmtId="165" formatCode="#,##0\ &quot;$&quot;"/>
    <numFmt numFmtId="166" formatCode="[$$-1009]#,##0"/>
    <numFmt numFmtId="167" formatCode="0.0%"/>
    <numFmt numFmtId="168" formatCode="#,##0_ ;\-#,##0\ "/>
    <numFmt numFmtId="169" formatCode="0.0"/>
    <numFmt numFmtId="170" formatCode="[$$-409]#,##0"/>
    <numFmt numFmtId="171" formatCode="_(* #,##0_);_(* \(#,##0\);_(* &quot;-&quot;??_);_(@_)"/>
    <numFmt numFmtId="172" formatCode="[$$-409]#,##0.00"/>
    <numFmt numFmtId="173" formatCode="_-* #,##0\ _€_-;\-* #,##0\ _€_-;_-* &quot;-&quot;??\ _€_-;_-@_-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i/>
      <sz val="14"/>
      <color indexed="8"/>
      <name val="Calibri"/>
      <family val="2"/>
    </font>
    <font>
      <b/>
      <i/>
      <sz val="12"/>
      <color indexed="55"/>
      <name val="Calibri"/>
      <family val="2"/>
    </font>
    <font>
      <b/>
      <i/>
      <sz val="12"/>
      <color indexed="8"/>
      <name val="Calibri"/>
      <family val="2"/>
    </font>
    <font>
      <sz val="10"/>
      <name val="Arial"/>
      <family val="2"/>
    </font>
    <font>
      <b/>
      <i/>
      <sz val="12"/>
      <name val="Calibri"/>
      <family val="2"/>
    </font>
    <font>
      <b/>
      <i/>
      <sz val="12"/>
      <color theme="0"/>
      <name val="Calibri"/>
      <family val="2"/>
    </font>
    <font>
      <b/>
      <sz val="12"/>
      <color indexed="8"/>
      <name val="Calibri"/>
      <family val="2"/>
    </font>
    <font>
      <b/>
      <sz val="12"/>
      <color theme="0"/>
      <name val="Calibri"/>
      <family val="2"/>
    </font>
    <font>
      <sz val="12"/>
      <name val="Calibri"/>
      <family val="2"/>
    </font>
    <font>
      <sz val="10"/>
      <color indexed="9"/>
      <name val="Verdana"/>
      <family val="2"/>
    </font>
    <font>
      <b/>
      <i/>
      <sz val="10"/>
      <name val="Verdana"/>
      <family val="2"/>
    </font>
    <font>
      <b/>
      <sz val="10"/>
      <name val="Verdana"/>
      <family val="2"/>
    </font>
    <font>
      <b/>
      <sz val="12"/>
      <color indexed="8"/>
      <name val="Verdan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Verdana"/>
      <family val="2"/>
    </font>
    <font>
      <i/>
      <sz val="10"/>
      <name val="Arial"/>
      <family val="2"/>
    </font>
    <font>
      <b/>
      <i/>
      <sz val="12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b/>
      <i/>
      <sz val="10"/>
      <name val="Arial"/>
      <family val="2"/>
    </font>
    <font>
      <b/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i/>
      <sz val="12"/>
      <color theme="1"/>
      <name val="Calibri"/>
      <family val="2"/>
    </font>
    <font>
      <b/>
      <sz val="10"/>
      <color theme="1"/>
      <name val="Arial"/>
      <family val="2"/>
    </font>
    <font>
      <i/>
      <sz val="10"/>
      <color indexed="8"/>
      <name val="Calibri"/>
      <family val="2"/>
    </font>
    <font>
      <sz val="10"/>
      <color theme="1"/>
      <name val="Verdana"/>
      <family val="2"/>
    </font>
    <font>
      <sz val="10"/>
      <color theme="0" tint="-0.499984740745262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sz val="10"/>
      <color theme="1"/>
      <name val="Trebuchet MS"/>
      <family val="2"/>
    </font>
    <font>
      <i/>
      <sz val="10"/>
      <name val="Trebuchet MS"/>
      <family val="2"/>
    </font>
    <font>
      <sz val="10"/>
      <color rgb="FF0000FF"/>
      <name val="Trebuchet MS"/>
      <family val="2"/>
    </font>
    <font>
      <sz val="10"/>
      <color theme="7" tint="0.39997558519241921"/>
      <name val="Trebuchet MS"/>
      <family val="2"/>
    </font>
    <font>
      <b/>
      <sz val="10"/>
      <color theme="1"/>
      <name val="Trebuchet MS"/>
      <family val="2"/>
    </font>
    <font>
      <sz val="10"/>
      <name val="Trebuchet MS"/>
      <family val="2"/>
    </font>
    <font>
      <sz val="10"/>
      <color theme="1"/>
      <name val="Calibri"/>
      <family val="2"/>
    </font>
    <font>
      <b/>
      <sz val="1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i/>
      <sz val="10"/>
      <name val="Trebuchet MS"/>
      <family val="2"/>
    </font>
    <font>
      <b/>
      <sz val="12"/>
      <color theme="1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</font>
    <font>
      <b/>
      <sz val="10"/>
      <color theme="0" tint="-0.499984740745262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0"/>
      <color indexed="9"/>
      <name val="Verdana"/>
      <family val="2"/>
    </font>
    <font>
      <sz val="10"/>
      <color theme="0" tint="-0.499984740745262"/>
      <name val="Verdana"/>
      <family val="2"/>
    </font>
    <font>
      <b/>
      <sz val="12"/>
      <color theme="0" tint="-0.499984740745262"/>
      <name val="Verdana"/>
      <family val="2"/>
    </font>
    <font>
      <b/>
      <sz val="10"/>
      <color theme="0" tint="-0.499984740745262"/>
      <name val="Verdana"/>
      <family val="2"/>
    </font>
    <font>
      <sz val="10"/>
      <color theme="0" tint="-0.34998626667073579"/>
      <name val="Verdana"/>
      <family val="2"/>
    </font>
    <font>
      <b/>
      <sz val="11"/>
      <color theme="0" tint="-0.499984740745262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2"/>
      <color theme="0"/>
      <name val="Calibri"/>
      <family val="2"/>
    </font>
    <font>
      <b/>
      <sz val="14"/>
      <color theme="0"/>
      <name val="Calibri"/>
      <family val="2"/>
    </font>
    <font>
      <b/>
      <sz val="14"/>
      <name val="Calibri"/>
      <family val="2"/>
    </font>
    <font>
      <b/>
      <sz val="1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B8088A"/>
        <bgColor indexed="64"/>
      </patternFill>
    </fill>
    <fill>
      <patternFill patternType="solid">
        <fgColor rgb="FFFC04D9"/>
        <bgColor indexed="64"/>
      </patternFill>
    </fill>
    <fill>
      <patternFill patternType="solid">
        <fgColor rgb="FF33FC24"/>
        <bgColor indexed="64"/>
      </patternFill>
    </fill>
    <fill>
      <patternFill patternType="solid">
        <fgColor rgb="FF00FF0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</cellStyleXfs>
  <cellXfs count="1122">
    <xf numFmtId="0" fontId="0" fillId="0" borderId="0" xfId="0"/>
    <xf numFmtId="0" fontId="2" fillId="0" borderId="0" xfId="0" applyFont="1"/>
    <xf numFmtId="0" fontId="4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Fill="1" applyBorder="1" applyAlignment="1">
      <alignment horizontal="center"/>
    </xf>
    <xf numFmtId="164" fontId="0" fillId="0" borderId="0" xfId="0" applyNumberFormat="1" applyFont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0" fillId="0" borderId="0" xfId="0" applyBorder="1"/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165" fontId="2" fillId="0" borderId="10" xfId="0" applyNumberFormat="1" applyFont="1" applyBorder="1"/>
    <xf numFmtId="165" fontId="2" fillId="0" borderId="11" xfId="0" applyNumberFormat="1" applyFont="1" applyBorder="1"/>
    <xf numFmtId="0" fontId="14" fillId="0" borderId="0" xfId="0" applyFont="1"/>
    <xf numFmtId="0" fontId="2" fillId="0" borderId="0" xfId="0" applyFont="1" applyFill="1" applyBorder="1" applyAlignment="1">
      <alignment horizontal="left"/>
    </xf>
    <xf numFmtId="0" fontId="16" fillId="8" borderId="0" xfId="0" applyFont="1" applyFill="1" applyBorder="1" applyAlignment="1">
      <alignment horizontal="left"/>
    </xf>
    <xf numFmtId="9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vertical="top" wrapText="1"/>
    </xf>
    <xf numFmtId="0" fontId="18" fillId="0" borderId="0" xfId="0" applyFont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9" borderId="3" xfId="0" applyFill="1" applyBorder="1" applyAlignment="1">
      <alignment vertical="top" wrapText="1"/>
    </xf>
    <xf numFmtId="166" fontId="0" fillId="0" borderId="0" xfId="0" applyNumberFormat="1" applyBorder="1" applyAlignment="1">
      <alignment vertical="top" wrapText="1"/>
    </xf>
    <xf numFmtId="166" fontId="0" fillId="0" borderId="19" xfId="0" applyNumberFormat="1" applyBorder="1" applyAlignment="1">
      <alignment vertical="top" wrapText="1"/>
    </xf>
    <xf numFmtId="166" fontId="0" fillId="0" borderId="24" xfId="0" applyNumberFormat="1" applyBorder="1" applyAlignment="1">
      <alignment vertical="top" wrapText="1"/>
    </xf>
    <xf numFmtId="166" fontId="0" fillId="9" borderId="5" xfId="0" applyNumberFormat="1" applyFill="1" applyBorder="1" applyAlignment="1">
      <alignment vertical="top" wrapText="1"/>
    </xf>
    <xf numFmtId="0" fontId="2" fillId="0" borderId="0" xfId="0" applyFont="1" applyBorder="1"/>
    <xf numFmtId="0" fontId="15" fillId="0" borderId="13" xfId="0" applyFont="1" applyBorder="1"/>
    <xf numFmtId="0" fontId="2" fillId="0" borderId="1" xfId="0" applyFont="1" applyBorder="1"/>
    <xf numFmtId="0" fontId="2" fillId="0" borderId="22" xfId="0" applyFont="1" applyBorder="1"/>
    <xf numFmtId="0" fontId="17" fillId="0" borderId="0" xfId="0" applyFont="1"/>
    <xf numFmtId="0" fontId="2" fillId="0" borderId="0" xfId="0" applyFont="1" applyFill="1"/>
    <xf numFmtId="9" fontId="0" fillId="0" borderId="0" xfId="1" applyFont="1" applyAlignment="1">
      <alignment horizontal="left"/>
    </xf>
    <xf numFmtId="10" fontId="0" fillId="0" borderId="0" xfId="1" applyNumberFormat="1" applyFont="1" applyAlignment="1">
      <alignment horizontal="left"/>
    </xf>
    <xf numFmtId="0" fontId="0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0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164" fontId="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right"/>
    </xf>
    <xf numFmtId="0" fontId="8" fillId="0" borderId="0" xfId="0" applyFont="1" applyFill="1" applyBorder="1" applyAlignment="1">
      <alignment horizontal="center" vertical="center"/>
    </xf>
    <xf numFmtId="1" fontId="0" fillId="0" borderId="0" xfId="0" quotePrefix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0" fillId="0" borderId="42" xfId="0" applyBorder="1"/>
    <xf numFmtId="0" fontId="17" fillId="0" borderId="42" xfId="0" applyFont="1" applyBorder="1" applyAlignment="1">
      <alignment horizontal="left"/>
    </xf>
    <xf numFmtId="0" fontId="20" fillId="0" borderId="0" xfId="0" applyFont="1" applyFill="1" applyAlignment="1">
      <alignment horizontal="right"/>
    </xf>
    <xf numFmtId="0" fontId="3" fillId="0" borderId="12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1" fontId="3" fillId="0" borderId="12" xfId="0" applyNumberFormat="1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1" fontId="0" fillId="0" borderId="12" xfId="0" applyNumberFormat="1" applyFont="1" applyFill="1" applyBorder="1" applyAlignment="1">
      <alignment horizontal="center" vertical="center"/>
    </xf>
    <xf numFmtId="164" fontId="3" fillId="0" borderId="12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7" fillId="0" borderId="0" xfId="0" applyFont="1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center"/>
    </xf>
    <xf numFmtId="0" fontId="20" fillId="0" borderId="0" xfId="0" applyFont="1" applyBorder="1" applyAlignment="1">
      <alignment horizontal="right"/>
    </xf>
    <xf numFmtId="0" fontId="20" fillId="0" borderId="0" xfId="0" applyFont="1" applyFill="1" applyBorder="1" applyAlignment="1">
      <alignment horizontal="right"/>
    </xf>
    <xf numFmtId="0" fontId="3" fillId="0" borderId="0" xfId="0" applyFont="1" applyBorder="1" applyAlignment="1">
      <alignment horizontal="right"/>
    </xf>
    <xf numFmtId="1" fontId="0" fillId="0" borderId="0" xfId="0" applyNumberFormat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3" fillId="0" borderId="0" xfId="0" applyFont="1" applyBorder="1"/>
    <xf numFmtId="17" fontId="0" fillId="0" borderId="0" xfId="0" applyNumberFormat="1" applyBorder="1"/>
    <xf numFmtId="0" fontId="0" fillId="0" borderId="0" xfId="0" applyFill="1" applyBorder="1"/>
    <xf numFmtId="3" fontId="23" fillId="0" borderId="0" xfId="0" applyNumberFormat="1" applyFont="1" applyFill="1" applyBorder="1" applyAlignment="1">
      <alignment horizontal="center" vertical="center"/>
    </xf>
    <xf numFmtId="168" fontId="23" fillId="0" borderId="0" xfId="2" applyNumberFormat="1" applyFont="1" applyFill="1" applyBorder="1" applyAlignment="1">
      <alignment horizontal="center" vertical="center"/>
    </xf>
    <xf numFmtId="2" fontId="23" fillId="0" borderId="0" xfId="2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0" fontId="24" fillId="0" borderId="0" xfId="0" applyFont="1" applyAlignment="1">
      <alignment horizontal="right"/>
    </xf>
    <xf numFmtId="0" fontId="20" fillId="0" borderId="0" xfId="0" applyFont="1" applyFill="1" applyBorder="1" applyAlignment="1">
      <alignment horizontal="right" vertical="center"/>
    </xf>
    <xf numFmtId="1" fontId="3" fillId="0" borderId="43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12" borderId="10" xfId="0" applyFont="1" applyFill="1" applyBorder="1" applyAlignment="1">
      <alignment horizontal="center" vertical="center"/>
    </xf>
    <xf numFmtId="1" fontId="3" fillId="0" borderId="44" xfId="0" applyNumberFormat="1" applyFont="1" applyFill="1" applyBorder="1" applyAlignment="1">
      <alignment horizontal="center" vertical="center"/>
    </xf>
    <xf numFmtId="0" fontId="8" fillId="15" borderId="46" xfId="0" applyFont="1" applyFill="1" applyBorder="1" applyAlignment="1">
      <alignment horizontal="center" vertical="center"/>
    </xf>
    <xf numFmtId="0" fontId="8" fillId="15" borderId="47" xfId="0" applyFont="1" applyFill="1" applyBorder="1" applyAlignment="1">
      <alignment horizontal="center" vertical="center"/>
    </xf>
    <xf numFmtId="164" fontId="3" fillId="0" borderId="43" xfId="0" applyNumberFormat="1" applyFont="1" applyFill="1" applyBorder="1" applyAlignment="1">
      <alignment horizontal="center" vertical="center"/>
    </xf>
    <xf numFmtId="164" fontId="3" fillId="0" borderId="42" xfId="0" applyNumberFormat="1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45" xfId="0" applyFont="1" applyFill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center"/>
    </xf>
    <xf numFmtId="1" fontId="3" fillId="0" borderId="8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8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43" xfId="0" applyFont="1" applyFill="1" applyBorder="1" applyAlignment="1">
      <alignment horizontal="center" vertical="center"/>
    </xf>
    <xf numFmtId="0" fontId="0" fillId="0" borderId="44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Alignment="1">
      <alignment horizontal="left"/>
    </xf>
    <xf numFmtId="164" fontId="0" fillId="0" borderId="11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" fontId="0" fillId="0" borderId="44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 vertical="center"/>
    </xf>
    <xf numFmtId="164" fontId="3" fillId="0" borderId="6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0" fillId="0" borderId="0" xfId="0" applyNumberFormat="1" applyFont="1" applyFill="1" applyAlignment="1">
      <alignment horizontal="left"/>
    </xf>
    <xf numFmtId="3" fontId="0" fillId="0" borderId="12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left"/>
    </xf>
    <xf numFmtId="9" fontId="3" fillId="0" borderId="0" xfId="0" applyNumberFormat="1" applyFont="1" applyFill="1" applyBorder="1" applyAlignment="1">
      <alignment horizontal="center"/>
    </xf>
    <xf numFmtId="9" fontId="3" fillId="0" borderId="0" xfId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164" fontId="0" fillId="0" borderId="12" xfId="0" applyNumberFormat="1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left"/>
    </xf>
    <xf numFmtId="0" fontId="21" fillId="0" borderId="2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9" fontId="0" fillId="0" borderId="0" xfId="0" applyNumberFormat="1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0" xfId="0" applyFill="1"/>
    <xf numFmtId="0" fontId="4" fillId="0" borderId="0" xfId="0" applyFont="1" applyFill="1"/>
    <xf numFmtId="0" fontId="25" fillId="0" borderId="0" xfId="0" applyFont="1" applyFill="1" applyBorder="1" applyAlignment="1">
      <alignment horizontal="left"/>
    </xf>
    <xf numFmtId="0" fontId="10" fillId="0" borderId="0" xfId="0" applyFont="1" applyFill="1" applyAlignment="1">
      <alignment horizontal="right"/>
    </xf>
    <xf numFmtId="169" fontId="0" fillId="0" borderId="0" xfId="0" applyNumberFormat="1" applyBorder="1" applyAlignment="1">
      <alignment horizont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Border="1"/>
    <xf numFmtId="3" fontId="0" fillId="0" borderId="0" xfId="0" applyNumberFormat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/>
    </xf>
    <xf numFmtId="3" fontId="18" fillId="0" borderId="0" xfId="0" applyNumberFormat="1" applyFont="1"/>
    <xf numFmtId="0" fontId="8" fillId="0" borderId="0" xfId="0" applyFont="1" applyFill="1" applyBorder="1" applyAlignment="1">
      <alignment horizontal="center"/>
    </xf>
    <xf numFmtId="9" fontId="0" fillId="0" borderId="0" xfId="0" applyNumberFormat="1" applyFill="1" applyAlignment="1">
      <alignment horizontal="center"/>
    </xf>
    <xf numFmtId="164" fontId="3" fillId="0" borderId="20" xfId="0" applyNumberFormat="1" applyFont="1" applyFill="1" applyBorder="1" applyAlignment="1">
      <alignment horizontal="center" vertical="center"/>
    </xf>
    <xf numFmtId="164" fontId="3" fillId="0" borderId="19" xfId="0" applyNumberFormat="1" applyFont="1" applyFill="1" applyBorder="1" applyAlignment="1">
      <alignment horizontal="center" vertical="center"/>
    </xf>
    <xf numFmtId="164" fontId="17" fillId="0" borderId="21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center"/>
    </xf>
    <xf numFmtId="1" fontId="17" fillId="0" borderId="0" xfId="0" applyNumberFormat="1" applyFont="1" applyBorder="1" applyAlignment="1">
      <alignment horizontal="center" vertical="center"/>
    </xf>
    <xf numFmtId="10" fontId="0" fillId="0" borderId="0" xfId="0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Border="1" applyAlignment="1">
      <alignment wrapText="1"/>
    </xf>
    <xf numFmtId="165" fontId="2" fillId="0" borderId="0" xfId="0" applyNumberFormat="1" applyFont="1" applyBorder="1"/>
    <xf numFmtId="165" fontId="15" fillId="0" borderId="29" xfId="0" applyNumberFormat="1" applyFont="1" applyBorder="1" applyAlignment="1">
      <alignment horizontal="center" vertical="center"/>
    </xf>
    <xf numFmtId="165" fontId="15" fillId="0" borderId="30" xfId="0" applyNumberFormat="1" applyFont="1" applyBorder="1" applyAlignment="1">
      <alignment horizontal="center" vertical="center"/>
    </xf>
    <xf numFmtId="165" fontId="2" fillId="17" borderId="11" xfId="0" applyNumberFormat="1" applyFont="1" applyFill="1" applyBorder="1"/>
    <xf numFmtId="0" fontId="13" fillId="0" borderId="0" xfId="0" applyFont="1" applyFill="1" applyBorder="1" applyAlignment="1">
      <alignment vertical="center"/>
    </xf>
    <xf numFmtId="0" fontId="13" fillId="7" borderId="55" xfId="0" applyFont="1" applyFill="1" applyBorder="1" applyAlignment="1">
      <alignment horizontal="center" vertical="center"/>
    </xf>
    <xf numFmtId="0" fontId="13" fillId="7" borderId="56" xfId="0" applyFont="1" applyFill="1" applyBorder="1" applyAlignment="1">
      <alignment horizontal="center" vertical="center"/>
    </xf>
    <xf numFmtId="165" fontId="2" fillId="0" borderId="48" xfId="0" applyNumberFormat="1" applyFont="1" applyBorder="1"/>
    <xf numFmtId="165" fontId="2" fillId="0" borderId="20" xfId="0" applyNumberFormat="1" applyFont="1" applyBorder="1"/>
    <xf numFmtId="165" fontId="2" fillId="0" borderId="2" xfId="0" applyNumberFormat="1" applyFont="1" applyBorder="1"/>
    <xf numFmtId="165" fontId="2" fillId="17" borderId="48" xfId="0" applyNumberFormat="1" applyFont="1" applyFill="1" applyBorder="1"/>
    <xf numFmtId="164" fontId="11" fillId="0" borderId="2" xfId="0" applyNumberFormat="1" applyFont="1" applyFill="1" applyBorder="1" applyAlignment="1">
      <alignment horizontal="center" vertical="center"/>
    </xf>
    <xf numFmtId="0" fontId="13" fillId="7" borderId="54" xfId="0" applyFont="1" applyFill="1" applyBorder="1" applyAlignment="1">
      <alignment horizontal="center" vertical="center"/>
    </xf>
    <xf numFmtId="165" fontId="2" fillId="0" borderId="37" xfId="0" applyNumberFormat="1" applyFont="1" applyBorder="1"/>
    <xf numFmtId="165" fontId="15" fillId="0" borderId="57" xfId="0" applyNumberFormat="1" applyFont="1" applyBorder="1" applyAlignment="1">
      <alignment horizontal="center" vertical="center"/>
    </xf>
    <xf numFmtId="165" fontId="2" fillId="17" borderId="37" xfId="0" applyNumberFormat="1" applyFont="1" applyFill="1" applyBorder="1"/>
    <xf numFmtId="164" fontId="11" fillId="0" borderId="1" xfId="0" applyNumberFormat="1" applyFont="1" applyFill="1" applyBorder="1" applyAlignment="1">
      <alignment horizontal="center" vertical="center"/>
    </xf>
    <xf numFmtId="164" fontId="11" fillId="5" borderId="22" xfId="0" applyNumberFormat="1" applyFont="1" applyFill="1" applyBorder="1" applyAlignment="1">
      <alignment horizontal="center" vertical="center"/>
    </xf>
    <xf numFmtId="3" fontId="3" fillId="0" borderId="37" xfId="0" applyNumberFormat="1" applyFont="1" applyBorder="1"/>
    <xf numFmtId="165" fontId="2" fillId="0" borderId="0" xfId="0" applyNumberFormat="1" applyFont="1" applyFill="1"/>
    <xf numFmtId="1" fontId="0" fillId="0" borderId="0" xfId="0" applyNumberFormat="1" applyFill="1" applyBorder="1" applyAlignment="1">
      <alignment horizontal="center"/>
    </xf>
    <xf numFmtId="0" fontId="0" fillId="0" borderId="60" xfId="0" applyBorder="1" applyAlignment="1">
      <alignment vertical="top" wrapText="1"/>
    </xf>
    <xf numFmtId="0" fontId="18" fillId="3" borderId="3" xfId="0" applyFont="1" applyFill="1" applyBorder="1" applyAlignment="1">
      <alignment vertical="top" wrapText="1"/>
    </xf>
    <xf numFmtId="0" fontId="0" fillId="0" borderId="46" xfId="0" applyBorder="1" applyAlignment="1">
      <alignment horizontal="center" vertical="top" wrapText="1"/>
    </xf>
    <xf numFmtId="0" fontId="0" fillId="0" borderId="52" xfId="0" applyBorder="1" applyAlignment="1">
      <alignment horizontal="center" vertical="top" wrapText="1"/>
    </xf>
    <xf numFmtId="1" fontId="0" fillId="9" borderId="29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 wrapText="1"/>
    </xf>
    <xf numFmtId="1" fontId="0" fillId="0" borderId="0" xfId="0" applyNumberFormat="1" applyFill="1" applyBorder="1" applyAlignment="1">
      <alignment horizontal="center" vertical="top" wrapText="1"/>
    </xf>
    <xf numFmtId="0" fontId="0" fillId="0" borderId="62" xfId="0" applyBorder="1" applyAlignment="1">
      <alignment vertical="top" wrapText="1"/>
    </xf>
    <xf numFmtId="0" fontId="0" fillId="9" borderId="4" xfId="0" applyFill="1" applyBorder="1" applyAlignment="1">
      <alignment vertical="top" wrapText="1"/>
    </xf>
    <xf numFmtId="170" fontId="18" fillId="3" borderId="19" xfId="0" applyNumberFormat="1" applyFont="1" applyFill="1" applyBorder="1" applyAlignment="1">
      <alignment horizontal="center" vertical="center" wrapText="1"/>
    </xf>
    <xf numFmtId="170" fontId="18" fillId="3" borderId="21" xfId="0" applyNumberFormat="1" applyFont="1" applyFill="1" applyBorder="1" applyAlignment="1">
      <alignment horizontal="center" vertical="center" wrapText="1"/>
    </xf>
    <xf numFmtId="166" fontId="0" fillId="0" borderId="21" xfId="0" applyNumberFormat="1" applyBorder="1" applyAlignment="1">
      <alignment vertical="top" wrapText="1"/>
    </xf>
    <xf numFmtId="166" fontId="0" fillId="0" borderId="26" xfId="0" applyNumberFormat="1" applyBorder="1" applyAlignment="1">
      <alignment vertical="top" wrapText="1"/>
    </xf>
    <xf numFmtId="170" fontId="18" fillId="3" borderId="15" xfId="0" applyNumberFormat="1" applyFont="1" applyFill="1" applyBorder="1" applyAlignment="1">
      <alignment horizontal="center" vertical="center" wrapText="1"/>
    </xf>
    <xf numFmtId="170" fontId="18" fillId="3" borderId="17" xfId="0" applyNumberFormat="1" applyFont="1" applyFill="1" applyBorder="1" applyAlignment="1">
      <alignment horizontal="center" vertical="center" wrapText="1"/>
    </xf>
    <xf numFmtId="170" fontId="18" fillId="3" borderId="41" xfId="0" applyNumberFormat="1" applyFont="1" applyFill="1" applyBorder="1" applyAlignment="1">
      <alignment horizontal="center" vertical="center" wrapText="1"/>
    </xf>
    <xf numFmtId="170" fontId="18" fillId="3" borderId="49" xfId="0" applyNumberFormat="1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18" fillId="3" borderId="17" xfId="0" applyFont="1" applyFill="1" applyBorder="1" applyAlignment="1">
      <alignment vertical="top" wrapText="1"/>
    </xf>
    <xf numFmtId="169" fontId="18" fillId="3" borderId="17" xfId="0" applyNumberFormat="1" applyFont="1" applyFill="1" applyBorder="1" applyAlignment="1">
      <alignment vertical="top" wrapText="1"/>
    </xf>
    <xf numFmtId="166" fontId="17" fillId="9" borderId="57" xfId="0" applyNumberFormat="1" applyFont="1" applyFill="1" applyBorder="1" applyAlignment="1">
      <alignment horizontal="center" vertical="top" wrapText="1"/>
    </xf>
    <xf numFmtId="166" fontId="17" fillId="9" borderId="5" xfId="0" applyNumberFormat="1" applyFont="1" applyFill="1" applyBorder="1" applyAlignment="1">
      <alignment horizontal="center" vertical="top" wrapText="1"/>
    </xf>
    <xf numFmtId="0" fontId="18" fillId="3" borderId="61" xfId="0" applyFont="1" applyFill="1" applyBorder="1" applyAlignment="1">
      <alignment vertical="top" wrapText="1"/>
    </xf>
    <xf numFmtId="0" fontId="0" fillId="0" borderId="43" xfId="0" applyBorder="1" applyAlignment="1">
      <alignment horizontal="center" vertical="top" wrapText="1"/>
    </xf>
    <xf numFmtId="0" fontId="18" fillId="3" borderId="57" xfId="0" applyFont="1" applyFill="1" applyBorder="1" applyAlignment="1">
      <alignment vertical="top" wrapText="1"/>
    </xf>
    <xf numFmtId="0" fontId="18" fillId="3" borderId="57" xfId="0" applyFont="1" applyFill="1" applyBorder="1" applyAlignment="1">
      <alignment horizontal="center" vertical="top" wrapText="1"/>
    </xf>
    <xf numFmtId="0" fontId="8" fillId="15" borderId="13" xfId="0" applyFont="1" applyFill="1" applyBorder="1" applyAlignment="1">
      <alignment horizontal="center" vertical="center"/>
    </xf>
    <xf numFmtId="0" fontId="8" fillId="15" borderId="18" xfId="0" applyFont="1" applyFill="1" applyBorder="1" applyAlignment="1">
      <alignment horizontal="center" vertical="center"/>
    </xf>
    <xf numFmtId="165" fontId="2" fillId="0" borderId="20" xfId="0" applyNumberFormat="1" applyFont="1" applyFill="1" applyBorder="1"/>
    <xf numFmtId="0" fontId="13" fillId="7" borderId="20" xfId="0" applyFont="1" applyFill="1" applyBorder="1" applyAlignment="1">
      <alignment horizontal="left" vertical="center"/>
    </xf>
    <xf numFmtId="0" fontId="13" fillId="7" borderId="20" xfId="0" applyFont="1" applyFill="1" applyBorder="1" applyAlignment="1">
      <alignment horizontal="center" vertical="center"/>
    </xf>
    <xf numFmtId="0" fontId="2" fillId="0" borderId="20" xfId="0" applyFont="1" applyBorder="1"/>
    <xf numFmtId="0" fontId="19" fillId="0" borderId="20" xfId="0" applyFont="1" applyBorder="1"/>
    <xf numFmtId="0" fontId="14" fillId="0" borderId="20" xfId="0" applyFont="1" applyBorder="1"/>
    <xf numFmtId="0" fontId="2" fillId="0" borderId="20" xfId="0" applyFont="1" applyBorder="1" applyAlignment="1">
      <alignment wrapText="1"/>
    </xf>
    <xf numFmtId="0" fontId="15" fillId="0" borderId="20" xfId="0" applyFont="1" applyBorder="1"/>
    <xf numFmtId="0" fontId="2" fillId="0" borderId="20" xfId="0" applyFont="1" applyFill="1" applyBorder="1"/>
    <xf numFmtId="165" fontId="15" fillId="0" borderId="20" xfId="0" applyNumberFormat="1" applyFont="1" applyBorder="1"/>
    <xf numFmtId="0" fontId="0" fillId="12" borderId="0" xfId="0" applyFill="1"/>
    <xf numFmtId="3" fontId="0" fillId="0" borderId="0" xfId="0" applyNumberFormat="1" applyFill="1" applyBorder="1"/>
    <xf numFmtId="3" fontId="27" fillId="0" borderId="0" xfId="0" applyNumberFormat="1" applyFont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3" fontId="27" fillId="0" borderId="2" xfId="0" applyNumberFormat="1" applyFont="1" applyBorder="1" applyAlignment="1">
      <alignment horizontal="center" vertical="center"/>
    </xf>
    <xf numFmtId="3" fontId="18" fillId="0" borderId="2" xfId="0" applyNumberFormat="1" applyFont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0" borderId="0" xfId="0" applyNumberFormat="1" applyFill="1"/>
    <xf numFmtId="0" fontId="8" fillId="0" borderId="0" xfId="0" applyFont="1" applyFill="1" applyBorder="1" applyAlignment="1">
      <alignment horizontal="center" vertical="center"/>
    </xf>
    <xf numFmtId="4" fontId="0" fillId="0" borderId="0" xfId="0" applyNumberFormat="1" applyBorder="1"/>
    <xf numFmtId="9" fontId="0" fillId="0" borderId="0" xfId="0" applyNumberFormat="1"/>
    <xf numFmtId="0" fontId="8" fillId="15" borderId="20" xfId="0" applyFon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0" fontId="17" fillId="18" borderId="0" xfId="0" applyFont="1" applyFill="1" applyAlignment="1">
      <alignment horizontal="center"/>
    </xf>
    <xf numFmtId="1" fontId="20" fillId="18" borderId="0" xfId="0" applyNumberFormat="1" applyFont="1" applyFill="1" applyAlignment="1">
      <alignment horizontal="center"/>
    </xf>
    <xf numFmtId="1" fontId="0" fillId="18" borderId="0" xfId="0" applyNumberFormat="1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Fill="1" applyBorder="1" applyAlignment="1">
      <alignment horizontal="center"/>
    </xf>
    <xf numFmtId="0" fontId="8" fillId="0" borderId="43" xfId="0" applyFont="1" applyFill="1" applyBorder="1" applyAlignment="1">
      <alignment horizontal="center" vertical="center"/>
    </xf>
    <xf numFmtId="0" fontId="0" fillId="18" borderId="0" xfId="0" applyFill="1" applyAlignment="1">
      <alignment horizontal="left"/>
    </xf>
    <xf numFmtId="1" fontId="3" fillId="0" borderId="0" xfId="0" applyNumberFormat="1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13" fillId="7" borderId="64" xfId="0" applyFont="1" applyFill="1" applyBorder="1" applyAlignment="1">
      <alignment vertical="center"/>
    </xf>
    <xf numFmtId="0" fontId="2" fillId="0" borderId="65" xfId="0" applyFont="1" applyBorder="1" applyAlignment="1">
      <alignment wrapText="1"/>
    </xf>
    <xf numFmtId="0" fontId="10" fillId="2" borderId="63" xfId="0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left" vertical="center"/>
    </xf>
    <xf numFmtId="0" fontId="3" fillId="0" borderId="65" xfId="0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left" vertical="center"/>
    </xf>
    <xf numFmtId="0" fontId="3" fillId="0" borderId="65" xfId="0" applyFont="1" applyFill="1" applyBorder="1" applyAlignment="1">
      <alignment horizontal="left" vertical="center" wrapText="1"/>
    </xf>
    <xf numFmtId="0" fontId="17" fillId="16" borderId="65" xfId="0" applyFont="1" applyFill="1" applyBorder="1" applyAlignment="1">
      <alignment horizontal="left" vertical="center"/>
    </xf>
    <xf numFmtId="0" fontId="17" fillId="0" borderId="65" xfId="0" applyFont="1" applyFill="1" applyBorder="1" applyAlignment="1">
      <alignment horizontal="left" vertical="center"/>
    </xf>
    <xf numFmtId="0" fontId="10" fillId="2" borderId="67" xfId="0" applyFont="1" applyFill="1" applyBorder="1" applyAlignment="1">
      <alignment horizontal="left" vertical="center"/>
    </xf>
    <xf numFmtId="0" fontId="10" fillId="2" borderId="69" xfId="0" applyFont="1" applyFill="1" applyBorder="1" applyAlignment="1">
      <alignment horizontal="left" vertical="center"/>
    </xf>
    <xf numFmtId="0" fontId="3" fillId="0" borderId="64" xfId="0" applyFont="1" applyFill="1" applyBorder="1" applyAlignment="1">
      <alignment horizontal="left" vertical="center"/>
    </xf>
    <xf numFmtId="0" fontId="3" fillId="0" borderId="68" xfId="0" applyFont="1" applyFill="1" applyBorder="1" applyAlignment="1">
      <alignment horizontal="left" vertical="center"/>
    </xf>
    <xf numFmtId="0" fontId="11" fillId="5" borderId="65" xfId="0" applyFont="1" applyFill="1" applyBorder="1" applyAlignment="1">
      <alignment horizontal="left" vertical="center"/>
    </xf>
    <xf numFmtId="0" fontId="6" fillId="14" borderId="46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/>
    </xf>
    <xf numFmtId="0" fontId="10" fillId="14" borderId="46" xfId="0" applyFont="1" applyFill="1" applyBorder="1" applyAlignment="1">
      <alignment horizontal="left" vertical="center"/>
    </xf>
    <xf numFmtId="164" fontId="6" fillId="14" borderId="33" xfId="0" applyNumberFormat="1" applyFont="1" applyFill="1" applyBorder="1" applyAlignment="1">
      <alignment horizontal="center" vertical="center"/>
    </xf>
    <xf numFmtId="0" fontId="0" fillId="14" borderId="0" xfId="0" applyFill="1"/>
    <xf numFmtId="0" fontId="0" fillId="14" borderId="0" xfId="0" applyFont="1" applyFill="1" applyBorder="1" applyAlignment="1">
      <alignment horizontal="left"/>
    </xf>
    <xf numFmtId="0" fontId="0" fillId="14" borderId="0" xfId="0" applyFill="1" applyBorder="1"/>
    <xf numFmtId="0" fontId="17" fillId="14" borderId="0" xfId="0" applyFont="1" applyFill="1" applyAlignment="1">
      <alignment horizontal="center"/>
    </xf>
    <xf numFmtId="0" fontId="0" fillId="14" borderId="0" xfId="0" applyFont="1" applyFill="1" applyAlignment="1">
      <alignment horizontal="center"/>
    </xf>
    <xf numFmtId="9" fontId="3" fillId="14" borderId="0" xfId="0" applyNumberFormat="1" applyFont="1" applyFill="1" applyBorder="1" applyAlignment="1">
      <alignment horizontal="center"/>
    </xf>
    <xf numFmtId="0" fontId="3" fillId="14" borderId="0" xfId="0" applyFont="1" applyFill="1" applyBorder="1" applyAlignment="1">
      <alignment horizontal="center"/>
    </xf>
    <xf numFmtId="0" fontId="8" fillId="14" borderId="0" xfId="0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9" fontId="0" fillId="14" borderId="0" xfId="0" applyNumberFormat="1" applyFont="1" applyFill="1" applyBorder="1" applyAlignment="1">
      <alignment horizontal="center"/>
    </xf>
    <xf numFmtId="0" fontId="6" fillId="14" borderId="0" xfId="0" applyFont="1" applyFill="1" applyBorder="1" applyAlignment="1">
      <alignment horizontal="center"/>
    </xf>
    <xf numFmtId="9" fontId="0" fillId="14" borderId="0" xfId="0" applyNumberFormat="1" applyFill="1" applyAlignment="1">
      <alignment horizontal="center"/>
    </xf>
    <xf numFmtId="0" fontId="0" fillId="14" borderId="0" xfId="0" applyFill="1" applyBorder="1" applyAlignment="1">
      <alignment horizontal="center"/>
    </xf>
    <xf numFmtId="164" fontId="6" fillId="14" borderId="47" xfId="0" applyNumberFormat="1" applyFont="1" applyFill="1" applyBorder="1" applyAlignment="1">
      <alignment horizontal="center" vertical="center"/>
    </xf>
    <xf numFmtId="164" fontId="6" fillId="10" borderId="47" xfId="0" applyNumberFormat="1" applyFont="1" applyFill="1" applyBorder="1" applyAlignment="1">
      <alignment horizontal="center" vertical="center"/>
    </xf>
    <xf numFmtId="0" fontId="17" fillId="14" borderId="0" xfId="0" applyFont="1" applyFill="1" applyBorder="1" applyAlignment="1">
      <alignment horizontal="center"/>
    </xf>
    <xf numFmtId="0" fontId="36" fillId="19" borderId="20" xfId="0" applyFont="1" applyFill="1" applyBorder="1"/>
    <xf numFmtId="0" fontId="0" fillId="19" borderId="0" xfId="0" applyFill="1"/>
    <xf numFmtId="0" fontId="2" fillId="6" borderId="20" xfId="0" applyFont="1" applyFill="1" applyBorder="1" applyAlignment="1">
      <alignment horizontal="center" vertical="center" wrapText="1"/>
    </xf>
    <xf numFmtId="3" fontId="2" fillId="0" borderId="0" xfId="0" applyNumberFormat="1" applyFont="1"/>
    <xf numFmtId="0" fontId="36" fillId="19" borderId="0" xfId="0" applyFont="1" applyFill="1" applyBorder="1"/>
    <xf numFmtId="0" fontId="36" fillId="0" borderId="0" xfId="0" applyFont="1" applyFill="1" applyBorder="1"/>
    <xf numFmtId="0" fontId="0" fillId="19" borderId="0" xfId="0" applyFill="1" applyBorder="1"/>
    <xf numFmtId="0" fontId="38" fillId="19" borderId="0" xfId="0" applyFont="1" applyFill="1" applyBorder="1"/>
    <xf numFmtId="0" fontId="39" fillId="19" borderId="0" xfId="0" applyFont="1" applyFill="1" applyBorder="1"/>
    <xf numFmtId="0" fontId="40" fillId="19" borderId="0" xfId="0" applyFont="1" applyFill="1" applyBorder="1"/>
    <xf numFmtId="0" fontId="41" fillId="19" borderId="0" xfId="0" applyFont="1" applyFill="1" applyBorder="1"/>
    <xf numFmtId="0" fontId="36" fillId="19" borderId="0" xfId="0" applyFont="1" applyFill="1" applyBorder="1" applyAlignment="1"/>
    <xf numFmtId="0" fontId="37" fillId="19" borderId="0" xfId="0" applyFont="1" applyFill="1" applyBorder="1"/>
    <xf numFmtId="0" fontId="17" fillId="19" borderId="0" xfId="0" applyFont="1" applyFill="1" applyBorder="1"/>
    <xf numFmtId="0" fontId="40" fillId="12" borderId="0" xfId="0" applyFont="1" applyFill="1" applyBorder="1"/>
    <xf numFmtId="0" fontId="39" fillId="12" borderId="0" xfId="0" applyFont="1" applyFill="1" applyBorder="1"/>
    <xf numFmtId="0" fontId="38" fillId="12" borderId="0" xfId="0" applyFont="1" applyFill="1" applyBorder="1"/>
    <xf numFmtId="0" fontId="36" fillId="12" borderId="0" xfId="0" applyFont="1" applyFill="1" applyBorder="1"/>
    <xf numFmtId="0" fontId="0" fillId="12" borderId="0" xfId="0" applyFill="1" applyBorder="1"/>
    <xf numFmtId="0" fontId="3" fillId="19" borderId="20" xfId="0" applyFont="1" applyFill="1" applyBorder="1" applyAlignment="1">
      <alignment horizontal="center" vertical="center"/>
    </xf>
    <xf numFmtId="0" fontId="0" fillId="19" borderId="20" xfId="0" applyFont="1" applyFill="1" applyBorder="1" applyAlignment="1">
      <alignment horizontal="center" vertical="center"/>
    </xf>
    <xf numFmtId="0" fontId="43" fillId="19" borderId="20" xfId="0" applyFont="1" applyFill="1" applyBorder="1" applyAlignment="1">
      <alignment horizontal="left" vertical="center"/>
    </xf>
    <xf numFmtId="0" fontId="35" fillId="19" borderId="24" xfId="0" applyFont="1" applyFill="1" applyBorder="1" applyAlignment="1">
      <alignment horizontal="justify" vertical="center"/>
    </xf>
    <xf numFmtId="10" fontId="33" fillId="19" borderId="25" xfId="0" applyNumberFormat="1" applyFont="1" applyFill="1" applyBorder="1" applyAlignment="1">
      <alignment horizontal="center" vertical="center"/>
    </xf>
    <xf numFmtId="0" fontId="35" fillId="19" borderId="41" xfId="0" applyFont="1" applyFill="1" applyBorder="1" applyAlignment="1">
      <alignment horizontal="justify" vertical="center"/>
    </xf>
    <xf numFmtId="10" fontId="33" fillId="19" borderId="45" xfId="0" applyNumberFormat="1" applyFont="1" applyFill="1" applyBorder="1" applyAlignment="1">
      <alignment horizontal="center" vertical="center"/>
    </xf>
    <xf numFmtId="0" fontId="34" fillId="19" borderId="57" xfId="0" applyFont="1" applyFill="1" applyBorder="1" applyAlignment="1">
      <alignment horizontal="justify" vertical="center"/>
    </xf>
    <xf numFmtId="0" fontId="34" fillId="19" borderId="29" xfId="0" applyFont="1" applyFill="1" applyBorder="1" applyAlignment="1">
      <alignment horizontal="center" vertical="center"/>
    </xf>
    <xf numFmtId="0" fontId="34" fillId="19" borderId="30" xfId="0" applyFont="1" applyFill="1" applyBorder="1" applyAlignment="1">
      <alignment horizontal="center" vertical="center"/>
    </xf>
    <xf numFmtId="0" fontId="34" fillId="19" borderId="36" xfId="0" applyFont="1" applyFill="1" applyBorder="1" applyAlignment="1">
      <alignment horizontal="justify" vertical="center"/>
    </xf>
    <xf numFmtId="0" fontId="34" fillId="19" borderId="73" xfId="0" applyFont="1" applyFill="1" applyBorder="1" applyAlignment="1">
      <alignment horizontal="center" vertical="center"/>
    </xf>
    <xf numFmtId="0" fontId="34" fillId="19" borderId="53" xfId="0" applyFont="1" applyFill="1" applyBorder="1" applyAlignment="1">
      <alignment horizontal="center" vertical="center"/>
    </xf>
    <xf numFmtId="0" fontId="35" fillId="19" borderId="57" xfId="0" applyFont="1" applyFill="1" applyBorder="1" applyAlignment="1">
      <alignment horizontal="justify" vertical="center"/>
    </xf>
    <xf numFmtId="0" fontId="35" fillId="19" borderId="15" xfId="0" applyFont="1" applyFill="1" applyBorder="1" applyAlignment="1">
      <alignment horizontal="justify" vertical="center"/>
    </xf>
    <xf numFmtId="3" fontId="0" fillId="18" borderId="0" xfId="0" applyNumberFormat="1" applyFill="1" applyBorder="1" applyAlignment="1">
      <alignment horizontal="center"/>
    </xf>
    <xf numFmtId="0" fontId="10" fillId="14" borderId="3" xfId="0" applyFont="1" applyFill="1" applyBorder="1" applyAlignment="1">
      <alignment horizontal="left" vertical="center" wrapText="1"/>
    </xf>
    <xf numFmtId="0" fontId="6" fillId="14" borderId="63" xfId="0" applyFont="1" applyFill="1" applyBorder="1" applyAlignment="1">
      <alignment horizontal="center" vertical="center"/>
    </xf>
    <xf numFmtId="0" fontId="10" fillId="14" borderId="3" xfId="0" applyFont="1" applyFill="1" applyBorder="1" applyAlignment="1">
      <alignment horizontal="left" vertical="center"/>
    </xf>
    <xf numFmtId="9" fontId="36" fillId="18" borderId="20" xfId="0" applyNumberFormat="1" applyFont="1" applyFill="1" applyBorder="1" applyAlignment="1">
      <alignment horizontal="center"/>
    </xf>
    <xf numFmtId="170" fontId="36" fillId="18" borderId="20" xfId="0" applyNumberFormat="1" applyFont="1" applyFill="1" applyBorder="1" applyAlignment="1">
      <alignment horizontal="center"/>
    </xf>
    <xf numFmtId="171" fontId="44" fillId="18" borderId="20" xfId="2" applyNumberFormat="1" applyFont="1" applyFill="1" applyBorder="1" applyAlignment="1">
      <alignment horizontal="center" vertical="center"/>
    </xf>
    <xf numFmtId="9" fontId="45" fillId="18" borderId="20" xfId="0" applyNumberFormat="1" applyFont="1" applyFill="1" applyBorder="1" applyAlignment="1">
      <alignment horizontal="center" vertical="center"/>
    </xf>
    <xf numFmtId="10" fontId="42" fillId="18" borderId="16" xfId="0" applyNumberFormat="1" applyFont="1" applyFill="1" applyBorder="1" applyAlignment="1">
      <alignment horizontal="center" vertical="center"/>
    </xf>
    <xf numFmtId="10" fontId="42" fillId="18" borderId="29" xfId="0" applyNumberFormat="1" applyFont="1" applyFill="1" applyBorder="1" applyAlignment="1">
      <alignment horizontal="center" vertical="center"/>
    </xf>
    <xf numFmtId="0" fontId="36" fillId="18" borderId="0" xfId="0" applyFont="1" applyFill="1" applyBorder="1"/>
    <xf numFmtId="0" fontId="36" fillId="18" borderId="0" xfId="0" applyFont="1" applyFill="1" applyBorder="1" applyAlignment="1">
      <alignment horizontal="right"/>
    </xf>
    <xf numFmtId="0" fontId="40" fillId="18" borderId="20" xfId="0" applyFont="1" applyFill="1" applyBorder="1" applyAlignment="1">
      <alignment horizontal="center" vertical="center"/>
    </xf>
    <xf numFmtId="0" fontId="40" fillId="0" borderId="20" xfId="0" applyFont="1" applyFill="1" applyBorder="1" applyAlignment="1">
      <alignment horizontal="center" vertical="center"/>
    </xf>
    <xf numFmtId="0" fontId="6" fillId="14" borderId="3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vertical="top" wrapText="1"/>
    </xf>
    <xf numFmtId="0" fontId="10" fillId="10" borderId="3" xfId="0" applyFont="1" applyFill="1" applyBorder="1" applyAlignment="1">
      <alignment horizontal="left" vertical="center"/>
    </xf>
    <xf numFmtId="0" fontId="6" fillId="10" borderId="63" xfId="0" applyFont="1" applyFill="1" applyBorder="1" applyAlignment="1">
      <alignment horizontal="center" vertical="center"/>
    </xf>
    <xf numFmtId="0" fontId="3" fillId="18" borderId="60" xfId="0" applyFont="1" applyFill="1" applyBorder="1" applyAlignment="1">
      <alignment horizontal="center" vertical="center"/>
    </xf>
    <xf numFmtId="0" fontId="3" fillId="18" borderId="34" xfId="0" applyFont="1" applyFill="1" applyBorder="1" applyAlignment="1">
      <alignment horizontal="center" vertical="center"/>
    </xf>
    <xf numFmtId="0" fontId="3" fillId="18" borderId="62" xfId="0" applyFont="1" applyFill="1" applyBorder="1" applyAlignment="1">
      <alignment horizontal="center" vertical="center"/>
    </xf>
    <xf numFmtId="0" fontId="3" fillId="18" borderId="59" xfId="0" applyFont="1" applyFill="1" applyBorder="1" applyAlignment="1">
      <alignment horizontal="center" vertical="center"/>
    </xf>
    <xf numFmtId="164" fontId="17" fillId="0" borderId="17" xfId="0" applyNumberFormat="1" applyFont="1" applyFill="1" applyBorder="1" applyAlignment="1">
      <alignment horizontal="center" vertical="center"/>
    </xf>
    <xf numFmtId="164" fontId="17" fillId="0" borderId="26" xfId="0" applyNumberFormat="1" applyFont="1" applyFill="1" applyBorder="1" applyAlignment="1">
      <alignment horizontal="center" vertical="center"/>
    </xf>
    <xf numFmtId="164" fontId="17" fillId="14" borderId="30" xfId="0" applyNumberFormat="1" applyFont="1" applyFill="1" applyBorder="1" applyAlignment="1">
      <alignment horizontal="center" vertical="center"/>
    </xf>
    <xf numFmtId="164" fontId="3" fillId="18" borderId="19" xfId="0" applyNumberFormat="1" applyFont="1" applyFill="1" applyBorder="1" applyAlignment="1">
      <alignment horizontal="center" vertical="center"/>
    </xf>
    <xf numFmtId="164" fontId="3" fillId="18" borderId="20" xfId="0" applyNumberFormat="1" applyFont="1" applyFill="1" applyBorder="1" applyAlignment="1">
      <alignment horizontal="center" vertical="center"/>
    </xf>
    <xf numFmtId="9" fontId="0" fillId="18" borderId="45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32" fillId="4" borderId="41" xfId="0" applyNumberFormat="1" applyFont="1" applyFill="1" applyBorder="1" applyAlignment="1">
      <alignment horizontal="center" vertical="center"/>
    </xf>
    <xf numFmtId="164" fontId="32" fillId="4" borderId="49" xfId="0" applyNumberFormat="1" applyFont="1" applyFill="1" applyBorder="1" applyAlignment="1">
      <alignment horizontal="center" vertical="center"/>
    </xf>
    <xf numFmtId="164" fontId="17" fillId="10" borderId="30" xfId="0" applyNumberFormat="1" applyFont="1" applyFill="1" applyBorder="1" applyAlignment="1">
      <alignment horizontal="center" vertical="center"/>
    </xf>
    <xf numFmtId="9" fontId="0" fillId="18" borderId="11" xfId="0" applyNumberFormat="1" applyFont="1" applyFill="1" applyBorder="1" applyAlignment="1">
      <alignment horizontal="center" vertical="center"/>
    </xf>
    <xf numFmtId="0" fontId="0" fillId="18" borderId="11" xfId="0" applyFont="1" applyFill="1" applyBorder="1" applyAlignment="1">
      <alignment horizontal="center" vertical="center"/>
    </xf>
    <xf numFmtId="0" fontId="0" fillId="18" borderId="45" xfId="0" applyFont="1" applyFill="1" applyBorder="1" applyAlignment="1">
      <alignment horizontal="center" vertical="center"/>
    </xf>
    <xf numFmtId="0" fontId="0" fillId="18" borderId="11" xfId="0" applyFont="1" applyFill="1" applyBorder="1" applyAlignment="1">
      <alignment horizontal="left"/>
    </xf>
    <xf numFmtId="0" fontId="0" fillId="18" borderId="45" xfId="0" applyFont="1" applyFill="1" applyBorder="1" applyAlignment="1">
      <alignment horizontal="left"/>
    </xf>
    <xf numFmtId="9" fontId="0" fillId="18" borderId="11" xfId="1" applyFont="1" applyFill="1" applyBorder="1" applyAlignment="1">
      <alignment horizontal="center" vertical="center"/>
    </xf>
    <xf numFmtId="9" fontId="0" fillId="18" borderId="45" xfId="1" applyFont="1" applyFill="1" applyBorder="1" applyAlignment="1">
      <alignment horizontal="center" vertical="center"/>
    </xf>
    <xf numFmtId="0" fontId="6" fillId="10" borderId="47" xfId="0" applyFont="1" applyFill="1" applyBorder="1" applyAlignment="1">
      <alignment horizontal="center" vertical="center"/>
    </xf>
    <xf numFmtId="0" fontId="6" fillId="14" borderId="47" xfId="0" applyFont="1" applyFill="1" applyBorder="1" applyAlignment="1">
      <alignment horizontal="center" vertical="center"/>
    </xf>
    <xf numFmtId="164" fontId="6" fillId="14" borderId="7" xfId="0" applyNumberFormat="1" applyFont="1" applyFill="1" applyBorder="1" applyAlignment="1">
      <alignment horizontal="center" vertical="center"/>
    </xf>
    <xf numFmtId="0" fontId="8" fillId="14" borderId="7" xfId="0" applyFont="1" applyFill="1" applyBorder="1" applyAlignment="1">
      <alignment horizontal="center" vertical="center"/>
    </xf>
    <xf numFmtId="0" fontId="8" fillId="14" borderId="33" xfId="0" applyFont="1" applyFill="1" applyBorder="1" applyAlignment="1">
      <alignment horizontal="center" vertical="center"/>
    </xf>
    <xf numFmtId="0" fontId="8" fillId="14" borderId="47" xfId="0" applyFont="1" applyFill="1" applyBorder="1" applyAlignment="1">
      <alignment horizontal="center" vertical="center"/>
    </xf>
    <xf numFmtId="0" fontId="8" fillId="14" borderId="8" xfId="0" applyFont="1" applyFill="1" applyBorder="1" applyAlignment="1">
      <alignment horizontal="center" vertical="center"/>
    </xf>
    <xf numFmtId="0" fontId="6" fillId="14" borderId="33" xfId="0" applyFont="1" applyFill="1" applyBorder="1" applyAlignment="1">
      <alignment horizontal="center" vertical="center"/>
    </xf>
    <xf numFmtId="0" fontId="6" fillId="14" borderId="7" xfId="0" applyFont="1" applyFill="1" applyBorder="1" applyAlignment="1">
      <alignment horizontal="center" vertical="center"/>
    </xf>
    <xf numFmtId="0" fontId="6" fillId="14" borderId="8" xfId="0" applyFont="1" applyFill="1" applyBorder="1" applyAlignment="1">
      <alignment horizontal="center" vertical="center"/>
    </xf>
    <xf numFmtId="0" fontId="10" fillId="14" borderId="6" xfId="0" applyFont="1" applyFill="1" applyBorder="1" applyAlignment="1">
      <alignment horizontal="left" vertical="center"/>
    </xf>
    <xf numFmtId="0" fontId="8" fillId="14" borderId="46" xfId="0" applyFont="1" applyFill="1" applyBorder="1" applyAlignment="1">
      <alignment horizontal="center" vertical="center"/>
    </xf>
    <xf numFmtId="164" fontId="10" fillId="14" borderId="43" xfId="0" applyNumberFormat="1" applyFont="1" applyFill="1" applyBorder="1" applyAlignment="1">
      <alignment horizontal="center" vertical="center"/>
    </xf>
    <xf numFmtId="164" fontId="10" fillId="14" borderId="42" xfId="0" applyNumberFormat="1" applyFont="1" applyFill="1" applyBorder="1" applyAlignment="1">
      <alignment horizontal="center" vertical="center"/>
    </xf>
    <xf numFmtId="164" fontId="47" fillId="14" borderId="6" xfId="0" applyNumberFormat="1" applyFont="1" applyFill="1" applyBorder="1" applyAlignment="1">
      <alignment horizontal="center" vertical="center"/>
    </xf>
    <xf numFmtId="164" fontId="47" fillId="14" borderId="7" xfId="0" applyNumberFormat="1" applyFont="1" applyFill="1" applyBorder="1" applyAlignment="1">
      <alignment horizontal="center" vertical="center"/>
    </xf>
    <xf numFmtId="164" fontId="10" fillId="14" borderId="46" xfId="0" applyNumberFormat="1" applyFont="1" applyFill="1" applyBorder="1" applyAlignment="1">
      <alignment horizontal="center" vertical="center"/>
    </xf>
    <xf numFmtId="164" fontId="10" fillId="14" borderId="47" xfId="0" applyNumberFormat="1" applyFont="1" applyFill="1" applyBorder="1" applyAlignment="1">
      <alignment horizontal="center" vertical="center"/>
    </xf>
    <xf numFmtId="0" fontId="10" fillId="14" borderId="20" xfId="0" applyNumberFormat="1" applyFont="1" applyFill="1" applyBorder="1" applyAlignment="1">
      <alignment horizontal="center" vertical="center"/>
    </xf>
    <xf numFmtId="164" fontId="47" fillId="14" borderId="46" xfId="0" applyNumberFormat="1" applyFont="1" applyFill="1" applyBorder="1" applyAlignment="1">
      <alignment horizontal="center" vertical="center"/>
    </xf>
    <xf numFmtId="164" fontId="47" fillId="14" borderId="47" xfId="0" applyNumberFormat="1" applyFont="1" applyFill="1" applyBorder="1" applyAlignment="1">
      <alignment horizontal="center" vertical="center"/>
    </xf>
    <xf numFmtId="0" fontId="17" fillId="10" borderId="46" xfId="0" applyFont="1" applyFill="1" applyBorder="1" applyAlignment="1">
      <alignment horizontal="left" vertical="center"/>
    </xf>
    <xf numFmtId="0" fontId="6" fillId="10" borderId="33" xfId="0" applyFont="1" applyFill="1" applyBorder="1" applyAlignment="1">
      <alignment horizontal="center" vertical="center"/>
    </xf>
    <xf numFmtId="164" fontId="10" fillId="10" borderId="6" xfId="0" applyNumberFormat="1" applyFont="1" applyFill="1" applyBorder="1" applyAlignment="1">
      <alignment horizontal="center" vertical="center"/>
    </xf>
    <xf numFmtId="164" fontId="10" fillId="10" borderId="7" xfId="0" applyNumberFormat="1" applyFont="1" applyFill="1" applyBorder="1" applyAlignment="1">
      <alignment horizontal="center" vertical="center"/>
    </xf>
    <xf numFmtId="164" fontId="10" fillId="10" borderId="12" xfId="0" applyNumberFormat="1" applyFont="1" applyFill="1" applyBorder="1" applyAlignment="1">
      <alignment horizontal="center" vertical="center"/>
    </xf>
    <xf numFmtId="164" fontId="10" fillId="10" borderId="0" xfId="0" applyNumberFormat="1" applyFont="1" applyFill="1" applyBorder="1" applyAlignment="1">
      <alignment horizontal="center" vertical="center"/>
    </xf>
    <xf numFmtId="0" fontId="10" fillId="10" borderId="9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64" fontId="10" fillId="0" borderId="11" xfId="0" applyNumberFormat="1" applyFont="1" applyFill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9" fontId="0" fillId="0" borderId="45" xfId="1" applyFont="1" applyFill="1" applyBorder="1" applyAlignment="1">
      <alignment horizontal="center"/>
    </xf>
    <xf numFmtId="0" fontId="0" fillId="18" borderId="9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/>
    </xf>
    <xf numFmtId="164" fontId="3" fillId="0" borderId="24" xfId="0" applyNumberFormat="1" applyFont="1" applyFill="1" applyBorder="1" applyAlignment="1">
      <alignment horizontal="center" vertical="center"/>
    </xf>
    <xf numFmtId="164" fontId="3" fillId="0" borderId="25" xfId="0" applyNumberFormat="1" applyFont="1" applyFill="1" applyBorder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/>
    </xf>
    <xf numFmtId="164" fontId="3" fillId="0" borderId="16" xfId="0" applyNumberFormat="1" applyFont="1" applyFill="1" applyBorder="1" applyAlignment="1">
      <alignment horizontal="center" vertical="center"/>
    </xf>
    <xf numFmtId="0" fontId="3" fillId="14" borderId="57" xfId="0" applyFont="1" applyFill="1" applyBorder="1" applyAlignment="1">
      <alignment horizontal="center"/>
    </xf>
    <xf numFmtId="0" fontId="3" fillId="14" borderId="29" xfId="0" applyFont="1" applyFill="1" applyBorder="1" applyAlignment="1">
      <alignment horizontal="center"/>
    </xf>
    <xf numFmtId="0" fontId="17" fillId="14" borderId="30" xfId="0" applyFont="1" applyFill="1" applyBorder="1" applyAlignment="1">
      <alignment horizontal="center"/>
    </xf>
    <xf numFmtId="164" fontId="3" fillId="4" borderId="15" xfId="0" applyNumberFormat="1" applyFont="1" applyFill="1" applyBorder="1" applyAlignment="1">
      <alignment horizontal="center" vertical="center"/>
    </xf>
    <xf numFmtId="164" fontId="3" fillId="4" borderId="16" xfId="0" applyNumberFormat="1" applyFont="1" applyFill="1" applyBorder="1" applyAlignment="1">
      <alignment horizontal="center" vertical="center"/>
    </xf>
    <xf numFmtId="164" fontId="3" fillId="14" borderId="57" xfId="0" applyNumberFormat="1" applyFont="1" applyFill="1" applyBorder="1" applyAlignment="1">
      <alignment horizontal="center" vertical="center"/>
    </xf>
    <xf numFmtId="164" fontId="3" fillId="14" borderId="29" xfId="0" applyNumberFormat="1" applyFont="1" applyFill="1" applyBorder="1" applyAlignment="1">
      <alignment horizontal="center" vertical="center"/>
    </xf>
    <xf numFmtId="164" fontId="3" fillId="10" borderId="57" xfId="0" applyNumberFormat="1" applyFont="1" applyFill="1" applyBorder="1" applyAlignment="1">
      <alignment horizontal="center" vertical="center"/>
    </xf>
    <xf numFmtId="164" fontId="3" fillId="10" borderId="29" xfId="0" applyNumberFormat="1" applyFont="1" applyFill="1" applyBorder="1" applyAlignment="1">
      <alignment horizontal="center" vertical="center"/>
    </xf>
    <xf numFmtId="0" fontId="17" fillId="19" borderId="20" xfId="0" applyFont="1" applyFill="1" applyBorder="1" applyAlignment="1">
      <alignment horizontal="left" vertical="center"/>
    </xf>
    <xf numFmtId="0" fontId="40" fillId="19" borderId="20" xfId="0" applyFont="1" applyFill="1" applyBorder="1"/>
    <xf numFmtId="0" fontId="40" fillId="19" borderId="20" xfId="0" applyFont="1" applyFill="1" applyBorder="1" applyAlignment="1">
      <alignment horizontal="center"/>
    </xf>
    <xf numFmtId="0" fontId="0" fillId="18" borderId="60" xfId="0" applyFont="1" applyFill="1" applyBorder="1" applyAlignment="1">
      <alignment horizontal="center" vertical="center"/>
    </xf>
    <xf numFmtId="0" fontId="0" fillId="18" borderId="34" xfId="0" applyFont="1" applyFill="1" applyBorder="1" applyAlignment="1">
      <alignment horizontal="center" vertical="center"/>
    </xf>
    <xf numFmtId="0" fontId="0" fillId="18" borderId="62" xfId="0" applyFont="1" applyFill="1" applyBorder="1" applyAlignment="1">
      <alignment horizontal="center" vertical="center"/>
    </xf>
    <xf numFmtId="0" fontId="0" fillId="18" borderId="34" xfId="0" applyFill="1" applyBorder="1" applyAlignment="1">
      <alignment horizontal="center" vertical="center"/>
    </xf>
    <xf numFmtId="0" fontId="0" fillId="18" borderId="0" xfId="0" applyFont="1" applyFill="1" applyBorder="1" applyAlignment="1">
      <alignment horizontal="center" vertical="center"/>
    </xf>
    <xf numFmtId="0" fontId="3" fillId="18" borderId="34" xfId="0" applyFont="1" applyFill="1" applyBorder="1" applyAlignment="1">
      <alignment horizontal="center" vertical="center" wrapText="1"/>
    </xf>
    <xf numFmtId="0" fontId="0" fillId="18" borderId="62" xfId="0" applyFill="1" applyBorder="1" applyAlignment="1">
      <alignment horizontal="center" vertical="center"/>
    </xf>
    <xf numFmtId="0" fontId="0" fillId="18" borderId="60" xfId="0" applyFill="1" applyBorder="1" applyAlignment="1">
      <alignment horizontal="center" vertical="center"/>
    </xf>
    <xf numFmtId="0" fontId="0" fillId="18" borderId="59" xfId="0" applyFont="1" applyFill="1" applyBorder="1" applyAlignment="1">
      <alignment horizontal="center" vertical="center"/>
    </xf>
    <xf numFmtId="0" fontId="40" fillId="18" borderId="0" xfId="0" applyFont="1" applyFill="1" applyBorder="1"/>
    <xf numFmtId="0" fontId="17" fillId="0" borderId="0" xfId="0" applyFont="1" applyFill="1" applyBorder="1" applyAlignment="1">
      <alignment horizontal="center" vertical="center"/>
    </xf>
    <xf numFmtId="0" fontId="0" fillId="18" borderId="22" xfId="0" applyFont="1" applyFill="1" applyBorder="1" applyAlignment="1">
      <alignment horizontal="center" vertical="center"/>
    </xf>
    <xf numFmtId="0" fontId="3" fillId="18" borderId="69" xfId="0" applyFont="1" applyFill="1" applyBorder="1" applyAlignment="1">
      <alignment horizontal="center" vertical="center"/>
    </xf>
    <xf numFmtId="164" fontId="32" fillId="4" borderId="38" xfId="0" applyNumberFormat="1" applyFont="1" applyFill="1" applyBorder="1" applyAlignment="1">
      <alignment horizontal="center" vertical="center"/>
    </xf>
    <xf numFmtId="164" fontId="32" fillId="4" borderId="27" xfId="0" applyNumberFormat="1" applyFont="1" applyFill="1" applyBorder="1" applyAlignment="1">
      <alignment horizontal="center" vertical="center"/>
    </xf>
    <xf numFmtId="164" fontId="32" fillId="4" borderId="72" xfId="0" applyNumberFormat="1" applyFont="1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3" fillId="18" borderId="11" xfId="0" applyFont="1" applyFill="1" applyBorder="1" applyAlignment="1">
      <alignment horizontal="left" vertical="center"/>
    </xf>
    <xf numFmtId="0" fontId="3" fillId="18" borderId="9" xfId="0" applyFont="1" applyFill="1" applyBorder="1" applyAlignment="1">
      <alignment horizontal="left" vertical="center"/>
    </xf>
    <xf numFmtId="0" fontId="3" fillId="18" borderId="45" xfId="0" applyFont="1" applyFill="1" applyBorder="1" applyAlignment="1">
      <alignment horizontal="left" vertical="center"/>
    </xf>
    <xf numFmtId="0" fontId="0" fillId="18" borderId="69" xfId="0" applyFont="1" applyFill="1" applyBorder="1" applyAlignment="1">
      <alignment horizontal="center" vertical="center"/>
    </xf>
    <xf numFmtId="0" fontId="0" fillId="18" borderId="66" xfId="0" applyFont="1" applyFill="1" applyBorder="1" applyAlignment="1">
      <alignment horizontal="center" vertical="center"/>
    </xf>
    <xf numFmtId="0" fontId="0" fillId="18" borderId="68" xfId="0" applyFont="1" applyFill="1" applyBorder="1" applyAlignment="1">
      <alignment horizontal="center" vertical="center"/>
    </xf>
    <xf numFmtId="0" fontId="0" fillId="18" borderId="71" xfId="0" applyFont="1" applyFill="1" applyBorder="1" applyAlignment="1">
      <alignment horizontal="center" vertical="center"/>
    </xf>
    <xf numFmtId="0" fontId="3" fillId="18" borderId="66" xfId="0" applyFont="1" applyFill="1" applyBorder="1" applyAlignment="1">
      <alignment horizontal="center" vertical="center"/>
    </xf>
    <xf numFmtId="0" fontId="3" fillId="18" borderId="68" xfId="0" applyFont="1" applyFill="1" applyBorder="1" applyAlignment="1">
      <alignment horizontal="center" vertical="center"/>
    </xf>
    <xf numFmtId="0" fontId="3" fillId="18" borderId="71" xfId="0" applyFont="1" applyFill="1" applyBorder="1" applyAlignment="1">
      <alignment horizontal="center" vertical="center"/>
    </xf>
    <xf numFmtId="0" fontId="0" fillId="18" borderId="68" xfId="0" applyFill="1" applyBorder="1" applyAlignment="1">
      <alignment horizontal="center" vertical="center"/>
    </xf>
    <xf numFmtId="0" fontId="3" fillId="18" borderId="68" xfId="0" applyFont="1" applyFill="1" applyBorder="1" applyAlignment="1">
      <alignment horizontal="center" vertical="center" wrapText="1"/>
    </xf>
    <xf numFmtId="0" fontId="0" fillId="18" borderId="71" xfId="0" applyFill="1" applyBorder="1" applyAlignment="1">
      <alignment horizontal="center" vertical="center"/>
    </xf>
    <xf numFmtId="0" fontId="0" fillId="18" borderId="66" xfId="0" applyFill="1" applyBorder="1" applyAlignment="1">
      <alignment horizontal="center" vertical="center"/>
    </xf>
    <xf numFmtId="0" fontId="0" fillId="18" borderId="67" xfId="0" applyFont="1" applyFill="1" applyBorder="1" applyAlignment="1">
      <alignment horizontal="center" vertical="center"/>
    </xf>
    <xf numFmtId="1" fontId="0" fillId="18" borderId="43" xfId="0" quotePrefix="1" applyNumberFormat="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left" vertical="center"/>
    </xf>
    <xf numFmtId="0" fontId="0" fillId="0" borderId="45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0" fillId="0" borderId="45" xfId="0" applyFill="1" applyBorder="1" applyAlignment="1">
      <alignment horizontal="left" vertical="center"/>
    </xf>
    <xf numFmtId="164" fontId="0" fillId="21" borderId="11" xfId="0" applyNumberFormat="1" applyFont="1" applyFill="1" applyBorder="1" applyAlignment="1">
      <alignment horizontal="center" vertical="center"/>
    </xf>
    <xf numFmtId="164" fontId="0" fillId="21" borderId="45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164" fontId="0" fillId="21" borderId="0" xfId="0" applyNumberFormat="1" applyFont="1" applyFill="1" applyBorder="1" applyAlignment="1">
      <alignment horizontal="center" vertical="center"/>
    </xf>
    <xf numFmtId="164" fontId="0" fillId="21" borderId="42" xfId="0" applyNumberFormat="1" applyFont="1" applyFill="1" applyBorder="1" applyAlignment="1">
      <alignment horizontal="center" vertical="center"/>
    </xf>
    <xf numFmtId="164" fontId="0" fillId="21" borderId="12" xfId="0" applyNumberFormat="1" applyFont="1" applyFill="1" applyBorder="1" applyAlignment="1">
      <alignment horizontal="center" vertical="center"/>
    </xf>
    <xf numFmtId="164" fontId="0" fillId="21" borderId="43" xfId="0" applyNumberFormat="1" applyFont="1" applyFill="1" applyBorder="1" applyAlignment="1">
      <alignment horizontal="center" vertical="center"/>
    </xf>
    <xf numFmtId="164" fontId="0" fillId="21" borderId="9" xfId="0" applyNumberFormat="1" applyFont="1" applyFill="1" applyBorder="1" applyAlignment="1">
      <alignment horizontal="center" vertical="center"/>
    </xf>
    <xf numFmtId="164" fontId="0" fillId="0" borderId="11" xfId="0" applyNumberFormat="1" applyFont="1" applyFill="1" applyBorder="1" applyAlignment="1">
      <alignment horizontal="left" vertical="center"/>
    </xf>
    <xf numFmtId="164" fontId="0" fillId="0" borderId="45" xfId="0" applyNumberFormat="1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left" vertical="center"/>
    </xf>
    <xf numFmtId="0" fontId="40" fillId="21" borderId="20" xfId="0" applyFont="1" applyFill="1" applyBorder="1" applyAlignment="1">
      <alignment horizontal="center" vertical="center"/>
    </xf>
    <xf numFmtId="0" fontId="40" fillId="11" borderId="20" xfId="0" applyFont="1" applyFill="1" applyBorder="1" applyAlignment="1">
      <alignment horizontal="center" vertical="center"/>
    </xf>
    <xf numFmtId="164" fontId="3" fillId="21" borderId="24" xfId="0" applyNumberFormat="1" applyFont="1" applyFill="1" applyBorder="1" applyAlignment="1">
      <alignment horizontal="center" vertical="center"/>
    </xf>
    <xf numFmtId="164" fontId="3" fillId="21" borderId="25" xfId="0" applyNumberFormat="1" applyFont="1" applyFill="1" applyBorder="1" applyAlignment="1">
      <alignment horizontal="center" vertical="center"/>
    </xf>
    <xf numFmtId="0" fontId="36" fillId="18" borderId="20" xfId="0" applyFont="1" applyFill="1" applyBorder="1" applyAlignment="1">
      <alignment horizontal="center" vertical="center"/>
    </xf>
    <xf numFmtId="0" fontId="36" fillId="19" borderId="20" xfId="0" applyFont="1" applyFill="1" applyBorder="1" applyAlignment="1">
      <alignment horizontal="center" vertical="center"/>
    </xf>
    <xf numFmtId="164" fontId="9" fillId="20" borderId="38" xfId="0" applyNumberFormat="1" applyFont="1" applyFill="1" applyBorder="1" applyAlignment="1">
      <alignment horizontal="center" vertical="center"/>
    </xf>
    <xf numFmtId="164" fontId="9" fillId="20" borderId="40" xfId="0" applyNumberFormat="1" applyFont="1" applyFill="1" applyBorder="1" applyAlignment="1">
      <alignment horizontal="center" vertical="center"/>
    </xf>
    <xf numFmtId="164" fontId="9" fillId="20" borderId="25" xfId="0" applyNumberFormat="1" applyFont="1" applyFill="1" applyBorder="1" applyAlignment="1">
      <alignment horizontal="center" vertical="center"/>
    </xf>
    <xf numFmtId="164" fontId="9" fillId="20" borderId="27" xfId="0" applyNumberFormat="1" applyFont="1" applyFill="1" applyBorder="1" applyAlignment="1">
      <alignment horizontal="center" vertical="center"/>
    </xf>
    <xf numFmtId="170" fontId="3" fillId="0" borderId="0" xfId="0" applyNumberFormat="1" applyFont="1" applyFill="1" applyBorder="1" applyAlignment="1">
      <alignment horizontal="center" vertical="center"/>
    </xf>
    <xf numFmtId="170" fontId="3" fillId="0" borderId="0" xfId="0" applyNumberFormat="1" applyFont="1" applyFill="1" applyBorder="1" applyAlignment="1">
      <alignment horizontal="center"/>
    </xf>
    <xf numFmtId="0" fontId="3" fillId="10" borderId="57" xfId="0" applyFont="1" applyFill="1" applyBorder="1" applyAlignment="1">
      <alignment horizontal="center"/>
    </xf>
    <xf numFmtId="0" fontId="17" fillId="14" borderId="0" xfId="0" applyFont="1" applyFill="1"/>
    <xf numFmtId="0" fontId="34" fillId="19" borderId="63" xfId="0" applyFont="1" applyFill="1" applyBorder="1" applyAlignment="1">
      <alignment horizontal="justify" vertical="center"/>
    </xf>
    <xf numFmtId="0" fontId="51" fillId="19" borderId="70" xfId="0" applyFont="1" applyFill="1" applyBorder="1" applyAlignment="1">
      <alignment horizontal="center" vertical="center"/>
    </xf>
    <xf numFmtId="0" fontId="51" fillId="19" borderId="68" xfId="0" applyFont="1" applyFill="1" applyBorder="1" applyAlignment="1">
      <alignment horizontal="center" vertical="center"/>
    </xf>
    <xf numFmtId="0" fontId="51" fillId="19" borderId="71" xfId="0" applyFont="1" applyFill="1" applyBorder="1" applyAlignment="1">
      <alignment horizontal="center" vertical="center"/>
    </xf>
    <xf numFmtId="0" fontId="34" fillId="19" borderId="57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left" vertical="center"/>
    </xf>
    <xf numFmtId="0" fontId="0" fillId="18" borderId="0" xfId="0" applyFill="1"/>
    <xf numFmtId="0" fontId="51" fillId="19" borderId="31" xfId="0" applyFont="1" applyFill="1" applyBorder="1" applyAlignment="1">
      <alignment horizontal="center" vertical="center"/>
    </xf>
    <xf numFmtId="0" fontId="51" fillId="19" borderId="34" xfId="0" applyFont="1" applyFill="1" applyBorder="1" applyAlignment="1">
      <alignment horizontal="center" vertical="center"/>
    </xf>
    <xf numFmtId="0" fontId="51" fillId="19" borderId="62" xfId="0" applyFont="1" applyFill="1" applyBorder="1" applyAlignment="1">
      <alignment horizontal="center" vertical="center"/>
    </xf>
    <xf numFmtId="0" fontId="34" fillId="19" borderId="36" xfId="0" applyFont="1" applyFill="1" applyBorder="1" applyAlignment="1">
      <alignment horizontal="center" vertical="center"/>
    </xf>
    <xf numFmtId="0" fontId="3" fillId="0" borderId="0" xfId="0" applyFont="1" applyFill="1"/>
    <xf numFmtId="9" fontId="0" fillId="18" borderId="0" xfId="1" applyFont="1" applyFill="1"/>
    <xf numFmtId="0" fontId="3" fillId="0" borderId="0" xfId="0" applyFont="1" applyFill="1" applyAlignment="1">
      <alignment horizontal="center"/>
    </xf>
    <xf numFmtId="0" fontId="0" fillId="0" borderId="0" xfId="0" applyAlignment="1">
      <alignment horizontal="left"/>
    </xf>
    <xf numFmtId="3" fontId="33" fillId="0" borderId="15" xfId="0" applyNumberFormat="1" applyFont="1" applyFill="1" applyBorder="1" applyAlignment="1">
      <alignment horizontal="center" vertical="center"/>
    </xf>
    <xf numFmtId="3" fontId="33" fillId="0" borderId="16" xfId="0" applyNumberFormat="1" applyFont="1" applyFill="1" applyBorder="1" applyAlignment="1">
      <alignment horizontal="center" vertical="center"/>
    </xf>
    <xf numFmtId="3" fontId="33" fillId="0" borderId="17" xfId="0" applyNumberFormat="1" applyFont="1" applyFill="1" applyBorder="1" applyAlignment="1">
      <alignment horizontal="center" vertical="center"/>
    </xf>
    <xf numFmtId="3" fontId="33" fillId="0" borderId="19" xfId="0" applyNumberFormat="1" applyFont="1" applyFill="1" applyBorder="1" applyAlignment="1">
      <alignment horizontal="center" vertical="center"/>
    </xf>
    <xf numFmtId="3" fontId="33" fillId="0" borderId="20" xfId="0" applyNumberFormat="1" applyFont="1" applyFill="1" applyBorder="1" applyAlignment="1">
      <alignment horizontal="center" vertical="center"/>
    </xf>
    <xf numFmtId="3" fontId="33" fillId="0" borderId="21" xfId="0" applyNumberFormat="1" applyFont="1" applyFill="1" applyBorder="1" applyAlignment="1">
      <alignment horizontal="center" vertical="center"/>
    </xf>
    <xf numFmtId="3" fontId="33" fillId="0" borderId="24" xfId="0" applyNumberFormat="1" applyFont="1" applyFill="1" applyBorder="1" applyAlignment="1">
      <alignment horizontal="center" vertical="center"/>
    </xf>
    <xf numFmtId="3" fontId="33" fillId="0" borderId="25" xfId="0" applyNumberFormat="1" applyFont="1" applyFill="1" applyBorder="1" applyAlignment="1">
      <alignment horizontal="center" vertical="center"/>
    </xf>
    <xf numFmtId="3" fontId="33" fillId="0" borderId="26" xfId="0" applyNumberFormat="1" applyFont="1" applyFill="1" applyBorder="1" applyAlignment="1">
      <alignment horizontal="center" vertical="center"/>
    </xf>
    <xf numFmtId="3" fontId="33" fillId="19" borderId="15" xfId="0" applyNumberFormat="1" applyFont="1" applyFill="1" applyBorder="1" applyAlignment="1">
      <alignment horizontal="center" vertical="center"/>
    </xf>
    <xf numFmtId="3" fontId="33" fillId="19" borderId="16" xfId="0" applyNumberFormat="1" applyFont="1" applyFill="1" applyBorder="1" applyAlignment="1">
      <alignment horizontal="center" vertical="center"/>
    </xf>
    <xf numFmtId="3" fontId="33" fillId="19" borderId="17" xfId="0" applyNumberFormat="1" applyFont="1" applyFill="1" applyBorder="1" applyAlignment="1">
      <alignment horizontal="center" vertical="center"/>
    </xf>
    <xf numFmtId="3" fontId="33" fillId="19" borderId="41" xfId="0" applyNumberFormat="1" applyFont="1" applyFill="1" applyBorder="1" applyAlignment="1">
      <alignment horizontal="center" vertical="center"/>
    </xf>
    <xf numFmtId="3" fontId="33" fillId="19" borderId="45" xfId="0" applyNumberFormat="1" applyFont="1" applyFill="1" applyBorder="1" applyAlignment="1">
      <alignment horizontal="center" vertical="center"/>
    </xf>
    <xf numFmtId="3" fontId="33" fillId="19" borderId="49" xfId="0" applyNumberFormat="1" applyFont="1" applyFill="1" applyBorder="1" applyAlignment="1">
      <alignment horizontal="center" vertical="center"/>
    </xf>
    <xf numFmtId="3" fontId="33" fillId="19" borderId="38" xfId="0" applyNumberFormat="1" applyFont="1" applyFill="1" applyBorder="1" applyAlignment="1">
      <alignment horizontal="center" vertical="center"/>
    </xf>
    <xf numFmtId="3" fontId="33" fillId="19" borderId="40" xfId="0" applyNumberFormat="1" applyFont="1" applyFill="1" applyBorder="1" applyAlignment="1">
      <alignment horizontal="center" vertical="center"/>
    </xf>
    <xf numFmtId="3" fontId="33" fillId="19" borderId="58" xfId="0" applyNumberFormat="1" applyFont="1" applyFill="1" applyBorder="1" applyAlignment="1">
      <alignment horizontal="center" vertical="center"/>
    </xf>
    <xf numFmtId="0" fontId="3" fillId="18" borderId="0" xfId="0" applyFont="1" applyFill="1"/>
    <xf numFmtId="0" fontId="3" fillId="18" borderId="0" xfId="0" applyFont="1" applyFill="1" applyAlignment="1">
      <alignment horizontal="left"/>
    </xf>
    <xf numFmtId="170" fontId="3" fillId="0" borderId="19" xfId="0" applyNumberFormat="1" applyFont="1" applyFill="1" applyBorder="1" applyAlignment="1">
      <alignment horizontal="center" vertical="center"/>
    </xf>
    <xf numFmtId="170" fontId="3" fillId="0" borderId="24" xfId="0" applyNumberFormat="1" applyFont="1" applyFill="1" applyBorder="1" applyAlignment="1">
      <alignment horizontal="center" vertical="center"/>
    </xf>
    <xf numFmtId="170" fontId="3" fillId="0" borderId="41" xfId="0" applyNumberFormat="1" applyFont="1" applyFill="1" applyBorder="1" applyAlignment="1">
      <alignment horizontal="center" vertical="center"/>
    </xf>
    <xf numFmtId="0" fontId="3" fillId="14" borderId="30" xfId="0" applyFont="1" applyFill="1" applyBorder="1" applyAlignment="1">
      <alignment horizontal="center"/>
    </xf>
    <xf numFmtId="0" fontId="3" fillId="10" borderId="30" xfId="0" applyFont="1" applyFill="1" applyBorder="1" applyAlignment="1">
      <alignment horizontal="center"/>
    </xf>
    <xf numFmtId="0" fontId="3" fillId="14" borderId="28" xfId="0" applyFont="1" applyFill="1" applyBorder="1" applyAlignment="1">
      <alignment horizontal="center"/>
    </xf>
    <xf numFmtId="170" fontId="3" fillId="0" borderId="49" xfId="0" applyNumberFormat="1" applyFont="1" applyFill="1" applyBorder="1" applyAlignment="1">
      <alignment horizontal="center" vertical="center"/>
    </xf>
    <xf numFmtId="170" fontId="3" fillId="0" borderId="21" xfId="0" applyNumberFormat="1" applyFont="1" applyFill="1" applyBorder="1" applyAlignment="1">
      <alignment horizontal="center" vertical="center"/>
    </xf>
    <xf numFmtId="170" fontId="3" fillId="0" borderId="26" xfId="0" applyNumberFormat="1" applyFont="1" applyFill="1" applyBorder="1" applyAlignment="1">
      <alignment horizontal="center" vertical="center"/>
    </xf>
    <xf numFmtId="170" fontId="3" fillId="0" borderId="1" xfId="0" applyNumberFormat="1" applyFont="1" applyFill="1" applyBorder="1" applyAlignment="1">
      <alignment horizontal="center" vertical="center"/>
    </xf>
    <xf numFmtId="170" fontId="3" fillId="0" borderId="2" xfId="0" applyNumberFormat="1" applyFont="1" applyFill="1" applyBorder="1" applyAlignment="1">
      <alignment horizontal="center" vertical="center"/>
    </xf>
    <xf numFmtId="170" fontId="3" fillId="18" borderId="49" xfId="0" applyNumberFormat="1" applyFont="1" applyFill="1" applyBorder="1" applyAlignment="1">
      <alignment horizontal="center" vertical="center"/>
    </xf>
    <xf numFmtId="170" fontId="3" fillId="18" borderId="21" xfId="0" applyNumberFormat="1" applyFont="1" applyFill="1" applyBorder="1" applyAlignment="1">
      <alignment horizontal="center" vertical="center"/>
    </xf>
    <xf numFmtId="170" fontId="3" fillId="18" borderId="26" xfId="0" applyNumberFormat="1" applyFont="1" applyFill="1" applyBorder="1" applyAlignment="1">
      <alignment horizontal="center" vertical="center"/>
    </xf>
    <xf numFmtId="170" fontId="3" fillId="18" borderId="41" xfId="0" applyNumberFormat="1" applyFont="1" applyFill="1" applyBorder="1" applyAlignment="1">
      <alignment horizontal="center"/>
    </xf>
    <xf numFmtId="170" fontId="3" fillId="0" borderId="49" xfId="0" applyNumberFormat="1" applyFont="1" applyFill="1" applyBorder="1" applyAlignment="1">
      <alignment horizontal="center"/>
    </xf>
    <xf numFmtId="170" fontId="3" fillId="18" borderId="19" xfId="0" applyNumberFormat="1" applyFont="1" applyFill="1" applyBorder="1" applyAlignment="1">
      <alignment horizontal="center"/>
    </xf>
    <xf numFmtId="170" fontId="3" fillId="0" borderId="21" xfId="0" applyNumberFormat="1" applyFont="1" applyFill="1" applyBorder="1" applyAlignment="1">
      <alignment horizontal="center"/>
    </xf>
    <xf numFmtId="170" fontId="3" fillId="18" borderId="24" xfId="0" applyNumberFormat="1" applyFont="1" applyFill="1" applyBorder="1" applyAlignment="1">
      <alignment horizontal="center"/>
    </xf>
    <xf numFmtId="170" fontId="3" fillId="0" borderId="26" xfId="0" applyNumberFormat="1" applyFont="1" applyFill="1" applyBorder="1" applyAlignment="1">
      <alignment horizontal="center"/>
    </xf>
    <xf numFmtId="0" fontId="3" fillId="14" borderId="61" xfId="0" applyFont="1" applyFill="1" applyBorder="1" applyAlignment="1">
      <alignment horizontal="center"/>
    </xf>
    <xf numFmtId="164" fontId="32" fillId="4" borderId="23" xfId="0" applyNumberFormat="1" applyFont="1" applyFill="1" applyBorder="1" applyAlignment="1">
      <alignment horizontal="center" vertical="center"/>
    </xf>
    <xf numFmtId="170" fontId="3" fillId="0" borderId="41" xfId="0" applyNumberFormat="1" applyFont="1" applyFill="1" applyBorder="1" applyAlignment="1">
      <alignment horizontal="center"/>
    </xf>
    <xf numFmtId="170" fontId="3" fillId="18" borderId="49" xfId="0" applyNumberFormat="1" applyFont="1" applyFill="1" applyBorder="1" applyAlignment="1">
      <alignment horizontal="center"/>
    </xf>
    <xf numFmtId="170" fontId="3" fillId="0" borderId="19" xfId="0" applyNumberFormat="1" applyFont="1" applyFill="1" applyBorder="1" applyAlignment="1">
      <alignment horizontal="center"/>
    </xf>
    <xf numFmtId="170" fontId="3" fillId="18" borderId="21" xfId="0" applyNumberFormat="1" applyFont="1" applyFill="1" applyBorder="1" applyAlignment="1">
      <alignment horizontal="center"/>
    </xf>
    <xf numFmtId="170" fontId="3" fillId="0" borderId="24" xfId="0" applyNumberFormat="1" applyFont="1" applyFill="1" applyBorder="1" applyAlignment="1">
      <alignment horizontal="center"/>
    </xf>
    <xf numFmtId="170" fontId="3" fillId="18" borderId="26" xfId="0" applyNumberFormat="1" applyFont="1" applyFill="1" applyBorder="1" applyAlignment="1">
      <alignment horizontal="center"/>
    </xf>
    <xf numFmtId="9" fontId="17" fillId="18" borderId="22" xfId="1" applyFont="1" applyFill="1" applyBorder="1" applyAlignment="1">
      <alignment horizontal="center"/>
    </xf>
    <xf numFmtId="9" fontId="17" fillId="18" borderId="27" xfId="1" applyFont="1" applyFill="1" applyBorder="1" applyAlignment="1">
      <alignment horizontal="center"/>
    </xf>
    <xf numFmtId="170" fontId="17" fillId="0" borderId="44" xfId="0" applyNumberFormat="1" applyFont="1" applyFill="1" applyBorder="1" applyAlignment="1">
      <alignment horizontal="center"/>
    </xf>
    <xf numFmtId="170" fontId="17" fillId="0" borderId="33" xfId="0" applyNumberFormat="1" applyFont="1" applyFill="1" applyBorder="1" applyAlignment="1">
      <alignment horizontal="center"/>
    </xf>
    <xf numFmtId="170" fontId="17" fillId="0" borderId="35" xfId="0" applyNumberFormat="1" applyFont="1" applyFill="1" applyBorder="1" applyAlignment="1">
      <alignment horizontal="center"/>
    </xf>
    <xf numFmtId="170" fontId="17" fillId="0" borderId="0" xfId="0" applyNumberFormat="1" applyFont="1" applyFill="1" applyBorder="1" applyAlignment="1">
      <alignment horizontal="center"/>
    </xf>
    <xf numFmtId="170" fontId="17" fillId="14" borderId="28" xfId="0" applyNumberFormat="1" applyFont="1" applyFill="1" applyBorder="1" applyAlignment="1">
      <alignment horizontal="center"/>
    </xf>
    <xf numFmtId="170" fontId="52" fillId="4" borderId="44" xfId="0" applyNumberFormat="1" applyFont="1" applyFill="1" applyBorder="1" applyAlignment="1">
      <alignment horizontal="center" vertical="center"/>
    </xf>
    <xf numFmtId="170" fontId="17" fillId="10" borderId="28" xfId="0" applyNumberFormat="1" applyFont="1" applyFill="1" applyBorder="1" applyAlignment="1">
      <alignment horizontal="center"/>
    </xf>
    <xf numFmtId="9" fontId="3" fillId="0" borderId="45" xfId="1" applyFont="1" applyFill="1" applyBorder="1" applyAlignment="1">
      <alignment horizontal="center"/>
    </xf>
    <xf numFmtId="9" fontId="3" fillId="0" borderId="49" xfId="1" applyFont="1" applyFill="1" applyBorder="1" applyAlignment="1">
      <alignment horizontal="center"/>
    </xf>
    <xf numFmtId="9" fontId="3" fillId="0" borderId="20" xfId="1" applyFont="1" applyFill="1" applyBorder="1" applyAlignment="1">
      <alignment horizontal="center"/>
    </xf>
    <xf numFmtId="9" fontId="3" fillId="0" borderId="21" xfId="1" applyFont="1" applyFill="1" applyBorder="1" applyAlignment="1">
      <alignment horizontal="center"/>
    </xf>
    <xf numFmtId="9" fontId="3" fillId="0" borderId="25" xfId="1" applyFont="1" applyFill="1" applyBorder="1" applyAlignment="1">
      <alignment horizontal="center"/>
    </xf>
    <xf numFmtId="9" fontId="3" fillId="0" borderId="26" xfId="1" applyFont="1" applyFill="1" applyBorder="1" applyAlignment="1">
      <alignment horizontal="center"/>
    </xf>
    <xf numFmtId="9" fontId="3" fillId="14" borderId="29" xfId="1" applyFont="1" applyFill="1" applyBorder="1" applyAlignment="1">
      <alignment horizontal="center"/>
    </xf>
    <xf numFmtId="9" fontId="3" fillId="14" borderId="30" xfId="1" applyFont="1" applyFill="1" applyBorder="1" applyAlignment="1">
      <alignment horizontal="center"/>
    </xf>
    <xf numFmtId="9" fontId="32" fillId="4" borderId="45" xfId="1" applyFont="1" applyFill="1" applyBorder="1" applyAlignment="1">
      <alignment horizontal="center" vertical="center"/>
    </xf>
    <xf numFmtId="9" fontId="32" fillId="4" borderId="49" xfId="1" applyFont="1" applyFill="1" applyBorder="1" applyAlignment="1">
      <alignment horizontal="center" vertical="center"/>
    </xf>
    <xf numFmtId="9" fontId="0" fillId="0" borderId="20" xfId="1" applyFont="1" applyFill="1" applyBorder="1" applyAlignment="1">
      <alignment horizontal="center"/>
    </xf>
    <xf numFmtId="9" fontId="0" fillId="0" borderId="21" xfId="1" applyFont="1" applyFill="1" applyBorder="1" applyAlignment="1">
      <alignment horizontal="center"/>
    </xf>
    <xf numFmtId="9" fontId="0" fillId="0" borderId="25" xfId="1" applyFont="1" applyFill="1" applyBorder="1" applyAlignment="1">
      <alignment horizontal="center"/>
    </xf>
    <xf numFmtId="9" fontId="0" fillId="0" borderId="26" xfId="1" applyFont="1" applyFill="1" applyBorder="1" applyAlignment="1">
      <alignment horizontal="center"/>
    </xf>
    <xf numFmtId="9" fontId="0" fillId="0" borderId="49" xfId="1" applyFont="1" applyFill="1" applyBorder="1" applyAlignment="1">
      <alignment horizontal="center"/>
    </xf>
    <xf numFmtId="9" fontId="3" fillId="10" borderId="29" xfId="1" applyFont="1" applyFill="1" applyBorder="1" applyAlignment="1">
      <alignment horizontal="center"/>
    </xf>
    <xf numFmtId="9" fontId="3" fillId="10" borderId="30" xfId="1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0" fontId="17" fillId="0" borderId="23" xfId="0" applyFont="1" applyFill="1" applyBorder="1" applyAlignment="1">
      <alignment horizontal="center"/>
    </xf>
    <xf numFmtId="0" fontId="17" fillId="0" borderId="27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46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 wrapText="1"/>
    </xf>
    <xf numFmtId="0" fontId="9" fillId="23" borderId="47" xfId="0" applyFont="1" applyFill="1" applyBorder="1" applyAlignment="1">
      <alignment horizontal="center" vertical="center"/>
    </xf>
    <xf numFmtId="170" fontId="0" fillId="0" borderId="20" xfId="0" applyNumberFormat="1" applyFont="1" applyBorder="1" applyAlignment="1">
      <alignment horizontal="center" vertical="center"/>
    </xf>
    <xf numFmtId="170" fontId="0" fillId="0" borderId="0" xfId="0" applyNumberFormat="1" applyFont="1" applyAlignment="1">
      <alignment horizontal="center" vertical="center"/>
    </xf>
    <xf numFmtId="170" fontId="0" fillId="0" borderId="0" xfId="0" applyNumberFormat="1" applyFont="1" applyBorder="1" applyAlignment="1">
      <alignment horizontal="center" vertical="center"/>
    </xf>
    <xf numFmtId="170" fontId="0" fillId="10" borderId="20" xfId="0" applyNumberFormat="1" applyFont="1" applyFill="1" applyBorder="1" applyAlignment="1">
      <alignment horizontal="center" vertical="center"/>
    </xf>
    <xf numFmtId="170" fontId="0" fillId="0" borderId="0" xfId="0" applyNumberFormat="1" applyFont="1" applyFill="1" applyAlignment="1">
      <alignment horizontal="center" vertical="center"/>
    </xf>
    <xf numFmtId="170" fontId="0" fillId="21" borderId="20" xfId="0" applyNumberFormat="1" applyFont="1" applyFill="1" applyBorder="1" applyAlignment="1">
      <alignment horizontal="center" vertical="center"/>
    </xf>
    <xf numFmtId="9" fontId="17" fillId="14" borderId="20" xfId="0" applyNumberFormat="1" applyFont="1" applyFill="1" applyBorder="1" applyAlignment="1">
      <alignment horizontal="center" vertical="center"/>
    </xf>
    <xf numFmtId="170" fontId="0" fillId="18" borderId="20" xfId="0" applyNumberFormat="1" applyFont="1" applyFill="1" applyBorder="1" applyAlignment="1">
      <alignment horizontal="center" vertical="center"/>
    </xf>
    <xf numFmtId="167" fontId="0" fillId="0" borderId="6" xfId="1" applyNumberFormat="1" applyFont="1" applyFill="1" applyBorder="1" applyAlignment="1">
      <alignment horizontal="center" vertical="center"/>
    </xf>
    <xf numFmtId="167" fontId="0" fillId="0" borderId="12" xfId="1" applyNumberFormat="1" applyFont="1" applyFill="1" applyBorder="1" applyAlignment="1">
      <alignment horizontal="center" vertical="center"/>
    </xf>
    <xf numFmtId="164" fontId="0" fillId="0" borderId="43" xfId="0" applyNumberFormat="1" applyFont="1" applyFill="1" applyBorder="1" applyAlignment="1">
      <alignment horizontal="center" vertical="center"/>
    </xf>
    <xf numFmtId="170" fontId="0" fillId="0" borderId="0" xfId="1" applyNumberFormat="1" applyFont="1" applyFill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67" fontId="52" fillId="14" borderId="20" xfId="1" applyNumberFormat="1" applyFont="1" applyFill="1" applyBorder="1" applyAlignment="1">
      <alignment horizontal="center" vertical="center"/>
    </xf>
    <xf numFmtId="170" fontId="32" fillId="0" borderId="0" xfId="1" applyNumberFormat="1" applyFont="1" applyFill="1" applyAlignment="1">
      <alignment horizontal="center" vertical="center"/>
    </xf>
    <xf numFmtId="9" fontId="32" fillId="0" borderId="0" xfId="1" applyFont="1" applyFill="1" applyAlignment="1">
      <alignment horizontal="center" vertical="center"/>
    </xf>
    <xf numFmtId="9" fontId="32" fillId="14" borderId="20" xfId="1" applyFont="1" applyFill="1" applyBorder="1" applyAlignment="1">
      <alignment horizontal="center" vertical="center"/>
    </xf>
    <xf numFmtId="9" fontId="32" fillId="0" borderId="0" xfId="1" applyFont="1" applyFill="1" applyBorder="1" applyAlignment="1">
      <alignment horizontal="center" vertical="center"/>
    </xf>
    <xf numFmtId="9" fontId="32" fillId="0" borderId="0" xfId="1" applyFont="1" applyAlignment="1">
      <alignment horizontal="center" vertical="center"/>
    </xf>
    <xf numFmtId="170" fontId="0" fillId="0" borderId="20" xfId="0" applyNumberFormat="1" applyFont="1" applyFill="1" applyBorder="1" applyAlignment="1">
      <alignment horizontal="center" vertical="center"/>
    </xf>
    <xf numFmtId="0" fontId="3" fillId="18" borderId="6" xfId="0" applyFont="1" applyFill="1" applyBorder="1" applyAlignment="1">
      <alignment horizontal="center" vertical="center"/>
    </xf>
    <xf numFmtId="0" fontId="3" fillId="18" borderId="12" xfId="0" applyFont="1" applyFill="1" applyBorder="1" applyAlignment="1">
      <alignment horizontal="center" vertical="center"/>
    </xf>
    <xf numFmtId="0" fontId="0" fillId="18" borderId="12" xfId="0" applyFont="1" applyFill="1" applyBorder="1" applyAlignment="1">
      <alignment horizontal="center" vertical="center"/>
    </xf>
    <xf numFmtId="1" fontId="0" fillId="18" borderId="0" xfId="0" applyNumberFormat="1" applyFont="1" applyFill="1" applyBorder="1" applyAlignment="1">
      <alignment horizontal="center" vertical="center"/>
    </xf>
    <xf numFmtId="1" fontId="0" fillId="18" borderId="12" xfId="0" quotePrefix="1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18" borderId="60" xfId="0" applyFont="1" applyFill="1" applyBorder="1" applyAlignment="1">
      <alignment horizontal="left" vertical="center"/>
    </xf>
    <xf numFmtId="0" fontId="3" fillId="18" borderId="34" xfId="0" applyFont="1" applyFill="1" applyBorder="1" applyAlignment="1">
      <alignment horizontal="left" vertical="center"/>
    </xf>
    <xf numFmtId="0" fontId="3" fillId="18" borderId="62" xfId="0" applyFont="1" applyFill="1" applyBorder="1" applyAlignment="1">
      <alignment horizontal="left" vertical="center"/>
    </xf>
    <xf numFmtId="0" fontId="3" fillId="18" borderId="62" xfId="0" applyFont="1" applyFill="1" applyBorder="1" applyAlignment="1">
      <alignment horizontal="left" vertical="center" wrapText="1"/>
    </xf>
    <xf numFmtId="0" fontId="3" fillId="18" borderId="34" xfId="0" applyFont="1" applyFill="1" applyBorder="1" applyAlignment="1">
      <alignment horizontal="left" vertical="center" wrapText="1"/>
    </xf>
    <xf numFmtId="0" fontId="3" fillId="18" borderId="59" xfId="0" applyFont="1" applyFill="1" applyBorder="1" applyAlignment="1">
      <alignment horizontal="left" vertical="center"/>
    </xf>
    <xf numFmtId="0" fontId="3" fillId="18" borderId="22" xfId="0" applyFont="1" applyFill="1" applyBorder="1" applyAlignment="1">
      <alignment horizontal="left" vertical="center"/>
    </xf>
    <xf numFmtId="0" fontId="1" fillId="0" borderId="0" xfId="3"/>
    <xf numFmtId="0" fontId="53" fillId="0" borderId="0" xfId="3" applyFont="1"/>
    <xf numFmtId="0" fontId="18" fillId="0" borderId="0" xfId="3" applyFont="1"/>
    <xf numFmtId="0" fontId="1" fillId="24" borderId="70" xfId="3" applyFont="1" applyFill="1" applyBorder="1" applyAlignment="1">
      <alignment horizontal="center" vertical="center" wrapText="1"/>
    </xf>
    <xf numFmtId="0" fontId="1" fillId="25" borderId="68" xfId="3" applyFont="1" applyFill="1" applyBorder="1" applyAlignment="1">
      <alignment horizontal="center" vertical="center" wrapText="1"/>
    </xf>
    <xf numFmtId="0" fontId="18" fillId="0" borderId="36" xfId="3" applyFont="1" applyFill="1" applyBorder="1" applyAlignment="1">
      <alignment horizontal="center" vertical="center" wrapText="1"/>
    </xf>
    <xf numFmtId="0" fontId="18" fillId="0" borderId="73" xfId="3" applyFont="1" applyFill="1" applyBorder="1" applyAlignment="1">
      <alignment horizontal="center" vertical="center" wrapText="1"/>
    </xf>
    <xf numFmtId="0" fontId="18" fillId="0" borderId="53" xfId="3" applyFont="1" applyFill="1" applyBorder="1" applyAlignment="1">
      <alignment horizontal="center" vertical="center" wrapText="1"/>
    </xf>
    <xf numFmtId="0" fontId="1" fillId="24" borderId="15" xfId="3" applyFont="1" applyFill="1" applyBorder="1" applyAlignment="1">
      <alignment horizontal="center" vertical="center" wrapText="1"/>
    </xf>
    <xf numFmtId="1" fontId="1" fillId="0" borderId="16" xfId="3" applyNumberFormat="1" applyBorder="1" applyAlignment="1">
      <alignment horizontal="center" vertical="center"/>
    </xf>
    <xf numFmtId="0" fontId="1" fillId="25" borderId="19" xfId="3" applyFont="1" applyFill="1" applyBorder="1" applyAlignment="1">
      <alignment horizontal="center" vertical="center" wrapText="1"/>
    </xf>
    <xf numFmtId="1" fontId="1" fillId="0" borderId="20" xfId="3" applyNumberFormat="1" applyBorder="1" applyAlignment="1">
      <alignment horizontal="center" vertical="center"/>
    </xf>
    <xf numFmtId="0" fontId="18" fillId="0" borderId="64" xfId="3" applyFont="1" applyFill="1" applyBorder="1" applyAlignment="1">
      <alignment horizontal="center" vertical="center" wrapText="1"/>
    </xf>
    <xf numFmtId="2" fontId="18" fillId="0" borderId="53" xfId="3" applyNumberFormat="1" applyFont="1" applyFill="1" applyBorder="1" applyAlignment="1">
      <alignment horizontal="center" vertical="center" wrapText="1"/>
    </xf>
    <xf numFmtId="0" fontId="3" fillId="0" borderId="16" xfId="3" applyFont="1" applyBorder="1" applyAlignment="1">
      <alignment horizontal="center" vertical="center"/>
    </xf>
    <xf numFmtId="4" fontId="1" fillId="0" borderId="16" xfId="3" applyNumberFormat="1" applyBorder="1" applyAlignment="1">
      <alignment horizontal="center" vertical="center"/>
    </xf>
    <xf numFmtId="2" fontId="1" fillId="24" borderId="17" xfId="3" applyNumberFormat="1" applyFill="1" applyBorder="1" applyAlignment="1">
      <alignment horizontal="center" vertical="center" wrapText="1"/>
    </xf>
    <xf numFmtId="0" fontId="3" fillId="0" borderId="20" xfId="3" applyFont="1" applyBorder="1" applyAlignment="1">
      <alignment horizontal="center" vertical="center"/>
    </xf>
    <xf numFmtId="2" fontId="1" fillId="0" borderId="20" xfId="3" applyNumberFormat="1" applyBorder="1" applyAlignment="1">
      <alignment horizontal="center" vertical="center"/>
    </xf>
    <xf numFmtId="4" fontId="1" fillId="0" borderId="20" xfId="3" applyNumberFormat="1" applyBorder="1" applyAlignment="1">
      <alignment horizontal="center" vertical="center"/>
    </xf>
    <xf numFmtId="2" fontId="1" fillId="0" borderId="20" xfId="3" applyNumberFormat="1" applyBorder="1" applyAlignment="1">
      <alignment horizontal="center" vertical="center" wrapText="1"/>
    </xf>
    <xf numFmtId="2" fontId="1" fillId="25" borderId="21" xfId="3" applyNumberFormat="1" applyFill="1" applyBorder="1" applyAlignment="1">
      <alignment horizontal="center" vertical="center" wrapText="1"/>
    </xf>
    <xf numFmtId="0" fontId="1" fillId="0" borderId="0" xfId="3" applyAlignment="1">
      <alignment horizontal="center"/>
    </xf>
    <xf numFmtId="0" fontId="50" fillId="0" borderId="0" xfId="3" applyFont="1" applyFill="1" applyBorder="1" applyAlignment="1">
      <alignment horizontal="center" vertical="center" wrapText="1"/>
    </xf>
    <xf numFmtId="3" fontId="49" fillId="0" borderId="0" xfId="3" applyNumberFormat="1" applyFont="1" applyFill="1" applyBorder="1" applyAlignment="1">
      <alignment horizontal="center" vertical="center"/>
    </xf>
    <xf numFmtId="3" fontId="1" fillId="0" borderId="0" xfId="3" applyNumberFormat="1" applyFill="1" applyBorder="1" applyAlignment="1">
      <alignment horizontal="center" vertical="center"/>
    </xf>
    <xf numFmtId="3" fontId="54" fillId="0" borderId="0" xfId="3" applyNumberFormat="1" applyFont="1" applyFill="1" applyBorder="1"/>
    <xf numFmtId="3" fontId="48" fillId="0" borderId="0" xfId="3" applyNumberFormat="1" applyFont="1" applyFill="1" applyBorder="1" applyAlignment="1">
      <alignment horizontal="center" vertical="center"/>
    </xf>
    <xf numFmtId="2" fontId="1" fillId="0" borderId="0" xfId="3" applyNumberFormat="1"/>
    <xf numFmtId="0" fontId="1" fillId="0" borderId="0" xfId="3" applyBorder="1"/>
    <xf numFmtId="2" fontId="1" fillId="24" borderId="63" xfId="3" applyNumberFormat="1" applyFill="1" applyBorder="1" applyAlignment="1">
      <alignment horizontal="center" vertical="center" wrapText="1"/>
    </xf>
    <xf numFmtId="0" fontId="18" fillId="0" borderId="57" xfId="3" applyFont="1" applyFill="1" applyBorder="1" applyAlignment="1">
      <alignment horizontal="center" vertical="center" wrapText="1"/>
    </xf>
    <xf numFmtId="0" fontId="18" fillId="0" borderId="29" xfId="3" applyFont="1" applyFill="1" applyBorder="1" applyAlignment="1">
      <alignment horizontal="center" vertical="center" wrapText="1"/>
    </xf>
    <xf numFmtId="1" fontId="29" fillId="26" borderId="15" xfId="3" applyNumberFormat="1" applyFont="1" applyFill="1" applyBorder="1" applyAlignment="1">
      <alignment horizontal="center" vertical="center"/>
    </xf>
    <xf numFmtId="1" fontId="18" fillId="26" borderId="16" xfId="3" applyNumberFormat="1" applyFont="1" applyFill="1" applyBorder="1" applyAlignment="1">
      <alignment horizontal="center" vertical="center"/>
    </xf>
    <xf numFmtId="0" fontId="55" fillId="26" borderId="16" xfId="3" applyFont="1" applyFill="1" applyBorder="1" applyAlignment="1">
      <alignment horizontal="center" vertical="center"/>
    </xf>
    <xf numFmtId="0" fontId="18" fillId="26" borderId="16" xfId="3" applyFont="1" applyFill="1" applyBorder="1" applyAlignment="1">
      <alignment horizontal="center" vertical="center"/>
    </xf>
    <xf numFmtId="3" fontId="29" fillId="26" borderId="16" xfId="3" applyNumberFormat="1" applyFont="1" applyFill="1" applyBorder="1" applyAlignment="1">
      <alignment horizontal="center" vertical="center"/>
    </xf>
    <xf numFmtId="2" fontId="1" fillId="25" borderId="63" xfId="3" applyNumberFormat="1" applyFill="1" applyBorder="1" applyAlignment="1">
      <alignment horizontal="center" vertical="center" wrapText="1"/>
    </xf>
    <xf numFmtId="0" fontId="1" fillId="0" borderId="0" xfId="3" applyBorder="1" applyAlignment="1">
      <alignment horizontal="center" vertical="center"/>
    </xf>
    <xf numFmtId="3" fontId="1" fillId="0" borderId="0" xfId="3" applyNumberFormat="1" applyBorder="1"/>
    <xf numFmtId="1" fontId="0" fillId="21" borderId="0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18" fillId="0" borderId="0" xfId="3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9" fontId="0" fillId="0" borderId="0" xfId="1" applyFont="1" applyFill="1"/>
    <xf numFmtId="0" fontId="0" fillId="0" borderId="0" xfId="0" applyFill="1" applyAlignment="1">
      <alignment horizontal="left"/>
    </xf>
    <xf numFmtId="3" fontId="33" fillId="21" borderId="15" xfId="0" applyNumberFormat="1" applyFont="1" applyFill="1" applyBorder="1" applyAlignment="1">
      <alignment horizontal="center" vertical="center"/>
    </xf>
    <xf numFmtId="3" fontId="33" fillId="21" borderId="16" xfId="0" applyNumberFormat="1" applyFont="1" applyFill="1" applyBorder="1" applyAlignment="1">
      <alignment horizontal="center" vertical="center"/>
    </xf>
    <xf numFmtId="0" fontId="34" fillId="19" borderId="13" xfId="0" applyFont="1" applyFill="1" applyBorder="1" applyAlignment="1">
      <alignment horizontal="justify" vertical="center"/>
    </xf>
    <xf numFmtId="3" fontId="33" fillId="21" borderId="20" xfId="0" applyNumberFormat="1" applyFont="1" applyFill="1" applyBorder="1" applyAlignment="1">
      <alignment horizontal="center" vertical="center"/>
    </xf>
    <xf numFmtId="3" fontId="33" fillId="21" borderId="25" xfId="0" applyNumberFormat="1" applyFont="1" applyFill="1" applyBorder="1" applyAlignment="1">
      <alignment horizontal="center" vertical="center"/>
    </xf>
    <xf numFmtId="172" fontId="3" fillId="0" borderId="0" xfId="0" applyNumberFormat="1" applyFont="1" applyFill="1" applyAlignment="1">
      <alignment horizontal="center"/>
    </xf>
    <xf numFmtId="10" fontId="33" fillId="18" borderId="25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5" fontId="15" fillId="0" borderId="61" xfId="0" applyNumberFormat="1" applyFont="1" applyBorder="1" applyAlignment="1">
      <alignment horizontal="center" vertical="center"/>
    </xf>
    <xf numFmtId="165" fontId="15" fillId="0" borderId="3" xfId="0" applyNumberFormat="1" applyFont="1" applyBorder="1" applyAlignment="1">
      <alignment horizontal="center" vertical="center"/>
    </xf>
    <xf numFmtId="165" fontId="15" fillId="0" borderId="4" xfId="0" applyNumberFormat="1" applyFont="1" applyBorder="1" applyAlignment="1">
      <alignment horizontal="center" vertical="center"/>
    </xf>
    <xf numFmtId="165" fontId="15" fillId="0" borderId="5" xfId="0" applyNumberFormat="1" applyFont="1" applyBorder="1" applyAlignment="1">
      <alignment horizontal="center" vertical="center"/>
    </xf>
    <xf numFmtId="164" fontId="11" fillId="5" borderId="0" xfId="0" applyNumberFormat="1" applyFont="1" applyFill="1" applyBorder="1" applyAlignment="1">
      <alignment horizontal="center" vertical="center"/>
    </xf>
    <xf numFmtId="164" fontId="11" fillId="5" borderId="14" xfId="0" applyNumberFormat="1" applyFont="1" applyFill="1" applyBorder="1" applyAlignment="1">
      <alignment horizontal="center" vertical="center"/>
    </xf>
    <xf numFmtId="164" fontId="11" fillId="5" borderId="18" xfId="0" applyNumberFormat="1" applyFont="1" applyFill="1" applyBorder="1" applyAlignment="1">
      <alignment horizontal="center" vertical="center"/>
    </xf>
    <xf numFmtId="164" fontId="11" fillId="5" borderId="2" xfId="0" applyNumberFormat="1" applyFont="1" applyFill="1" applyBorder="1" applyAlignment="1">
      <alignment horizontal="center" vertical="center"/>
    </xf>
    <xf numFmtId="164" fontId="11" fillId="5" borderId="23" xfId="0" applyNumberFormat="1" applyFont="1" applyFill="1" applyBorder="1" applyAlignment="1">
      <alignment horizontal="center" vertical="center"/>
    </xf>
    <xf numFmtId="164" fontId="11" fillId="5" borderId="27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65" xfId="0" applyFont="1" applyBorder="1" applyAlignment="1">
      <alignment vertical="center" wrapText="1"/>
    </xf>
    <xf numFmtId="0" fontId="2" fillId="18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165" fontId="2" fillId="0" borderId="37" xfId="0" applyNumberFormat="1" applyFon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65" fontId="2" fillId="0" borderId="48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165" fontId="2" fillId="17" borderId="37" xfId="0" applyNumberFormat="1" applyFont="1" applyFill="1" applyBorder="1" applyAlignment="1">
      <alignment horizontal="center" vertical="center"/>
    </xf>
    <xf numFmtId="165" fontId="2" fillId="17" borderId="11" xfId="0" applyNumberFormat="1" applyFont="1" applyFill="1" applyBorder="1" applyAlignment="1">
      <alignment horizontal="center" vertical="center"/>
    </xf>
    <xf numFmtId="165" fontId="2" fillId="17" borderId="4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9" fontId="15" fillId="0" borderId="0" xfId="1" applyFont="1" applyAlignment="1">
      <alignment horizontal="center" vertical="center"/>
    </xf>
    <xf numFmtId="9" fontId="15" fillId="0" borderId="0" xfId="1" applyFont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12" fillId="0" borderId="2" xfId="0" applyNumberFormat="1" applyFont="1" applyFill="1" applyBorder="1" applyAlignment="1">
      <alignment horizontal="center" vertical="center"/>
    </xf>
    <xf numFmtId="165" fontId="2" fillId="21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0" fontId="2" fillId="14" borderId="0" xfId="0" applyFont="1" applyFill="1" applyAlignment="1">
      <alignment horizontal="center" vertical="center"/>
    </xf>
    <xf numFmtId="165" fontId="2" fillId="17" borderId="12" xfId="0" applyNumberFormat="1" applyFont="1" applyFill="1" applyBorder="1" applyAlignment="1">
      <alignment horizontal="center" vertical="center"/>
    </xf>
    <xf numFmtId="165" fontId="2" fillId="17" borderId="0" xfId="0" applyNumberFormat="1" applyFont="1" applyFill="1" applyBorder="1" applyAlignment="1">
      <alignment horizontal="center" vertical="center"/>
    </xf>
    <xf numFmtId="164" fontId="11" fillId="5" borderId="13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/>
    </xf>
    <xf numFmtId="164" fontId="11" fillId="5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9" fontId="2" fillId="0" borderId="0" xfId="1" applyFont="1" applyAlignment="1">
      <alignment horizontal="center" vertical="center"/>
    </xf>
    <xf numFmtId="165" fontId="15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0" fontId="15" fillId="14" borderId="0" xfId="0" applyFont="1" applyFill="1" applyBorder="1" applyAlignment="1">
      <alignment horizontal="right" vertical="center" wrapText="1"/>
    </xf>
    <xf numFmtId="0" fontId="2" fillId="14" borderId="0" xfId="0" applyFont="1" applyFill="1" applyAlignment="1">
      <alignment vertical="center"/>
    </xf>
    <xf numFmtId="9" fontId="15" fillId="14" borderId="0" xfId="1" applyFont="1" applyFill="1" applyAlignment="1">
      <alignment horizontal="center" vertical="center"/>
    </xf>
    <xf numFmtId="165" fontId="2" fillId="14" borderId="0" xfId="0" applyNumberFormat="1" applyFont="1" applyFill="1" applyBorder="1" applyAlignment="1">
      <alignment horizontal="center" vertical="center"/>
    </xf>
    <xf numFmtId="164" fontId="2" fillId="14" borderId="0" xfId="0" applyNumberFormat="1" applyFont="1" applyFill="1" applyAlignment="1">
      <alignment horizontal="center" vertical="center"/>
    </xf>
    <xf numFmtId="0" fontId="2" fillId="14" borderId="0" xfId="0" applyFont="1" applyFill="1" applyBorder="1" applyAlignment="1">
      <alignment horizontal="center" vertical="center"/>
    </xf>
    <xf numFmtId="0" fontId="2" fillId="14" borderId="0" xfId="0" applyFont="1" applyFill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15" fillId="0" borderId="0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65" fontId="2" fillId="21" borderId="0" xfId="0" applyNumberFormat="1" applyFont="1" applyFill="1" applyBorder="1" applyAlignment="1">
      <alignment horizontal="center" vertical="center"/>
    </xf>
    <xf numFmtId="3" fontId="0" fillId="21" borderId="0" xfId="0" applyNumberFormat="1" applyFill="1" applyBorder="1" applyAlignment="1">
      <alignment horizontal="center" vertical="center"/>
    </xf>
    <xf numFmtId="3" fontId="18" fillId="14" borderId="0" xfId="0" applyNumberFormat="1" applyFont="1" applyFill="1" applyBorder="1" applyAlignment="1"/>
    <xf numFmtId="3" fontId="18" fillId="14" borderId="2" xfId="0" applyNumberFormat="1" applyFont="1" applyFill="1" applyBorder="1" applyAlignment="1">
      <alignment horizontal="center"/>
    </xf>
    <xf numFmtId="0" fontId="36" fillId="19" borderId="0" xfId="0" applyFont="1" applyFill="1" applyBorder="1" applyAlignment="1">
      <alignment horizontal="center"/>
    </xf>
    <xf numFmtId="0" fontId="36" fillId="19" borderId="0" xfId="0" applyFont="1" applyFill="1" applyBorder="1" applyAlignment="1">
      <alignment horizontal="left"/>
    </xf>
    <xf numFmtId="0" fontId="31" fillId="0" borderId="20" xfId="0" applyFont="1" applyBorder="1"/>
    <xf numFmtId="165" fontId="31" fillId="0" borderId="20" xfId="0" applyNumberFormat="1" applyFont="1" applyBorder="1"/>
    <xf numFmtId="0" fontId="2" fillId="0" borderId="18" xfId="0" applyFont="1" applyBorder="1" applyAlignment="1">
      <alignment horizontal="left"/>
    </xf>
    <xf numFmtId="9" fontId="2" fillId="0" borderId="2" xfId="0" applyNumberFormat="1" applyFont="1" applyBorder="1" applyAlignment="1">
      <alignment horizontal="center"/>
    </xf>
    <xf numFmtId="10" fontId="2" fillId="0" borderId="2" xfId="0" applyNumberFormat="1" applyFont="1" applyBorder="1" applyAlignment="1">
      <alignment horizontal="center"/>
    </xf>
    <xf numFmtId="9" fontId="2" fillId="0" borderId="27" xfId="0" applyNumberFormat="1" applyFont="1" applyBorder="1" applyAlignment="1">
      <alignment horizontal="center"/>
    </xf>
    <xf numFmtId="0" fontId="56" fillId="7" borderId="20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2" fillId="0" borderId="20" xfId="0" applyFont="1" applyBorder="1" applyAlignment="1">
      <alignment horizontal="center" wrapText="1"/>
    </xf>
    <xf numFmtId="0" fontId="2" fillId="0" borderId="20" xfId="0" applyFont="1" applyFill="1" applyBorder="1" applyAlignment="1">
      <alignment horizontal="center"/>
    </xf>
    <xf numFmtId="0" fontId="36" fillId="0" borderId="20" xfId="0" applyFont="1" applyFill="1" applyBorder="1" applyAlignment="1">
      <alignment horizontal="center" vertical="center"/>
    </xf>
    <xf numFmtId="0" fontId="36" fillId="0" borderId="20" xfId="0" quotePrefix="1" applyFont="1" applyFill="1" applyBorder="1" applyAlignment="1">
      <alignment horizontal="center" vertical="center"/>
    </xf>
    <xf numFmtId="165" fontId="2" fillId="21" borderId="20" xfId="0" applyNumberFormat="1" applyFont="1" applyFill="1" applyBorder="1"/>
    <xf numFmtId="0" fontId="31" fillId="0" borderId="20" xfId="0" applyFont="1" applyBorder="1" applyAlignment="1">
      <alignment horizontal="center"/>
    </xf>
    <xf numFmtId="165" fontId="31" fillId="0" borderId="20" xfId="0" applyNumberFormat="1" applyFont="1" applyFill="1" applyBorder="1"/>
    <xf numFmtId="0" fontId="57" fillId="0" borderId="20" xfId="0" applyFont="1" applyBorder="1"/>
    <xf numFmtId="0" fontId="57" fillId="0" borderId="20" xfId="0" applyFont="1" applyBorder="1" applyAlignment="1">
      <alignment horizontal="center"/>
    </xf>
    <xf numFmtId="165" fontId="57" fillId="0" borderId="20" xfId="0" applyNumberFormat="1" applyFont="1" applyBorder="1"/>
    <xf numFmtId="165" fontId="57" fillId="0" borderId="20" xfId="0" applyNumberFormat="1" applyFont="1" applyFill="1" applyBorder="1"/>
    <xf numFmtId="0" fontId="58" fillId="0" borderId="20" xfId="0" applyFont="1" applyBorder="1"/>
    <xf numFmtId="0" fontId="58" fillId="0" borderId="20" xfId="0" applyFont="1" applyBorder="1" applyAlignment="1">
      <alignment horizontal="center"/>
    </xf>
    <xf numFmtId="165" fontId="59" fillId="0" borderId="20" xfId="0" applyNumberFormat="1" applyFont="1" applyBorder="1"/>
    <xf numFmtId="165" fontId="31" fillId="21" borderId="20" xfId="0" applyNumberFormat="1" applyFont="1" applyFill="1" applyBorder="1"/>
    <xf numFmtId="0" fontId="60" fillId="0" borderId="20" xfId="0" applyFont="1" applyBorder="1"/>
    <xf numFmtId="0" fontId="60" fillId="0" borderId="20" xfId="0" applyFont="1" applyBorder="1" applyAlignment="1">
      <alignment horizontal="center"/>
    </xf>
    <xf numFmtId="165" fontId="60" fillId="0" borderId="20" xfId="0" applyNumberFormat="1" applyFont="1" applyBorder="1"/>
    <xf numFmtId="165" fontId="2" fillId="21" borderId="0" xfId="0" applyNumberFormat="1" applyFont="1" applyFill="1"/>
    <xf numFmtId="0" fontId="2" fillId="0" borderId="0" xfId="0" applyFont="1" applyAlignment="1">
      <alignment horizontal="left"/>
    </xf>
    <xf numFmtId="165" fontId="15" fillId="0" borderId="0" xfId="0" applyNumberFormat="1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 vertical="center"/>
    </xf>
    <xf numFmtId="3" fontId="61" fillId="0" borderId="0" xfId="0" applyNumberFormat="1" applyFont="1" applyBorder="1" applyAlignment="1">
      <alignment horizontal="center"/>
    </xf>
    <xf numFmtId="3" fontId="0" fillId="0" borderId="2" xfId="0" applyNumberFormat="1" applyFill="1" applyBorder="1" applyAlignment="1">
      <alignment horizontal="center" vertical="center"/>
    </xf>
    <xf numFmtId="3" fontId="27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3" fontId="0" fillId="21" borderId="48" xfId="0" applyNumberFormat="1" applyFont="1" applyFill="1" applyBorder="1" applyAlignment="1">
      <alignment horizontal="center"/>
    </xf>
    <xf numFmtId="167" fontId="0" fillId="18" borderId="48" xfId="0" applyNumberFormat="1" applyFont="1" applyFill="1" applyBorder="1" applyAlignment="1">
      <alignment horizontal="center"/>
    </xf>
    <xf numFmtId="3" fontId="3" fillId="0" borderId="0" xfId="0" applyNumberFormat="1" applyFont="1" applyBorder="1"/>
    <xf numFmtId="3" fontId="18" fillId="0" borderId="15" xfId="0" applyNumberFormat="1" applyFont="1" applyBorder="1" applyAlignment="1">
      <alignment horizontal="center"/>
    </xf>
    <xf numFmtId="3" fontId="18" fillId="0" borderId="17" xfId="0" applyNumberFormat="1" applyFont="1" applyBorder="1" applyAlignment="1"/>
    <xf numFmtId="3" fontId="0" fillId="10" borderId="0" xfId="0" applyNumberFormat="1" applyFill="1" applyBorder="1" applyAlignment="1">
      <alignment horizontal="center" vertical="center"/>
    </xf>
    <xf numFmtId="0" fontId="0" fillId="22" borderId="0" xfId="0" applyFill="1"/>
    <xf numFmtId="0" fontId="29" fillId="22" borderId="0" xfId="0" applyFont="1" applyFill="1"/>
    <xf numFmtId="0" fontId="3" fillId="10" borderId="0" xfId="0" applyFont="1" applyFill="1"/>
    <xf numFmtId="3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/>
    <xf numFmtId="3" fontId="18" fillId="0" borderId="0" xfId="0" applyNumberFormat="1" applyFont="1" applyBorder="1"/>
    <xf numFmtId="3" fontId="18" fillId="14" borderId="0" xfId="0" applyNumberFormat="1" applyFont="1" applyFill="1" applyBorder="1" applyAlignment="1">
      <alignment horizontal="center"/>
    </xf>
    <xf numFmtId="0" fontId="17" fillId="0" borderId="0" xfId="0" applyFont="1" applyBorder="1"/>
    <xf numFmtId="3" fontId="62" fillId="0" borderId="0" xfId="0" applyNumberFormat="1" applyFont="1" applyBorder="1" applyAlignment="1">
      <alignment horizontal="center"/>
    </xf>
    <xf numFmtId="0" fontId="17" fillId="0" borderId="0" xfId="0" applyFont="1" applyFill="1" applyBorder="1"/>
    <xf numFmtId="3" fontId="0" fillId="10" borderId="14" xfId="0" applyNumberFormat="1" applyFill="1" applyBorder="1" applyAlignment="1">
      <alignment horizontal="center" vertical="center"/>
    </xf>
    <xf numFmtId="3" fontId="0" fillId="10" borderId="18" xfId="0" applyNumberFormat="1" applyFill="1" applyBorder="1" applyAlignment="1">
      <alignment horizontal="center" vertical="center"/>
    </xf>
    <xf numFmtId="3" fontId="17" fillId="22" borderId="23" xfId="0" applyNumberFormat="1" applyFont="1" applyFill="1" applyBorder="1" applyAlignment="1">
      <alignment horizontal="center" vertical="center"/>
    </xf>
    <xf numFmtId="3" fontId="17" fillId="22" borderId="27" xfId="0" applyNumberFormat="1" applyFont="1" applyFill="1" applyBorder="1" applyAlignment="1">
      <alignment horizontal="center" vertical="center"/>
    </xf>
    <xf numFmtId="3" fontId="0" fillId="22" borderId="23" xfId="0" applyNumberFormat="1" applyFill="1" applyBorder="1" applyAlignment="1">
      <alignment horizontal="center" vertical="center"/>
    </xf>
    <xf numFmtId="3" fontId="0" fillId="22" borderId="27" xfId="0" applyNumberForma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/>
    </xf>
    <xf numFmtId="3" fontId="18" fillId="22" borderId="4" xfId="0" applyNumberFormat="1" applyFont="1" applyFill="1" applyBorder="1" applyAlignment="1">
      <alignment horizontal="center" vertical="center"/>
    </xf>
    <xf numFmtId="3" fontId="17" fillId="22" borderId="4" xfId="0" applyNumberFormat="1" applyFont="1" applyFill="1" applyBorder="1" applyAlignment="1">
      <alignment horizontal="center" vertical="center"/>
    </xf>
    <xf numFmtId="3" fontId="17" fillId="22" borderId="5" xfId="0" applyNumberFormat="1" applyFont="1" applyFill="1" applyBorder="1" applyAlignment="1">
      <alignment horizontal="center" vertical="center"/>
    </xf>
    <xf numFmtId="3" fontId="29" fillId="22" borderId="23" xfId="0" applyNumberFormat="1" applyFont="1" applyFill="1" applyBorder="1" applyAlignment="1">
      <alignment horizontal="center" vertical="center"/>
    </xf>
    <xf numFmtId="3" fontId="29" fillId="22" borderId="27" xfId="0" applyNumberFormat="1" applyFont="1" applyFill="1" applyBorder="1" applyAlignment="1">
      <alignment horizontal="center" vertical="center"/>
    </xf>
    <xf numFmtId="3" fontId="18" fillId="10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3" fontId="17" fillId="0" borderId="0" xfId="0" applyNumberFormat="1" applyFont="1" applyBorder="1" applyAlignment="1">
      <alignment horizontal="left" vertical="center"/>
    </xf>
    <xf numFmtId="3" fontId="0" fillId="0" borderId="0" xfId="0" applyNumberFormat="1" applyBorder="1" applyAlignment="1">
      <alignment horizontal="left" vertical="center"/>
    </xf>
    <xf numFmtId="3" fontId="18" fillId="10" borderId="13" xfId="0" applyNumberFormat="1" applyFont="1" applyFill="1" applyBorder="1" applyAlignment="1">
      <alignment horizontal="left" vertical="center"/>
    </xf>
    <xf numFmtId="3" fontId="3" fillId="0" borderId="1" xfId="0" applyNumberFormat="1" applyFont="1" applyBorder="1" applyAlignment="1">
      <alignment horizontal="left" vertical="center"/>
    </xf>
    <xf numFmtId="3" fontId="18" fillId="0" borderId="1" xfId="0" applyNumberFormat="1" applyFont="1" applyFill="1" applyBorder="1" applyAlignment="1">
      <alignment horizontal="left" vertical="center"/>
    </xf>
    <xf numFmtId="3" fontId="18" fillId="0" borderId="0" xfId="0" applyNumberFormat="1" applyFont="1" applyBorder="1" applyAlignment="1">
      <alignment horizontal="left" vertical="center"/>
    </xf>
    <xf numFmtId="3" fontId="18" fillId="0" borderId="0" xfId="0" applyNumberFormat="1" applyFont="1" applyFill="1" applyBorder="1" applyAlignment="1">
      <alignment horizontal="left" vertical="center"/>
    </xf>
    <xf numFmtId="3" fontId="27" fillId="0" borderId="1" xfId="0" applyNumberFormat="1" applyFont="1" applyBorder="1" applyAlignment="1">
      <alignment horizontal="left" vertical="center"/>
    </xf>
    <xf numFmtId="3" fontId="18" fillId="0" borderId="1" xfId="0" applyNumberFormat="1" applyFont="1" applyBorder="1" applyAlignment="1">
      <alignment horizontal="left" vertical="center"/>
    </xf>
    <xf numFmtId="3" fontId="18" fillId="22" borderId="22" xfId="0" applyNumberFormat="1" applyFont="1" applyFill="1" applyBorder="1" applyAlignment="1">
      <alignment horizontal="right" vertical="center"/>
    </xf>
    <xf numFmtId="3" fontId="18" fillId="22" borderId="3" xfId="0" applyNumberFormat="1" applyFont="1" applyFill="1" applyBorder="1" applyAlignment="1">
      <alignment horizontal="right" vertical="center"/>
    </xf>
    <xf numFmtId="3" fontId="18" fillId="0" borderId="0" xfId="0" applyNumberFormat="1" applyFont="1" applyBorder="1" applyAlignment="1">
      <alignment horizontal="right" vertical="center"/>
    </xf>
    <xf numFmtId="3" fontId="17" fillId="0" borderId="0" xfId="0" applyNumberFormat="1" applyFont="1" applyFill="1" applyBorder="1" applyAlignment="1">
      <alignment horizontal="left" vertical="center"/>
    </xf>
    <xf numFmtId="3" fontId="3" fillId="0" borderId="42" xfId="0" applyNumberFormat="1" applyFont="1" applyFill="1" applyBorder="1" applyAlignment="1">
      <alignment horizontal="left" vertical="center"/>
    </xf>
    <xf numFmtId="3" fontId="0" fillId="21" borderId="2" xfId="0" applyNumberFormat="1" applyFill="1" applyBorder="1" applyAlignment="1">
      <alignment horizontal="center" vertical="center"/>
    </xf>
    <xf numFmtId="10" fontId="17" fillId="14" borderId="0" xfId="1" applyNumberFormat="1" applyFont="1" applyFill="1" applyAlignment="1">
      <alignment horizontal="center" vertical="center"/>
    </xf>
    <xf numFmtId="167" fontId="17" fillId="14" borderId="0" xfId="1" applyNumberFormat="1" applyFont="1" applyFill="1" applyAlignment="1">
      <alignment horizontal="center" vertical="center"/>
    </xf>
    <xf numFmtId="0" fontId="0" fillId="19" borderId="0" xfId="0" applyFill="1" applyAlignment="1">
      <alignment horizontal="center"/>
    </xf>
    <xf numFmtId="0" fontId="3" fillId="19" borderId="0" xfId="0" applyFont="1" applyFill="1"/>
    <xf numFmtId="0" fontId="17" fillId="19" borderId="13" xfId="0" applyFont="1" applyFill="1" applyBorder="1" applyAlignment="1">
      <alignment horizontal="center"/>
    </xf>
    <xf numFmtId="0" fontId="17" fillId="19" borderId="18" xfId="0" applyFont="1" applyFill="1" applyBorder="1" applyAlignment="1">
      <alignment horizontal="center"/>
    </xf>
    <xf numFmtId="172" fontId="17" fillId="19" borderId="64" xfId="0" applyNumberFormat="1" applyFont="1" applyFill="1" applyBorder="1" applyAlignment="1">
      <alignment horizontal="center" vertical="center"/>
    </xf>
    <xf numFmtId="0" fontId="17" fillId="19" borderId="18" xfId="0" applyFont="1" applyFill="1" applyBorder="1" applyAlignment="1">
      <alignment horizontal="right"/>
    </xf>
    <xf numFmtId="167" fontId="0" fillId="19" borderId="64" xfId="1" applyNumberFormat="1" applyFont="1" applyFill="1" applyBorder="1" applyAlignment="1">
      <alignment horizontal="center" vertical="center"/>
    </xf>
    <xf numFmtId="0" fontId="17" fillId="19" borderId="1" xfId="0" applyFont="1" applyFill="1" applyBorder="1" applyAlignment="1">
      <alignment horizontal="center"/>
    </xf>
    <xf numFmtId="0" fontId="17" fillId="19" borderId="2" xfId="0" applyFont="1" applyFill="1" applyBorder="1" applyAlignment="1">
      <alignment horizontal="right"/>
    </xf>
    <xf numFmtId="167" fontId="0" fillId="19" borderId="65" xfId="1" applyNumberFormat="1" applyFont="1" applyFill="1" applyBorder="1" applyAlignment="1">
      <alignment horizontal="center" vertical="center"/>
    </xf>
    <xf numFmtId="3" fontId="0" fillId="19" borderId="0" xfId="0" applyNumberFormat="1" applyFill="1" applyAlignment="1">
      <alignment horizontal="center" vertical="center"/>
    </xf>
    <xf numFmtId="0" fontId="17" fillId="19" borderId="22" xfId="0" applyFont="1" applyFill="1" applyBorder="1" applyAlignment="1">
      <alignment horizontal="center"/>
    </xf>
    <xf numFmtId="0" fontId="17" fillId="19" borderId="27" xfId="0" applyFont="1" applyFill="1" applyBorder="1" applyAlignment="1">
      <alignment horizontal="right"/>
    </xf>
    <xf numFmtId="167" fontId="0" fillId="19" borderId="69" xfId="1" applyNumberFormat="1" applyFont="1" applyFill="1" applyBorder="1" applyAlignment="1">
      <alignment horizontal="center" vertical="center"/>
    </xf>
    <xf numFmtId="3" fontId="3" fillId="19" borderId="0" xfId="0" applyNumberFormat="1" applyFont="1" applyFill="1" applyAlignment="1">
      <alignment horizontal="center" vertical="center"/>
    </xf>
    <xf numFmtId="0" fontId="3" fillId="19" borderId="0" xfId="0" applyFont="1" applyFill="1" applyAlignment="1">
      <alignment horizontal="center" vertical="center"/>
    </xf>
    <xf numFmtId="0" fontId="17" fillId="19" borderId="0" xfId="0" applyFont="1" applyFill="1" applyAlignment="1">
      <alignment horizontal="center"/>
    </xf>
    <xf numFmtId="3" fontId="0" fillId="19" borderId="0" xfId="0" applyNumberFormat="1" applyFill="1"/>
    <xf numFmtId="0" fontId="41" fillId="12" borderId="0" xfId="0" applyFont="1" applyFill="1" applyBorder="1"/>
    <xf numFmtId="0" fontId="41" fillId="18" borderId="0" xfId="0" applyFont="1" applyFill="1" applyBorder="1"/>
    <xf numFmtId="9" fontId="41" fillId="18" borderId="0" xfId="1" applyFont="1" applyFill="1" applyBorder="1"/>
    <xf numFmtId="0" fontId="17" fillId="19" borderId="0" xfId="0" applyFont="1" applyFill="1"/>
    <xf numFmtId="0" fontId="17" fillId="19" borderId="20" xfId="0" applyFont="1" applyFill="1" applyBorder="1" applyAlignment="1">
      <alignment horizontal="center" vertical="center"/>
    </xf>
    <xf numFmtId="0" fontId="63" fillId="19" borderId="20" xfId="0" applyFont="1" applyFill="1" applyBorder="1" applyAlignment="1">
      <alignment horizontal="left" vertical="center"/>
    </xf>
    <xf numFmtId="170" fontId="0" fillId="19" borderId="20" xfId="0" applyNumberFormat="1" applyFill="1" applyBorder="1" applyAlignment="1">
      <alignment horizontal="center" vertical="center"/>
    </xf>
    <xf numFmtId="9" fontId="0" fillId="19" borderId="20" xfId="0" applyNumberFormat="1" applyFill="1" applyBorder="1" applyAlignment="1">
      <alignment horizontal="center" vertical="center"/>
    </xf>
    <xf numFmtId="0" fontId="0" fillId="19" borderId="20" xfId="0" applyFill="1" applyBorder="1" applyAlignment="1">
      <alignment horizontal="center" vertical="center"/>
    </xf>
    <xf numFmtId="170" fontId="0" fillId="19" borderId="0" xfId="0" applyNumberFormat="1" applyFill="1" applyAlignment="1">
      <alignment horizontal="center" vertical="center"/>
    </xf>
    <xf numFmtId="0" fontId="64" fillId="19" borderId="20" xfId="0" applyFont="1" applyFill="1" applyBorder="1" applyAlignment="1">
      <alignment horizontal="right" vertical="center"/>
    </xf>
    <xf numFmtId="0" fontId="63" fillId="19" borderId="20" xfId="0" applyFont="1" applyFill="1" applyBorder="1" applyAlignment="1">
      <alignment horizontal="left" vertical="center" wrapText="1"/>
    </xf>
    <xf numFmtId="0" fontId="17" fillId="19" borderId="20" xfId="0" applyFont="1" applyFill="1" applyBorder="1" applyAlignment="1">
      <alignment horizontal="right" vertical="center"/>
    </xf>
    <xf numFmtId="170" fontId="17" fillId="19" borderId="20" xfId="0" applyNumberFormat="1" applyFont="1" applyFill="1" applyBorder="1" applyAlignment="1">
      <alignment horizontal="center" vertical="center"/>
    </xf>
    <xf numFmtId="0" fontId="3" fillId="19" borderId="20" xfId="0" quotePrefix="1" applyFont="1" applyFill="1" applyBorder="1" applyAlignment="1">
      <alignment horizontal="center" vertical="center"/>
    </xf>
    <xf numFmtId="0" fontId="17" fillId="19" borderId="20" xfId="0" applyFont="1" applyFill="1" applyBorder="1" applyAlignment="1">
      <alignment horizontal="right"/>
    </xf>
    <xf numFmtId="3" fontId="17" fillId="0" borderId="0" xfId="0" applyNumberFormat="1" applyFont="1" applyBorder="1" applyAlignment="1">
      <alignment horizontal="right" vertical="center"/>
    </xf>
    <xf numFmtId="0" fontId="0" fillId="22" borderId="0" xfId="0" applyFill="1" applyBorder="1"/>
    <xf numFmtId="0" fontId="36" fillId="19" borderId="0" xfId="0" applyFont="1" applyFill="1" applyBorder="1" applyAlignment="1">
      <alignment horizontal="right"/>
    </xf>
    <xf numFmtId="9" fontId="36" fillId="18" borderId="0" xfId="1" applyFont="1" applyFill="1" applyBorder="1"/>
    <xf numFmtId="0" fontId="36" fillId="0" borderId="0" xfId="0" applyFont="1" applyFill="1" applyBorder="1" applyAlignment="1">
      <alignment horizontal="right"/>
    </xf>
    <xf numFmtId="0" fontId="0" fillId="18" borderId="41" xfId="0" applyFill="1" applyBorder="1" applyAlignment="1">
      <alignment horizontal="center" vertical="top" wrapText="1"/>
    </xf>
    <xf numFmtId="0" fontId="0" fillId="18" borderId="24" xfId="0" applyFill="1" applyBorder="1" applyAlignment="1">
      <alignment horizontal="center" vertical="top" wrapText="1"/>
    </xf>
    <xf numFmtId="0" fontId="0" fillId="18" borderId="19" xfId="0" applyFill="1" applyBorder="1" applyAlignment="1">
      <alignment horizontal="center" vertical="top" wrapText="1"/>
    </xf>
    <xf numFmtId="169" fontId="0" fillId="18" borderId="21" xfId="0" applyNumberFormat="1" applyFill="1" applyBorder="1" applyAlignment="1">
      <alignment horizontal="center" vertical="top" wrapText="1"/>
    </xf>
    <xf numFmtId="169" fontId="0" fillId="18" borderId="26" xfId="0" applyNumberFormat="1" applyFill="1" applyBorder="1" applyAlignment="1">
      <alignment horizontal="center" vertical="top" wrapText="1"/>
    </xf>
    <xf numFmtId="3" fontId="0" fillId="22" borderId="0" xfId="0" applyNumberFormat="1" applyFill="1" applyBorder="1"/>
    <xf numFmtId="3" fontId="0" fillId="22" borderId="0" xfId="0" applyNumberFormat="1" applyFill="1"/>
    <xf numFmtId="3" fontId="0" fillId="22" borderId="0" xfId="0" applyNumberFormat="1" applyFill="1" applyAlignment="1">
      <alignment horizontal="center"/>
    </xf>
    <xf numFmtId="3" fontId="26" fillId="22" borderId="0" xfId="0" applyNumberFormat="1" applyFont="1" applyFill="1" applyBorder="1" applyAlignment="1"/>
    <xf numFmtId="0" fontId="0" fillId="0" borderId="23" xfId="0" applyBorder="1"/>
    <xf numFmtId="3" fontId="0" fillId="0" borderId="23" xfId="0" applyNumberFormat="1" applyBorder="1"/>
    <xf numFmtId="3" fontId="0" fillId="0" borderId="23" xfId="0" applyNumberFormat="1" applyBorder="1" applyAlignment="1">
      <alignment horizontal="center"/>
    </xf>
    <xf numFmtId="3" fontId="3" fillId="0" borderId="37" xfId="0" applyNumberFormat="1" applyFont="1" applyFill="1" applyBorder="1"/>
    <xf numFmtId="3" fontId="0" fillId="0" borderId="48" xfId="0" applyNumberFormat="1" applyFill="1" applyBorder="1" applyAlignment="1">
      <alignment horizontal="center"/>
    </xf>
    <xf numFmtId="3" fontId="3" fillId="0" borderId="38" xfId="0" applyNumberFormat="1" applyFont="1" applyFill="1" applyBorder="1"/>
    <xf numFmtId="167" fontId="0" fillId="18" borderId="58" xfId="0" applyNumberFormat="1" applyFill="1" applyBorder="1" applyAlignment="1">
      <alignment horizontal="center"/>
    </xf>
    <xf numFmtId="3" fontId="3" fillId="0" borderId="36" xfId="0" applyNumberFormat="1" applyFont="1" applyFill="1" applyBorder="1"/>
    <xf numFmtId="3" fontId="3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/>
    </xf>
    <xf numFmtId="3" fontId="0" fillId="12" borderId="0" xfId="0" applyNumberFormat="1" applyFill="1" applyBorder="1" applyAlignment="1">
      <alignment horizontal="center" vertical="center"/>
    </xf>
    <xf numFmtId="9" fontId="0" fillId="0" borderId="0" xfId="1" applyFont="1" applyBorder="1" applyAlignment="1">
      <alignment horizontal="center" vertical="center"/>
    </xf>
    <xf numFmtId="3" fontId="0" fillId="0" borderId="0" xfId="0" applyNumberFormat="1" applyBorder="1" applyAlignment="1">
      <alignment horizontal="right"/>
    </xf>
    <xf numFmtId="3" fontId="17" fillId="0" borderId="20" xfId="0" applyNumberFormat="1" applyFont="1" applyBorder="1" applyAlignment="1">
      <alignment horizontal="center"/>
    </xf>
    <xf numFmtId="9" fontId="17" fillId="0" borderId="20" xfId="1" applyFont="1" applyBorder="1" applyAlignment="1">
      <alignment horizontal="center"/>
    </xf>
    <xf numFmtId="3" fontId="17" fillId="0" borderId="20" xfId="0" applyNumberFormat="1" applyFont="1" applyBorder="1" applyAlignment="1">
      <alignment horizontal="right"/>
    </xf>
    <xf numFmtId="172" fontId="17" fillId="0" borderId="24" xfId="0" applyNumberFormat="1" applyFont="1" applyBorder="1" applyAlignment="1">
      <alignment horizontal="center" vertical="center"/>
    </xf>
    <xf numFmtId="172" fontId="17" fillId="0" borderId="25" xfId="0" applyNumberFormat="1" applyFont="1" applyBorder="1" applyAlignment="1">
      <alignment horizontal="center" vertical="center"/>
    </xf>
    <xf numFmtId="172" fontId="17" fillId="0" borderId="26" xfId="0" applyNumberFormat="1" applyFont="1" applyBorder="1" applyAlignment="1">
      <alignment horizontal="center" vertical="center"/>
    </xf>
    <xf numFmtId="3" fontId="17" fillId="0" borderId="15" xfId="0" applyNumberFormat="1" applyFont="1" applyBorder="1" applyAlignment="1">
      <alignment horizontal="right"/>
    </xf>
    <xf numFmtId="167" fontId="17" fillId="0" borderId="16" xfId="0" applyNumberFormat="1" applyFont="1" applyFill="1" applyBorder="1" applyAlignment="1">
      <alignment horizontal="center" vertical="center"/>
    </xf>
    <xf numFmtId="167" fontId="17" fillId="0" borderId="17" xfId="0" applyNumberFormat="1" applyFont="1" applyFill="1" applyBorder="1" applyAlignment="1">
      <alignment horizontal="center" vertical="center"/>
    </xf>
    <xf numFmtId="3" fontId="17" fillId="0" borderId="24" xfId="0" applyNumberFormat="1" applyFont="1" applyBorder="1" applyAlignment="1">
      <alignment horizontal="right"/>
    </xf>
    <xf numFmtId="170" fontId="17" fillId="0" borderId="25" xfId="0" applyNumberFormat="1" applyFont="1" applyFill="1" applyBorder="1" applyAlignment="1">
      <alignment horizontal="center" vertical="center"/>
    </xf>
    <xf numFmtId="170" fontId="17" fillId="0" borderId="26" xfId="0" applyNumberFormat="1" applyFont="1" applyFill="1" applyBorder="1" applyAlignment="1">
      <alignment horizontal="center" vertical="center"/>
    </xf>
    <xf numFmtId="167" fontId="17" fillId="0" borderId="16" xfId="0" applyNumberFormat="1" applyFont="1" applyBorder="1" applyAlignment="1">
      <alignment horizontal="center" vertical="center"/>
    </xf>
    <xf numFmtId="165" fontId="2" fillId="18" borderId="0" xfId="0" applyNumberFormat="1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18" borderId="9" xfId="0" applyFont="1" applyFill="1" applyBorder="1" applyAlignment="1">
      <alignment horizontal="center" vertical="center"/>
    </xf>
    <xf numFmtId="0" fontId="3" fillId="18" borderId="11" xfId="0" applyFont="1" applyFill="1" applyBorder="1" applyAlignment="1">
      <alignment horizontal="center" vertical="center"/>
    </xf>
    <xf numFmtId="0" fontId="3" fillId="18" borderId="45" xfId="0" applyFont="1" applyFill="1" applyBorder="1" applyAlignment="1">
      <alignment horizontal="center" vertical="center"/>
    </xf>
    <xf numFmtId="0" fontId="0" fillId="18" borderId="6" xfId="0" applyFill="1" applyBorder="1" applyAlignment="1">
      <alignment horizontal="center" vertical="center"/>
    </xf>
    <xf numFmtId="0" fontId="0" fillId="18" borderId="12" xfId="0" applyFill="1" applyBorder="1" applyAlignment="1">
      <alignment horizontal="center" vertical="center"/>
    </xf>
    <xf numFmtId="0" fontId="0" fillId="18" borderId="45" xfId="0" applyFill="1" applyBorder="1" applyAlignment="1">
      <alignment horizontal="center" vertical="center"/>
    </xf>
    <xf numFmtId="0" fontId="0" fillId="18" borderId="6" xfId="0" applyFont="1" applyFill="1" applyBorder="1" applyAlignment="1">
      <alignment horizontal="center" vertical="center"/>
    </xf>
    <xf numFmtId="0" fontId="3" fillId="18" borderId="43" xfId="0" applyFont="1" applyFill="1" applyBorder="1" applyAlignment="1">
      <alignment horizontal="center" vertical="center"/>
    </xf>
    <xf numFmtId="3" fontId="3" fillId="0" borderId="37" xfId="0" applyNumberFormat="1" applyFont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3" fillId="0" borderId="41" xfId="0" applyNumberFormat="1" applyFont="1" applyBorder="1"/>
    <xf numFmtId="3" fontId="0" fillId="18" borderId="49" xfId="0" applyNumberFormat="1" applyFont="1" applyFill="1" applyBorder="1" applyAlignment="1">
      <alignment horizontal="center"/>
    </xf>
    <xf numFmtId="3" fontId="3" fillId="0" borderId="0" xfId="0" applyNumberFormat="1" applyFont="1" applyBorder="1" applyAlignment="1">
      <alignment horizontal="left"/>
    </xf>
    <xf numFmtId="3" fontId="0" fillId="0" borderId="0" xfId="0" applyNumberFormat="1" applyBorder="1" applyAlignment="1">
      <alignment horizontal="left"/>
    </xf>
    <xf numFmtId="9" fontId="0" fillId="0" borderId="48" xfId="1" applyNumberFormat="1" applyFont="1" applyFill="1" applyBorder="1" applyAlignment="1">
      <alignment horizontal="center"/>
    </xf>
    <xf numFmtId="3" fontId="3" fillId="0" borderId="50" xfId="0" applyNumberFormat="1" applyFont="1" applyBorder="1"/>
    <xf numFmtId="9" fontId="0" fillId="0" borderId="51" xfId="1" applyNumberFormat="1" applyFont="1" applyFill="1" applyBorder="1" applyAlignment="1">
      <alignment horizontal="center"/>
    </xf>
    <xf numFmtId="3" fontId="3" fillId="0" borderId="41" xfId="0" applyNumberFormat="1" applyFont="1" applyBorder="1" applyAlignment="1">
      <alignment horizontal="right"/>
    </xf>
    <xf numFmtId="167" fontId="0" fillId="21" borderId="48" xfId="1" applyNumberFormat="1" applyFont="1" applyFill="1" applyBorder="1" applyAlignment="1">
      <alignment horizontal="center"/>
    </xf>
    <xf numFmtId="167" fontId="0" fillId="21" borderId="49" xfId="1" applyNumberFormat="1" applyFont="1" applyFill="1" applyBorder="1" applyAlignment="1">
      <alignment horizontal="center"/>
    </xf>
    <xf numFmtId="2" fontId="36" fillId="18" borderId="0" xfId="0" applyNumberFormat="1" applyFont="1" applyFill="1" applyBorder="1"/>
    <xf numFmtId="0" fontId="26" fillId="18" borderId="70" xfId="3" applyFont="1" applyFill="1" applyBorder="1" applyAlignment="1">
      <alignment horizontal="center" vertical="center" wrapText="1"/>
    </xf>
    <xf numFmtId="0" fontId="26" fillId="18" borderId="68" xfId="3" applyFont="1" applyFill="1" applyBorder="1" applyAlignment="1">
      <alignment horizontal="center" vertical="center" wrapText="1"/>
    </xf>
    <xf numFmtId="0" fontId="1" fillId="18" borderId="17" xfId="3" applyFill="1" applyBorder="1" applyAlignment="1">
      <alignment horizontal="center" vertical="center" wrapText="1"/>
    </xf>
    <xf numFmtId="0" fontId="1" fillId="18" borderId="21" xfId="3" applyFill="1" applyBorder="1" applyAlignment="1">
      <alignment horizontal="center" vertical="center" wrapText="1"/>
    </xf>
    <xf numFmtId="0" fontId="29" fillId="18" borderId="20" xfId="3" applyFont="1" applyFill="1" applyBorder="1" applyAlignment="1">
      <alignment horizontal="center" vertical="center"/>
    </xf>
    <xf numFmtId="0" fontId="3" fillId="0" borderId="45" xfId="3" applyFont="1" applyBorder="1" applyAlignment="1">
      <alignment horizontal="center" vertical="center"/>
    </xf>
    <xf numFmtId="2" fontId="1" fillId="0" borderId="45" xfId="3" applyNumberFormat="1" applyBorder="1" applyAlignment="1">
      <alignment horizontal="center" vertical="center"/>
    </xf>
    <xf numFmtId="4" fontId="1" fillId="0" borderId="45" xfId="3" applyNumberFormat="1" applyBorder="1" applyAlignment="1">
      <alignment horizontal="center" vertical="center"/>
    </xf>
    <xf numFmtId="0" fontId="29" fillId="18" borderId="45" xfId="3" applyFont="1" applyFill="1" applyBorder="1" applyAlignment="1">
      <alignment horizontal="center" vertical="center"/>
    </xf>
    <xf numFmtId="2" fontId="1" fillId="0" borderId="45" xfId="3" applyNumberFormat="1" applyBorder="1" applyAlignment="1">
      <alignment horizontal="center" vertical="center" wrapText="1"/>
    </xf>
    <xf numFmtId="2" fontId="1" fillId="24" borderId="49" xfId="3" applyNumberFormat="1" applyFill="1" applyBorder="1" applyAlignment="1">
      <alignment horizontal="center" vertical="center" wrapText="1"/>
    </xf>
    <xf numFmtId="2" fontId="18" fillId="0" borderId="29" xfId="3" applyNumberFormat="1" applyFont="1" applyFill="1" applyBorder="1" applyAlignment="1">
      <alignment horizontal="center" vertical="center" wrapText="1"/>
    </xf>
    <xf numFmtId="2" fontId="18" fillId="0" borderId="61" xfId="3" applyNumberFormat="1" applyFont="1" applyFill="1" applyBorder="1" applyAlignment="1">
      <alignment horizontal="center" vertical="center" wrapText="1"/>
    </xf>
    <xf numFmtId="2" fontId="18" fillId="0" borderId="30" xfId="3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3" fontId="3" fillId="0" borderId="0" xfId="0" applyNumberFormat="1" applyFont="1" applyFill="1" applyBorder="1" applyAlignment="1">
      <alignment horizontal="center" vertical="center"/>
    </xf>
    <xf numFmtId="3" fontId="17" fillId="0" borderId="42" xfId="0" applyNumberFormat="1" applyFont="1" applyFill="1" applyBorder="1" applyAlignment="1">
      <alignment horizontal="left" vertical="center"/>
    </xf>
    <xf numFmtId="3" fontId="17" fillId="0" borderId="42" xfId="0" applyNumberFormat="1" applyFont="1" applyFill="1" applyBorder="1" applyAlignment="1">
      <alignment horizontal="center" vertical="center"/>
    </xf>
    <xf numFmtId="3" fontId="3" fillId="0" borderId="42" xfId="0" applyNumberFormat="1" applyFont="1" applyFill="1" applyBorder="1" applyAlignment="1">
      <alignment horizontal="center" vertical="center"/>
    </xf>
    <xf numFmtId="3" fontId="0" fillId="21" borderId="53" xfId="0" applyNumberFormat="1" applyFill="1" applyBorder="1" applyAlignment="1">
      <alignment horizontal="center"/>
    </xf>
    <xf numFmtId="172" fontId="0" fillId="0" borderId="0" xfId="0" applyNumberFormat="1" applyFill="1"/>
    <xf numFmtId="2" fontId="0" fillId="18" borderId="0" xfId="0" applyNumberFormat="1" applyFill="1"/>
    <xf numFmtId="164" fontId="0" fillId="0" borderId="0" xfId="0" applyNumberFormat="1" applyBorder="1"/>
    <xf numFmtId="1" fontId="0" fillId="18" borderId="6" xfId="0" quotePrefix="1" applyNumberFormat="1" applyFont="1" applyFill="1" applyBorder="1" applyAlignment="1">
      <alignment horizontal="center" vertical="center"/>
    </xf>
    <xf numFmtId="1" fontId="0" fillId="0" borderId="12" xfId="0" quotePrefix="1" applyNumberFormat="1" applyFont="1" applyFill="1" applyBorder="1" applyAlignment="1">
      <alignment horizontal="center" vertical="center"/>
    </xf>
    <xf numFmtId="1" fontId="0" fillId="0" borderId="6" xfId="0" quotePrefix="1" applyNumberFormat="1" applyFont="1" applyFill="1" applyBorder="1" applyAlignment="1">
      <alignment horizontal="center" vertical="center"/>
    </xf>
    <xf numFmtId="0" fontId="0" fillId="21" borderId="0" xfId="0" applyFont="1" applyFill="1" applyBorder="1" applyAlignment="1">
      <alignment horizontal="center" vertical="center"/>
    </xf>
    <xf numFmtId="1" fontId="0" fillId="18" borderId="42" xfId="0" applyNumberFormat="1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0" borderId="44" xfId="0" applyFont="1" applyFill="1" applyBorder="1" applyAlignment="1">
      <alignment horizontal="center" vertical="center"/>
    </xf>
    <xf numFmtId="0" fontId="0" fillId="18" borderId="7" xfId="0" applyFont="1" applyFill="1" applyBorder="1" applyAlignment="1">
      <alignment horizontal="center" vertical="center"/>
    </xf>
    <xf numFmtId="1" fontId="0" fillId="18" borderId="0" xfId="0" applyNumberFormat="1" applyFill="1" applyBorder="1" applyAlignment="1">
      <alignment horizontal="center"/>
    </xf>
    <xf numFmtId="0" fontId="0" fillId="18" borderId="43" xfId="0" applyFont="1" applyFill="1" applyBorder="1" applyAlignment="1">
      <alignment horizontal="center" vertical="center"/>
    </xf>
    <xf numFmtId="164" fontId="0" fillId="0" borderId="6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17" fillId="0" borderId="0" xfId="0" applyNumberFormat="1" applyFont="1" applyAlignment="1">
      <alignment horizontal="center"/>
    </xf>
    <xf numFmtId="170" fontId="3" fillId="19" borderId="20" xfId="0" applyNumberFormat="1" applyFont="1" applyFill="1" applyBorder="1" applyAlignment="1">
      <alignment horizontal="center" vertical="center"/>
    </xf>
    <xf numFmtId="0" fontId="3" fillId="19" borderId="0" xfId="0" quotePrefix="1" applyFont="1" applyFill="1" applyBorder="1" applyAlignment="1">
      <alignment horizontal="center" vertical="center"/>
    </xf>
    <xf numFmtId="170" fontId="0" fillId="19" borderId="0" xfId="0" applyNumberFormat="1" applyFill="1" applyBorder="1" applyAlignment="1">
      <alignment horizontal="center" vertical="center"/>
    </xf>
    <xf numFmtId="0" fontId="63" fillId="19" borderId="2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/>
    </xf>
    <xf numFmtId="164" fontId="12" fillId="4" borderId="0" xfId="0" applyNumberFormat="1" applyFont="1" applyFill="1" applyBorder="1" applyAlignment="1">
      <alignment horizontal="center" vertical="center"/>
    </xf>
    <xf numFmtId="164" fontId="65" fillId="5" borderId="0" xfId="0" applyNumberFormat="1" applyFont="1" applyFill="1" applyBorder="1" applyAlignment="1">
      <alignment horizontal="center" vertical="center"/>
    </xf>
    <xf numFmtId="164" fontId="66" fillId="5" borderId="0" xfId="0" applyNumberFormat="1" applyFont="1" applyFill="1" applyBorder="1" applyAlignment="1">
      <alignment horizontal="center" vertical="center"/>
    </xf>
    <xf numFmtId="164" fontId="67" fillId="4" borderId="0" xfId="0" applyNumberFormat="1" applyFont="1" applyFill="1" applyBorder="1" applyAlignment="1">
      <alignment horizontal="center" vertical="center"/>
    </xf>
    <xf numFmtId="165" fontId="2" fillId="18" borderId="37" xfId="0" applyNumberFormat="1" applyFont="1" applyFill="1" applyBorder="1" applyAlignment="1">
      <alignment horizontal="center" vertical="center"/>
    </xf>
    <xf numFmtId="165" fontId="2" fillId="18" borderId="10" xfId="0" applyNumberFormat="1" applyFont="1" applyFill="1" applyBorder="1" applyAlignment="1">
      <alignment horizontal="center" vertical="center"/>
    </xf>
    <xf numFmtId="165" fontId="2" fillId="18" borderId="2" xfId="0" applyNumberFormat="1" applyFont="1" applyFill="1" applyBorder="1" applyAlignment="1">
      <alignment horizontal="center" vertical="center"/>
    </xf>
    <xf numFmtId="165" fontId="2" fillId="18" borderId="37" xfId="0" applyNumberFormat="1" applyFont="1" applyFill="1" applyBorder="1"/>
    <xf numFmtId="165" fontId="2" fillId="18" borderId="10" xfId="0" applyNumberFormat="1" applyFont="1" applyFill="1" applyBorder="1"/>
    <xf numFmtId="165" fontId="2" fillId="18" borderId="2" xfId="0" applyNumberFormat="1" applyFont="1" applyFill="1" applyBorder="1"/>
    <xf numFmtId="164" fontId="6" fillId="14" borderId="42" xfId="0" applyNumberFormat="1" applyFont="1" applyFill="1" applyBorder="1" applyAlignment="1">
      <alignment horizontal="center" vertical="center"/>
    </xf>
    <xf numFmtId="1" fontId="0" fillId="18" borderId="43" xfId="0" applyNumberFormat="1" applyFont="1" applyFill="1" applyBorder="1" applyAlignment="1">
      <alignment horizontal="center" vertical="center"/>
    </xf>
    <xf numFmtId="1" fontId="0" fillId="18" borderId="12" xfId="0" applyNumberFormat="1" applyFont="1" applyFill="1" applyBorder="1" applyAlignment="1">
      <alignment horizontal="center" vertical="center"/>
    </xf>
    <xf numFmtId="1" fontId="0" fillId="0" borderId="7" xfId="0" applyNumberFormat="1" applyFont="1" applyFill="1" applyBorder="1" applyAlignment="1">
      <alignment horizontal="center" vertical="center"/>
    </xf>
    <xf numFmtId="0" fontId="17" fillId="19" borderId="13" xfId="0" applyFont="1" applyFill="1" applyBorder="1" applyAlignment="1">
      <alignment horizontal="center"/>
    </xf>
    <xf numFmtId="0" fontId="17" fillId="19" borderId="22" xfId="0" applyFont="1" applyFill="1" applyBorder="1" applyAlignment="1">
      <alignment horizontal="center"/>
    </xf>
    <xf numFmtId="3" fontId="33" fillId="18" borderId="20" xfId="0" applyNumberFormat="1" applyFont="1" applyFill="1" applyBorder="1" applyAlignment="1">
      <alignment horizontal="center" vertical="center"/>
    </xf>
    <xf numFmtId="3" fontId="33" fillId="13" borderId="70" xfId="0" applyNumberFormat="1" applyFont="1" applyFill="1" applyBorder="1" applyAlignment="1">
      <alignment horizontal="center" vertical="center"/>
    </xf>
    <xf numFmtId="3" fontId="33" fillId="13" borderId="66" xfId="0" applyNumberFormat="1" applyFont="1" applyFill="1" applyBorder="1" applyAlignment="1">
      <alignment horizontal="center" vertical="center"/>
    </xf>
    <xf numFmtId="3" fontId="33" fillId="13" borderId="69" xfId="0" applyNumberFormat="1" applyFont="1" applyFill="1" applyBorder="1" applyAlignment="1">
      <alignment horizontal="center" vertical="center"/>
    </xf>
    <xf numFmtId="173" fontId="0" fillId="18" borderId="0" xfId="2" applyNumberFormat="1" applyFont="1" applyFill="1"/>
    <xf numFmtId="3" fontId="33" fillId="27" borderId="16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/>
    </xf>
    <xf numFmtId="0" fontId="0" fillId="14" borderId="13" xfId="0" applyFont="1" applyFill="1" applyBorder="1" applyAlignment="1">
      <alignment horizontal="left"/>
    </xf>
    <xf numFmtId="0" fontId="17" fillId="14" borderId="13" xfId="0" applyFont="1" applyFill="1" applyBorder="1" applyAlignment="1">
      <alignment horizontal="center" vertical="center"/>
    </xf>
    <xf numFmtId="0" fontId="0" fillId="14" borderId="22" xfId="0" applyFont="1" applyFill="1" applyBorder="1" applyAlignment="1">
      <alignment horizontal="left"/>
    </xf>
    <xf numFmtId="0" fontId="6" fillId="1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0" fillId="14" borderId="1" xfId="0" applyFont="1" applyFill="1" applyBorder="1" applyAlignment="1">
      <alignment horizontal="center" vertical="center"/>
    </xf>
    <xf numFmtId="0" fontId="0" fillId="14" borderId="1" xfId="0" applyFont="1" applyFill="1" applyBorder="1" applyAlignment="1">
      <alignment horizontal="left" vertical="center"/>
    </xf>
    <xf numFmtId="164" fontId="9" fillId="0" borderId="1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64" fontId="17" fillId="0" borderId="2" xfId="0" applyNumberFormat="1" applyFont="1" applyFill="1" applyBorder="1" applyAlignment="1">
      <alignment horizontal="center" vertical="center"/>
    </xf>
    <xf numFmtId="164" fontId="3" fillId="4" borderId="17" xfId="0" applyNumberFormat="1" applyFont="1" applyFill="1" applyBorder="1" applyAlignment="1">
      <alignment horizontal="center" vertical="center"/>
    </xf>
    <xf numFmtId="164" fontId="17" fillId="18" borderId="26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9" fontId="3" fillId="0" borderId="2" xfId="1" applyFont="1" applyFill="1" applyBorder="1" applyAlignment="1">
      <alignment horizontal="center"/>
    </xf>
    <xf numFmtId="9" fontId="0" fillId="0" borderId="2" xfId="1" applyFont="1" applyFill="1" applyBorder="1" applyAlignment="1">
      <alignment horizontal="center"/>
    </xf>
    <xf numFmtId="1" fontId="0" fillId="0" borderId="8" xfId="0" applyNumberFormat="1" applyFont="1" applyFill="1" applyBorder="1" applyAlignment="1">
      <alignment horizontal="center" vertical="center"/>
    </xf>
    <xf numFmtId="0" fontId="0" fillId="18" borderId="10" xfId="0" applyFont="1" applyFill="1" applyBorder="1" applyAlignment="1">
      <alignment horizontal="center" vertical="center"/>
    </xf>
    <xf numFmtId="1" fontId="0" fillId="18" borderId="10" xfId="0" applyNumberFormat="1" applyFont="1" applyFill="1" applyBorder="1" applyAlignment="1">
      <alignment horizontal="center" vertical="center"/>
    </xf>
    <xf numFmtId="164" fontId="0" fillId="0" borderId="8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0" fontId="0" fillId="18" borderId="44" xfId="0" applyFont="1" applyFill="1" applyBorder="1" applyAlignment="1">
      <alignment horizontal="center" vertical="center"/>
    </xf>
    <xf numFmtId="1" fontId="0" fillId="0" borderId="11" xfId="0" applyNumberFormat="1" applyFont="1" applyFill="1" applyBorder="1" applyAlignment="1">
      <alignment horizontal="center" vertical="center"/>
    </xf>
    <xf numFmtId="1" fontId="0" fillId="18" borderId="45" xfId="0" applyNumberFormat="1" applyFont="1" applyFill="1" applyBorder="1" applyAlignment="1">
      <alignment horizontal="center" vertical="center"/>
    </xf>
    <xf numFmtId="0" fontId="6" fillId="10" borderId="8" xfId="0" applyFont="1" applyFill="1" applyBorder="1" applyAlignment="1">
      <alignment horizontal="center" vertical="center"/>
    </xf>
    <xf numFmtId="1" fontId="0" fillId="18" borderId="11" xfId="0" applyNumberFormat="1" applyFont="1" applyFill="1" applyBorder="1" applyAlignment="1">
      <alignment horizontal="center" vertical="center"/>
    </xf>
    <xf numFmtId="0" fontId="3" fillId="18" borderId="8" xfId="0" applyFont="1" applyFill="1" applyBorder="1" applyAlignment="1">
      <alignment horizontal="center" vertical="center"/>
    </xf>
    <xf numFmtId="0" fontId="65" fillId="5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66" fillId="5" borderId="0" xfId="0" applyFont="1" applyFill="1" applyBorder="1" applyAlignment="1">
      <alignment vertical="center"/>
    </xf>
    <xf numFmtId="0" fontId="67" fillId="4" borderId="0" xfId="0" applyFont="1" applyFill="1" applyBorder="1" applyAlignment="1">
      <alignment vertical="center"/>
    </xf>
    <xf numFmtId="167" fontId="17" fillId="0" borderId="0" xfId="1" applyNumberFormat="1" applyFont="1" applyAlignment="1">
      <alignment horizontal="center"/>
    </xf>
    <xf numFmtId="9" fontId="0" fillId="0" borderId="0" xfId="1" applyFont="1" applyAlignment="1">
      <alignment horizontal="center"/>
    </xf>
    <xf numFmtId="0" fontId="0" fillId="0" borderId="0" xfId="0" applyFill="1" applyBorder="1" applyAlignment="1">
      <alignment horizontal="right"/>
    </xf>
    <xf numFmtId="0" fontId="18" fillId="3" borderId="30" xfId="0" applyFont="1" applyFill="1" applyBorder="1" applyAlignment="1">
      <alignment vertical="top" wrapText="1"/>
    </xf>
    <xf numFmtId="0" fontId="0" fillId="18" borderId="49" xfId="0" applyFill="1" applyBorder="1" applyAlignment="1">
      <alignment horizontal="center" vertical="top" wrapText="1"/>
    </xf>
    <xf numFmtId="0" fontId="0" fillId="18" borderId="26" xfId="0" applyFill="1" applyBorder="1" applyAlignment="1">
      <alignment horizontal="center" vertical="top" wrapText="1"/>
    </xf>
    <xf numFmtId="0" fontId="18" fillId="3" borderId="30" xfId="0" applyFont="1" applyFill="1" applyBorder="1" applyAlignment="1">
      <alignment horizontal="center" vertical="top" wrapText="1"/>
    </xf>
    <xf numFmtId="0" fontId="0" fillId="18" borderId="21" xfId="0" applyFill="1" applyBorder="1" applyAlignment="1">
      <alignment horizontal="center" vertical="top" wrapText="1"/>
    </xf>
    <xf numFmtId="1" fontId="0" fillId="9" borderId="30" xfId="0" applyNumberFormat="1" applyFill="1" applyBorder="1" applyAlignment="1">
      <alignment horizontal="center" vertical="top" wrapText="1"/>
    </xf>
    <xf numFmtId="1" fontId="3" fillId="18" borderId="6" xfId="0" applyNumberFormat="1" applyFont="1" applyFill="1" applyBorder="1" applyAlignment="1">
      <alignment horizontal="center" vertical="center"/>
    </xf>
    <xf numFmtId="1" fontId="3" fillId="18" borderId="8" xfId="0" applyNumberFormat="1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 vertical="center"/>
    </xf>
    <xf numFmtId="1" fontId="3" fillId="18" borderId="12" xfId="0" applyNumberFormat="1" applyFont="1" applyFill="1" applyBorder="1" applyAlignment="1">
      <alignment horizontal="center" vertical="center"/>
    </xf>
    <xf numFmtId="1" fontId="3" fillId="18" borderId="10" xfId="0" applyNumberFormat="1" applyFont="1" applyFill="1" applyBorder="1" applyAlignment="1">
      <alignment horizontal="center" vertical="center"/>
    </xf>
    <xf numFmtId="0" fontId="3" fillId="18" borderId="44" xfId="0" applyFont="1" applyFill="1" applyBorder="1" applyAlignment="1">
      <alignment horizontal="center" vertical="center"/>
    </xf>
    <xf numFmtId="164" fontId="0" fillId="18" borderId="13" xfId="0" applyNumberFormat="1" applyFill="1" applyBorder="1" applyAlignment="1">
      <alignment horizontal="center" vertical="center"/>
    </xf>
    <xf numFmtId="164" fontId="0" fillId="18" borderId="14" xfId="0" applyNumberFormat="1" applyFill="1" applyBorder="1" applyAlignment="1">
      <alignment horizontal="center" vertical="center"/>
    </xf>
    <xf numFmtId="164" fontId="0" fillId="18" borderId="22" xfId="0" applyNumberFormat="1" applyFill="1" applyBorder="1" applyAlignment="1">
      <alignment horizontal="center" vertical="center"/>
    </xf>
    <xf numFmtId="164" fontId="0" fillId="18" borderId="23" xfId="0" applyNumberFormat="1" applyFill="1" applyBorder="1" applyAlignment="1">
      <alignment horizontal="center" vertical="center"/>
    </xf>
    <xf numFmtId="0" fontId="37" fillId="19" borderId="20" xfId="0" applyFont="1" applyFill="1" applyBorder="1" applyAlignment="1">
      <alignment horizontal="center" vertical="center"/>
    </xf>
    <xf numFmtId="0" fontId="36" fillId="19" borderId="20" xfId="0" applyFont="1" applyFill="1" applyBorder="1" applyAlignment="1">
      <alignment horizontal="center"/>
    </xf>
    <xf numFmtId="0" fontId="17" fillId="19" borderId="13" xfId="0" applyFont="1" applyFill="1" applyBorder="1" applyAlignment="1">
      <alignment horizontal="center"/>
    </xf>
    <xf numFmtId="0" fontId="17" fillId="19" borderId="14" xfId="0" applyFont="1" applyFill="1" applyBorder="1" applyAlignment="1">
      <alignment horizontal="center"/>
    </xf>
    <xf numFmtId="0" fontId="17" fillId="19" borderId="18" xfId="0" applyFont="1" applyFill="1" applyBorder="1" applyAlignment="1">
      <alignment horizontal="center"/>
    </xf>
    <xf numFmtId="0" fontId="17" fillId="19" borderId="22" xfId="0" applyFont="1" applyFill="1" applyBorder="1" applyAlignment="1">
      <alignment horizontal="center"/>
    </xf>
    <xf numFmtId="0" fontId="17" fillId="19" borderId="23" xfId="0" applyFont="1" applyFill="1" applyBorder="1" applyAlignment="1">
      <alignment horizontal="center"/>
    </xf>
    <xf numFmtId="0" fontId="17" fillId="19" borderId="27" xfId="0" applyFont="1" applyFill="1" applyBorder="1" applyAlignment="1">
      <alignment horizontal="center"/>
    </xf>
    <xf numFmtId="0" fontId="46" fillId="0" borderId="20" xfId="0" applyFont="1" applyFill="1" applyBorder="1" applyAlignment="1">
      <alignment horizontal="center" vertical="center"/>
    </xf>
    <xf numFmtId="0" fontId="46" fillId="0" borderId="9" xfId="0" applyFont="1" applyFill="1" applyBorder="1" applyAlignment="1">
      <alignment horizontal="center" vertical="center"/>
    </xf>
    <xf numFmtId="0" fontId="46" fillId="0" borderId="11" xfId="0" applyFont="1" applyFill="1" applyBorder="1" applyAlignment="1">
      <alignment horizontal="center" vertical="center"/>
    </xf>
    <xf numFmtId="0" fontId="46" fillId="0" borderId="45" xfId="0" applyFont="1" applyFill="1" applyBorder="1" applyAlignment="1">
      <alignment horizontal="center" vertical="center"/>
    </xf>
    <xf numFmtId="0" fontId="17" fillId="0" borderId="64" xfId="0" applyFont="1" applyFill="1" applyBorder="1" applyAlignment="1">
      <alignment horizontal="center" vertical="center"/>
    </xf>
    <xf numFmtId="0" fontId="17" fillId="0" borderId="69" xfId="0" applyFont="1" applyFill="1" applyBorder="1" applyAlignment="1">
      <alignment horizontal="center" vertical="center"/>
    </xf>
    <xf numFmtId="164" fontId="9" fillId="20" borderId="3" xfId="0" applyNumberFormat="1" applyFont="1" applyFill="1" applyBorder="1" applyAlignment="1">
      <alignment horizontal="center" vertical="center"/>
    </xf>
    <xf numFmtId="164" fontId="9" fillId="20" borderId="5" xfId="0" applyNumberFormat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9" fillId="20" borderId="31" xfId="0" applyFont="1" applyFill="1" applyBorder="1" applyAlignment="1">
      <alignment horizontal="center" vertical="center"/>
    </xf>
    <xf numFmtId="0" fontId="9" fillId="20" borderId="39" xfId="0" applyFont="1" applyFill="1" applyBorder="1" applyAlignment="1">
      <alignment horizontal="center" vertical="center"/>
    </xf>
    <xf numFmtId="0" fontId="9" fillId="20" borderId="32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/>
    </xf>
    <xf numFmtId="0" fontId="28" fillId="0" borderId="4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9" fillId="20" borderId="3" xfId="0" applyFont="1" applyFill="1" applyBorder="1" applyAlignment="1">
      <alignment horizontal="center" vertical="center"/>
    </xf>
    <xf numFmtId="0" fontId="9" fillId="20" borderId="4" xfId="0" applyFont="1" applyFill="1" applyBorder="1" applyAlignment="1">
      <alignment horizontal="center" vertical="center"/>
    </xf>
    <xf numFmtId="0" fontId="9" fillId="2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3" fontId="17" fillId="0" borderId="20" xfId="0" applyNumberFormat="1" applyFont="1" applyBorder="1" applyAlignment="1">
      <alignment horizontal="center"/>
    </xf>
    <xf numFmtId="3" fontId="17" fillId="0" borderId="15" xfId="0" applyNumberFormat="1" applyFont="1" applyBorder="1" applyAlignment="1">
      <alignment horizontal="center"/>
    </xf>
    <xf numFmtId="3" fontId="17" fillId="0" borderId="16" xfId="0" applyNumberFormat="1" applyFont="1" applyBorder="1" applyAlignment="1">
      <alignment horizontal="center"/>
    </xf>
    <xf numFmtId="3" fontId="17" fillId="0" borderId="17" xfId="0" applyNumberFormat="1" applyFont="1" applyBorder="1" applyAlignment="1">
      <alignment horizontal="center"/>
    </xf>
    <xf numFmtId="0" fontId="68" fillId="0" borderId="0" xfId="0" applyFont="1"/>
  </cellXfs>
  <cellStyles count="4">
    <cellStyle name="Milliers" xfId="2" builtinId="3"/>
    <cellStyle name="Normal" xfId="0" builtinId="0"/>
    <cellStyle name="Normal 3" xfId="3"/>
    <cellStyle name="Pourcentage" xfId="1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00"/>
      <color rgb="FF00FF00"/>
      <color rgb="FFFFFF99"/>
      <color rgb="FFFF7C80"/>
      <color rgb="FF61D6FF"/>
      <color rgb="FFA50021"/>
      <color rgb="FF061796"/>
      <color rgb="FFFC70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SC7a - Valeur</a:t>
            </a:r>
            <a:r>
              <a:rPr lang="en-US" baseline="0"/>
              <a:t> Actualizado Neto del proyecto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Max</c:v>
          </c:tx>
          <c:marker>
            <c:symbol val="none"/>
          </c:marker>
          <c:val>
            <c:numRef>
              <c:f>'1_CASH_FLOW_TC_4_BASE'!$C$124:$AT$124</c:f>
              <c:numCache>
                <c:formatCode>#,##0</c:formatCode>
                <c:ptCount val="44"/>
                <c:pt idx="0">
                  <c:v>-7217680.5455314573</c:v>
                </c:pt>
                <c:pt idx="1">
                  <c:v>-25976311.77290494</c:v>
                </c:pt>
                <c:pt idx="2">
                  <c:v>-66708323.717887178</c:v>
                </c:pt>
                <c:pt idx="3">
                  <c:v>-27380475.56786824</c:v>
                </c:pt>
                <c:pt idx="4">
                  <c:v>39790.750855490565</c:v>
                </c:pt>
                <c:pt idx="5">
                  <c:v>981223.50004385645</c:v>
                </c:pt>
                <c:pt idx="6">
                  <c:v>1139668.2991032195</c:v>
                </c:pt>
                <c:pt idx="7">
                  <c:v>1109772.5521956282</c:v>
                </c:pt>
                <c:pt idx="8">
                  <c:v>-4235694.0049409829</c:v>
                </c:pt>
                <c:pt idx="9">
                  <c:v>1224970.4708650894</c:v>
                </c:pt>
                <c:pt idx="10">
                  <c:v>1381101.7432468059</c:v>
                </c:pt>
                <c:pt idx="11">
                  <c:v>1311904.3743524658</c:v>
                </c:pt>
                <c:pt idx="12">
                  <c:v>1439433.7534438856</c:v>
                </c:pt>
                <c:pt idx="13">
                  <c:v>-7391746.5833872464</c:v>
                </c:pt>
                <c:pt idx="14">
                  <c:v>-1962160.729526741</c:v>
                </c:pt>
                <c:pt idx="15">
                  <c:v>1423225.155482918</c:v>
                </c:pt>
                <c:pt idx="16">
                  <c:v>1567699.3646130394</c:v>
                </c:pt>
                <c:pt idx="17">
                  <c:v>1492679.4284915496</c:v>
                </c:pt>
                <c:pt idx="18">
                  <c:v>-8260302.9866455793</c:v>
                </c:pt>
                <c:pt idx="19">
                  <c:v>-8209882.5656917701</c:v>
                </c:pt>
                <c:pt idx="20">
                  <c:v>-2857335.469411782</c:v>
                </c:pt>
                <c:pt idx="21">
                  <c:v>1667043.2032915093</c:v>
                </c:pt>
                <c:pt idx="22">
                  <c:v>1861852.5903634811</c:v>
                </c:pt>
                <c:pt idx="23">
                  <c:v>-5483168.1061979737</c:v>
                </c:pt>
                <c:pt idx="24">
                  <c:v>-1371221.649062736</c:v>
                </c:pt>
                <c:pt idx="25">
                  <c:v>-2350415.4930498349</c:v>
                </c:pt>
                <c:pt idx="26">
                  <c:v>2105283.3613398774</c:v>
                </c:pt>
                <c:pt idx="27">
                  <c:v>1980916.7306307461</c:v>
                </c:pt>
                <c:pt idx="28">
                  <c:v>-5859005.2552476171</c:v>
                </c:pt>
                <c:pt idx="29">
                  <c:v>2015432.176814842</c:v>
                </c:pt>
                <c:pt idx="30">
                  <c:v>2185976.0129193505</c:v>
                </c:pt>
                <c:pt idx="31">
                  <c:v>2048795.9434037404</c:v>
                </c:pt>
                <c:pt idx="32">
                  <c:v>2224903.5627053687</c:v>
                </c:pt>
                <c:pt idx="33">
                  <c:v>42797661.846808925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097328"/>
        <c:axId val="125095760"/>
      </c:lineChart>
      <c:catAx>
        <c:axId val="1250973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crossAx val="125095760"/>
        <c:crosses val="autoZero"/>
        <c:auto val="1"/>
        <c:lblAlgn val="ctr"/>
        <c:lblOffset val="100"/>
        <c:tickLblSkip val="5"/>
        <c:noMultiLvlLbl val="0"/>
      </c:catAx>
      <c:valAx>
        <c:axId val="125095760"/>
        <c:scaling>
          <c:orientation val="minMax"/>
        </c:scaling>
        <c:delete val="0"/>
        <c:axPos val="l"/>
        <c:majorGridlines/>
        <c:numFmt formatCode="[$$-409]#,##0" sourceLinked="0"/>
        <c:majorTickMark val="none"/>
        <c:minorTickMark val="none"/>
        <c:tickLblPos val="nextTo"/>
        <c:crossAx val="12509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SC7a - Valeur</a:t>
            </a:r>
            <a:r>
              <a:rPr lang="en-US" baseline="0"/>
              <a:t> Actualizado Neto del proyecto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Max</c:v>
          </c:tx>
          <c:marker>
            <c:symbol val="none"/>
          </c:marker>
          <c:val>
            <c:numRef>
              <c:f>'5_CASH_FLOW_TC_4_WORST_CASE'!$C$124:$AT$124</c:f>
              <c:numCache>
                <c:formatCode>#,##0</c:formatCode>
                <c:ptCount val="44"/>
                <c:pt idx="0">
                  <c:v>-7968994.6529367194</c:v>
                </c:pt>
                <c:pt idx="1">
                  <c:v>-31237973.050517157</c:v>
                </c:pt>
                <c:pt idx="2">
                  <c:v>-82610243.589414939</c:v>
                </c:pt>
                <c:pt idx="3">
                  <c:v>-33733581.890470475</c:v>
                </c:pt>
                <c:pt idx="4">
                  <c:v>-1208154.1814306369</c:v>
                </c:pt>
                <c:pt idx="5">
                  <c:v>-417760.78494518157</c:v>
                </c:pt>
                <c:pt idx="6">
                  <c:v>-309231.7927529756</c:v>
                </c:pt>
                <c:pt idx="7">
                  <c:v>-366229.17073946539</c:v>
                </c:pt>
                <c:pt idx="8">
                  <c:v>-7134775.9776758021</c:v>
                </c:pt>
                <c:pt idx="9">
                  <c:v>-329366.0361220343</c:v>
                </c:pt>
                <c:pt idx="10">
                  <c:v>-225885.10771525279</c:v>
                </c:pt>
                <c:pt idx="11">
                  <c:v>-320370.13720130641</c:v>
                </c:pt>
                <c:pt idx="12">
                  <c:v>-243542.6148147583</c:v>
                </c:pt>
                <c:pt idx="13">
                  <c:v>-11093586.265933579</c:v>
                </c:pt>
                <c:pt idx="14">
                  <c:v>-4339521.1819915082</c:v>
                </c:pt>
                <c:pt idx="15">
                  <c:v>-367154.55000737123</c:v>
                </c:pt>
                <c:pt idx="16">
                  <c:v>-279003.61048719753</c:v>
                </c:pt>
                <c:pt idx="17">
                  <c:v>-383841.05389651377</c:v>
                </c:pt>
                <c:pt idx="18">
                  <c:v>-12625950.887198718</c:v>
                </c:pt>
                <c:pt idx="19">
                  <c:v>-12479859.235150848</c:v>
                </c:pt>
                <c:pt idx="20">
                  <c:v>-5983455.7512850091</c:v>
                </c:pt>
                <c:pt idx="21">
                  <c:v>-397835.82015280798</c:v>
                </c:pt>
                <c:pt idx="22">
                  <c:v>-271587.73341780808</c:v>
                </c:pt>
                <c:pt idx="23">
                  <c:v>-9475867.6365640163</c:v>
                </c:pt>
                <c:pt idx="24">
                  <c:v>-4214798.6552354945</c:v>
                </c:pt>
                <c:pt idx="25">
                  <c:v>-5396366.7850586716</c:v>
                </c:pt>
                <c:pt idx="26">
                  <c:v>-246493.73813060392</c:v>
                </c:pt>
                <c:pt idx="27">
                  <c:v>-405198.5838256469</c:v>
                </c:pt>
                <c:pt idx="28">
                  <c:v>-10318129.665633112</c:v>
                </c:pt>
                <c:pt idx="29">
                  <c:v>-478460.59377893526</c:v>
                </c:pt>
                <c:pt idx="30">
                  <c:v>-382875.75352597609</c:v>
                </c:pt>
                <c:pt idx="31">
                  <c:v>-557865.01846063323</c:v>
                </c:pt>
                <c:pt idx="32">
                  <c:v>-460076.28538832814</c:v>
                </c:pt>
                <c:pt idx="33">
                  <c:v>48802115.830143645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097720"/>
        <c:axId val="125094192"/>
      </c:lineChart>
      <c:catAx>
        <c:axId val="12509772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crossAx val="125094192"/>
        <c:crosses val="autoZero"/>
        <c:auto val="1"/>
        <c:lblAlgn val="ctr"/>
        <c:lblOffset val="100"/>
        <c:tickLblSkip val="5"/>
        <c:noMultiLvlLbl val="0"/>
      </c:catAx>
      <c:valAx>
        <c:axId val="125094192"/>
        <c:scaling>
          <c:orientation val="minMax"/>
        </c:scaling>
        <c:delete val="0"/>
        <c:axPos val="l"/>
        <c:majorGridlines/>
        <c:numFmt formatCode="[$$-409]#,##0" sourceLinked="0"/>
        <c:majorTickMark val="none"/>
        <c:minorTickMark val="none"/>
        <c:tickLblPos val="nextTo"/>
        <c:crossAx val="125097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SC7a - Valeur</a:t>
            </a:r>
            <a:r>
              <a:rPr lang="en-US" baseline="0"/>
              <a:t> Actualizado Neto del proyecto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Max</c:v>
          </c:tx>
          <c:marker>
            <c:symbol val="none"/>
          </c:marker>
          <c:val>
            <c:numRef>
              <c:f>'11_CASH_FLOW_TC_22_WORST_CASE'!$C$124:$AT$124</c:f>
              <c:numCache>
                <c:formatCode>#,##0</c:formatCode>
                <c:ptCount val="44"/>
                <c:pt idx="0">
                  <c:v>-5894681.6442265697</c:v>
                </c:pt>
                <c:pt idx="1">
                  <c:v>-23692439.326687708</c:v>
                </c:pt>
                <c:pt idx="2">
                  <c:v>-60967175.133836582</c:v>
                </c:pt>
                <c:pt idx="3">
                  <c:v>-24513713.625024468</c:v>
                </c:pt>
                <c:pt idx="4">
                  <c:v>-540858.38062760234</c:v>
                </c:pt>
                <c:pt idx="5">
                  <c:v>-64782.232445034198</c:v>
                </c:pt>
                <c:pt idx="6">
                  <c:v>332103.31441126717</c:v>
                </c:pt>
                <c:pt idx="7">
                  <c:v>292608.57705980586</c:v>
                </c:pt>
                <c:pt idx="8">
                  <c:v>-4339984.5330461338</c:v>
                </c:pt>
                <c:pt idx="9">
                  <c:v>356424.49029756198</c:v>
                </c:pt>
                <c:pt idx="10">
                  <c:v>468794.55652260408</c:v>
                </c:pt>
                <c:pt idx="11">
                  <c:v>395441.55457072239</c:v>
                </c:pt>
                <c:pt idx="12">
                  <c:v>483482.04639904294</c:v>
                </c:pt>
                <c:pt idx="13">
                  <c:v>-6422096.9434978832</c:v>
                </c:pt>
                <c:pt idx="14">
                  <c:v>-1469244.7647486117</c:v>
                </c:pt>
                <c:pt idx="15">
                  <c:v>417057.39145994838</c:v>
                </c:pt>
                <c:pt idx="16">
                  <c:v>517299.41280800942</c:v>
                </c:pt>
                <c:pt idx="17">
                  <c:v>436553.678414464</c:v>
                </c:pt>
                <c:pt idx="18">
                  <c:v>-8039762.1364070922</c:v>
                </c:pt>
                <c:pt idx="19">
                  <c:v>-8636337.1199341826</c:v>
                </c:pt>
                <c:pt idx="20">
                  <c:v>-3668141.3037800146</c:v>
                </c:pt>
                <c:pt idx="21">
                  <c:v>498938.77559111733</c:v>
                </c:pt>
                <c:pt idx="22">
                  <c:v>637634.46153214294</c:v>
                </c:pt>
                <c:pt idx="23">
                  <c:v>-5718412.6602278715</c:v>
                </c:pt>
                <c:pt idx="24">
                  <c:v>-1299640.1178657869</c:v>
                </c:pt>
                <c:pt idx="25">
                  <c:v>-1802762.1684356714</c:v>
                </c:pt>
                <c:pt idx="26">
                  <c:v>746252.1918609757</c:v>
                </c:pt>
                <c:pt idx="27">
                  <c:v>619626.03508040216</c:v>
                </c:pt>
                <c:pt idx="28">
                  <c:v>-6175270.264248156</c:v>
                </c:pt>
                <c:pt idx="29">
                  <c:v>597506.65694533382</c:v>
                </c:pt>
                <c:pt idx="30">
                  <c:v>711574.23663968034</c:v>
                </c:pt>
                <c:pt idx="31">
                  <c:v>571897.82351905759</c:v>
                </c:pt>
                <c:pt idx="32">
                  <c:v>689222.45909687225</c:v>
                </c:pt>
                <c:pt idx="33">
                  <c:v>37381059.289035536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510000"/>
        <c:axId val="318513920"/>
      </c:lineChart>
      <c:catAx>
        <c:axId val="31851000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crossAx val="318513920"/>
        <c:crosses val="autoZero"/>
        <c:auto val="1"/>
        <c:lblAlgn val="ctr"/>
        <c:lblOffset val="100"/>
        <c:tickLblSkip val="5"/>
        <c:noMultiLvlLbl val="0"/>
      </c:catAx>
      <c:valAx>
        <c:axId val="318513920"/>
        <c:scaling>
          <c:orientation val="minMax"/>
        </c:scaling>
        <c:delete val="0"/>
        <c:axPos val="l"/>
        <c:majorGridlines/>
        <c:numFmt formatCode="[$$-409]#,##0" sourceLinked="0"/>
        <c:majorTickMark val="none"/>
        <c:minorTickMark val="none"/>
        <c:tickLblPos val="nextTo"/>
        <c:crossAx val="31851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0</xdr:colOff>
      <xdr:row>65</xdr:row>
      <xdr:rowOff>0</xdr:rowOff>
    </xdr:from>
    <xdr:to>
      <xdr:col>79</xdr:col>
      <xdr:colOff>371475</xdr:colOff>
      <xdr:row>135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0</xdr:colOff>
      <xdr:row>65</xdr:row>
      <xdr:rowOff>0</xdr:rowOff>
    </xdr:from>
    <xdr:to>
      <xdr:col>79</xdr:col>
      <xdr:colOff>371475</xdr:colOff>
      <xdr:row>135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0</xdr:colOff>
      <xdr:row>65</xdr:row>
      <xdr:rowOff>0</xdr:rowOff>
    </xdr:from>
    <xdr:to>
      <xdr:col>79</xdr:col>
      <xdr:colOff>371475</xdr:colOff>
      <xdr:row>130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C10"/>
  <sheetViews>
    <sheetView tabSelected="1" workbookViewId="0">
      <selection activeCell="C24" sqref="C24"/>
    </sheetView>
  </sheetViews>
  <sheetFormatPr baseColWidth="10" defaultRowHeight="13.2" x14ac:dyDescent="0.25"/>
  <sheetData>
    <row r="10" spans="3:3" ht="22.8" x14ac:dyDescent="0.4">
      <c r="C10" s="1121" t="s">
        <v>574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002060"/>
  </sheetPr>
  <dimension ref="A1:AH247"/>
  <sheetViews>
    <sheetView zoomScale="80" zoomScaleNormal="80" workbookViewId="0">
      <selection activeCell="B120" sqref="B120"/>
    </sheetView>
  </sheetViews>
  <sheetFormatPr baseColWidth="10" defaultColWidth="5.88671875" defaultRowHeight="13.2" outlineLevelRow="1" x14ac:dyDescent="0.25"/>
  <cols>
    <col min="1" max="1" width="13" customWidth="1"/>
    <col min="2" max="2" width="138.44140625" style="13" bestFit="1" customWidth="1"/>
    <col min="3" max="3" width="27" style="13" customWidth="1"/>
    <col min="4" max="4" width="27" style="13" hidden="1" customWidth="1"/>
    <col min="5" max="5" width="23.6640625" style="13" hidden="1" customWidth="1"/>
    <col min="6" max="6" width="21.44140625" style="13" hidden="1" customWidth="1"/>
    <col min="7" max="7" width="15" style="13" customWidth="1"/>
    <col min="8" max="8" width="14.88671875" style="13" customWidth="1"/>
    <col min="9" max="9" width="12" style="13" bestFit="1" customWidth="1"/>
    <col min="10" max="11" width="15.5546875" style="13" customWidth="1"/>
    <col min="12" max="13" width="16.33203125" bestFit="1" customWidth="1"/>
    <col min="14" max="14" width="4.109375" customWidth="1"/>
    <col min="15" max="15" width="22.109375" style="92" customWidth="1"/>
    <col min="16" max="16" width="27.44140625" style="92" customWidth="1"/>
    <col min="17" max="17" width="21.88671875" style="92" customWidth="1"/>
    <col min="18" max="18" width="27.109375" style="92" customWidth="1"/>
    <col min="19" max="19" width="4.109375" customWidth="1"/>
    <col min="20" max="20" width="8.6640625" customWidth="1"/>
    <col min="21" max="21" width="10.109375" customWidth="1"/>
    <col min="22" max="23" width="8.6640625" customWidth="1"/>
    <col min="24" max="24" width="6" customWidth="1"/>
    <col min="25" max="25" width="45" style="264" bestFit="1" customWidth="1"/>
    <col min="26" max="26" width="10.109375" bestFit="1" customWidth="1"/>
    <col min="27" max="27" width="11.5546875" bestFit="1" customWidth="1"/>
    <col min="28" max="28" width="11.109375" bestFit="1" customWidth="1"/>
    <col min="29" max="29" width="11.5546875" bestFit="1" customWidth="1"/>
    <col min="30" max="34" width="10.109375" bestFit="1" customWidth="1"/>
  </cols>
  <sheetData>
    <row r="1" spans="1:26" x14ac:dyDescent="0.25">
      <c r="A1" s="52"/>
      <c r="B1" s="49"/>
      <c r="C1" s="49"/>
      <c r="D1" s="926"/>
      <c r="E1" s="49"/>
      <c r="F1" s="49"/>
      <c r="G1" s="49"/>
      <c r="H1" s="49"/>
      <c r="L1" s="52"/>
      <c r="M1" s="52"/>
      <c r="N1" s="52"/>
      <c r="O1" s="264"/>
      <c r="P1" s="264"/>
      <c r="Q1" s="264"/>
      <c r="R1" s="264"/>
      <c r="S1" s="52"/>
      <c r="T1" s="52"/>
      <c r="U1" s="52"/>
      <c r="V1" s="52"/>
      <c r="W1" s="52"/>
    </row>
    <row r="2" spans="1:26" ht="14.4" x14ac:dyDescent="0.25">
      <c r="A2" s="52"/>
      <c r="B2" s="1078" t="s">
        <v>260</v>
      </c>
      <c r="C2" s="366" t="s">
        <v>312</v>
      </c>
      <c r="D2" s="925"/>
      <c r="F2" s="49"/>
      <c r="G2" s="49"/>
      <c r="H2" s="49"/>
      <c r="L2" s="52"/>
      <c r="M2" s="52"/>
      <c r="N2" s="52"/>
      <c r="O2" s="264"/>
      <c r="P2" s="264"/>
      <c r="Q2" s="264"/>
      <c r="R2" s="264"/>
      <c r="S2" s="52"/>
      <c r="T2" s="52"/>
      <c r="U2" s="52"/>
      <c r="V2" s="52"/>
      <c r="W2" s="52"/>
    </row>
    <row r="3" spans="1:26" ht="14.4" x14ac:dyDescent="0.25">
      <c r="A3" s="52"/>
      <c r="B3" s="1079"/>
      <c r="C3" s="498" t="s">
        <v>325</v>
      </c>
      <c r="D3" s="925"/>
      <c r="F3" s="49"/>
      <c r="G3" s="49"/>
      <c r="H3" s="49"/>
      <c r="L3" s="52"/>
      <c r="M3" s="52"/>
      <c r="N3" s="52"/>
      <c r="O3" s="264"/>
      <c r="P3" s="264"/>
      <c r="Q3" s="264"/>
      <c r="R3" s="264"/>
      <c r="S3" s="52"/>
      <c r="T3" s="52"/>
      <c r="U3" s="52"/>
      <c r="V3" s="52"/>
      <c r="W3" s="52"/>
    </row>
    <row r="4" spans="1:26" ht="14.4" x14ac:dyDescent="0.25">
      <c r="A4" s="52"/>
      <c r="B4" s="1079"/>
      <c r="C4" s="499" t="s">
        <v>324</v>
      </c>
      <c r="D4" s="925"/>
      <c r="F4" s="49"/>
      <c r="G4" s="49"/>
      <c r="H4" s="49"/>
      <c r="L4" s="52"/>
      <c r="M4" s="52"/>
      <c r="N4" s="52"/>
      <c r="O4" s="264"/>
      <c r="P4" s="264"/>
      <c r="Q4" s="264"/>
      <c r="R4" s="264"/>
      <c r="S4" s="52"/>
      <c r="T4" s="52"/>
      <c r="U4" s="52"/>
      <c r="V4" s="52"/>
      <c r="W4" s="52"/>
    </row>
    <row r="5" spans="1:26" ht="14.4" x14ac:dyDescent="0.25">
      <c r="A5" s="52"/>
      <c r="B5" s="1080"/>
      <c r="C5" s="367" t="s">
        <v>261</v>
      </c>
      <c r="D5" s="925"/>
      <c r="F5" s="49"/>
      <c r="G5" s="49"/>
      <c r="H5" s="49"/>
      <c r="L5" s="52"/>
      <c r="M5" s="52"/>
      <c r="N5" s="52"/>
      <c r="O5" s="264"/>
      <c r="P5" s="264"/>
      <c r="Q5" s="264"/>
      <c r="R5" s="264"/>
      <c r="S5" s="52"/>
      <c r="T5" s="52"/>
      <c r="U5" s="52"/>
      <c r="V5" s="52"/>
      <c r="W5" s="52"/>
    </row>
    <row r="6" spans="1:26" x14ac:dyDescent="0.25">
      <c r="A6" s="52"/>
      <c r="B6" s="49"/>
      <c r="C6" s="49"/>
      <c r="D6" s="926"/>
      <c r="E6" s="49"/>
      <c r="F6" s="49"/>
      <c r="G6" s="49"/>
      <c r="H6" s="49"/>
      <c r="L6" s="52"/>
      <c r="M6" s="52"/>
      <c r="N6" s="52"/>
      <c r="O6" s="264"/>
      <c r="P6" s="264"/>
      <c r="Q6" s="264"/>
      <c r="R6" s="264"/>
      <c r="S6" s="52"/>
      <c r="T6" s="52"/>
      <c r="U6" s="52"/>
      <c r="V6" s="52"/>
      <c r="W6" s="52"/>
    </row>
    <row r="7" spans="1:26" x14ac:dyDescent="0.25">
      <c r="A7" s="52"/>
      <c r="B7" s="49"/>
      <c r="C7" s="49"/>
      <c r="D7" s="49"/>
      <c r="E7" s="49"/>
      <c r="F7" s="49"/>
      <c r="G7" s="49"/>
      <c r="H7" s="49"/>
      <c r="L7" s="52"/>
      <c r="M7" s="52"/>
      <c r="N7" s="52"/>
      <c r="O7" s="264"/>
      <c r="P7" s="264"/>
      <c r="Q7" s="264"/>
      <c r="R7" s="264"/>
      <c r="S7" s="52"/>
      <c r="T7" s="52"/>
      <c r="U7" s="52"/>
      <c r="V7" s="52"/>
      <c r="W7" s="52"/>
    </row>
    <row r="8" spans="1:26" s="3" customFormat="1" x14ac:dyDescent="0.25">
      <c r="A8" s="46"/>
      <c r="B8" s="46"/>
      <c r="C8" s="46"/>
      <c r="D8" s="46"/>
      <c r="E8" s="46"/>
      <c r="F8" s="46"/>
      <c r="G8" s="46"/>
      <c r="H8" s="46"/>
      <c r="I8" s="4"/>
      <c r="J8" s="4"/>
      <c r="K8" s="4"/>
      <c r="L8" s="46"/>
      <c r="M8" s="46"/>
      <c r="N8" s="55"/>
      <c r="O8" s="61"/>
      <c r="P8" s="61"/>
      <c r="Q8" s="61"/>
      <c r="R8" s="61"/>
      <c r="S8" s="55"/>
      <c r="T8" s="55"/>
      <c r="U8" s="55"/>
      <c r="V8" s="55"/>
      <c r="W8" s="55"/>
      <c r="Y8" s="426"/>
    </row>
    <row r="9" spans="1:26" s="3" customFormat="1" ht="15.6" x14ac:dyDescent="0.25">
      <c r="A9" s="46"/>
      <c r="B9" s="46"/>
      <c r="C9" s="46"/>
      <c r="D9" s="46"/>
      <c r="E9" s="51"/>
      <c r="F9" s="1099" t="s">
        <v>15</v>
      </c>
      <c r="G9" s="1104" t="s">
        <v>322</v>
      </c>
      <c r="H9" s="1105"/>
      <c r="I9" s="11"/>
      <c r="J9" s="1110" t="s">
        <v>341</v>
      </c>
      <c r="K9" s="1111"/>
      <c r="L9" s="1104" t="s">
        <v>323</v>
      </c>
      <c r="M9" s="1108"/>
      <c r="N9" s="71"/>
      <c r="O9" s="1104" t="s">
        <v>340</v>
      </c>
      <c r="P9" s="1108"/>
      <c r="Q9" s="1108"/>
      <c r="R9" s="1108"/>
      <c r="S9" s="71"/>
      <c r="T9" s="1101" t="s">
        <v>69</v>
      </c>
      <c r="U9" s="1102"/>
      <c r="V9" s="1102"/>
      <c r="W9" s="1103"/>
      <c r="Y9" s="161" t="s">
        <v>70</v>
      </c>
      <c r="Z9" s="160"/>
    </row>
    <row r="10" spans="1:26" s="3" customFormat="1" ht="15.6" x14ac:dyDescent="0.25">
      <c r="A10" s="46"/>
      <c r="B10" s="46"/>
      <c r="C10" s="46"/>
      <c r="D10" s="46"/>
      <c r="E10" s="51"/>
      <c r="F10" s="1100"/>
      <c r="G10" s="1106"/>
      <c r="H10" s="1107"/>
      <c r="I10" s="11"/>
      <c r="J10" s="1112"/>
      <c r="K10" s="1113"/>
      <c r="L10" s="1106"/>
      <c r="M10" s="1109"/>
      <c r="N10" s="71"/>
      <c r="O10" s="1106"/>
      <c r="P10" s="1109"/>
      <c r="Q10" s="1109"/>
      <c r="R10" s="1109"/>
      <c r="S10" s="71"/>
      <c r="T10" s="171"/>
      <c r="U10" s="172"/>
      <c r="V10" s="172"/>
      <c r="W10" s="173"/>
      <c r="Y10" s="174"/>
      <c r="Z10" s="160"/>
    </row>
    <row r="11" spans="1:26" s="3" customFormat="1" ht="15.6" x14ac:dyDescent="0.25">
      <c r="A11" s="46"/>
      <c r="B11" s="53"/>
      <c r="C11" s="270" t="s">
        <v>296</v>
      </c>
      <c r="D11" s="270" t="s">
        <v>504</v>
      </c>
      <c r="E11" s="69" t="s">
        <v>9</v>
      </c>
      <c r="F11" s="282" t="s">
        <v>10</v>
      </c>
      <c r="G11" s="114" t="s">
        <v>561</v>
      </c>
      <c r="H11" s="115" t="s">
        <v>563</v>
      </c>
      <c r="I11" s="138"/>
      <c r="J11" s="114" t="s">
        <v>561</v>
      </c>
      <c r="K11" s="115" t="s">
        <v>563</v>
      </c>
      <c r="L11" s="114" t="s">
        <v>561</v>
      </c>
      <c r="M11" s="115" t="s">
        <v>563</v>
      </c>
      <c r="N11" s="71"/>
      <c r="O11" s="114" t="s">
        <v>564</v>
      </c>
      <c r="P11" s="114" t="s">
        <v>565</v>
      </c>
      <c r="Q11" s="608" t="s">
        <v>566</v>
      </c>
      <c r="R11" s="608" t="s">
        <v>567</v>
      </c>
      <c r="S11" s="71"/>
      <c r="T11" s="157">
        <v>2015</v>
      </c>
      <c r="U11" s="157">
        <v>2016</v>
      </c>
      <c r="V11" s="157">
        <v>2017</v>
      </c>
      <c r="W11" s="157">
        <v>2018</v>
      </c>
      <c r="Y11" s="421"/>
      <c r="Z11" s="160"/>
    </row>
    <row r="12" spans="1:26" s="3" customFormat="1" ht="15.6" x14ac:dyDescent="0.25">
      <c r="A12" s="111"/>
      <c r="B12" s="302" t="s">
        <v>92</v>
      </c>
      <c r="C12" s="394"/>
      <c r="D12" s="394"/>
      <c r="E12" s="394"/>
      <c r="F12" s="317"/>
      <c r="G12" s="1003"/>
      <c r="H12" s="1003"/>
      <c r="I12" s="8"/>
      <c r="J12" s="622">
        <f>SUM(J13:J21)/L12</f>
        <v>0.25</v>
      </c>
      <c r="K12" s="622">
        <f>SUM(K13:K21)/M12</f>
        <v>0.25</v>
      </c>
      <c r="L12" s="405">
        <f>SUM(L13:L21)</f>
        <v>5650000</v>
      </c>
      <c r="M12" s="406">
        <f>SUM(M13:M21)</f>
        <v>4412500</v>
      </c>
      <c r="N12" s="55"/>
      <c r="O12" s="615">
        <f>SUM(O13:O21)/L12</f>
        <v>1</v>
      </c>
      <c r="P12" s="615">
        <f>SUM(P13:P21)/L12</f>
        <v>0</v>
      </c>
      <c r="Q12" s="615">
        <f>SUM(Q13:Q21)/M12</f>
        <v>1</v>
      </c>
      <c r="R12" s="615">
        <f>SUM(R13:R21)/M12</f>
        <v>0</v>
      </c>
      <c r="S12" s="55"/>
      <c r="T12" s="411">
        <f>T$11</f>
        <v>2015</v>
      </c>
      <c r="U12" s="411">
        <f>U$11</f>
        <v>2016</v>
      </c>
      <c r="V12" s="411">
        <f>V$11</f>
        <v>2017</v>
      </c>
      <c r="W12" s="411">
        <f>W$11</f>
        <v>2018</v>
      </c>
      <c r="Y12" s="421"/>
      <c r="Z12" s="160"/>
    </row>
    <row r="13" spans="1:26" s="3" customFormat="1" x14ac:dyDescent="0.25">
      <c r="A13" s="111"/>
      <c r="B13" s="464" t="s">
        <v>547</v>
      </c>
      <c r="C13" s="119" t="str">
        <f>'PRECIOS UNITARIOS'!C$16</f>
        <v>PRED</v>
      </c>
      <c r="D13" s="927" t="s">
        <v>503</v>
      </c>
      <c r="E13" s="131" t="str">
        <f>'PRECIOS UNITARIOS'!D$16</f>
        <v>m2</v>
      </c>
      <c r="F13" s="973">
        <v>0</v>
      </c>
      <c r="G13" s="629">
        <v>1600</v>
      </c>
      <c r="H13" s="1045">
        <v>0</v>
      </c>
      <c r="I13" s="8"/>
      <c r="J13" s="623">
        <f>HLOOKUP($C13,PARAMETROS!$C$36:$F$38,3)*L13</f>
        <v>0</v>
      </c>
      <c r="K13" s="623">
        <f>HLOOKUP($C13,PARAMETROS!$C$36:$F$38,3)*M13</f>
        <v>0</v>
      </c>
      <c r="L13" s="145">
        <f t="shared" ref="L13:L21" si="0">G13*$F13</f>
        <v>0</v>
      </c>
      <c r="M13" s="146">
        <f t="shared" ref="M13:M21" si="1">H13*$F13</f>
        <v>0</v>
      </c>
      <c r="N13" s="55"/>
      <c r="O13" s="614">
        <f>'PRECIOS UNITARIOS'!$Z$16*L13</f>
        <v>0</v>
      </c>
      <c r="P13" s="614">
        <f>'PRECIOS UNITARIOS'!$AA$16*L13</f>
        <v>0</v>
      </c>
      <c r="Q13" s="614">
        <f>'PRECIOS UNITARIOS'!$Z$16*M13</f>
        <v>0</v>
      </c>
      <c r="R13" s="614">
        <f>'PRECIOS UNITARIOS'!$AA$16*M13</f>
        <v>0</v>
      </c>
      <c r="S13" s="55"/>
      <c r="T13" s="386"/>
      <c r="U13" s="386">
        <v>1</v>
      </c>
      <c r="V13" s="387"/>
      <c r="W13" s="387"/>
      <c r="Y13" s="422" t="s">
        <v>85</v>
      </c>
    </row>
    <row r="14" spans="1:26" s="3" customFormat="1" x14ac:dyDescent="0.25">
      <c r="A14" s="111"/>
      <c r="B14" s="463" t="s">
        <v>573</v>
      </c>
      <c r="C14" s="85" t="str">
        <f>'PRECIOS UNITARIOS'!C$16</f>
        <v>PRED</v>
      </c>
      <c r="D14" s="928" t="s">
        <v>503</v>
      </c>
      <c r="E14" s="132" t="str">
        <f>'PRECIOS UNITARIOS'!D$16</f>
        <v>m2</v>
      </c>
      <c r="F14" s="633">
        <v>0</v>
      </c>
      <c r="G14" s="630">
        <v>9900</v>
      </c>
      <c r="H14" s="85">
        <f>G14</f>
        <v>9900</v>
      </c>
      <c r="I14" s="8"/>
      <c r="J14" s="623">
        <f>HLOOKUP($C14,PARAMETROS!$C$36:$F$38,3)*L14</f>
        <v>0</v>
      </c>
      <c r="K14" s="623">
        <f>HLOOKUP($C14,PARAMETROS!$C$36:$F$38,3)*M14</f>
        <v>0</v>
      </c>
      <c r="L14" s="81">
        <f t="shared" si="0"/>
        <v>0</v>
      </c>
      <c r="M14" s="63">
        <f t="shared" si="1"/>
        <v>0</v>
      </c>
      <c r="N14" s="55"/>
      <c r="O14" s="614">
        <f>'PRECIOS UNITARIOS'!$Z$16*L14</f>
        <v>0</v>
      </c>
      <c r="P14" s="614">
        <f>'PRECIOS UNITARIOS'!$AA$16*L14</f>
        <v>0</v>
      </c>
      <c r="Q14" s="614">
        <f>'PRECIOS UNITARIOS'!$Z$16*M14</f>
        <v>0</v>
      </c>
      <c r="R14" s="614">
        <f>'PRECIOS UNITARIOS'!$AA$16*M14</f>
        <v>0</v>
      </c>
      <c r="S14" s="55"/>
      <c r="T14" s="386"/>
      <c r="U14" s="386">
        <v>1</v>
      </c>
      <c r="V14" s="387"/>
      <c r="W14" s="387"/>
      <c r="Y14" s="423" t="s">
        <v>86</v>
      </c>
    </row>
    <row r="15" spans="1:26" s="3" customFormat="1" x14ac:dyDescent="0.25">
      <c r="A15" s="111"/>
      <c r="B15" s="463" t="s">
        <v>74</v>
      </c>
      <c r="C15" s="85" t="str">
        <f>'PRECIOS UNITARIOS'!C$16</f>
        <v>PRED</v>
      </c>
      <c r="D15" s="928" t="s">
        <v>503</v>
      </c>
      <c r="E15" s="132" t="str">
        <f>'PRECIOS UNITARIOS'!D$16</f>
        <v>m2</v>
      </c>
      <c r="F15" s="633">
        <v>1000</v>
      </c>
      <c r="G15" s="630">
        <v>1600</v>
      </c>
      <c r="H15" s="85">
        <f t="shared" ref="H15:H20" si="2">G15</f>
        <v>1600</v>
      </c>
      <c r="I15" s="8"/>
      <c r="J15" s="623">
        <f>HLOOKUP($C15,PARAMETROS!$C$36:$F$38,3)*L15</f>
        <v>400000</v>
      </c>
      <c r="K15" s="623">
        <f>HLOOKUP($C15,PARAMETROS!$C$36:$F$38,3)*M15</f>
        <v>400000</v>
      </c>
      <c r="L15" s="81">
        <f t="shared" si="0"/>
        <v>1600000</v>
      </c>
      <c r="M15" s="63">
        <f t="shared" si="1"/>
        <v>1600000</v>
      </c>
      <c r="N15" s="55"/>
      <c r="O15" s="614">
        <f>'PRECIOS UNITARIOS'!$Z$16*L15</f>
        <v>1600000</v>
      </c>
      <c r="P15" s="614">
        <f>'PRECIOS UNITARIOS'!$AA$16*L15</f>
        <v>0</v>
      </c>
      <c r="Q15" s="614">
        <f>'PRECIOS UNITARIOS'!$Z$16*M15</f>
        <v>1600000</v>
      </c>
      <c r="R15" s="614">
        <f>'PRECIOS UNITARIOS'!$AA$16*M15</f>
        <v>0</v>
      </c>
      <c r="S15" s="55"/>
      <c r="T15" s="386"/>
      <c r="U15" s="386">
        <v>1</v>
      </c>
      <c r="V15" s="387"/>
      <c r="W15" s="387"/>
      <c r="Y15" s="423" t="s">
        <v>86</v>
      </c>
    </row>
    <row r="16" spans="1:26" s="3" customFormat="1" x14ac:dyDescent="0.25">
      <c r="A16" s="111"/>
      <c r="B16" s="463" t="s">
        <v>75</v>
      </c>
      <c r="C16" s="85" t="str">
        <f>'PRECIOS UNITARIOS'!C$16</f>
        <v>PRED</v>
      </c>
      <c r="D16" s="928" t="s">
        <v>503</v>
      </c>
      <c r="E16" s="132" t="str">
        <f>'PRECIOS UNITARIOS'!D$16</f>
        <v>m2</v>
      </c>
      <c r="F16" s="633">
        <v>1000</v>
      </c>
      <c r="G16" s="630">
        <v>0</v>
      </c>
      <c r="H16" s="85">
        <f t="shared" si="2"/>
        <v>0</v>
      </c>
      <c r="I16" s="8"/>
      <c r="J16" s="623">
        <f>HLOOKUP($C16,PARAMETROS!$C$36:$F$38,3)*L16</f>
        <v>0</v>
      </c>
      <c r="K16" s="623">
        <f>HLOOKUP($C16,PARAMETROS!$C$36:$F$38,3)*M16</f>
        <v>0</v>
      </c>
      <c r="L16" s="81">
        <f t="shared" si="0"/>
        <v>0</v>
      </c>
      <c r="M16" s="63">
        <f t="shared" si="1"/>
        <v>0</v>
      </c>
      <c r="N16" s="55"/>
      <c r="O16" s="614">
        <f>'PRECIOS UNITARIOS'!$Z$16*L16</f>
        <v>0</v>
      </c>
      <c r="P16" s="614">
        <f>'PRECIOS UNITARIOS'!$AA$16*L16</f>
        <v>0</v>
      </c>
      <c r="Q16" s="614">
        <f>'PRECIOS UNITARIOS'!$Z$16*M16</f>
        <v>0</v>
      </c>
      <c r="R16" s="614">
        <f>'PRECIOS UNITARIOS'!$AA$16*M16</f>
        <v>0</v>
      </c>
      <c r="S16" s="55"/>
      <c r="T16" s="386"/>
      <c r="U16" s="386">
        <v>1</v>
      </c>
      <c r="V16" s="387"/>
      <c r="W16" s="387"/>
      <c r="Y16" s="423" t="s">
        <v>86</v>
      </c>
    </row>
    <row r="17" spans="1:25" s="3" customFormat="1" x14ac:dyDescent="0.25">
      <c r="A17" s="111"/>
      <c r="B17" s="463" t="s">
        <v>76</v>
      </c>
      <c r="C17" s="85" t="str">
        <f>'PRECIOS UNITARIOS'!C$16</f>
        <v>PRED</v>
      </c>
      <c r="D17" s="928" t="s">
        <v>503</v>
      </c>
      <c r="E17" s="132" t="str">
        <f>'PRECIOS UNITARIOS'!D$16</f>
        <v>m2</v>
      </c>
      <c r="F17" s="633">
        <v>0</v>
      </c>
      <c r="G17" s="630">
        <v>0</v>
      </c>
      <c r="H17" s="85">
        <f t="shared" si="2"/>
        <v>0</v>
      </c>
      <c r="I17" s="8"/>
      <c r="J17" s="623">
        <f>HLOOKUP($C17,PARAMETROS!$C$36:$F$38,3)*L17</f>
        <v>0</v>
      </c>
      <c r="K17" s="623">
        <f>HLOOKUP($C17,PARAMETROS!$C$36:$F$38,3)*M17</f>
        <v>0</v>
      </c>
      <c r="L17" s="81">
        <f t="shared" si="0"/>
        <v>0</v>
      </c>
      <c r="M17" s="63">
        <f t="shared" si="1"/>
        <v>0</v>
      </c>
      <c r="N17" s="55"/>
      <c r="O17" s="614">
        <f>'PRECIOS UNITARIOS'!$Z$16*L17</f>
        <v>0</v>
      </c>
      <c r="P17" s="614">
        <f>'PRECIOS UNITARIOS'!$AA$16*L17</f>
        <v>0</v>
      </c>
      <c r="Q17" s="614">
        <f>'PRECIOS UNITARIOS'!$Z$16*M17</f>
        <v>0</v>
      </c>
      <c r="R17" s="614">
        <f>'PRECIOS UNITARIOS'!$AA$16*M17</f>
        <v>0</v>
      </c>
      <c r="S17" s="55"/>
      <c r="T17" s="386"/>
      <c r="U17" s="386">
        <v>1</v>
      </c>
      <c r="V17" s="387"/>
      <c r="W17" s="387"/>
      <c r="Y17" s="423" t="s">
        <v>85</v>
      </c>
    </row>
    <row r="18" spans="1:25" s="3" customFormat="1" x14ac:dyDescent="0.25">
      <c r="A18" s="111"/>
      <c r="B18" s="463" t="s">
        <v>77</v>
      </c>
      <c r="C18" s="85" t="str">
        <f>'PRECIOS UNITARIOS'!C$16</f>
        <v>PRED</v>
      </c>
      <c r="D18" s="928" t="s">
        <v>503</v>
      </c>
      <c r="E18" s="132" t="str">
        <f>'PRECIOS UNITARIOS'!D$16</f>
        <v>m2</v>
      </c>
      <c r="F18" s="633">
        <v>500</v>
      </c>
      <c r="G18" s="630">
        <v>0</v>
      </c>
      <c r="H18" s="85">
        <f t="shared" si="2"/>
        <v>0</v>
      </c>
      <c r="I18" s="8"/>
      <c r="J18" s="623">
        <f>HLOOKUP($C18,PARAMETROS!$C$36:$F$38,3)*L18</f>
        <v>0</v>
      </c>
      <c r="K18" s="623">
        <f>HLOOKUP($C18,PARAMETROS!$C$36:$F$38,3)*M18</f>
        <v>0</v>
      </c>
      <c r="L18" s="81">
        <f t="shared" si="0"/>
        <v>0</v>
      </c>
      <c r="M18" s="63">
        <f t="shared" si="1"/>
        <v>0</v>
      </c>
      <c r="N18" s="55"/>
      <c r="O18" s="614">
        <f>'PRECIOS UNITARIOS'!$Z$16*L18</f>
        <v>0</v>
      </c>
      <c r="P18" s="614">
        <f>'PRECIOS UNITARIOS'!$AA$16*L18</f>
        <v>0</v>
      </c>
      <c r="Q18" s="614">
        <f>'PRECIOS UNITARIOS'!$Z$16*M18</f>
        <v>0</v>
      </c>
      <c r="R18" s="614">
        <f>'PRECIOS UNITARIOS'!$AA$16*M18</f>
        <v>0</v>
      </c>
      <c r="S18" s="55"/>
      <c r="T18" s="386"/>
      <c r="U18" s="386">
        <v>1</v>
      </c>
      <c r="V18" s="387"/>
      <c r="W18" s="387"/>
      <c r="Y18" s="423" t="s">
        <v>86</v>
      </c>
    </row>
    <row r="19" spans="1:25" s="3" customFormat="1" x14ac:dyDescent="0.25">
      <c r="A19" s="111"/>
      <c r="B19" s="463" t="s">
        <v>91</v>
      </c>
      <c r="C19" s="85" t="str">
        <f>'PRECIOS UNITARIOS'!C$16</f>
        <v>PRED</v>
      </c>
      <c r="D19" s="928" t="s">
        <v>503</v>
      </c>
      <c r="E19" s="132" t="str">
        <f>'PRECIOS UNITARIOS'!D$16</f>
        <v>m2</v>
      </c>
      <c r="F19" s="633">
        <v>0</v>
      </c>
      <c r="G19" s="630">
        <v>10000</v>
      </c>
      <c r="H19" s="85">
        <f t="shared" si="2"/>
        <v>10000</v>
      </c>
      <c r="I19" s="8"/>
      <c r="J19" s="623">
        <f>HLOOKUP($C19,PARAMETROS!$C$36:$F$38,3)*L19</f>
        <v>0</v>
      </c>
      <c r="K19" s="623">
        <f>HLOOKUP($C19,PARAMETROS!$C$36:$F$38,3)*M19</f>
        <v>0</v>
      </c>
      <c r="L19" s="81">
        <f t="shared" si="0"/>
        <v>0</v>
      </c>
      <c r="M19" s="63">
        <f t="shared" si="1"/>
        <v>0</v>
      </c>
      <c r="N19" s="55"/>
      <c r="O19" s="614">
        <f>'PRECIOS UNITARIOS'!$Z$16*L19</f>
        <v>0</v>
      </c>
      <c r="P19" s="614">
        <f>'PRECIOS UNITARIOS'!$AA$16*L19</f>
        <v>0</v>
      </c>
      <c r="Q19" s="614">
        <f>'PRECIOS UNITARIOS'!$Z$16*M19</f>
        <v>0</v>
      </c>
      <c r="R19" s="614">
        <f>'PRECIOS UNITARIOS'!$AA$16*M19</f>
        <v>0</v>
      </c>
      <c r="S19" s="55"/>
      <c r="T19" s="386"/>
      <c r="U19" s="386">
        <v>1</v>
      </c>
      <c r="V19" s="387"/>
      <c r="W19" s="387"/>
      <c r="Y19" s="423" t="s">
        <v>85</v>
      </c>
    </row>
    <row r="20" spans="1:25" s="3" customFormat="1" x14ac:dyDescent="0.25">
      <c r="A20" s="111"/>
      <c r="B20" s="463" t="s">
        <v>78</v>
      </c>
      <c r="C20" s="85" t="str">
        <f>'PRECIOS UNITARIOS'!C$16</f>
        <v>PRED</v>
      </c>
      <c r="D20" s="928" t="s">
        <v>503</v>
      </c>
      <c r="E20" s="132" t="str">
        <f>'PRECIOS UNITARIOS'!D$16</f>
        <v>m2</v>
      </c>
      <c r="F20" s="633">
        <v>0</v>
      </c>
      <c r="G20" s="630">
        <v>1600</v>
      </c>
      <c r="H20" s="85">
        <f t="shared" si="2"/>
        <v>1600</v>
      </c>
      <c r="I20" s="8"/>
      <c r="J20" s="623">
        <f>HLOOKUP($C20,PARAMETROS!$C$36:$F$38,3)*L20</f>
        <v>0</v>
      </c>
      <c r="K20" s="623">
        <f>HLOOKUP($C20,PARAMETROS!$C$36:$F$38,3)*M20</f>
        <v>0</v>
      </c>
      <c r="L20" s="81">
        <f t="shared" si="0"/>
        <v>0</v>
      </c>
      <c r="M20" s="63">
        <f t="shared" si="1"/>
        <v>0</v>
      </c>
      <c r="N20" s="55"/>
      <c r="O20" s="614">
        <f>'PRECIOS UNITARIOS'!$Z$16*L20</f>
        <v>0</v>
      </c>
      <c r="P20" s="614">
        <f>'PRECIOS UNITARIOS'!$AA$16*L20</f>
        <v>0</v>
      </c>
      <c r="Q20" s="614">
        <f>'PRECIOS UNITARIOS'!$Z$16*M20</f>
        <v>0</v>
      </c>
      <c r="R20" s="614">
        <f>'PRECIOS UNITARIOS'!$AA$16*M20</f>
        <v>0</v>
      </c>
      <c r="S20" s="55"/>
      <c r="T20" s="386"/>
      <c r="U20" s="386">
        <v>1</v>
      </c>
      <c r="V20" s="387"/>
      <c r="W20" s="387"/>
      <c r="Y20" s="423" t="s">
        <v>85</v>
      </c>
    </row>
    <row r="21" spans="1:25" s="3" customFormat="1" x14ac:dyDescent="0.25">
      <c r="A21" s="111"/>
      <c r="B21" s="465" t="s">
        <v>11</v>
      </c>
      <c r="C21" s="86" t="str">
        <f>'PRECIOS UNITARIOS'!C$16</f>
        <v>PRED</v>
      </c>
      <c r="D21" s="929" t="s">
        <v>503</v>
      </c>
      <c r="E21" s="151" t="str">
        <f>'PRECIOS UNITARIOS'!D$16</f>
        <v>m2</v>
      </c>
      <c r="F21" s="478">
        <v>500</v>
      </c>
      <c r="G21" s="83">
        <v>8100</v>
      </c>
      <c r="H21" s="86">
        <v>5625</v>
      </c>
      <c r="I21" s="8"/>
      <c r="J21" s="623">
        <f>HLOOKUP($C21,PARAMETROS!$C$36:$F$38,3)*L21</f>
        <v>1012500</v>
      </c>
      <c r="K21" s="623">
        <f>HLOOKUP($C21,PARAMETROS!$C$36:$F$38,3)*M21</f>
        <v>703125</v>
      </c>
      <c r="L21" s="116">
        <f t="shared" si="0"/>
        <v>4050000</v>
      </c>
      <c r="M21" s="117">
        <f t="shared" si="1"/>
        <v>2812500</v>
      </c>
      <c r="N21" s="55"/>
      <c r="O21" s="614">
        <f>'PRECIOS UNITARIOS'!$Z$16*L21</f>
        <v>4050000</v>
      </c>
      <c r="P21" s="614">
        <f>'PRECIOS UNITARIOS'!$AA$16*L21</f>
        <v>0</v>
      </c>
      <c r="Q21" s="614">
        <f>'PRECIOS UNITARIOS'!$Z$16*M21</f>
        <v>2812500</v>
      </c>
      <c r="R21" s="614">
        <f>'PRECIOS UNITARIOS'!$AA$16*M21</f>
        <v>0</v>
      </c>
      <c r="S21" s="55"/>
      <c r="T21" s="381"/>
      <c r="U21" s="388"/>
      <c r="V21" s="381">
        <v>1</v>
      </c>
      <c r="W21" s="381"/>
      <c r="Y21" s="423"/>
    </row>
    <row r="22" spans="1:25" s="3" customFormat="1" x14ac:dyDescent="0.25">
      <c r="A22" s="54"/>
      <c r="B22" s="51"/>
      <c r="C22" s="47"/>
      <c r="D22" s="47"/>
      <c r="E22" s="47"/>
      <c r="F22" s="70"/>
      <c r="G22" s="47"/>
      <c r="H22" s="47"/>
      <c r="I22" s="8"/>
      <c r="J22" s="624"/>
      <c r="K22" s="624"/>
      <c r="L22" s="63"/>
      <c r="M22" s="63"/>
      <c r="N22" s="55"/>
      <c r="O22" s="610"/>
      <c r="P22" s="610"/>
      <c r="Q22" s="610"/>
      <c r="R22" s="610"/>
      <c r="S22" s="55"/>
      <c r="T22" s="62"/>
      <c r="U22" s="65"/>
      <c r="V22" s="62"/>
      <c r="W22" s="62"/>
      <c r="Y22" s="423"/>
    </row>
    <row r="23" spans="1:25" s="3" customFormat="1" ht="15.6" x14ac:dyDescent="0.25">
      <c r="A23" s="111"/>
      <c r="B23" s="302" t="s">
        <v>115</v>
      </c>
      <c r="C23" s="394"/>
      <c r="D23" s="394"/>
      <c r="E23" s="394"/>
      <c r="F23" s="317"/>
      <c r="G23" s="317"/>
      <c r="H23" s="303"/>
      <c r="I23" s="8"/>
      <c r="J23" s="625"/>
      <c r="K23" s="625"/>
      <c r="L23" s="407">
        <f>SUM(L24:L31)</f>
        <v>0</v>
      </c>
      <c r="M23" s="408">
        <f>SUM(M24:M31)</f>
        <v>0</v>
      </c>
      <c r="N23" s="55"/>
      <c r="O23" s="615"/>
      <c r="P23" s="615"/>
      <c r="Q23" s="615"/>
      <c r="R23" s="615"/>
      <c r="S23" s="55"/>
      <c r="T23" s="411">
        <f>T$11</f>
        <v>2015</v>
      </c>
      <c r="U23" s="411">
        <f>U$11</f>
        <v>2016</v>
      </c>
      <c r="V23" s="411">
        <f>V$11</f>
        <v>2017</v>
      </c>
      <c r="W23" s="411">
        <f>W$11</f>
        <v>2018</v>
      </c>
      <c r="Y23" s="423"/>
    </row>
    <row r="24" spans="1:25" s="3" customFormat="1" x14ac:dyDescent="0.25">
      <c r="A24" s="111"/>
      <c r="B24" s="464" t="s">
        <v>547</v>
      </c>
      <c r="C24" s="131" t="str">
        <f>'PRECIOS UNITARIOS'!C$16</f>
        <v>PRED</v>
      </c>
      <c r="D24" s="927" t="s">
        <v>503</v>
      </c>
      <c r="E24" s="131" t="str">
        <f>'PRECIOS UNITARIOS'!D$16</f>
        <v>m2</v>
      </c>
      <c r="F24" s="975">
        <f t="shared" ref="F24:F31" si="3">F13</f>
        <v>0</v>
      </c>
      <c r="G24" s="629">
        <v>0</v>
      </c>
      <c r="H24" s="119">
        <f>G24</f>
        <v>0</v>
      </c>
      <c r="I24" s="8"/>
      <c r="J24" s="623">
        <f>HLOOKUP($C24,PARAMETROS!$C$36:$F$38,3)*L24</f>
        <v>0</v>
      </c>
      <c r="K24" s="623">
        <f>HLOOKUP($C24,PARAMETROS!$C$36:$F$38,3)*M24</f>
        <v>0</v>
      </c>
      <c r="L24" s="81">
        <f t="shared" ref="L24:L31" si="4">G24*$F24</f>
        <v>0</v>
      </c>
      <c r="M24" s="63">
        <f t="shared" ref="M24:M31" si="5">H24*$F24</f>
        <v>0</v>
      </c>
      <c r="N24" s="55"/>
      <c r="O24" s="614">
        <f>'PRECIOS UNITARIOS'!$Z$16*L24</f>
        <v>0</v>
      </c>
      <c r="P24" s="614">
        <f>'PRECIOS UNITARIOS'!$AA$16*L24</f>
        <v>0</v>
      </c>
      <c r="Q24" s="614">
        <f>'PRECIOS UNITARIOS'!$Z$16*M24</f>
        <v>0</v>
      </c>
      <c r="R24" s="614">
        <f>'PRECIOS UNITARIOS'!$AA$16*M24</f>
        <v>0</v>
      </c>
      <c r="S24" s="55"/>
      <c r="T24" s="386"/>
      <c r="U24" s="386">
        <v>1</v>
      </c>
      <c r="V24" s="387"/>
      <c r="W24" s="387"/>
      <c r="Y24" s="423" t="str">
        <f t="shared" ref="Y24:Y31" si="6">Y13</f>
        <v>Municipal</v>
      </c>
    </row>
    <row r="25" spans="1:25" s="3" customFormat="1" x14ac:dyDescent="0.25">
      <c r="A25" s="111"/>
      <c r="B25" s="463" t="s">
        <v>573</v>
      </c>
      <c r="C25" s="132" t="str">
        <f>'PRECIOS UNITARIOS'!C$16</f>
        <v>PRED</v>
      </c>
      <c r="D25" s="928" t="s">
        <v>503</v>
      </c>
      <c r="E25" s="132" t="str">
        <f>'PRECIOS UNITARIOS'!D$16</f>
        <v>m2</v>
      </c>
      <c r="F25" s="974">
        <f t="shared" si="3"/>
        <v>0</v>
      </c>
      <c r="G25" s="630">
        <v>24000</v>
      </c>
      <c r="H25" s="85">
        <f>G25</f>
        <v>24000</v>
      </c>
      <c r="I25" s="8"/>
      <c r="J25" s="623">
        <f>HLOOKUP($C25,PARAMETROS!$C$36:$F$38,3)*L25</f>
        <v>0</v>
      </c>
      <c r="K25" s="623">
        <f>HLOOKUP($C25,PARAMETROS!$C$36:$F$38,3)*M25</f>
        <v>0</v>
      </c>
      <c r="L25" s="81">
        <f t="shared" si="4"/>
        <v>0</v>
      </c>
      <c r="M25" s="63">
        <f t="shared" si="5"/>
        <v>0</v>
      </c>
      <c r="N25" s="55"/>
      <c r="O25" s="614">
        <f>'PRECIOS UNITARIOS'!$Z$16*L25</f>
        <v>0</v>
      </c>
      <c r="P25" s="614">
        <f>'PRECIOS UNITARIOS'!$AA$16*L25</f>
        <v>0</v>
      </c>
      <c r="Q25" s="614">
        <f>'PRECIOS UNITARIOS'!$Z$16*M25</f>
        <v>0</v>
      </c>
      <c r="R25" s="614">
        <f>'PRECIOS UNITARIOS'!$AA$16*M25</f>
        <v>0</v>
      </c>
      <c r="S25" s="55"/>
      <c r="T25" s="386"/>
      <c r="U25" s="386">
        <v>1</v>
      </c>
      <c r="V25" s="387"/>
      <c r="W25" s="387"/>
      <c r="Y25" s="423" t="str">
        <f t="shared" si="6"/>
        <v>Privado</v>
      </c>
    </row>
    <row r="26" spans="1:25" s="3" customFormat="1" x14ac:dyDescent="0.25">
      <c r="A26" s="111"/>
      <c r="B26" s="463" t="s">
        <v>74</v>
      </c>
      <c r="C26" s="132" t="str">
        <f>'PRECIOS UNITARIOS'!C$16</f>
        <v>PRED</v>
      </c>
      <c r="D26" s="928" t="s">
        <v>503</v>
      </c>
      <c r="E26" s="132" t="str">
        <f>'PRECIOS UNITARIOS'!D$16</f>
        <v>m2</v>
      </c>
      <c r="F26" s="974">
        <f t="shared" si="3"/>
        <v>1000</v>
      </c>
      <c r="G26" s="77"/>
      <c r="H26" s="112"/>
      <c r="I26" s="8"/>
      <c r="J26" s="623">
        <f>HLOOKUP($C26,PARAMETROS!$C$36:$F$38,3)*L26</f>
        <v>0</v>
      </c>
      <c r="K26" s="623">
        <f>HLOOKUP($C26,PARAMETROS!$C$36:$F$38,3)*M26</f>
        <v>0</v>
      </c>
      <c r="L26" s="81">
        <f t="shared" si="4"/>
        <v>0</v>
      </c>
      <c r="M26" s="63">
        <f t="shared" si="5"/>
        <v>0</v>
      </c>
      <c r="N26" s="55"/>
      <c r="O26" s="614">
        <f>'PRECIOS UNITARIOS'!$Z$16*L26</f>
        <v>0</v>
      </c>
      <c r="P26" s="614">
        <f>'PRECIOS UNITARIOS'!$AA$16*L26</f>
        <v>0</v>
      </c>
      <c r="Q26" s="614">
        <f>'PRECIOS UNITARIOS'!$Z$16*M26</f>
        <v>0</v>
      </c>
      <c r="R26" s="614">
        <f>'PRECIOS UNITARIOS'!$AA$16*M26</f>
        <v>0</v>
      </c>
      <c r="S26" s="55"/>
      <c r="T26" s="386"/>
      <c r="U26" s="386">
        <v>1</v>
      </c>
      <c r="V26" s="387"/>
      <c r="W26" s="387"/>
      <c r="Y26" s="423" t="str">
        <f t="shared" si="6"/>
        <v>Privado</v>
      </c>
    </row>
    <row r="27" spans="1:25" s="3" customFormat="1" x14ac:dyDescent="0.25">
      <c r="A27" s="111"/>
      <c r="B27" s="463" t="s">
        <v>75</v>
      </c>
      <c r="C27" s="132" t="str">
        <f>'PRECIOS UNITARIOS'!C$16</f>
        <v>PRED</v>
      </c>
      <c r="D27" s="928" t="s">
        <v>503</v>
      </c>
      <c r="E27" s="132" t="str">
        <f>'PRECIOS UNITARIOS'!D$16</f>
        <v>m2</v>
      </c>
      <c r="F27" s="974">
        <f t="shared" si="3"/>
        <v>1000</v>
      </c>
      <c r="G27" s="77"/>
      <c r="H27" s="112"/>
      <c r="I27" s="8"/>
      <c r="J27" s="623">
        <f>HLOOKUP($C27,PARAMETROS!$C$36:$F$38,3)*L27</f>
        <v>0</v>
      </c>
      <c r="K27" s="623">
        <f>HLOOKUP($C27,PARAMETROS!$C$36:$F$38,3)*M27</f>
        <v>0</v>
      </c>
      <c r="L27" s="81">
        <f t="shared" si="4"/>
        <v>0</v>
      </c>
      <c r="M27" s="63">
        <f t="shared" si="5"/>
        <v>0</v>
      </c>
      <c r="N27" s="55"/>
      <c r="O27" s="614">
        <f>'PRECIOS UNITARIOS'!$Z$16*L27</f>
        <v>0</v>
      </c>
      <c r="P27" s="614">
        <f>'PRECIOS UNITARIOS'!$AA$16*L27</f>
        <v>0</v>
      </c>
      <c r="Q27" s="614">
        <f>'PRECIOS UNITARIOS'!$Z$16*M27</f>
        <v>0</v>
      </c>
      <c r="R27" s="614">
        <f>'PRECIOS UNITARIOS'!$AA$16*M27</f>
        <v>0</v>
      </c>
      <c r="S27" s="55"/>
      <c r="T27" s="386"/>
      <c r="U27" s="386">
        <v>1</v>
      </c>
      <c r="V27" s="387"/>
      <c r="W27" s="387"/>
      <c r="Y27" s="423" t="str">
        <f t="shared" si="6"/>
        <v>Privado</v>
      </c>
    </row>
    <row r="28" spans="1:25" s="3" customFormat="1" x14ac:dyDescent="0.25">
      <c r="A28" s="111"/>
      <c r="B28" s="463" t="s">
        <v>76</v>
      </c>
      <c r="C28" s="132" t="str">
        <f>'PRECIOS UNITARIOS'!C$16</f>
        <v>PRED</v>
      </c>
      <c r="D28" s="928" t="s">
        <v>503</v>
      </c>
      <c r="E28" s="132" t="str">
        <f>'PRECIOS UNITARIOS'!D$16</f>
        <v>m2</v>
      </c>
      <c r="F28" s="974">
        <f t="shared" si="3"/>
        <v>0</v>
      </c>
      <c r="G28" s="77"/>
      <c r="H28" s="112"/>
      <c r="I28" s="8"/>
      <c r="J28" s="623">
        <f>HLOOKUP($C28,PARAMETROS!$C$36:$F$38,3)*L28</f>
        <v>0</v>
      </c>
      <c r="K28" s="623">
        <f>HLOOKUP($C28,PARAMETROS!$C$36:$F$38,3)*M28</f>
        <v>0</v>
      </c>
      <c r="L28" s="81">
        <f t="shared" si="4"/>
        <v>0</v>
      </c>
      <c r="M28" s="63">
        <f t="shared" si="5"/>
        <v>0</v>
      </c>
      <c r="N28" s="55"/>
      <c r="O28" s="614">
        <f>'PRECIOS UNITARIOS'!$Z$16*L28</f>
        <v>0</v>
      </c>
      <c r="P28" s="614">
        <f>'PRECIOS UNITARIOS'!$AA$16*L28</f>
        <v>0</v>
      </c>
      <c r="Q28" s="614">
        <f>'PRECIOS UNITARIOS'!$Z$16*M28</f>
        <v>0</v>
      </c>
      <c r="R28" s="614">
        <f>'PRECIOS UNITARIOS'!$AA$16*M28</f>
        <v>0</v>
      </c>
      <c r="S28" s="55"/>
      <c r="T28" s="386"/>
      <c r="U28" s="386">
        <v>1</v>
      </c>
      <c r="V28" s="387"/>
      <c r="W28" s="387"/>
      <c r="Y28" s="423" t="str">
        <f t="shared" si="6"/>
        <v>Municipal</v>
      </c>
    </row>
    <row r="29" spans="1:25" s="3" customFormat="1" x14ac:dyDescent="0.25">
      <c r="A29" s="111"/>
      <c r="B29" s="463" t="s">
        <v>77</v>
      </c>
      <c r="C29" s="132" t="str">
        <f>'PRECIOS UNITARIOS'!C$16</f>
        <v>PRED</v>
      </c>
      <c r="D29" s="928" t="s">
        <v>503</v>
      </c>
      <c r="E29" s="132" t="str">
        <f>'PRECIOS UNITARIOS'!D$16</f>
        <v>m2</v>
      </c>
      <c r="F29" s="974">
        <f t="shared" si="3"/>
        <v>500</v>
      </c>
      <c r="G29" s="77"/>
      <c r="H29" s="112"/>
      <c r="I29" s="8"/>
      <c r="J29" s="623">
        <f>HLOOKUP($C29,PARAMETROS!$C$36:$F$38,3)*L29</f>
        <v>0</v>
      </c>
      <c r="K29" s="623">
        <f>HLOOKUP($C29,PARAMETROS!$C$36:$F$38,3)*M29</f>
        <v>0</v>
      </c>
      <c r="L29" s="81">
        <f t="shared" si="4"/>
        <v>0</v>
      </c>
      <c r="M29" s="63">
        <f t="shared" si="5"/>
        <v>0</v>
      </c>
      <c r="N29" s="55"/>
      <c r="O29" s="614">
        <f>'PRECIOS UNITARIOS'!$Z$16*L29</f>
        <v>0</v>
      </c>
      <c r="P29" s="614">
        <f>'PRECIOS UNITARIOS'!$AA$16*L29</f>
        <v>0</v>
      </c>
      <c r="Q29" s="614">
        <f>'PRECIOS UNITARIOS'!$Z$16*M29</f>
        <v>0</v>
      </c>
      <c r="R29" s="614">
        <f>'PRECIOS UNITARIOS'!$AA$16*M29</f>
        <v>0</v>
      </c>
      <c r="S29" s="55"/>
      <c r="T29" s="386"/>
      <c r="U29" s="386">
        <v>1</v>
      </c>
      <c r="V29" s="387"/>
      <c r="W29" s="387"/>
      <c r="Y29" s="423" t="str">
        <f t="shared" si="6"/>
        <v>Privado</v>
      </c>
    </row>
    <row r="30" spans="1:25" s="3" customFormat="1" x14ac:dyDescent="0.25">
      <c r="A30" s="111"/>
      <c r="B30" s="463" t="s">
        <v>91</v>
      </c>
      <c r="C30" s="132" t="str">
        <f>'PRECIOS UNITARIOS'!C$16</f>
        <v>PRED</v>
      </c>
      <c r="D30" s="928" t="s">
        <v>503</v>
      </c>
      <c r="E30" s="132" t="str">
        <f>'PRECIOS UNITARIOS'!D$16</f>
        <v>m2</v>
      </c>
      <c r="F30" s="974">
        <f t="shared" si="3"/>
        <v>0</v>
      </c>
      <c r="G30" s="77"/>
      <c r="H30" s="112"/>
      <c r="I30" s="8"/>
      <c r="J30" s="623">
        <f>HLOOKUP($C30,PARAMETROS!$C$36:$F$38,3)*L30</f>
        <v>0</v>
      </c>
      <c r="K30" s="623">
        <f>HLOOKUP($C30,PARAMETROS!$C$36:$F$38,3)*M30</f>
        <v>0</v>
      </c>
      <c r="L30" s="81">
        <f t="shared" si="4"/>
        <v>0</v>
      </c>
      <c r="M30" s="63">
        <f t="shared" si="5"/>
        <v>0</v>
      </c>
      <c r="N30" s="55"/>
      <c r="O30" s="614">
        <f>'PRECIOS UNITARIOS'!$Z$16*L30</f>
        <v>0</v>
      </c>
      <c r="P30" s="614">
        <f>'PRECIOS UNITARIOS'!$AA$16*L30</f>
        <v>0</v>
      </c>
      <c r="Q30" s="614">
        <f>'PRECIOS UNITARIOS'!$Z$16*M30</f>
        <v>0</v>
      </c>
      <c r="R30" s="614">
        <f>'PRECIOS UNITARIOS'!$AA$16*M30</f>
        <v>0</v>
      </c>
      <c r="S30" s="55"/>
      <c r="T30" s="386"/>
      <c r="U30" s="386">
        <v>1</v>
      </c>
      <c r="V30" s="387"/>
      <c r="W30" s="387"/>
      <c r="Y30" s="423" t="str">
        <f t="shared" si="6"/>
        <v>Municipal</v>
      </c>
    </row>
    <row r="31" spans="1:25" s="3" customFormat="1" x14ac:dyDescent="0.25">
      <c r="A31" s="111"/>
      <c r="B31" s="463" t="s">
        <v>78</v>
      </c>
      <c r="C31" s="132" t="str">
        <f>'PRECIOS UNITARIOS'!C$16</f>
        <v>PRED</v>
      </c>
      <c r="D31" s="928" t="s">
        <v>503</v>
      </c>
      <c r="E31" s="132" t="str">
        <f>'PRECIOS UNITARIOS'!D$16</f>
        <v>m2</v>
      </c>
      <c r="F31" s="974">
        <f t="shared" si="3"/>
        <v>0</v>
      </c>
      <c r="G31" s="77"/>
      <c r="H31" s="112"/>
      <c r="I31" s="8"/>
      <c r="J31" s="623">
        <f>HLOOKUP($C31,PARAMETROS!$C$36:$F$38,3)*L31</f>
        <v>0</v>
      </c>
      <c r="K31" s="623">
        <f>HLOOKUP($C31,PARAMETROS!$C$36:$F$38,3)*M31</f>
        <v>0</v>
      </c>
      <c r="L31" s="81">
        <f t="shared" si="4"/>
        <v>0</v>
      </c>
      <c r="M31" s="63">
        <f t="shared" si="5"/>
        <v>0</v>
      </c>
      <c r="N31" s="55"/>
      <c r="O31" s="614">
        <f>'PRECIOS UNITARIOS'!$Z$16*L31</f>
        <v>0</v>
      </c>
      <c r="P31" s="614">
        <f>'PRECIOS UNITARIOS'!$AA$16*L31</f>
        <v>0</v>
      </c>
      <c r="Q31" s="614">
        <f>'PRECIOS UNITARIOS'!$Z$16*M31</f>
        <v>0</v>
      </c>
      <c r="R31" s="614">
        <f>'PRECIOS UNITARIOS'!$AA$16*M31</f>
        <v>0</v>
      </c>
      <c r="S31" s="55"/>
      <c r="T31" s="386"/>
      <c r="U31" s="386">
        <v>1</v>
      </c>
      <c r="V31" s="387"/>
      <c r="W31" s="387"/>
      <c r="Y31" s="423" t="str">
        <f t="shared" si="6"/>
        <v>Municipal</v>
      </c>
    </row>
    <row r="32" spans="1:25" s="3" customFormat="1" x14ac:dyDescent="0.25">
      <c r="A32" s="54"/>
      <c r="B32" s="51"/>
      <c r="C32" s="47"/>
      <c r="D32" s="47"/>
      <c r="E32" s="47"/>
      <c r="F32" s="70"/>
      <c r="G32" s="47"/>
      <c r="H32" s="47"/>
      <c r="I32" s="8"/>
      <c r="J32" s="624"/>
      <c r="K32" s="624"/>
      <c r="L32" s="63"/>
      <c r="M32" s="63"/>
      <c r="N32" s="55"/>
      <c r="O32" s="610"/>
      <c r="P32" s="610"/>
      <c r="Q32" s="610"/>
      <c r="R32" s="610"/>
      <c r="S32" s="55"/>
      <c r="T32" s="60"/>
      <c r="U32" s="61"/>
      <c r="V32" s="60"/>
      <c r="W32" s="60"/>
      <c r="Y32" s="424"/>
    </row>
    <row r="33" spans="1:29" s="3" customFormat="1" ht="15.6" x14ac:dyDescent="0.25">
      <c r="A33" s="54"/>
      <c r="B33" s="302" t="s">
        <v>93</v>
      </c>
      <c r="C33" s="394"/>
      <c r="D33" s="394"/>
      <c r="E33" s="394"/>
      <c r="F33" s="317"/>
      <c r="G33" s="317"/>
      <c r="H33" s="303"/>
      <c r="I33" s="8"/>
      <c r="J33" s="622">
        <f>SUM(J34:J36)/L33</f>
        <v>0.25</v>
      </c>
      <c r="K33" s="622">
        <f>SUM(K34:K36)/M33</f>
        <v>0.25</v>
      </c>
      <c r="L33" s="409">
        <f t="shared" ref="L33:M33" si="7">SUM(L34:L36)</f>
        <v>3891361.3627656233</v>
      </c>
      <c r="M33" s="410">
        <f t="shared" si="7"/>
        <v>3891361.3627656233</v>
      </c>
      <c r="N33" s="55"/>
      <c r="O33" s="615">
        <f>SUM(O34:O36)/L33</f>
        <v>0.79869671828289279</v>
      </c>
      <c r="P33" s="615">
        <f>SUM(P34:P36)/L33</f>
        <v>0.20130328171710718</v>
      </c>
      <c r="Q33" s="615">
        <f>SUM(Q34:Q36)/M33</f>
        <v>0.79869671828289279</v>
      </c>
      <c r="R33" s="615">
        <f>SUM(R34:R36)/M33</f>
        <v>0.20130328171710718</v>
      </c>
      <c r="S33" s="55"/>
      <c r="T33" s="411">
        <f>T$11</f>
        <v>2015</v>
      </c>
      <c r="U33" s="411">
        <f>U$11</f>
        <v>2016</v>
      </c>
      <c r="V33" s="411">
        <f>V$11</f>
        <v>2017</v>
      </c>
      <c r="W33" s="411">
        <f>W$11</f>
        <v>2018</v>
      </c>
      <c r="Y33" s="424"/>
    </row>
    <row r="34" spans="1:29" s="3" customFormat="1" x14ac:dyDescent="0.25">
      <c r="A34" s="54"/>
      <c r="B34" s="479" t="str">
        <f>'PRECIOS UNITARIOS'!B19</f>
        <v>Proteccion contra incendios (techos)</v>
      </c>
      <c r="C34" s="124" t="str">
        <f>'PRECIOS UNITARIOS'!C19</f>
        <v>INFRA</v>
      </c>
      <c r="D34" s="387">
        <v>40</v>
      </c>
      <c r="E34" s="124" t="str">
        <f>'PRECIOS UNITARIOS'!D19</f>
        <v>m2</v>
      </c>
      <c r="F34" s="487">
        <f>'PRECIOS UNITARIOS'!L19</f>
        <v>164.69434406249991</v>
      </c>
      <c r="G34" s="126">
        <f>CANTIDADES!B25</f>
        <v>10800</v>
      </c>
      <c r="H34" s="127">
        <f>CANTIDADES!C25</f>
        <v>10800</v>
      </c>
      <c r="I34" s="8"/>
      <c r="J34" s="623">
        <f>HLOOKUP($C34,PARAMETROS!$C$36:$F$38,3)*L34</f>
        <v>444674.72896874975</v>
      </c>
      <c r="K34" s="623">
        <f>HLOOKUP($C34,PARAMETROS!$C$36:$F$38,3)*M34</f>
        <v>444674.72896874975</v>
      </c>
      <c r="L34" s="81">
        <f t="shared" ref="L34:M36" si="8">G34*$F34</f>
        <v>1778698.915874999</v>
      </c>
      <c r="M34" s="63">
        <f t="shared" si="8"/>
        <v>1778698.915874999</v>
      </c>
      <c r="N34" s="55"/>
      <c r="O34" s="609">
        <f>'PRECIOS UNITARIOS'!$Z19*CHIFFRAGE_TC!L34</f>
        <v>1411665.8062499994</v>
      </c>
      <c r="P34" s="609">
        <f>'PRECIOS UNITARIOS'!$AA19*CHIFFRAGE_TC!L34</f>
        <v>367033.10962499969</v>
      </c>
      <c r="Q34" s="609">
        <f>'PRECIOS UNITARIOS'!$Z19*CHIFFRAGE_TC!M34</f>
        <v>1411665.8062499994</v>
      </c>
      <c r="R34" s="609">
        <f>'PRECIOS UNITARIOS'!$AA19*CHIFFRAGE_TC!M34</f>
        <v>367033.10962499969</v>
      </c>
      <c r="S34" s="55"/>
      <c r="T34" s="386"/>
      <c r="U34" s="386">
        <v>0.25</v>
      </c>
      <c r="V34" s="386">
        <v>0.25</v>
      </c>
      <c r="W34" s="386">
        <v>0.5</v>
      </c>
      <c r="Y34" s="424"/>
    </row>
    <row r="35" spans="1:29" s="3" customFormat="1" x14ac:dyDescent="0.25">
      <c r="A35" s="54"/>
      <c r="B35" s="479" t="str">
        <f>'PRECIOS UNITARIOS'!B20</f>
        <v>Proteccion contra incendios (fachadas)</v>
      </c>
      <c r="C35" s="124" t="str">
        <f>'PRECIOS UNITARIOS'!C20</f>
        <v>INFRA</v>
      </c>
      <c r="D35" s="387">
        <v>40</v>
      </c>
      <c r="E35" s="124" t="str">
        <f>'PRECIOS UNITARIOS'!D20</f>
        <v>m2</v>
      </c>
      <c r="F35" s="487">
        <f>'PRECIOS UNITARIOS'!L20</f>
        <v>164.69434406249991</v>
      </c>
      <c r="G35" s="78">
        <f>CANTIDADES!B26</f>
        <v>12250</v>
      </c>
      <c r="H35" s="87">
        <f>CANTIDADES!C26</f>
        <v>12250</v>
      </c>
      <c r="I35" s="8"/>
      <c r="J35" s="623">
        <f>HLOOKUP($C35,PARAMETROS!$C$36:$F$38,3)*L35</f>
        <v>504376.42869140598</v>
      </c>
      <c r="K35" s="623">
        <f>HLOOKUP($C35,PARAMETROS!$C$36:$F$38,3)*M35</f>
        <v>504376.42869140598</v>
      </c>
      <c r="L35" s="81">
        <f t="shared" si="8"/>
        <v>2017505.7147656239</v>
      </c>
      <c r="M35" s="63">
        <f t="shared" si="8"/>
        <v>2017505.7147656239</v>
      </c>
      <c r="N35" s="55"/>
      <c r="O35" s="609">
        <f>'PRECIOS UNITARIOS'!$Z20*CHIFFRAGE_TC!L35</f>
        <v>1601195.0117187493</v>
      </c>
      <c r="P35" s="609">
        <f>'PRECIOS UNITARIOS'!$AA20*CHIFFRAGE_TC!L35</f>
        <v>416310.70304687467</v>
      </c>
      <c r="Q35" s="609">
        <f>'PRECIOS UNITARIOS'!$Z20*CHIFFRAGE_TC!M35</f>
        <v>1601195.0117187493</v>
      </c>
      <c r="R35" s="609">
        <f>'PRECIOS UNITARIOS'!$AA20*CHIFFRAGE_TC!M35</f>
        <v>416310.70304687467</v>
      </c>
      <c r="S35" s="55"/>
      <c r="T35" s="386"/>
      <c r="U35" s="386">
        <v>0.25</v>
      </c>
      <c r="V35" s="386">
        <v>0.25</v>
      </c>
      <c r="W35" s="386">
        <v>0.5</v>
      </c>
      <c r="Y35" s="424"/>
      <c r="AB35" s="72"/>
    </row>
    <row r="36" spans="1:29" s="3" customFormat="1" ht="12" customHeight="1" x14ac:dyDescent="0.25">
      <c r="A36" s="128"/>
      <c r="B36" s="480" t="str">
        <f>'PRECIOS UNITARIOS'!B21</f>
        <v>Decontaminacion de suelo</v>
      </c>
      <c r="C36" s="125" t="str">
        <f>'PRECIOS UNITARIOS'!C21</f>
        <v>INFRA</v>
      </c>
      <c r="D36" s="929" t="s">
        <v>503</v>
      </c>
      <c r="E36" s="125" t="str">
        <f>'PRECIOS UNITARIOS'!D21</f>
        <v>U</v>
      </c>
      <c r="F36" s="488">
        <f>'PRECIOS UNITARIOS'!L21</f>
        <v>95156.732124999966</v>
      </c>
      <c r="G36" s="83">
        <f>CANTIDADES!B34</f>
        <v>1</v>
      </c>
      <c r="H36" s="86">
        <f>CANTIDADES!C34</f>
        <v>1</v>
      </c>
      <c r="I36" s="8"/>
      <c r="J36" s="623">
        <f>HLOOKUP($C36,PARAMETROS!$C$36:$F$38,3)*L36</f>
        <v>23789.183031249991</v>
      </c>
      <c r="K36" s="623">
        <f>HLOOKUP($C36,PARAMETROS!$C$36:$F$38,3)*M36</f>
        <v>23789.183031249991</v>
      </c>
      <c r="L36" s="116">
        <f t="shared" si="8"/>
        <v>95156.732124999966</v>
      </c>
      <c r="M36" s="117">
        <f t="shared" si="8"/>
        <v>95156.732124999966</v>
      </c>
      <c r="N36" s="55"/>
      <c r="O36" s="609">
        <f>'PRECIOS UNITARIOS'!$Z21*CHIFFRAGE_TC!L36</f>
        <v>95156.732124999966</v>
      </c>
      <c r="P36" s="609">
        <f>'PRECIOS UNITARIOS'!$AA21*CHIFFRAGE_TC!L36</f>
        <v>0</v>
      </c>
      <c r="Q36" s="609">
        <f>'PRECIOS UNITARIOS'!$Z21*CHIFFRAGE_TC!M36</f>
        <v>95156.732124999966</v>
      </c>
      <c r="R36" s="609">
        <f>'PRECIOS UNITARIOS'!$AA21*CHIFFRAGE_TC!M36</f>
        <v>0</v>
      </c>
      <c r="S36" s="55"/>
      <c r="T36" s="381"/>
      <c r="U36" s="381">
        <v>1</v>
      </c>
      <c r="V36" s="388"/>
      <c r="W36" s="388"/>
      <c r="Y36" s="424"/>
    </row>
    <row r="37" spans="1:29" s="3" customFormat="1" ht="12" customHeight="1" x14ac:dyDescent="0.25">
      <c r="A37" s="128"/>
      <c r="B37" s="51"/>
      <c r="C37" s="47"/>
      <c r="D37" s="47"/>
      <c r="E37" s="47"/>
      <c r="F37" s="56"/>
      <c r="G37" s="57"/>
      <c r="H37" s="57"/>
      <c r="I37" s="8"/>
      <c r="J37" s="624"/>
      <c r="K37" s="624"/>
      <c r="L37" s="63"/>
      <c r="M37" s="63"/>
      <c r="N37" s="55"/>
      <c r="O37" s="610"/>
      <c r="P37" s="610"/>
      <c r="Q37" s="610"/>
      <c r="R37" s="610"/>
      <c r="S37" s="55"/>
      <c r="T37" s="61"/>
      <c r="U37" s="61"/>
      <c r="V37" s="61"/>
      <c r="W37" s="61"/>
      <c r="Y37" s="159"/>
    </row>
    <row r="38" spans="1:29" s="3" customFormat="1" ht="15.6" x14ac:dyDescent="0.25">
      <c r="A38" s="54"/>
      <c r="B38" s="302" t="s">
        <v>16</v>
      </c>
      <c r="C38" s="394"/>
      <c r="D38" s="394"/>
      <c r="E38" s="394"/>
      <c r="F38" s="317"/>
      <c r="G38" s="396"/>
      <c r="H38" s="399"/>
      <c r="I38" s="8"/>
      <c r="J38" s="622">
        <f>SUM(J39:J43)/L38</f>
        <v>0.25</v>
      </c>
      <c r="K38" s="622">
        <f>SUM(K39:K43)/M38</f>
        <v>0.25</v>
      </c>
      <c r="L38" s="409">
        <f t="shared" ref="L38:M38" si="9">SUM(L39:L43)</f>
        <v>14707198.841885544</v>
      </c>
      <c r="M38" s="410">
        <f t="shared" si="9"/>
        <v>9461305.7847933825</v>
      </c>
      <c r="N38" s="55"/>
      <c r="O38" s="615">
        <f>SUM(O39:O43)/L38</f>
        <v>0.59390240417868123</v>
      </c>
      <c r="P38" s="615">
        <f>SUM(P39:P43)/L38</f>
        <v>0.40609759582131877</v>
      </c>
      <c r="Q38" s="615">
        <f>SUM(Q39:Q43)/M38</f>
        <v>0.5876292233224607</v>
      </c>
      <c r="R38" s="615">
        <f>SUM(R39:R43)/M38</f>
        <v>0.41237077667753924</v>
      </c>
      <c r="S38" s="55"/>
      <c r="T38" s="411">
        <f>T$11</f>
        <v>2015</v>
      </c>
      <c r="U38" s="411">
        <f>U$11</f>
        <v>2016</v>
      </c>
      <c r="V38" s="411">
        <f>V$11</f>
        <v>2017</v>
      </c>
      <c r="W38" s="411">
        <f>W$11</f>
        <v>2018</v>
      </c>
      <c r="Y38" s="159"/>
    </row>
    <row r="39" spans="1:29" s="3" customFormat="1" x14ac:dyDescent="0.25">
      <c r="A39" s="54"/>
      <c r="B39" s="121" t="str">
        <f>'PRECIOS UNITARIOS'!B24</f>
        <v>Cables de soportes</v>
      </c>
      <c r="C39" s="131" t="str">
        <f>'PRECIOS UNITARIOS'!C24</f>
        <v>EQUIP</v>
      </c>
      <c r="D39" s="927">
        <v>10</v>
      </c>
      <c r="E39" s="131" t="str">
        <f>'PRECIOS UNITARIOS'!D24</f>
        <v>ml</v>
      </c>
      <c r="F39" s="494">
        <v>0</v>
      </c>
      <c r="G39" s="126">
        <v>0</v>
      </c>
      <c r="H39" s="127">
        <v>0</v>
      </c>
      <c r="I39" s="8"/>
      <c r="J39" s="623">
        <f>HLOOKUP($C39,PARAMETROS!$C$36:$F$38,3)*L39</f>
        <v>0</v>
      </c>
      <c r="K39" s="623">
        <f>HLOOKUP($C39,PARAMETROS!$C$36:$F$38,3)*M39</f>
        <v>0</v>
      </c>
      <c r="L39" s="145">
        <f t="shared" ref="L39:M43" si="10">$F39*G39</f>
        <v>0</v>
      </c>
      <c r="M39" s="146">
        <f t="shared" si="10"/>
        <v>0</v>
      </c>
      <c r="N39" s="55"/>
      <c r="O39" s="614">
        <f>L39</f>
        <v>0</v>
      </c>
      <c r="P39" s="614">
        <f>L39</f>
        <v>0</v>
      </c>
      <c r="Q39" s="614">
        <f>M39</f>
        <v>0</v>
      </c>
      <c r="R39" s="614">
        <f>M39</f>
        <v>0</v>
      </c>
      <c r="S39" s="55"/>
      <c r="T39" s="387"/>
      <c r="U39" s="386">
        <v>0.2</v>
      </c>
      <c r="V39" s="386">
        <v>0.6</v>
      </c>
      <c r="W39" s="386">
        <v>0.2</v>
      </c>
      <c r="Y39" s="159"/>
    </row>
    <row r="40" spans="1:29" s="3" customFormat="1" x14ac:dyDescent="0.25">
      <c r="A40" s="54"/>
      <c r="B40" s="122" t="str">
        <f>'PRECIOS UNITARIOS'!B25</f>
        <v>Cable de traccion</v>
      </c>
      <c r="C40" s="132" t="str">
        <f>'PRECIOS UNITARIOS'!C25</f>
        <v>EQUIP</v>
      </c>
      <c r="D40" s="928">
        <v>5</v>
      </c>
      <c r="E40" s="132" t="str">
        <f>'PRECIOS UNITARIOS'!D25</f>
        <v>ml</v>
      </c>
      <c r="F40" s="487">
        <f>'PRECIOS UNITARIOS'!L25</f>
        <v>66.209566229333319</v>
      </c>
      <c r="G40" s="78">
        <f>(2*CANTIDADES!B22)*1.05</f>
        <v>14910</v>
      </c>
      <c r="H40" s="87">
        <f>(2*CANTIDADES!C22)*1.05</f>
        <v>10290</v>
      </c>
      <c r="I40" s="8"/>
      <c r="J40" s="623">
        <f>HLOOKUP($C40,PARAMETROS!$C$36:$F$38,3)*L40</f>
        <v>246796.15811983994</v>
      </c>
      <c r="K40" s="623">
        <f>HLOOKUP($C40,PARAMETROS!$C$36:$F$38,3)*M40</f>
        <v>170324.10912495997</v>
      </c>
      <c r="L40" s="81">
        <f t="shared" si="10"/>
        <v>987184.63247935975</v>
      </c>
      <c r="M40" s="63">
        <f t="shared" si="10"/>
        <v>681296.43649983988</v>
      </c>
      <c r="N40" s="55"/>
      <c r="O40" s="609">
        <f>'PRECIOS UNITARIOS'!$Z25*CHIFFRAGE_TC!L40</f>
        <v>160650.32934215997</v>
      </c>
      <c r="P40" s="609">
        <f>'PRECIOS UNITARIOS'!$AA25*CHIFFRAGE_TC!L40</f>
        <v>826534.30313719984</v>
      </c>
      <c r="Q40" s="609">
        <f>'PRECIOS UNITARIOS'!$Z25*CHIFFRAGE_TC!M40</f>
        <v>110871.35405303999</v>
      </c>
      <c r="R40" s="609">
        <f>'PRECIOS UNITARIOS'!$AA25*CHIFFRAGE_TC!M40</f>
        <v>570425.08244679996</v>
      </c>
      <c r="S40" s="55"/>
      <c r="T40" s="387"/>
      <c r="U40" s="386">
        <v>0.2</v>
      </c>
      <c r="V40" s="386">
        <v>0.6</v>
      </c>
      <c r="W40" s="386">
        <v>0.2</v>
      </c>
      <c r="Y40" s="159"/>
    </row>
    <row r="41" spans="1:29" s="3" customFormat="1" x14ac:dyDescent="0.25">
      <c r="A41" s="54"/>
      <c r="B41" s="122" t="str">
        <f>'PRECIOS UNITARIOS'!B26</f>
        <v>Cabeza de poste (patibulo + pendulos y equipamientos)</v>
      </c>
      <c r="C41" s="132" t="str">
        <f>'PRECIOS UNITARIOS'!C26</f>
        <v>EQUIP</v>
      </c>
      <c r="D41" s="928">
        <v>40</v>
      </c>
      <c r="E41" s="132" t="str">
        <f>'PRECIOS UNITARIOS'!D26</f>
        <v>U</v>
      </c>
      <c r="F41" s="487">
        <f>'PRECIOS UNITARIOS'!L26</f>
        <v>100000.34522986671</v>
      </c>
      <c r="G41" s="78">
        <f>CANTIDADES!B43</f>
        <v>38</v>
      </c>
      <c r="H41" s="87">
        <f>CANTIDADES!C43</f>
        <v>25</v>
      </c>
      <c r="I41" s="8"/>
      <c r="J41" s="623">
        <f>HLOOKUP($C41,PARAMETROS!$C$36:$F$38,3)*L41</f>
        <v>950003.27968373371</v>
      </c>
      <c r="K41" s="623">
        <f>HLOOKUP($C41,PARAMETROS!$C$36:$F$38,3)*M41</f>
        <v>625002.15768666693</v>
      </c>
      <c r="L41" s="81">
        <f t="shared" si="10"/>
        <v>3800013.1187349348</v>
      </c>
      <c r="M41" s="63">
        <f t="shared" si="10"/>
        <v>2500008.6307466677</v>
      </c>
      <c r="N41" s="55"/>
      <c r="O41" s="609">
        <f>'PRECIOS UNITARIOS'!$Z26*CHIFFRAGE_TC!L41</f>
        <v>844909.81719955278</v>
      </c>
      <c r="P41" s="609">
        <f>'PRECIOS UNITARIOS'!$AA26*CHIFFRAGE_TC!L41</f>
        <v>2955103.3015353819</v>
      </c>
      <c r="Q41" s="609">
        <f>'PRECIOS UNITARIOS'!$Z26*CHIFFRAGE_TC!M41</f>
        <v>555861.72184181109</v>
      </c>
      <c r="R41" s="609">
        <f>'PRECIOS UNITARIOS'!$AA26*CHIFFRAGE_TC!M41</f>
        <v>1944146.9089048568</v>
      </c>
      <c r="S41" s="55"/>
      <c r="T41" s="387"/>
      <c r="U41" s="386">
        <v>0.2</v>
      </c>
      <c r="V41" s="386">
        <v>0.6</v>
      </c>
      <c r="W41" s="386">
        <v>0.2</v>
      </c>
      <c r="Y41" s="159"/>
    </row>
    <row r="42" spans="1:29" s="3" customFormat="1" x14ac:dyDescent="0.25">
      <c r="A42" s="54"/>
      <c r="B42" s="122" t="str">
        <f>'PRECIOS UNITARIOS'!B27</f>
        <v>Postes y fundaciones</v>
      </c>
      <c r="C42" s="132" t="str">
        <f>'PRECIOS UNITARIOS'!C27</f>
        <v>INFRA</v>
      </c>
      <c r="D42" s="928">
        <v>50</v>
      </c>
      <c r="E42" s="132" t="str">
        <f>'PRECIOS UNITARIOS'!D27</f>
        <v>U</v>
      </c>
      <c r="F42" s="487">
        <f>'PRECIOS UNITARIOS'!L27</f>
        <v>100000.028701875</v>
      </c>
      <c r="G42" s="78">
        <f>CANTIDADES!B43</f>
        <v>38</v>
      </c>
      <c r="H42" s="87">
        <f>CANTIDADES!C43</f>
        <v>25</v>
      </c>
      <c r="I42" s="8"/>
      <c r="J42" s="623">
        <f>HLOOKUP($C42,PARAMETROS!$C$36:$F$38,3)*L42</f>
        <v>950000.27266781242</v>
      </c>
      <c r="K42" s="623">
        <f>HLOOKUP($C42,PARAMETROS!$C$36:$F$38,3)*M42</f>
        <v>625000.17938671866</v>
      </c>
      <c r="L42" s="81">
        <f t="shared" si="10"/>
        <v>3800001.0906712497</v>
      </c>
      <c r="M42" s="63">
        <f t="shared" si="10"/>
        <v>2500000.7175468747</v>
      </c>
      <c r="N42" s="55"/>
      <c r="O42" s="609">
        <f>'PRECIOS UNITARIOS'!$Z27*CHIFFRAGE_TC!L42</f>
        <v>2960737.0461058202</v>
      </c>
      <c r="P42" s="609">
        <f>'PRECIOS UNITARIOS'!$AA27*CHIFFRAGE_TC!L42</f>
        <v>839264.04456542956</v>
      </c>
      <c r="Q42" s="609">
        <f>'PRECIOS UNITARIOS'!$Z27*CHIFFRAGE_TC!M42</f>
        <v>1947853.3198064605</v>
      </c>
      <c r="R42" s="609">
        <f>'PRECIOS UNITARIOS'!$AA27*CHIFFRAGE_TC!M42</f>
        <v>552147.39774041413</v>
      </c>
      <c r="S42" s="55"/>
      <c r="T42" s="387"/>
      <c r="U42" s="386">
        <v>0.2</v>
      </c>
      <c r="V42" s="386">
        <v>0.6</v>
      </c>
      <c r="W42" s="386">
        <v>0.2</v>
      </c>
      <c r="Y42" s="159"/>
    </row>
    <row r="43" spans="1:29" s="3" customFormat="1" x14ac:dyDescent="0.25">
      <c r="A43" s="54"/>
      <c r="B43" s="118" t="str">
        <f>'PRECIOS UNITARIOS'!B28</f>
        <v>Sobrecostos para fundaciones con pilotes</v>
      </c>
      <c r="C43" s="151" t="str">
        <f>'PRECIOS UNITARIOS'!C28</f>
        <v>INFRA</v>
      </c>
      <c r="D43" s="929">
        <v>50</v>
      </c>
      <c r="E43" s="151" t="str">
        <f>'PRECIOS UNITARIOS'!D28</f>
        <v>U</v>
      </c>
      <c r="F43" s="488">
        <f>'PRECIOS UNITARIOS'!L28</f>
        <v>180000</v>
      </c>
      <c r="G43" s="110">
        <f>CANTIDADES!B46</f>
        <v>34</v>
      </c>
      <c r="H43" s="113">
        <f>CANTIDADES!C46</f>
        <v>21</v>
      </c>
      <c r="I43" s="8"/>
      <c r="J43" s="623">
        <f>HLOOKUP($C43,PARAMETROS!$C$36:$F$38,3)*L43</f>
        <v>1530000</v>
      </c>
      <c r="K43" s="623">
        <f>HLOOKUP($C43,PARAMETROS!$C$36:$F$38,3)*M43</f>
        <v>945000</v>
      </c>
      <c r="L43" s="116">
        <f t="shared" si="10"/>
        <v>6120000</v>
      </c>
      <c r="M43" s="117">
        <f t="shared" si="10"/>
        <v>3780000</v>
      </c>
      <c r="N43" s="55"/>
      <c r="O43" s="609">
        <f>'PRECIOS UNITARIOS'!$Z28*CHIFFRAGE_TC!L43</f>
        <v>4768343.5582822086</v>
      </c>
      <c r="P43" s="609">
        <f>'PRECIOS UNITARIOS'!$AA28*CHIFFRAGE_TC!L43</f>
        <v>1351656.4417177911</v>
      </c>
      <c r="Q43" s="609">
        <f>'PRECIOS UNITARIOS'!$Z28*CHIFFRAGE_TC!M43</f>
        <v>2945153.374233129</v>
      </c>
      <c r="R43" s="609">
        <f>'PRECIOS UNITARIOS'!$AA28*CHIFFRAGE_TC!M43</f>
        <v>834846.62576687091</v>
      </c>
      <c r="S43" s="55"/>
      <c r="T43" s="388"/>
      <c r="U43" s="381">
        <v>0.2</v>
      </c>
      <c r="V43" s="381">
        <v>0.6</v>
      </c>
      <c r="W43" s="381">
        <v>0.2</v>
      </c>
      <c r="Y43" s="159"/>
      <c r="AA43" s="63"/>
      <c r="AB43" s="152"/>
    </row>
    <row r="44" spans="1:29" s="3" customFormat="1" x14ac:dyDescent="0.25">
      <c r="A44" s="128"/>
      <c r="B44" s="51"/>
      <c r="C44" s="48"/>
      <c r="D44" s="48"/>
      <c r="E44" s="48"/>
      <c r="F44" s="48"/>
      <c r="G44" s="47"/>
      <c r="H44" s="47"/>
      <c r="I44" s="8"/>
      <c r="J44" s="624"/>
      <c r="K44" s="624"/>
      <c r="L44" s="51"/>
      <c r="M44" s="51"/>
      <c r="N44" s="53"/>
      <c r="O44" s="611"/>
      <c r="P44" s="611"/>
      <c r="Q44" s="611"/>
      <c r="R44" s="611"/>
      <c r="S44" s="53"/>
      <c r="T44" s="61"/>
      <c r="U44" s="64"/>
      <c r="V44" s="65"/>
      <c r="W44" s="65"/>
      <c r="X44" s="8"/>
      <c r="Y44" s="124"/>
      <c r="Z44" s="8"/>
      <c r="AA44" s="4"/>
      <c r="AB44" s="63"/>
      <c r="AC44" s="63"/>
    </row>
    <row r="45" spans="1:29" s="3" customFormat="1" ht="15.6" x14ac:dyDescent="0.25">
      <c r="A45" s="54"/>
      <c r="B45" s="302" t="s">
        <v>21</v>
      </c>
      <c r="C45" s="394"/>
      <c r="D45" s="394"/>
      <c r="E45" s="394"/>
      <c r="F45" s="317"/>
      <c r="G45" s="398"/>
      <c r="H45" s="397"/>
      <c r="I45" s="8"/>
      <c r="J45" s="622">
        <f>SUM(J46:J51)/L45</f>
        <v>0.25</v>
      </c>
      <c r="K45" s="622">
        <f>SUM(K46:K51)/M45</f>
        <v>0.25</v>
      </c>
      <c r="L45" s="409">
        <f t="shared" ref="L45:M45" si="11">SUM(L46:L51)</f>
        <v>1296416.0921332496</v>
      </c>
      <c r="M45" s="410">
        <f t="shared" si="11"/>
        <v>903881.45848499984</v>
      </c>
      <c r="N45" s="53"/>
      <c r="O45" s="615">
        <f>SUM(O46:O51)/L45</f>
        <v>0.79880960085773034</v>
      </c>
      <c r="P45" s="615">
        <f>SUM(P46:P51)/L45</f>
        <v>0.2011903991422696</v>
      </c>
      <c r="Q45" s="615">
        <f>SUM(Q46:Q51)/M45</f>
        <v>0.79880999251295304</v>
      </c>
      <c r="R45" s="615">
        <f>SUM(R46:R51)/M45</f>
        <v>0.20119000748704682</v>
      </c>
      <c r="S45" s="53"/>
      <c r="T45" s="411">
        <f>T$11</f>
        <v>2015</v>
      </c>
      <c r="U45" s="411">
        <f>U$11</f>
        <v>2016</v>
      </c>
      <c r="V45" s="411">
        <f>V$11</f>
        <v>2017</v>
      </c>
      <c r="W45" s="411">
        <f>W$11</f>
        <v>2018</v>
      </c>
      <c r="X45" s="8"/>
      <c r="Y45" s="124"/>
      <c r="Z45" s="8"/>
    </row>
    <row r="46" spans="1:29" s="3" customFormat="1" x14ac:dyDescent="0.25">
      <c r="A46" s="54"/>
      <c r="B46" s="482" t="str">
        <f>'PRECIOS UNITARIOS'!B31</f>
        <v>Obras de via</v>
      </c>
      <c r="C46" s="123" t="str">
        <f>'PRECIOS UNITARIOS'!C31</f>
        <v>INFRA</v>
      </c>
      <c r="D46" s="428">
        <v>50</v>
      </c>
      <c r="E46" s="123" t="str">
        <f>'PRECIOS UNITARIOS'!D31</f>
        <v>m2</v>
      </c>
      <c r="F46" s="494">
        <f>'PRECIOS UNITARIOS'!L31</f>
        <v>197.63321287499991</v>
      </c>
      <c r="G46" s="1059">
        <v>3432</v>
      </c>
      <c r="H46" s="1060">
        <v>2450</v>
      </c>
      <c r="I46" s="8"/>
      <c r="J46" s="623">
        <f>HLOOKUP($C46,PARAMETROS!$C$36:$F$38,3)*L46</f>
        <v>169569.29664674992</v>
      </c>
      <c r="K46" s="623">
        <f>HLOOKUP($C46,PARAMETROS!$C$36:$F$38,3)*M46</f>
        <v>121050.34288593744</v>
      </c>
      <c r="L46" s="81">
        <f t="shared" ref="L46:M51" si="12">$F46*G46</f>
        <v>678277.18658699968</v>
      </c>
      <c r="M46" s="63">
        <f t="shared" si="12"/>
        <v>484201.37154374976</v>
      </c>
      <c r="N46" s="53"/>
      <c r="O46" s="609">
        <f>'PRECIOS UNITARIOS'!$Z31*CHIFFRAGE_TC!L46</f>
        <v>538315.22744999977</v>
      </c>
      <c r="P46" s="609">
        <f>'PRECIOS UNITARIOS'!$AA31*CHIFFRAGE_TC!L46</f>
        <v>139961.95913699988</v>
      </c>
      <c r="Q46" s="609">
        <f>'PRECIOS UNITARIOS'!$Z31*CHIFFRAGE_TC!M46</f>
        <v>384286.80281249987</v>
      </c>
      <c r="R46" s="609">
        <f>'PRECIOS UNITARIOS'!$AA31*CHIFFRAGE_TC!M46</f>
        <v>99914.568731249921</v>
      </c>
      <c r="S46" s="53"/>
      <c r="T46" s="386"/>
      <c r="U46" s="386">
        <v>0.5</v>
      </c>
      <c r="V46" s="386">
        <v>0.5</v>
      </c>
      <c r="W46" s="386"/>
      <c r="X46" s="8"/>
      <c r="Y46" s="424"/>
      <c r="Z46" s="8"/>
    </row>
    <row r="47" spans="1:29" s="3" customFormat="1" x14ac:dyDescent="0.25">
      <c r="A47" s="54"/>
      <c r="B47" s="122" t="str">
        <f>'PRECIOS UNITARIOS'!B32</f>
        <v>Redes aereas de alta tension</v>
      </c>
      <c r="C47" s="132" t="str">
        <f>'PRECIOS UNITARIOS'!C32</f>
        <v>INFRA</v>
      </c>
      <c r="D47" s="928">
        <v>50</v>
      </c>
      <c r="E47" s="132" t="str">
        <f>'PRECIOS UNITARIOS'!D32</f>
        <v>ml (de la red)</v>
      </c>
      <c r="F47" s="487">
        <f>'PRECIOS UNITARIOS'!L32</f>
        <v>633.72292238499972</v>
      </c>
      <c r="G47" s="630">
        <v>0</v>
      </c>
      <c r="H47" s="1061">
        <v>0</v>
      </c>
      <c r="I47" s="8"/>
      <c r="J47" s="623">
        <f>HLOOKUP($C47,PARAMETROS!$C$36:$F$38,3)*L47</f>
        <v>0</v>
      </c>
      <c r="K47" s="623">
        <f>HLOOKUP($C47,PARAMETROS!$C$36:$F$38,3)*M47</f>
        <v>0</v>
      </c>
      <c r="L47" s="81">
        <f t="shared" si="12"/>
        <v>0</v>
      </c>
      <c r="M47" s="63">
        <f t="shared" si="12"/>
        <v>0</v>
      </c>
      <c r="N47" s="53"/>
      <c r="O47" s="609">
        <f>'PRECIOS UNITARIOS'!$Z32*CHIFFRAGE_TC!L47</f>
        <v>0</v>
      </c>
      <c r="P47" s="609">
        <f>'PRECIOS UNITARIOS'!$AA32*CHIFFRAGE_TC!L47</f>
        <v>0</v>
      </c>
      <c r="Q47" s="609">
        <f>'PRECIOS UNITARIOS'!$Z32*CHIFFRAGE_TC!M47</f>
        <v>0</v>
      </c>
      <c r="R47" s="609">
        <f>'PRECIOS UNITARIOS'!$AA32*CHIFFRAGE_TC!M47</f>
        <v>0</v>
      </c>
      <c r="S47" s="53"/>
      <c r="T47" s="386"/>
      <c r="U47" s="386">
        <v>1</v>
      </c>
      <c r="V47" s="386"/>
      <c r="W47" s="386"/>
      <c r="X47" s="8"/>
      <c r="Y47" s="424"/>
      <c r="Z47" s="8"/>
    </row>
    <row r="48" spans="1:29" s="3" customFormat="1" x14ac:dyDescent="0.25">
      <c r="A48" s="54"/>
      <c r="B48" s="122" t="str">
        <f>'PRECIOS UNITARIOS'!B33</f>
        <v>Redes aereas</v>
      </c>
      <c r="C48" s="132" t="str">
        <f>'PRECIOS UNITARIOS'!C33</f>
        <v>INFRA</v>
      </c>
      <c r="D48" s="928">
        <v>50</v>
      </c>
      <c r="E48" s="132" t="str">
        <f>'PRECIOS UNITARIOS'!D33</f>
        <v>ml (de linea)</v>
      </c>
      <c r="F48" s="487">
        <f>'PRECIOS UNITARIOS'!L33</f>
        <v>83.4</v>
      </c>
      <c r="G48" s="1062">
        <v>2700</v>
      </c>
      <c r="H48" s="1063">
        <v>1708</v>
      </c>
      <c r="I48" s="8"/>
      <c r="J48" s="623">
        <f>HLOOKUP($C48,PARAMETROS!$C$36:$F$38,3)*L48</f>
        <v>56295.000000000007</v>
      </c>
      <c r="K48" s="623">
        <f>HLOOKUP($C48,PARAMETROS!$C$36:$F$38,3)*M48</f>
        <v>35611.800000000003</v>
      </c>
      <c r="L48" s="81">
        <f t="shared" si="12"/>
        <v>225180.00000000003</v>
      </c>
      <c r="M48" s="63">
        <f t="shared" si="12"/>
        <v>142447.20000000001</v>
      </c>
      <c r="N48" s="53"/>
      <c r="O48" s="609">
        <f>'PRECIOS UNITARIOS'!$Z33*CHIFFRAGE_TC!L48</f>
        <v>180630.00000000003</v>
      </c>
      <c r="P48" s="609">
        <f>'PRECIOS UNITARIOS'!$AA33*CHIFFRAGE_TC!L48</f>
        <v>44550.000000000007</v>
      </c>
      <c r="Q48" s="609">
        <f>'PRECIOS UNITARIOS'!$Z33*CHIFFRAGE_TC!M48</f>
        <v>114265.20000000001</v>
      </c>
      <c r="R48" s="609">
        <f>'PRECIOS UNITARIOS'!$AA33*CHIFFRAGE_TC!M48</f>
        <v>28182</v>
      </c>
      <c r="S48" s="53"/>
      <c r="T48" s="386"/>
      <c r="U48" s="386">
        <v>1</v>
      </c>
      <c r="V48" s="387"/>
      <c r="W48" s="387"/>
      <c r="X48" s="8"/>
      <c r="Y48" s="424"/>
      <c r="Z48" s="8"/>
    </row>
    <row r="49" spans="1:34" s="3" customFormat="1" x14ac:dyDescent="0.25">
      <c r="A49" s="54"/>
      <c r="B49" s="122" t="str">
        <f>'PRECIOS UNITARIOS'!B34</f>
        <v>Desplazamiento de lamparas</v>
      </c>
      <c r="C49" s="132" t="str">
        <f>'PRECIOS UNITARIOS'!C34</f>
        <v>INFRA</v>
      </c>
      <c r="D49" s="928">
        <v>50</v>
      </c>
      <c r="E49" s="132" t="str">
        <f>'PRECIOS UNITARIOS'!D34</f>
        <v>U</v>
      </c>
      <c r="F49" s="487">
        <f>'PRECIOS UNITARIOS'!L34</f>
        <v>2520.0848837499993</v>
      </c>
      <c r="G49" s="1062">
        <v>61</v>
      </c>
      <c r="H49" s="1063">
        <f>10*CANTIDADES!C22/1000</f>
        <v>49</v>
      </c>
      <c r="I49" s="8"/>
      <c r="J49" s="623">
        <f>HLOOKUP($C49,PARAMETROS!$C$36:$F$38,3)*L49</f>
        <v>38431.29447718749</v>
      </c>
      <c r="K49" s="623">
        <f>HLOOKUP($C49,PARAMETROS!$C$36:$F$38,3)*M49</f>
        <v>30871.039825937492</v>
      </c>
      <c r="L49" s="81">
        <f t="shared" si="12"/>
        <v>153725.17790874996</v>
      </c>
      <c r="M49" s="63">
        <f t="shared" si="12"/>
        <v>123484.15930374997</v>
      </c>
      <c r="N49" s="53"/>
      <c r="O49" s="609">
        <f>'PRECIOS UNITARIOS'!$Z34*CHIFFRAGE_TC!L49</f>
        <v>125021.30651499996</v>
      </c>
      <c r="P49" s="609">
        <f>'PRECIOS UNITARIOS'!$AA34*CHIFFRAGE_TC!L49</f>
        <v>28703.871393749992</v>
      </c>
      <c r="Q49" s="609">
        <f>'PRECIOS UNITARIOS'!$Z34*CHIFFRAGE_TC!M49</f>
        <v>100426.95113499998</v>
      </c>
      <c r="R49" s="609">
        <f>'PRECIOS UNITARIOS'!$AA34*CHIFFRAGE_TC!M49</f>
        <v>23057.208168749996</v>
      </c>
      <c r="S49" s="53"/>
      <c r="T49" s="386"/>
      <c r="U49" s="386">
        <v>1</v>
      </c>
      <c r="V49" s="387"/>
      <c r="W49" s="387"/>
      <c r="X49" s="8"/>
      <c r="Y49" s="424"/>
      <c r="Z49" s="8"/>
    </row>
    <row r="50" spans="1:34" s="3" customFormat="1" x14ac:dyDescent="0.25">
      <c r="A50" s="54"/>
      <c r="B50" s="122" t="str">
        <f>'PRECIOS UNITARIOS'!B35</f>
        <v>Redes subterraneas</v>
      </c>
      <c r="C50" s="132" t="str">
        <f>'PRECIOS UNITARIOS'!C35</f>
        <v>INFRA</v>
      </c>
      <c r="D50" s="928">
        <v>50</v>
      </c>
      <c r="E50" s="132" t="str">
        <f>'PRECIOS UNITARIOS'!D35</f>
        <v>ml (de linea)</v>
      </c>
      <c r="F50" s="487">
        <f>'PRECIOS UNITARIOS'!L35</f>
        <v>83.4</v>
      </c>
      <c r="G50" s="630">
        <v>2125</v>
      </c>
      <c r="H50" s="1061">
        <v>1100</v>
      </c>
      <c r="I50" s="8"/>
      <c r="J50" s="623">
        <f>HLOOKUP($C50,PARAMETROS!$C$36:$F$38,3)*L50</f>
        <v>44306.25</v>
      </c>
      <c r="K50" s="623">
        <f>HLOOKUP($C50,PARAMETROS!$C$36:$F$38,3)*M50</f>
        <v>22935</v>
      </c>
      <c r="L50" s="81">
        <f t="shared" si="12"/>
        <v>177225</v>
      </c>
      <c r="M50" s="63">
        <f t="shared" si="12"/>
        <v>91740</v>
      </c>
      <c r="N50" s="53"/>
      <c r="O50" s="609">
        <f>'PRECIOS UNITARIOS'!$Z35*CHIFFRAGE_TC!L50</f>
        <v>142162.5</v>
      </c>
      <c r="P50" s="609">
        <f>'PRECIOS UNITARIOS'!$AA35*CHIFFRAGE_TC!L50</f>
        <v>35062.5</v>
      </c>
      <c r="Q50" s="609">
        <f>'PRECIOS UNITARIOS'!$Z35*CHIFFRAGE_TC!M50</f>
        <v>73590</v>
      </c>
      <c r="R50" s="609">
        <f>'PRECIOS UNITARIOS'!$AA35*CHIFFRAGE_TC!M50</f>
        <v>18150</v>
      </c>
      <c r="S50" s="53"/>
      <c r="T50" s="386"/>
      <c r="U50" s="386">
        <v>0.5</v>
      </c>
      <c r="V50" s="386">
        <v>0.5</v>
      </c>
      <c r="W50" s="386"/>
      <c r="X50" s="8"/>
      <c r="Y50" s="424"/>
      <c r="Z50" s="8"/>
    </row>
    <row r="51" spans="1:34" s="3" customFormat="1" x14ac:dyDescent="0.25">
      <c r="A51" s="54"/>
      <c r="B51" s="118" t="str">
        <f>'PRECIOS UNITARIOS'!B36</f>
        <v>Mantenimiento de transito</v>
      </c>
      <c r="C51" s="151" t="str">
        <f>'PRECIOS UNITARIOS'!C36</f>
        <v>INFRA</v>
      </c>
      <c r="D51" s="929">
        <v>50</v>
      </c>
      <c r="E51" s="151" t="str">
        <f>'PRECIOS UNITARIOS'!D36</f>
        <v>U</v>
      </c>
      <c r="F51" s="488">
        <f>'PRECIOS UNITARIOS'!L36</f>
        <v>62008.727637499986</v>
      </c>
      <c r="G51" s="934">
        <v>1</v>
      </c>
      <c r="H51" s="1064">
        <v>1</v>
      </c>
      <c r="I51" s="8"/>
      <c r="J51" s="623">
        <f>HLOOKUP($C51,PARAMETROS!$C$36:$F$38,3)*L51</f>
        <v>15502.181909374996</v>
      </c>
      <c r="K51" s="623">
        <f>HLOOKUP($C51,PARAMETROS!$C$36:$F$38,3)*M51</f>
        <v>15502.181909374996</v>
      </c>
      <c r="L51" s="116">
        <f t="shared" si="12"/>
        <v>62008.727637499986</v>
      </c>
      <c r="M51" s="117">
        <f t="shared" si="12"/>
        <v>62008.727637499986</v>
      </c>
      <c r="N51" s="53"/>
      <c r="O51" s="609">
        <f>'PRECIOS UNITARIOS'!$Z36*CHIFFRAGE_TC!L51</f>
        <v>49460.587137499992</v>
      </c>
      <c r="P51" s="609">
        <f>'PRECIOS UNITARIOS'!$AA36*CHIFFRAGE_TC!L51</f>
        <v>12548.140499999998</v>
      </c>
      <c r="Q51" s="609">
        <f>'PRECIOS UNITARIOS'!$Z36*CHIFFRAGE_TC!M51</f>
        <v>49460.587137499992</v>
      </c>
      <c r="R51" s="609">
        <f>'PRECIOS UNITARIOS'!$AA36*CHIFFRAGE_TC!M51</f>
        <v>12548.140499999998</v>
      </c>
      <c r="S51" s="53"/>
      <c r="T51" s="381"/>
      <c r="U51" s="381">
        <v>0.5</v>
      </c>
      <c r="V51" s="381">
        <v>0.5</v>
      </c>
      <c r="W51" s="381"/>
      <c r="Y51" s="424"/>
    </row>
    <row r="52" spans="1:34" s="3" customFormat="1" x14ac:dyDescent="0.25">
      <c r="A52" s="58"/>
      <c r="B52" s="51"/>
      <c r="C52" s="46"/>
      <c r="D52" s="46"/>
      <c r="E52" s="46"/>
      <c r="F52" s="46"/>
      <c r="G52" s="46"/>
      <c r="H52" s="46"/>
      <c r="I52" s="8"/>
      <c r="J52" s="624"/>
      <c r="K52" s="624"/>
      <c r="L52" s="51"/>
      <c r="M52" s="51"/>
      <c r="N52" s="53"/>
      <c r="O52" s="611"/>
      <c r="P52" s="611"/>
      <c r="Q52" s="611"/>
      <c r="R52" s="611"/>
      <c r="S52" s="53"/>
      <c r="T52" s="61"/>
      <c r="U52" s="61"/>
      <c r="V52" s="61"/>
      <c r="W52" s="61"/>
      <c r="Y52" s="159"/>
    </row>
    <row r="53" spans="1:34" s="3" customFormat="1" ht="15.6" x14ac:dyDescent="0.25">
      <c r="A53" s="58"/>
      <c r="B53" s="302" t="s">
        <v>23</v>
      </c>
      <c r="C53" s="394"/>
      <c r="D53" s="394"/>
      <c r="E53" s="394"/>
      <c r="F53" s="317"/>
      <c r="G53" s="394"/>
      <c r="H53" s="400"/>
      <c r="I53" s="8"/>
      <c r="J53" s="622">
        <f>SUM(J54:J55)/L53</f>
        <v>0.15</v>
      </c>
      <c r="K53" s="622">
        <f>SUM(K54:K55)/M53</f>
        <v>0.15000000000000002</v>
      </c>
      <c r="L53" s="409">
        <f t="shared" ref="L53:M53" si="13">SUM(L54:L55)</f>
        <v>8052303.7439364512</v>
      </c>
      <c r="M53" s="410">
        <f t="shared" si="13"/>
        <v>5541879.635532734</v>
      </c>
      <c r="N53" s="53"/>
      <c r="O53" s="615">
        <f>SUM(O54:O55)/L53</f>
        <v>5.7734021151533553E-2</v>
      </c>
      <c r="P53" s="615">
        <f>SUM(P54:P55)/L53</f>
        <v>0.94226597884846641</v>
      </c>
      <c r="Q53" s="615">
        <f>SUM(Q54:Q55)/M53</f>
        <v>5.773402115153356E-2</v>
      </c>
      <c r="R53" s="615">
        <f>SUM(R54:R55)/M53</f>
        <v>0.94226597884846641</v>
      </c>
      <c r="S53" s="53"/>
      <c r="T53" s="411">
        <f>T$11</f>
        <v>2015</v>
      </c>
      <c r="U53" s="411">
        <f>U$11</f>
        <v>2016</v>
      </c>
      <c r="V53" s="411">
        <f>V$11</f>
        <v>2017</v>
      </c>
      <c r="W53" s="411">
        <f>W$11</f>
        <v>2018</v>
      </c>
      <c r="Y53" s="159"/>
    </row>
    <row r="54" spans="1:34" s="3" customFormat="1" x14ac:dyDescent="0.25">
      <c r="A54" s="51"/>
      <c r="B54" s="482" t="str">
        <f>'PRECIOS UNITARIOS'!B39</f>
        <v>Cabinas y soportes</v>
      </c>
      <c r="C54" s="123" t="str">
        <f>'PRECIOS UNITARIOS'!C39</f>
        <v>VEH</v>
      </c>
      <c r="D54" s="428">
        <v>40</v>
      </c>
      <c r="E54" s="123" t="str">
        <f>'PRECIOS UNITARIOS'!D39</f>
        <v>U</v>
      </c>
      <c r="F54" s="494">
        <f>'PRECIOS UNITARIOS'!L39</f>
        <v>37545.57257259453</v>
      </c>
      <c r="G54" s="133">
        <f>CANTIDADES!B69</f>
        <v>170</v>
      </c>
      <c r="H54" s="129">
        <f>CANTIDADES!C69</f>
        <v>117</v>
      </c>
      <c r="I54" s="8"/>
      <c r="J54" s="623">
        <f>HLOOKUP($C54,PARAMETROS!$C$36:$F$38,3)*L54</f>
        <v>957412.10060116043</v>
      </c>
      <c r="K54" s="623">
        <f>HLOOKUP($C54,PARAMETROS!$C$36:$F$38,3)*M54</f>
        <v>658924.798649034</v>
      </c>
      <c r="L54" s="81">
        <f>$F54*G54</f>
        <v>6382747.3373410702</v>
      </c>
      <c r="M54" s="63">
        <f>$F54*H54</f>
        <v>4392831.9909935603</v>
      </c>
      <c r="N54" s="53"/>
      <c r="O54" s="609">
        <f>'PRECIOS UNITARIOS'!$Z39*CHIFFRAGE_TC!L54</f>
        <v>299544.6977553757</v>
      </c>
      <c r="P54" s="609">
        <f>'PRECIOS UNITARIOS'!$AA39*CHIFFRAGE_TC!L54</f>
        <v>6083202.6395856943</v>
      </c>
      <c r="Q54" s="609">
        <f>'PRECIOS UNITARIOS'!$Z39*CHIFFRAGE_TC!M54</f>
        <v>206157.23316105272</v>
      </c>
      <c r="R54" s="609">
        <f>'PRECIOS UNITARIOS'!$AA39*CHIFFRAGE_TC!M54</f>
        <v>4186674.7578325076</v>
      </c>
      <c r="S54" s="53"/>
      <c r="T54" s="387"/>
      <c r="U54" s="386">
        <v>0.2</v>
      </c>
      <c r="V54" s="386">
        <v>0.6</v>
      </c>
      <c r="W54" s="386">
        <v>0.2</v>
      </c>
      <c r="X54" s="44"/>
      <c r="Y54" s="159"/>
      <c r="Z54" s="45"/>
    </row>
    <row r="55" spans="1:34" s="3" customFormat="1" x14ac:dyDescent="0.25">
      <c r="A55" s="51"/>
      <c r="B55" s="480" t="str">
        <f>'PRECIOS UNITARIOS'!B40</f>
        <v>Equipamiento de conforte en las cabinas</v>
      </c>
      <c r="C55" s="125" t="str">
        <f>'PRECIOS UNITARIOS'!C40</f>
        <v>VEH</v>
      </c>
      <c r="D55" s="388">
        <v>15</v>
      </c>
      <c r="E55" s="125" t="str">
        <f>'PRECIOS UNITARIOS'!D40</f>
        <v>U</v>
      </c>
      <c r="F55" s="488">
        <f>'PRECIOS UNITARIOS'!L40</f>
        <v>9820.9200387963592</v>
      </c>
      <c r="G55" s="134">
        <f t="shared" ref="G55:H55" si="14">G54</f>
        <v>170</v>
      </c>
      <c r="H55" s="135">
        <f t="shared" si="14"/>
        <v>117</v>
      </c>
      <c r="I55" s="8"/>
      <c r="J55" s="623">
        <f>HLOOKUP($C55,PARAMETROS!$C$36:$F$38,3)*L55</f>
        <v>250433.46098930715</v>
      </c>
      <c r="K55" s="623">
        <f>HLOOKUP($C55,PARAMETROS!$C$36:$F$38,3)*M55</f>
        <v>172357.14668087609</v>
      </c>
      <c r="L55" s="116">
        <f>$F55*G55</f>
        <v>1669556.406595381</v>
      </c>
      <c r="M55" s="117">
        <f>$F55*H55</f>
        <v>1149047.6445391739</v>
      </c>
      <c r="N55" s="53"/>
      <c r="O55" s="609">
        <f>'PRECIOS UNITARIOS'!$Z40*CHIFFRAGE_TC!L55</f>
        <v>165347.17691562418</v>
      </c>
      <c r="P55" s="609">
        <f>'PRECIOS UNITARIOS'!$AA40*CHIFFRAGE_TC!L55</f>
        <v>1504209.2296797568</v>
      </c>
      <c r="Q55" s="609">
        <f>'PRECIOS UNITARIOS'!$Z40*CHIFFRAGE_TC!M55</f>
        <v>113797.76293604723</v>
      </c>
      <c r="R55" s="609">
        <f>'PRECIOS UNITARIOS'!$AA40*CHIFFRAGE_TC!M55</f>
        <v>1035249.8816031266</v>
      </c>
      <c r="S55" s="53"/>
      <c r="T55" s="388"/>
      <c r="U55" s="381">
        <v>0.2</v>
      </c>
      <c r="V55" s="381">
        <v>0.6</v>
      </c>
      <c r="W55" s="381">
        <v>0.2</v>
      </c>
      <c r="X55" s="44"/>
      <c r="Y55" s="159"/>
    </row>
    <row r="56" spans="1:34" s="3" customFormat="1" x14ac:dyDescent="0.25">
      <c r="A56" s="58"/>
      <c r="B56" s="51"/>
      <c r="C56" s="48"/>
      <c r="D56" s="48"/>
      <c r="E56" s="48"/>
      <c r="F56" s="56"/>
      <c r="G56" s="48"/>
      <c r="H56" s="48"/>
      <c r="I56" s="8"/>
      <c r="J56" s="624"/>
      <c r="K56" s="624"/>
      <c r="L56" s="51"/>
      <c r="M56" s="51"/>
      <c r="N56" s="53"/>
      <c r="O56" s="611"/>
      <c r="P56" s="611"/>
      <c r="Q56" s="611"/>
      <c r="R56" s="611"/>
      <c r="S56" s="53"/>
      <c r="T56" s="61"/>
      <c r="U56" s="61"/>
      <c r="V56" s="61"/>
      <c r="W56" s="61"/>
      <c r="Y56" s="159"/>
    </row>
    <row r="57" spans="1:34" s="3" customFormat="1" ht="15.6" x14ac:dyDescent="0.25">
      <c r="A57" s="51"/>
      <c r="B57" s="302" t="s">
        <v>131</v>
      </c>
      <c r="C57" s="394"/>
      <c r="D57" s="394"/>
      <c r="E57" s="394"/>
      <c r="F57" s="317"/>
      <c r="G57" s="401"/>
      <c r="H57" s="402"/>
      <c r="I57" s="8"/>
      <c r="J57" s="622">
        <f>SUM(J58:J59)/L57</f>
        <v>0.25</v>
      </c>
      <c r="K57" s="622">
        <f>SUM(K58:K59)/M57</f>
        <v>0.25</v>
      </c>
      <c r="L57" s="409">
        <f t="shared" ref="L57:M57" si="15">SUM(L58:L59)</f>
        <v>28203244.316168398</v>
      </c>
      <c r="M57" s="410">
        <f t="shared" si="15"/>
        <v>22562595.45293472</v>
      </c>
      <c r="N57" s="53"/>
      <c r="O57" s="615">
        <f>SUM(O58:O59)/L57</f>
        <v>7.9522838118778333E-2</v>
      </c>
      <c r="P57" s="615">
        <f>SUM(P58:P59)/L57</f>
        <v>0.92047716188122175</v>
      </c>
      <c r="Q57" s="615">
        <f>SUM(Q58:Q59)/M57</f>
        <v>7.9522838118778333E-2</v>
      </c>
      <c r="R57" s="615">
        <f>SUM(R58:R59)/M57</f>
        <v>0.92047716188122175</v>
      </c>
      <c r="S57" s="53"/>
      <c r="T57" s="411">
        <f>T$11</f>
        <v>2015</v>
      </c>
      <c r="U57" s="411">
        <f>U$11</f>
        <v>2016</v>
      </c>
      <c r="V57" s="411">
        <f>V$11</f>
        <v>2017</v>
      </c>
      <c r="W57" s="411">
        <f>W$11</f>
        <v>2018</v>
      </c>
      <c r="Y57" s="159"/>
    </row>
    <row r="58" spans="1:34" s="3" customFormat="1" x14ac:dyDescent="0.25">
      <c r="A58" s="51"/>
      <c r="B58" s="479" t="str">
        <f>'PRECIOS UNITARIOS'!B43</f>
        <v>Lanzador (por ramita y por media-estacion)</v>
      </c>
      <c r="C58" s="124" t="str">
        <f>'PRECIOS UNITARIOS'!C43</f>
        <v>EQUIP</v>
      </c>
      <c r="D58" s="387">
        <v>40</v>
      </c>
      <c r="E58" s="124" t="str">
        <f>'PRECIOS UNITARIOS'!D43</f>
        <v>U</v>
      </c>
      <c r="F58" s="492">
        <f>'PRECIOS UNITARIOS'!L43</f>
        <v>709328.89111763623</v>
      </c>
      <c r="G58" s="133">
        <f>2*CANTIDADES!B30+4*CANTIDADES!B31+4*CANTIDADES!B32</f>
        <v>20</v>
      </c>
      <c r="H58" s="129">
        <f>2*CANTIDADES!C30+4*CANTIDADES!C31+4*CANTIDADES!C32</f>
        <v>16</v>
      </c>
      <c r="I58" s="8"/>
      <c r="J58" s="623">
        <f>HLOOKUP($C58,PARAMETROS!$C$36:$F$38,3)*L58</f>
        <v>3546644.455588181</v>
      </c>
      <c r="K58" s="623">
        <f>HLOOKUP($C58,PARAMETROS!$C$36:$F$38,3)*M58</f>
        <v>2837315.5644705449</v>
      </c>
      <c r="L58" s="81">
        <f>$F58*G58</f>
        <v>14186577.822352724</v>
      </c>
      <c r="M58" s="63">
        <f>$F58*H58</f>
        <v>11349262.25788218</v>
      </c>
      <c r="N58" s="53"/>
      <c r="O58" s="609">
        <f>'PRECIOS UNITARIOS'!$Z43*CHIFFRAGE_TC!L58</f>
        <v>1127791.3784496968</v>
      </c>
      <c r="P58" s="609">
        <f>'PRECIOS UNITARIOS'!$AA43*CHIFFRAGE_TC!L58</f>
        <v>13058786.443903027</v>
      </c>
      <c r="Q58" s="609">
        <f>'PRECIOS UNITARIOS'!$Z43*CHIFFRAGE_TC!M58</f>
        <v>902233.10275975743</v>
      </c>
      <c r="R58" s="609">
        <f>'PRECIOS UNITARIOS'!$AA43*CHIFFRAGE_TC!M58</f>
        <v>10447029.155122422</v>
      </c>
      <c r="S58" s="53"/>
      <c r="T58" s="386"/>
      <c r="U58" s="389"/>
      <c r="V58" s="386">
        <v>0.7</v>
      </c>
      <c r="W58" s="386">
        <v>0.3</v>
      </c>
      <c r="Y58" s="159"/>
    </row>
    <row r="59" spans="1:34" s="3" customFormat="1" x14ac:dyDescent="0.25">
      <c r="A59" s="51"/>
      <c r="B59" s="480" t="str">
        <f>'PRECIOS UNITARIOS'!B44</f>
        <v>Cola y andenes (por numero de andenes, y/c puertas de anden)</v>
      </c>
      <c r="C59" s="125" t="str">
        <f>'PRECIOS UNITARIOS'!C44</f>
        <v>EQUIP</v>
      </c>
      <c r="D59" s="388">
        <v>40</v>
      </c>
      <c r="E59" s="125" t="str">
        <f>'PRECIOS UNITARIOS'!D44</f>
        <v>U</v>
      </c>
      <c r="F59" s="493">
        <f>'PRECIOS UNITARIOS'!L44</f>
        <v>700833.32469078375</v>
      </c>
      <c r="G59" s="134">
        <f t="shared" ref="G59:H59" si="16">G58</f>
        <v>20</v>
      </c>
      <c r="H59" s="135">
        <f t="shared" si="16"/>
        <v>16</v>
      </c>
      <c r="I59" s="8"/>
      <c r="J59" s="623">
        <f>HLOOKUP($C59,PARAMETROS!$C$36:$F$38,3)*L59</f>
        <v>3504166.6234539188</v>
      </c>
      <c r="K59" s="623">
        <f>HLOOKUP($C59,PARAMETROS!$C$36:$F$38,3)*M59</f>
        <v>2803333.298763135</v>
      </c>
      <c r="L59" s="116">
        <f>$F59*G59</f>
        <v>14016666.493815675</v>
      </c>
      <c r="M59" s="117">
        <f>$F59*H59</f>
        <v>11213333.19505254</v>
      </c>
      <c r="N59" s="53"/>
      <c r="O59" s="609">
        <f>'PRECIOS UNITARIOS'!$Z44*CHIFFRAGE_TC!L59</f>
        <v>1115010.6537293179</v>
      </c>
      <c r="P59" s="609">
        <f>'PRECIOS UNITARIOS'!$AA44*CHIFFRAGE_TC!L59</f>
        <v>12901655.840086358</v>
      </c>
      <c r="Q59" s="609">
        <f>'PRECIOS UNITARIOS'!$Z44*CHIFFRAGE_TC!M59</f>
        <v>892008.52298345428</v>
      </c>
      <c r="R59" s="609">
        <f>'PRECIOS UNITARIOS'!$AA44*CHIFFRAGE_TC!M59</f>
        <v>10321324.672069086</v>
      </c>
      <c r="S59" s="53"/>
      <c r="T59" s="381"/>
      <c r="U59" s="390"/>
      <c r="V59" s="381">
        <v>0.7</v>
      </c>
      <c r="W59" s="381">
        <v>0.3</v>
      </c>
      <c r="Y59" s="159"/>
    </row>
    <row r="60" spans="1:34" s="3" customFormat="1" x14ac:dyDescent="0.25">
      <c r="A60" s="46"/>
      <c r="B60" s="51"/>
      <c r="C60" s="48"/>
      <c r="D60" s="48"/>
      <c r="E60" s="48"/>
      <c r="F60" s="56"/>
      <c r="G60" s="48"/>
      <c r="H60" s="48"/>
      <c r="I60" s="8"/>
      <c r="J60" s="624"/>
      <c r="K60" s="624"/>
      <c r="L60" s="51"/>
      <c r="M60" s="51"/>
      <c r="N60" s="53"/>
      <c r="O60" s="611"/>
      <c r="P60" s="611"/>
      <c r="Q60" s="611"/>
      <c r="R60" s="611"/>
      <c r="S60" s="53"/>
      <c r="T60" s="60"/>
      <c r="U60" s="61"/>
      <c r="V60" s="61"/>
      <c r="W60" s="61"/>
      <c r="Y60" s="159"/>
    </row>
    <row r="61" spans="1:34" s="8" customFormat="1" ht="15.6" x14ac:dyDescent="0.25">
      <c r="A61" s="46"/>
      <c r="B61" s="302" t="s">
        <v>33</v>
      </c>
      <c r="C61" s="394"/>
      <c r="D61" s="394"/>
      <c r="E61" s="394"/>
      <c r="F61" s="317"/>
      <c r="G61" s="401"/>
      <c r="H61" s="402"/>
      <c r="J61" s="622">
        <f>SUM(J62:J68)/L61</f>
        <v>0.25</v>
      </c>
      <c r="K61" s="622">
        <f>SUM(K62:K68)/M61</f>
        <v>0.25</v>
      </c>
      <c r="L61" s="409">
        <f t="shared" ref="L61:M61" si="17">SUM(L62:L68)</f>
        <v>7348567.3625788782</v>
      </c>
      <c r="M61" s="410">
        <f t="shared" si="17"/>
        <v>4371114.3234404521</v>
      </c>
      <c r="N61" s="53"/>
      <c r="O61" s="615">
        <f>SUM(O62:O68)/L61</f>
        <v>8.6629384159487274E-2</v>
      </c>
      <c r="P61" s="615">
        <f>SUM(P62:P68)/L61</f>
        <v>0.91337061584051293</v>
      </c>
      <c r="Q61" s="615">
        <f>SUM(Q62:Q68)/M61</f>
        <v>8.5500636337618258E-2</v>
      </c>
      <c r="R61" s="615">
        <f>SUM(R62:R68)/M61</f>
        <v>0.91449936366238183</v>
      </c>
      <c r="S61" s="53"/>
      <c r="T61" s="411">
        <f>T$11</f>
        <v>2015</v>
      </c>
      <c r="U61" s="411">
        <f>U$11</f>
        <v>2016</v>
      </c>
      <c r="V61" s="411">
        <f>V$11</f>
        <v>2017</v>
      </c>
      <c r="W61" s="411">
        <f>W$11</f>
        <v>2018</v>
      </c>
      <c r="X61" s="148"/>
      <c r="Y61" s="139"/>
      <c r="Z61" s="148"/>
      <c r="AA61" s="148"/>
      <c r="AB61" s="148"/>
      <c r="AC61" s="148"/>
      <c r="AD61" s="148"/>
      <c r="AE61" s="148"/>
      <c r="AF61" s="148"/>
      <c r="AG61" s="148"/>
      <c r="AH61" s="148"/>
    </row>
    <row r="62" spans="1:34" s="3" customFormat="1" x14ac:dyDescent="0.25">
      <c r="A62" s="51"/>
      <c r="B62" s="285" t="str">
        <f>'PRECIOS UNITARIOS'!B47</f>
        <v>Cuarto de mandos</v>
      </c>
      <c r="C62" s="120" t="str">
        <f>'PRECIOS UNITARIOS'!C47</f>
        <v>EQUIP</v>
      </c>
      <c r="D62" s="629">
        <v>15</v>
      </c>
      <c r="E62" s="131" t="str">
        <f>'PRECIOS UNITARIOS'!D47</f>
        <v>N° de estaciones</v>
      </c>
      <c r="F62" s="490">
        <f>'PRECIOS UNITARIOS'!L47</f>
        <v>261993.76623954534</v>
      </c>
      <c r="G62" s="133">
        <f>CANTIDADES!B30+CANTIDADES!B31</f>
        <v>5</v>
      </c>
      <c r="H62" s="129">
        <f>CANTIDADES!C30+CANTIDADES!C31</f>
        <v>4</v>
      </c>
      <c r="I62" s="8"/>
      <c r="J62" s="623">
        <f>HLOOKUP($C62,PARAMETROS!$C$36:$F$38,3)*L62</f>
        <v>327492.20779943169</v>
      </c>
      <c r="K62" s="623">
        <f>HLOOKUP($C62,PARAMETROS!$C$36:$F$38,3)*M62</f>
        <v>261993.76623954534</v>
      </c>
      <c r="L62" s="145">
        <f t="shared" ref="L62:M68" si="18">$F62*G62</f>
        <v>1309968.8311977268</v>
      </c>
      <c r="M62" s="146">
        <f t="shared" si="18"/>
        <v>1047975.0649581813</v>
      </c>
      <c r="N62" s="53"/>
      <c r="O62" s="609">
        <f>'PRECIOS UNITARIOS'!$Z47*CHIFFRAGE_TC!L62</f>
        <v>104206.60315227271</v>
      </c>
      <c r="P62" s="609">
        <f>'PRECIOS UNITARIOS'!$AA47*CHIFFRAGE_TC!L62</f>
        <v>1205762.228045454</v>
      </c>
      <c r="Q62" s="609">
        <f>'PRECIOS UNITARIOS'!$Z47*CHIFFRAGE_TC!M62</f>
        <v>83365.282521818168</v>
      </c>
      <c r="R62" s="609">
        <f>'PRECIOS UNITARIOS'!$AA47*CHIFFRAGE_TC!M62</f>
        <v>964609.78243636328</v>
      </c>
      <c r="S62" s="53"/>
      <c r="T62" s="389"/>
      <c r="U62" s="386">
        <v>0.5</v>
      </c>
      <c r="V62" s="386">
        <v>0.5</v>
      </c>
      <c r="W62" s="386">
        <v>0</v>
      </c>
      <c r="Y62" s="159"/>
    </row>
    <row r="63" spans="1:34" s="3" customFormat="1" x14ac:dyDescent="0.25">
      <c r="A63" s="51"/>
      <c r="B63" s="483" t="str">
        <f>'PRECIOS UNITARIOS'!B48</f>
        <v>Cuarto de electricidad (400V tres fases)</v>
      </c>
      <c r="C63" s="79" t="str">
        <f>'PRECIOS UNITARIOS'!C48</f>
        <v>EQUIP</v>
      </c>
      <c r="D63" s="631">
        <v>15</v>
      </c>
      <c r="E63" s="124" t="str">
        <f>'PRECIOS UNITARIOS'!D48</f>
        <v>U</v>
      </c>
      <c r="F63" s="490">
        <f>'PRECIOS UNITARIOS'!L48</f>
        <v>179471.36386242419</v>
      </c>
      <c r="G63" s="631">
        <f>2*2</f>
        <v>4</v>
      </c>
      <c r="H63" s="1036">
        <f>2</f>
        <v>2</v>
      </c>
      <c r="I63" s="8"/>
      <c r="J63" s="623">
        <f>HLOOKUP($C63,PARAMETROS!$C$36:$F$38,3)*L63</f>
        <v>179471.36386242419</v>
      </c>
      <c r="K63" s="623">
        <f>HLOOKUP($C63,PARAMETROS!$C$36:$F$38,3)*M63</f>
        <v>89735.681931212093</v>
      </c>
      <c r="L63" s="81">
        <f t="shared" si="18"/>
        <v>717885.45544969675</v>
      </c>
      <c r="M63" s="63">
        <f t="shared" si="18"/>
        <v>358942.72772484837</v>
      </c>
      <c r="N63" s="53"/>
      <c r="O63" s="609">
        <f>'PRECIOS UNITARIOS'!$Z48*CHIFFRAGE_TC!L63</f>
        <v>71973.091934545431</v>
      </c>
      <c r="P63" s="609">
        <f>'PRECIOS UNITARIOS'!$AA48*CHIFFRAGE_TC!L63</f>
        <v>645912.36351515132</v>
      </c>
      <c r="Q63" s="609">
        <f>'PRECIOS UNITARIOS'!$Z48*CHIFFRAGE_TC!M63</f>
        <v>35986.545967272716</v>
      </c>
      <c r="R63" s="609">
        <f>'PRECIOS UNITARIOS'!$AA48*CHIFFRAGE_TC!M63</f>
        <v>322956.18175757566</v>
      </c>
      <c r="S63" s="53"/>
      <c r="T63" s="389"/>
      <c r="U63" s="386">
        <v>0.5</v>
      </c>
      <c r="V63" s="386">
        <v>0.5</v>
      </c>
      <c r="W63" s="386">
        <v>0</v>
      </c>
      <c r="Y63" s="159"/>
    </row>
    <row r="64" spans="1:34" s="3" customFormat="1" x14ac:dyDescent="0.25">
      <c r="A64" s="51"/>
      <c r="B64" s="483" t="str">
        <f>'PRECIOS UNITARIOS'!B49</f>
        <v>Cuarto de manejo del traslado y zona de mantenimiento</v>
      </c>
      <c r="C64" s="79" t="str">
        <f>'PRECIOS UNITARIOS'!C49</f>
        <v>EQUIP</v>
      </c>
      <c r="D64" s="631">
        <v>15</v>
      </c>
      <c r="E64" s="124" t="str">
        <f>'PRECIOS UNITARIOS'!D49</f>
        <v>U</v>
      </c>
      <c r="F64" s="490">
        <f>'PRECIOS UNITARIOS'!L49</f>
        <v>72776.0461776515</v>
      </c>
      <c r="G64" s="631">
        <v>1</v>
      </c>
      <c r="H64" s="1036">
        <v>1</v>
      </c>
      <c r="I64" s="8"/>
      <c r="J64" s="623">
        <f>HLOOKUP($C64,PARAMETROS!$C$36:$F$38,3)*L64</f>
        <v>18194.011544412875</v>
      </c>
      <c r="K64" s="623">
        <f>HLOOKUP($C64,PARAMETROS!$C$36:$F$38,3)*M64</f>
        <v>18194.011544412875</v>
      </c>
      <c r="L64" s="81">
        <f t="shared" si="18"/>
        <v>72776.0461776515</v>
      </c>
      <c r="M64" s="63">
        <f t="shared" si="18"/>
        <v>72776.0461776515</v>
      </c>
      <c r="N64" s="53"/>
      <c r="O64" s="609">
        <f>'PRECIOS UNITARIOS'!$Z49*CHIFFRAGE_TC!L64</f>
        <v>5789.255730681818</v>
      </c>
      <c r="P64" s="609">
        <f>'PRECIOS UNITARIOS'!$AA49*CHIFFRAGE_TC!L64</f>
        <v>66986.79044696968</v>
      </c>
      <c r="Q64" s="609">
        <f>'PRECIOS UNITARIOS'!$Z49*CHIFFRAGE_TC!M64</f>
        <v>5789.255730681818</v>
      </c>
      <c r="R64" s="609">
        <f>'PRECIOS UNITARIOS'!$AA49*CHIFFRAGE_TC!M64</f>
        <v>66986.79044696968</v>
      </c>
      <c r="S64" s="53"/>
      <c r="T64" s="389"/>
      <c r="U64" s="386">
        <v>0</v>
      </c>
      <c r="V64" s="386">
        <v>0</v>
      </c>
      <c r="W64" s="386">
        <v>1</v>
      </c>
      <c r="Y64" s="159"/>
    </row>
    <row r="65" spans="1:25" s="3" customFormat="1" x14ac:dyDescent="0.25">
      <c r="A65" s="51"/>
      <c r="B65" s="483" t="str">
        <f>'PRECIOS UNITARIOS'!B50</f>
        <v>Alimentacion de auxilio de emergencia 
de la estacion motrice y del centro de mando</v>
      </c>
      <c r="C65" s="79" t="str">
        <f>'PRECIOS UNITARIOS'!C50</f>
        <v>EQUIP</v>
      </c>
      <c r="D65" s="631">
        <v>15</v>
      </c>
      <c r="E65" s="124" t="str">
        <f>'PRECIOS UNITARIOS'!D50</f>
        <v>U</v>
      </c>
      <c r="F65" s="490">
        <f>'PRECIOS UNITARIOS'!L50</f>
        <v>69027.447639393926</v>
      </c>
      <c r="G65" s="631">
        <f>1*2</f>
        <v>2</v>
      </c>
      <c r="H65" s="1036">
        <f>1</f>
        <v>1</v>
      </c>
      <c r="I65" s="8"/>
      <c r="J65" s="623">
        <f>HLOOKUP($C65,PARAMETROS!$C$36:$F$38,3)*L65</f>
        <v>34513.723819696963</v>
      </c>
      <c r="K65" s="623">
        <f>HLOOKUP($C65,PARAMETROS!$C$36:$F$38,3)*M65</f>
        <v>17256.861909848481</v>
      </c>
      <c r="L65" s="81">
        <f t="shared" si="18"/>
        <v>138054.89527878785</v>
      </c>
      <c r="M65" s="63">
        <f t="shared" si="18"/>
        <v>69027.447639393926</v>
      </c>
      <c r="N65" s="53"/>
      <c r="O65" s="609">
        <f>'PRECIOS UNITARIOS'!$Z50*CHIFFRAGE_TC!L65</f>
        <v>13840.979218181816</v>
      </c>
      <c r="P65" s="609">
        <f>'PRECIOS UNITARIOS'!$AA50*CHIFFRAGE_TC!L65</f>
        <v>124213.91606060603</v>
      </c>
      <c r="Q65" s="609">
        <f>'PRECIOS UNITARIOS'!$Z50*CHIFFRAGE_TC!M65</f>
        <v>6920.4896090909078</v>
      </c>
      <c r="R65" s="609">
        <f>'PRECIOS UNITARIOS'!$AA50*CHIFFRAGE_TC!M65</f>
        <v>62106.958030303016</v>
      </c>
      <c r="S65" s="53"/>
      <c r="T65" s="389"/>
      <c r="U65" s="386">
        <v>0</v>
      </c>
      <c r="V65" s="386">
        <v>0</v>
      </c>
      <c r="W65" s="386">
        <v>1</v>
      </c>
      <c r="Y65" s="159"/>
    </row>
    <row r="66" spans="1:25" s="3" customFormat="1" x14ac:dyDescent="0.25">
      <c r="A66" s="51"/>
      <c r="B66" s="483" t="str">
        <f>'PRECIOS UNITARIOS'!B51</f>
        <v>Alimentaciones auxiliarias y equipamientos electricos 
en las estaciones y en el taller (aire acondicionado, alumbrado, 
mando de las puertas de anden, etc.)</v>
      </c>
      <c r="C66" s="79" t="str">
        <f>'PRECIOS UNITARIOS'!C51</f>
        <v>EQUIP</v>
      </c>
      <c r="D66" s="631">
        <v>15</v>
      </c>
      <c r="E66" s="124" t="str">
        <f>'PRECIOS UNITARIOS'!D51</f>
        <v>Superficies cerradas (m²)</v>
      </c>
      <c r="F66" s="490">
        <f>'PRECIOS UNITARIOS'!L51</f>
        <v>109.16406926647723</v>
      </c>
      <c r="G66" s="149">
        <f>ROUNDUP(SUM(G89:G93,G100:G104,G111:G115,G122:G126,G133:G137,G144:G148,G155:G159,G166:G170,G176:G178),-2)</f>
        <v>10300</v>
      </c>
      <c r="H66" s="150">
        <f>ROUNDUP(SUM(H89:H93,H100:H104,H111:H115,H122:H126,H133:H137,H144:H148,H155:H159,H166:H170,H176:H178),-2)</f>
        <v>7600</v>
      </c>
      <c r="I66" s="8"/>
      <c r="J66" s="623">
        <f>HLOOKUP($C66,PARAMETROS!$C$36:$F$38,3)*L66</f>
        <v>281097.47836117889</v>
      </c>
      <c r="K66" s="623">
        <f>HLOOKUP($C66,PARAMETROS!$C$36:$F$38,3)*M66</f>
        <v>207411.73160630674</v>
      </c>
      <c r="L66" s="81">
        <f t="shared" si="18"/>
        <v>1124389.9134447156</v>
      </c>
      <c r="M66" s="63">
        <f t="shared" si="18"/>
        <v>829646.92642522696</v>
      </c>
      <c r="N66" s="53"/>
      <c r="O66" s="609">
        <f>'PRECIOS UNITARIOS'!$Z51*CHIFFRAGE_TC!L66</f>
        <v>89444.001039034061</v>
      </c>
      <c r="P66" s="609">
        <f>'PRECIOS UNITARIOS'!$AA51*CHIFFRAGE_TC!L66</f>
        <v>1034945.9124056816</v>
      </c>
      <c r="Q66" s="609">
        <f>'PRECIOS UNITARIOS'!$Z51*CHIFFRAGE_TC!M66</f>
        <v>65997.515329772708</v>
      </c>
      <c r="R66" s="609">
        <f>'PRECIOS UNITARIOS'!$AA51*CHIFFRAGE_TC!M66</f>
        <v>763649.41109545424</v>
      </c>
      <c r="S66" s="53"/>
      <c r="T66" s="389"/>
      <c r="U66" s="386">
        <v>0.25</v>
      </c>
      <c r="V66" s="386">
        <v>0.25</v>
      </c>
      <c r="W66" s="386">
        <v>0.5</v>
      </c>
      <c r="Y66" s="159"/>
    </row>
    <row r="67" spans="1:25" s="3" customFormat="1" x14ac:dyDescent="0.25">
      <c r="A67" s="51"/>
      <c r="B67" s="483" t="str">
        <f>'PRECIOS UNITARIOS'!B52</f>
        <v>Doble motorizacion, reductores y traccion del cable</v>
      </c>
      <c r="C67" s="79" t="str">
        <f>'PRECIOS UNITARIOS'!C52</f>
        <v>EQUIP</v>
      </c>
      <c r="D67" s="631">
        <v>40</v>
      </c>
      <c r="E67" s="124" t="str">
        <f>'PRECIOS UNITARIOS'!D52</f>
        <v>U</v>
      </c>
      <c r="F67" s="490">
        <f>'PRECIOS UNITARIOS'!L52</f>
        <v>909700.5772206434</v>
      </c>
      <c r="G67" s="631">
        <f>2*2</f>
        <v>4</v>
      </c>
      <c r="H67" s="1036">
        <f>2</f>
        <v>2</v>
      </c>
      <c r="I67" s="8"/>
      <c r="J67" s="623">
        <f>HLOOKUP($C67,PARAMETROS!$C$36:$F$38,3)*L67</f>
        <v>909700.5772206434</v>
      </c>
      <c r="K67" s="623">
        <f>HLOOKUP($C67,PARAMETROS!$C$36:$F$38,3)*M67</f>
        <v>454850.2886103217</v>
      </c>
      <c r="L67" s="81">
        <f t="shared" si="18"/>
        <v>3638802.3088825736</v>
      </c>
      <c r="M67" s="63">
        <f t="shared" si="18"/>
        <v>1819401.1544412868</v>
      </c>
      <c r="N67" s="53"/>
      <c r="O67" s="609">
        <f>'PRECIOS UNITARIOS'!$Z52*CHIFFRAGE_TC!L67</f>
        <v>289462.78653409082</v>
      </c>
      <c r="P67" s="609">
        <f>'PRECIOS UNITARIOS'!$AA52*CHIFFRAGE_TC!L67</f>
        <v>3349339.5223484831</v>
      </c>
      <c r="Q67" s="609">
        <f>'PRECIOS UNITARIOS'!$Z52*CHIFFRAGE_TC!M67</f>
        <v>144731.39326704541</v>
      </c>
      <c r="R67" s="609">
        <f>'PRECIOS UNITARIOS'!$AA52*CHIFFRAGE_TC!M67</f>
        <v>1674669.7611742415</v>
      </c>
      <c r="S67" s="53"/>
      <c r="T67" s="389"/>
      <c r="U67" s="386">
        <v>0</v>
      </c>
      <c r="V67" s="386">
        <v>1</v>
      </c>
      <c r="W67" s="386">
        <v>0</v>
      </c>
      <c r="Y67" s="159"/>
    </row>
    <row r="68" spans="1:25" s="3" customFormat="1" x14ac:dyDescent="0.25">
      <c r="A68" s="51"/>
      <c r="B68" s="480" t="str">
        <f>'PRECIOS UNITARIOS'!B53</f>
        <v>Constitucion de una linea de reserva para la estacion motrice</v>
      </c>
      <c r="C68" s="125" t="str">
        <f>'PRECIOS UNITARIOS'!C53</f>
        <v>EQUIP</v>
      </c>
      <c r="D68" s="388">
        <v>15</v>
      </c>
      <c r="E68" s="125" t="str">
        <f>'PRECIOS UNITARIOS'!D53</f>
        <v>U</v>
      </c>
      <c r="F68" s="491">
        <f>'PRECIOS UNITARIOS'!L53</f>
        <v>173344.95607386358</v>
      </c>
      <c r="G68" s="982">
        <f>1*2</f>
        <v>2</v>
      </c>
      <c r="H68" s="1040">
        <f>1</f>
        <v>1</v>
      </c>
      <c r="I68" s="8"/>
      <c r="J68" s="623">
        <f>HLOOKUP($C68,PARAMETROS!$C$36:$F$38,3)*L68</f>
        <v>86672.478036931789</v>
      </c>
      <c r="K68" s="623">
        <f>HLOOKUP($C68,PARAMETROS!$C$36:$F$38,3)*M68</f>
        <v>43336.239018465894</v>
      </c>
      <c r="L68" s="116">
        <f t="shared" si="18"/>
        <v>346689.91214772715</v>
      </c>
      <c r="M68" s="117">
        <f t="shared" si="18"/>
        <v>173344.95607386358</v>
      </c>
      <c r="N68" s="53"/>
      <c r="O68" s="609">
        <f>'PRECIOS UNITARIOS'!$Z53*CHIFFRAGE_TC!L68</f>
        <v>61885.147465909075</v>
      </c>
      <c r="P68" s="609">
        <f>'PRECIOS UNITARIOS'!$AA53*CHIFFRAGE_TC!L68</f>
        <v>284804.76468181808</v>
      </c>
      <c r="Q68" s="609">
        <f>'PRECIOS UNITARIOS'!$Z53*CHIFFRAGE_TC!M68</f>
        <v>30942.573732954537</v>
      </c>
      <c r="R68" s="609">
        <f>'PRECIOS UNITARIOS'!$AA53*CHIFFRAGE_TC!M68</f>
        <v>142402.38234090904</v>
      </c>
      <c r="S68" s="53"/>
      <c r="T68" s="390"/>
      <c r="U68" s="381">
        <v>1</v>
      </c>
      <c r="V68" s="381">
        <v>0</v>
      </c>
      <c r="W68" s="381">
        <v>0</v>
      </c>
      <c r="Y68" s="159"/>
    </row>
    <row r="69" spans="1:25" s="3" customFormat="1" x14ac:dyDescent="0.25">
      <c r="A69" s="46"/>
      <c r="B69" s="51"/>
      <c r="C69" s="48"/>
      <c r="D69" s="48"/>
      <c r="E69" s="48"/>
      <c r="F69" s="56"/>
      <c r="G69" s="48"/>
      <c r="H69" s="48"/>
      <c r="I69" s="8"/>
      <c r="J69" s="624"/>
      <c r="K69" s="624"/>
      <c r="L69" s="51"/>
      <c r="M69" s="51"/>
      <c r="N69" s="53"/>
      <c r="O69" s="611"/>
      <c r="P69" s="611"/>
      <c r="Q69" s="611"/>
      <c r="R69" s="611"/>
      <c r="S69" s="53"/>
      <c r="T69" s="60"/>
      <c r="U69" s="60"/>
      <c r="V69" s="60"/>
      <c r="W69" s="60"/>
      <c r="Y69" s="159"/>
    </row>
    <row r="70" spans="1:25" s="3" customFormat="1" ht="15.6" x14ac:dyDescent="0.25">
      <c r="A70" s="46"/>
      <c r="B70" s="302" t="s">
        <v>36</v>
      </c>
      <c r="C70" s="394"/>
      <c r="D70" s="394"/>
      <c r="E70" s="394"/>
      <c r="F70" s="317"/>
      <c r="G70" s="394"/>
      <c r="H70" s="400"/>
      <c r="I70" s="8"/>
      <c r="J70" s="622">
        <f>SUM(J71:J83)/L70</f>
        <v>0.25</v>
      </c>
      <c r="K70" s="622">
        <f>SUM(K71:K83)/M70</f>
        <v>0.25</v>
      </c>
      <c r="L70" s="409">
        <f t="shared" ref="L70:M70" si="19">SUM(L71:L83)</f>
        <v>5990482.7500083493</v>
      </c>
      <c r="M70" s="410">
        <f t="shared" si="19"/>
        <v>4497340.7742826398</v>
      </c>
      <c r="N70" s="53"/>
      <c r="O70" s="615">
        <f>SUM(O71:O83)/L70</f>
        <v>0.63862941004387641</v>
      </c>
      <c r="P70" s="615">
        <f>SUM(P71:P83)/L70</f>
        <v>0.36137058995612359</v>
      </c>
      <c r="Q70" s="615">
        <f>SUM(Q71:Q83)/M70</f>
        <v>0.61889161566014428</v>
      </c>
      <c r="R70" s="615">
        <f>SUM(R71:R83)/M70</f>
        <v>0.38110838433985578</v>
      </c>
      <c r="S70" s="53"/>
      <c r="T70" s="411">
        <f>T$11</f>
        <v>2015</v>
      </c>
      <c r="U70" s="411">
        <f>U$11</f>
        <v>2016</v>
      </c>
      <c r="V70" s="411">
        <f>V$11</f>
        <v>2017</v>
      </c>
      <c r="W70" s="411">
        <f>W$11</f>
        <v>2018</v>
      </c>
      <c r="Y70" s="159"/>
    </row>
    <row r="71" spans="1:25" s="3" customFormat="1" x14ac:dyDescent="0.25">
      <c r="A71" s="51"/>
      <c r="B71" s="484" t="str">
        <f>'PRECIOS UNITARIOS'!B56</f>
        <v>Consola de mandos y Tablero de control optico</v>
      </c>
      <c r="C71" s="165" t="str">
        <f>'PRECIOS UNITARIOS'!C56</f>
        <v>EQUIP</v>
      </c>
      <c r="D71" s="930">
        <v>15</v>
      </c>
      <c r="E71" s="489" t="str">
        <f>'PRECIOS UNITARIOS'!D56</f>
        <v>Forfait</v>
      </c>
      <c r="F71" s="490">
        <f>'PRECIOS UNITARIOS'!L56</f>
        <v>82832.937167272685</v>
      </c>
      <c r="G71" s="133">
        <v>1</v>
      </c>
      <c r="H71" s="129">
        <v>1</v>
      </c>
      <c r="I71" s="8"/>
      <c r="J71" s="623">
        <f>HLOOKUP($C71,PARAMETROS!$C$36:$F$38,3)*L71</f>
        <v>20708.234291818171</v>
      </c>
      <c r="K71" s="623">
        <f>HLOOKUP($C71,PARAMETROS!$C$36:$F$38,3)*M71</f>
        <v>20708.234291818171</v>
      </c>
      <c r="L71" s="81">
        <f t="shared" ref="L71:L83" si="20">$F71*G71</f>
        <v>82832.937167272685</v>
      </c>
      <c r="M71" s="63">
        <f t="shared" ref="M71:M83" si="21">$F71*H71</f>
        <v>82832.937167272685</v>
      </c>
      <c r="N71" s="53"/>
      <c r="O71" s="609">
        <f>'PRECIOS UNITARIOS'!$Z56*CHIFFRAGE_TC!L71</f>
        <v>8304.5875309090879</v>
      </c>
      <c r="P71" s="609">
        <f>'PRECIOS UNITARIOS'!$AA56*CHIFFRAGE_TC!L71</f>
        <v>74528.349636363593</v>
      </c>
      <c r="Q71" s="609">
        <f>'PRECIOS UNITARIOS'!$Z56*CHIFFRAGE_TC!M71</f>
        <v>8304.5875309090879</v>
      </c>
      <c r="R71" s="609">
        <f>'PRECIOS UNITARIOS'!$AA56*CHIFFRAGE_TC!M71</f>
        <v>74528.349636363593</v>
      </c>
      <c r="S71" s="53"/>
      <c r="T71" s="389"/>
      <c r="U71" s="391">
        <v>0</v>
      </c>
      <c r="V71" s="391">
        <v>0.23076923076923078</v>
      </c>
      <c r="W71" s="391">
        <v>0.76923076923076927</v>
      </c>
      <c r="Y71" s="159"/>
    </row>
    <row r="72" spans="1:25" s="3" customFormat="1" x14ac:dyDescent="0.25">
      <c r="A72" s="51"/>
      <c r="B72" s="485" t="str">
        <f>'PRECIOS UNITARIOS'!B57</f>
        <v>Red de telefonia entre estaciones</v>
      </c>
      <c r="C72" s="164" t="str">
        <f>'PRECIOS UNITARIOS'!C57</f>
        <v>EQUIP</v>
      </c>
      <c r="D72" s="931">
        <v>15</v>
      </c>
      <c r="E72" s="142" t="str">
        <f>'PRECIOS UNITARIOS'!D57</f>
        <v>N° de estaciones + 1</v>
      </c>
      <c r="F72" s="490">
        <f>'PRECIOS UNITARIOS'!L57</f>
        <v>55745.114171249974</v>
      </c>
      <c r="G72" s="79">
        <f>CANTIDADES!B30+CANTIDADES!B31+1</f>
        <v>6</v>
      </c>
      <c r="H72" s="88">
        <f>CANTIDADES!C30+CANTIDADES!C31+1</f>
        <v>5</v>
      </c>
      <c r="I72" s="48"/>
      <c r="J72" s="623">
        <f>HLOOKUP($C72,PARAMETROS!$C$36:$F$38,3)*L72</f>
        <v>83617.671256874964</v>
      </c>
      <c r="K72" s="623">
        <f>HLOOKUP($C72,PARAMETROS!$C$36:$F$38,3)*M72</f>
        <v>69681.392714062473</v>
      </c>
      <c r="L72" s="81">
        <f t="shared" si="20"/>
        <v>334470.68502749986</v>
      </c>
      <c r="M72" s="63">
        <f t="shared" si="21"/>
        <v>278725.57085624989</v>
      </c>
      <c r="N72" s="53"/>
      <c r="O72" s="609">
        <f>'PRECIOS UNITARIOS'!$Z57*CHIFFRAGE_TC!L72</f>
        <v>29550.87087749999</v>
      </c>
      <c r="P72" s="609">
        <f>'PRECIOS UNITARIOS'!$AA57*CHIFFRAGE_TC!L72</f>
        <v>304919.81414999987</v>
      </c>
      <c r="Q72" s="609">
        <f>'PRECIOS UNITARIOS'!$Z57*CHIFFRAGE_TC!M72</f>
        <v>24625.725731249993</v>
      </c>
      <c r="R72" s="609">
        <f>'PRECIOS UNITARIOS'!$AA57*CHIFFRAGE_TC!M72</f>
        <v>254099.84512499991</v>
      </c>
      <c r="S72" s="53"/>
      <c r="T72" s="389"/>
      <c r="U72" s="391">
        <v>0</v>
      </c>
      <c r="V72" s="391">
        <v>0.75</v>
      </c>
      <c r="W72" s="391">
        <v>0.25</v>
      </c>
      <c r="Y72" s="159"/>
    </row>
    <row r="73" spans="1:25" s="3" customFormat="1" x14ac:dyDescent="0.25">
      <c r="A73" s="51"/>
      <c r="B73" s="485" t="str">
        <f>'PRECIOS UNITARIOS'!B58</f>
        <v>Sonorizacion de anuncios publicos en estaciones</v>
      </c>
      <c r="C73" s="164" t="str">
        <f>'PRECIOS UNITARIOS'!C58</f>
        <v>EQUIP</v>
      </c>
      <c r="D73" s="931">
        <v>15</v>
      </c>
      <c r="E73" s="142" t="str">
        <f>'PRECIOS UNITARIOS'!D58</f>
        <v>N° de estaciones + 1</v>
      </c>
      <c r="F73" s="490">
        <f>'PRECIOS UNITARIOS'!L58</f>
        <v>44245.266242187492</v>
      </c>
      <c r="G73" s="79">
        <f t="shared" ref="G73:H73" si="22">G72</f>
        <v>6</v>
      </c>
      <c r="H73" s="88">
        <f t="shared" si="22"/>
        <v>5</v>
      </c>
      <c r="I73" s="8"/>
      <c r="J73" s="623">
        <f>HLOOKUP($C73,PARAMETROS!$C$36:$F$38,3)*L73</f>
        <v>66367.899363281234</v>
      </c>
      <c r="K73" s="623">
        <f>HLOOKUP($C73,PARAMETROS!$C$36:$F$38,3)*M73</f>
        <v>55306.582802734367</v>
      </c>
      <c r="L73" s="81">
        <f t="shared" si="20"/>
        <v>265471.59745312494</v>
      </c>
      <c r="M73" s="63">
        <f t="shared" si="21"/>
        <v>221226.33121093747</v>
      </c>
      <c r="N73" s="53"/>
      <c r="O73" s="609">
        <f>'PRECIOS UNITARIOS'!$Z58*CHIFFRAGE_TC!L73</f>
        <v>28625.44551562499</v>
      </c>
      <c r="P73" s="609">
        <f>'PRECIOS UNITARIOS'!$AA58*CHIFFRAGE_TC!L73</f>
        <v>236846.15193749993</v>
      </c>
      <c r="Q73" s="609">
        <f>'PRECIOS UNITARIOS'!$Z58*CHIFFRAGE_TC!M73</f>
        <v>23854.537929687496</v>
      </c>
      <c r="R73" s="609">
        <f>'PRECIOS UNITARIOS'!$AA58*CHIFFRAGE_TC!M73</f>
        <v>197371.79328124996</v>
      </c>
      <c r="S73" s="53"/>
      <c r="T73" s="389"/>
      <c r="U73" s="391">
        <v>0</v>
      </c>
      <c r="V73" s="391">
        <v>0.6</v>
      </c>
      <c r="W73" s="391">
        <v>0.4</v>
      </c>
      <c r="Y73" s="159"/>
    </row>
    <row r="74" spans="1:25" s="3" customFormat="1" x14ac:dyDescent="0.25">
      <c r="A74" s="51"/>
      <c r="B74" s="485" t="str">
        <f>'PRECIOS UNITARIOS'!B59</f>
        <v>Sistema de informacion a los pasajeros en las estaciones</v>
      </c>
      <c r="C74" s="164" t="str">
        <f>'PRECIOS UNITARIOS'!C59</f>
        <v>EQUIP</v>
      </c>
      <c r="D74" s="931">
        <v>15</v>
      </c>
      <c r="E74" s="142" t="str">
        <f>'PRECIOS UNITARIOS'!D59</f>
        <v>N° de estaciones + 1</v>
      </c>
      <c r="F74" s="490">
        <f>'PRECIOS UNITARIOS'!L59</f>
        <v>34513.723819696963</v>
      </c>
      <c r="G74" s="79">
        <f t="shared" ref="G74:H74" si="23">G72</f>
        <v>6</v>
      </c>
      <c r="H74" s="88">
        <f t="shared" si="23"/>
        <v>5</v>
      </c>
      <c r="I74" s="8"/>
      <c r="J74" s="623">
        <f>HLOOKUP($C74,PARAMETROS!$C$36:$F$38,3)*L74</f>
        <v>51770.585729545448</v>
      </c>
      <c r="K74" s="623">
        <f>HLOOKUP($C74,PARAMETROS!$C$36:$F$38,3)*M74</f>
        <v>43142.154774621202</v>
      </c>
      <c r="L74" s="81">
        <f t="shared" si="20"/>
        <v>207082.34291818179</v>
      </c>
      <c r="M74" s="63">
        <f t="shared" si="21"/>
        <v>172568.61909848481</v>
      </c>
      <c r="N74" s="53"/>
      <c r="O74" s="609">
        <f>'PRECIOS UNITARIOS'!$Z59*CHIFFRAGE_TC!L74</f>
        <v>20761.468827272725</v>
      </c>
      <c r="P74" s="609">
        <f>'PRECIOS UNITARIOS'!$AA59*CHIFFRAGE_TC!L74</f>
        <v>186320.87409090906</v>
      </c>
      <c r="Q74" s="609">
        <f>'PRECIOS UNITARIOS'!$Z59*CHIFFRAGE_TC!M74</f>
        <v>17301.22402272727</v>
      </c>
      <c r="R74" s="609">
        <f>'PRECIOS UNITARIOS'!$AA59*CHIFFRAGE_TC!M74</f>
        <v>155267.39507575755</v>
      </c>
      <c r="S74" s="53"/>
      <c r="T74" s="389"/>
      <c r="U74" s="391">
        <v>0</v>
      </c>
      <c r="V74" s="391">
        <v>0.5</v>
      </c>
      <c r="W74" s="391">
        <v>0.5</v>
      </c>
      <c r="Y74" s="159"/>
    </row>
    <row r="75" spans="1:25" s="3" customFormat="1" x14ac:dyDescent="0.25">
      <c r="A75" s="51"/>
      <c r="B75" s="485" t="str">
        <f>'PRECIOS UNITARIOS'!B60</f>
        <v>Sistema de supervision SCADA del centro de mando</v>
      </c>
      <c r="C75" s="164" t="str">
        <f>'PRECIOS UNITARIOS'!C60</f>
        <v>EQUIP</v>
      </c>
      <c r="D75" s="931">
        <v>15</v>
      </c>
      <c r="E75" s="142" t="str">
        <f>'PRECIOS UNITARIOS'!D60</f>
        <v>U</v>
      </c>
      <c r="F75" s="490">
        <f>'PRECIOS UNITARIOS'!L60</f>
        <v>52223.079280909078</v>
      </c>
      <c r="G75" s="631">
        <v>2</v>
      </c>
      <c r="H75" s="1036">
        <v>2</v>
      </c>
      <c r="I75" s="8"/>
      <c r="J75" s="623">
        <f>HLOOKUP($C75,PARAMETROS!$C$36:$F$38,3)*L75</f>
        <v>26111.539640454539</v>
      </c>
      <c r="K75" s="623">
        <f>HLOOKUP($C75,PARAMETROS!$C$36:$F$38,3)*M75</f>
        <v>26111.539640454539</v>
      </c>
      <c r="L75" s="81">
        <f t="shared" si="20"/>
        <v>104446.15856181816</v>
      </c>
      <c r="M75" s="63">
        <f t="shared" si="21"/>
        <v>104446.15856181816</v>
      </c>
      <c r="N75" s="53"/>
      <c r="O75" s="609">
        <f>'PRECIOS UNITARIOS'!$Z60*CHIFFRAGE_TC!L75</f>
        <v>12882.757579999998</v>
      </c>
      <c r="P75" s="609">
        <f>'PRECIOS UNITARIOS'!$AA60*CHIFFRAGE_TC!L75</f>
        <v>91563.400981818151</v>
      </c>
      <c r="Q75" s="609">
        <f>'PRECIOS UNITARIOS'!$Z60*CHIFFRAGE_TC!M75</f>
        <v>12882.757579999998</v>
      </c>
      <c r="R75" s="609">
        <f>'PRECIOS UNITARIOS'!$AA60*CHIFFRAGE_TC!M75</f>
        <v>91563.400981818151</v>
      </c>
      <c r="S75" s="53"/>
      <c r="T75" s="389"/>
      <c r="U75" s="391">
        <v>0</v>
      </c>
      <c r="V75" s="391">
        <v>0.625</v>
      </c>
      <c r="W75" s="391">
        <v>0.375</v>
      </c>
      <c r="Y75" s="159"/>
    </row>
    <row r="76" spans="1:25" s="3" customFormat="1" x14ac:dyDescent="0.25">
      <c r="A76" s="51"/>
      <c r="B76" s="485" t="str">
        <f>'PRECIOS UNITARIOS'!B61</f>
        <v>Cronometria, relojes marcadores</v>
      </c>
      <c r="C76" s="164" t="str">
        <f>'PRECIOS UNITARIOS'!C61</f>
        <v>EQUIP</v>
      </c>
      <c r="D76" s="931">
        <v>15</v>
      </c>
      <c r="E76" s="142" t="str">
        <f>'PRECIOS UNITARIOS'!D61</f>
        <v>N° de estaciones + 1</v>
      </c>
      <c r="F76" s="490">
        <f>'PRECIOS UNITARIOS'!L61</f>
        <v>22272.949387499993</v>
      </c>
      <c r="G76" s="79">
        <f t="shared" ref="G76:H76" si="24">G72</f>
        <v>6</v>
      </c>
      <c r="H76" s="88">
        <f t="shared" si="24"/>
        <v>5</v>
      </c>
      <c r="I76" s="8"/>
      <c r="J76" s="623">
        <f>HLOOKUP($C76,PARAMETROS!$C$36:$F$38,3)*L76</f>
        <v>33409.424081249992</v>
      </c>
      <c r="K76" s="623">
        <f>HLOOKUP($C76,PARAMETROS!$C$36:$F$38,3)*M76</f>
        <v>27841.186734374991</v>
      </c>
      <c r="L76" s="81">
        <f t="shared" si="20"/>
        <v>133637.69632499997</v>
      </c>
      <c r="M76" s="63">
        <f t="shared" si="21"/>
        <v>111364.74693749996</v>
      </c>
      <c r="N76" s="53"/>
      <c r="O76" s="609">
        <f>'PRECIOS UNITARIOS'!$Z61*CHIFFRAGE_TC!L76</f>
        <v>103835.86263749999</v>
      </c>
      <c r="P76" s="609">
        <f>'PRECIOS UNITARIOS'!$AA61*CHIFFRAGE_TC!L76</f>
        <v>29801.833687499977</v>
      </c>
      <c r="Q76" s="609">
        <f>'PRECIOS UNITARIOS'!$Z61*CHIFFRAGE_TC!M76</f>
        <v>86529.88553124998</v>
      </c>
      <c r="R76" s="609">
        <f>'PRECIOS UNITARIOS'!$AA61*CHIFFRAGE_TC!M76</f>
        <v>24834.86140624998</v>
      </c>
      <c r="S76" s="53"/>
      <c r="T76" s="389"/>
      <c r="U76" s="391">
        <v>0</v>
      </c>
      <c r="V76" s="391">
        <v>0</v>
      </c>
      <c r="W76" s="391">
        <v>1</v>
      </c>
      <c r="Y76" s="159"/>
    </row>
    <row r="77" spans="1:25" s="3" customFormat="1" x14ac:dyDescent="0.25">
      <c r="A77" s="51"/>
      <c r="B77" s="485" t="str">
        <f>'PRECIOS UNITARIOS'!B62</f>
        <v>Equipamiento embarcado en la cabinas 
(videocamara/interponia/DI/LCD/WIFI)</v>
      </c>
      <c r="C77" s="164" t="str">
        <f>'PRECIOS UNITARIOS'!C62</f>
        <v>EQUIP</v>
      </c>
      <c r="D77" s="931">
        <v>15</v>
      </c>
      <c r="E77" s="142" t="str">
        <f>'PRECIOS UNITARIOS'!D62</f>
        <v>N° de cabinas + reserva</v>
      </c>
      <c r="F77" s="490">
        <f>'PRECIOS UNITARIOS'!L62</f>
        <v>4454.5898774999987</v>
      </c>
      <c r="G77" s="79">
        <f>CANTIDADES!B69</f>
        <v>170</v>
      </c>
      <c r="H77" s="88">
        <f>CANTIDADES!C69</f>
        <v>117</v>
      </c>
      <c r="I77" s="8"/>
      <c r="J77" s="623">
        <f>HLOOKUP($C77,PARAMETROS!$C$36:$F$38,3)*L77</f>
        <v>189320.06979374995</v>
      </c>
      <c r="K77" s="623">
        <f>HLOOKUP($C77,PARAMETROS!$C$36:$F$38,3)*M77</f>
        <v>130296.75391687496</v>
      </c>
      <c r="L77" s="81">
        <f t="shared" si="20"/>
        <v>757280.2791749998</v>
      </c>
      <c r="M77" s="63">
        <f t="shared" si="21"/>
        <v>521187.01566749986</v>
      </c>
      <c r="N77" s="53"/>
      <c r="O77" s="609">
        <f>'PRECIOS UNITARIOS'!$Z62*CHIFFRAGE_TC!L77</f>
        <v>588403.22161249979</v>
      </c>
      <c r="P77" s="609">
        <f>'PRECIOS UNITARIOS'!$AA62*CHIFFRAGE_TC!L77</f>
        <v>168877.05756249995</v>
      </c>
      <c r="Q77" s="609">
        <f>'PRECIOS UNITARIOS'!$Z62*CHIFFRAGE_TC!M77</f>
        <v>404959.86428624991</v>
      </c>
      <c r="R77" s="609">
        <f>'PRECIOS UNITARIOS'!$AA62*CHIFFRAGE_TC!M77</f>
        <v>116227.15138124996</v>
      </c>
      <c r="S77" s="53"/>
      <c r="T77" s="389"/>
      <c r="U77" s="391">
        <v>0</v>
      </c>
      <c r="V77" s="391">
        <v>0.6</v>
      </c>
      <c r="W77" s="391">
        <v>0.4</v>
      </c>
      <c r="Y77" s="159"/>
    </row>
    <row r="78" spans="1:25" s="3" customFormat="1" x14ac:dyDescent="0.25">
      <c r="A78" s="51"/>
      <c r="B78" s="485" t="str">
        <f>'PRECIOS UNITARIOS'!B63</f>
        <v>Sistema de antenas y de mando securizado WIFI</v>
      </c>
      <c r="C78" s="164" t="str">
        <f>'PRECIOS UNITARIOS'!C63</f>
        <v>EQUIP</v>
      </c>
      <c r="D78" s="931">
        <v>15</v>
      </c>
      <c r="E78" s="142" t="str">
        <f>'PRECIOS UNITARIOS'!D63</f>
        <v>ml</v>
      </c>
      <c r="F78" s="490">
        <f>'PRECIOS UNITARIOS'!L63</f>
        <v>204.5346901499999</v>
      </c>
      <c r="G78" s="149">
        <f>CANTIDADES!B22</f>
        <v>7100</v>
      </c>
      <c r="H78" s="150">
        <f>CANTIDADES!C22</f>
        <v>4900</v>
      </c>
      <c r="I78" s="8"/>
      <c r="J78" s="623">
        <f>HLOOKUP($C78,PARAMETROS!$C$36:$F$38,3)*L78</f>
        <v>363049.07501624984</v>
      </c>
      <c r="K78" s="623">
        <f>HLOOKUP($C78,PARAMETROS!$C$36:$F$38,3)*M78</f>
        <v>250554.99543374989</v>
      </c>
      <c r="L78" s="81">
        <f t="shared" si="20"/>
        <v>1452196.3000649994</v>
      </c>
      <c r="M78" s="63">
        <f t="shared" si="21"/>
        <v>1002219.9817349996</v>
      </c>
      <c r="N78" s="53"/>
      <c r="O78" s="609">
        <f>'PRECIOS UNITARIOS'!$Z63*CHIFFRAGE_TC!L78</f>
        <v>1131465.8288849995</v>
      </c>
      <c r="P78" s="609">
        <f>'PRECIOS UNITARIOS'!$AA63*CHIFFRAGE_TC!L78</f>
        <v>320730.47117999993</v>
      </c>
      <c r="Q78" s="609">
        <f>'PRECIOS UNITARIOS'!$Z63*CHIFFRAGE_TC!M78</f>
        <v>780870.78331499966</v>
      </c>
      <c r="R78" s="609">
        <f>'PRECIOS UNITARIOS'!$AA63*CHIFFRAGE_TC!M78</f>
        <v>221349.19841999997</v>
      </c>
      <c r="S78" s="53"/>
      <c r="T78" s="389"/>
      <c r="U78" s="391">
        <v>0</v>
      </c>
      <c r="V78" s="391">
        <v>0.76923076923076927</v>
      </c>
      <c r="W78" s="391">
        <v>0.23076923076923078</v>
      </c>
      <c r="Y78" s="159"/>
    </row>
    <row r="79" spans="1:25" s="3" customFormat="1" x14ac:dyDescent="0.25">
      <c r="A79" s="51"/>
      <c r="B79" s="485" t="str">
        <f>'PRECIOS UNITARIOS'!B64</f>
        <v>Sistema de vigilancia visio + termica por postes</v>
      </c>
      <c r="C79" s="164" t="str">
        <f>'PRECIOS UNITARIOS'!C64</f>
        <v>EQUIP</v>
      </c>
      <c r="D79" s="931">
        <v>15</v>
      </c>
      <c r="E79" s="142" t="str">
        <f>'PRECIOS UNITARIOS'!D64</f>
        <v>N° de postes + estaciones</v>
      </c>
      <c r="F79" s="490">
        <f>'PRECIOS UNITARIOS'!L64</f>
        <v>33890.436133749987</v>
      </c>
      <c r="G79" s="79">
        <f>CANTIDADES!B29+CANTIDADES!B43</f>
        <v>44</v>
      </c>
      <c r="H79" s="88">
        <f>CANTIDADES!C29+CANTIDADES!C43</f>
        <v>30</v>
      </c>
      <c r="I79" s="8"/>
      <c r="J79" s="623">
        <f>HLOOKUP($C79,PARAMETROS!$C$36:$F$38,3)*L79</f>
        <v>372794.79747124983</v>
      </c>
      <c r="K79" s="623">
        <f>HLOOKUP($C79,PARAMETROS!$C$36:$F$38,3)*M79</f>
        <v>254178.27100312489</v>
      </c>
      <c r="L79" s="81">
        <f t="shared" si="20"/>
        <v>1491179.1898849993</v>
      </c>
      <c r="M79" s="63">
        <f t="shared" si="21"/>
        <v>1016713.0840124995</v>
      </c>
      <c r="N79" s="53"/>
      <c r="O79" s="609">
        <f>'PRECIOS UNITARIOS'!$Z64*CHIFFRAGE_TC!L79</f>
        <v>1153006.8034099995</v>
      </c>
      <c r="P79" s="609">
        <f>'PRECIOS UNITARIOS'!$AA64*CHIFFRAGE_TC!L79</f>
        <v>338172.38647499983</v>
      </c>
      <c r="Q79" s="609">
        <f>'PRECIOS UNITARIOS'!$Z64*CHIFFRAGE_TC!M79</f>
        <v>786141.00232499966</v>
      </c>
      <c r="R79" s="609">
        <f>'PRECIOS UNITARIOS'!$AA64*CHIFFRAGE_TC!M79</f>
        <v>230572.08168749989</v>
      </c>
      <c r="S79" s="53"/>
      <c r="T79" s="389"/>
      <c r="U79" s="391">
        <v>0</v>
      </c>
      <c r="V79" s="391">
        <v>0.66666666666666663</v>
      </c>
      <c r="W79" s="391">
        <v>0.33333333333333331</v>
      </c>
      <c r="X79" s="8"/>
      <c r="Y79" s="159"/>
    </row>
    <row r="80" spans="1:25" s="3" customFormat="1" x14ac:dyDescent="0.25">
      <c r="A80" s="51"/>
      <c r="B80" s="485" t="str">
        <f>'PRECIOS UNITARIOS'!B65</f>
        <v>Sistema de vigilancia con video en estaciones</v>
      </c>
      <c r="C80" s="164" t="str">
        <f>'PRECIOS UNITARIOS'!C65</f>
        <v>EQUIP</v>
      </c>
      <c r="D80" s="931">
        <v>15</v>
      </c>
      <c r="E80" s="142" t="str">
        <f>'PRECIOS UNITARIOS'!D65</f>
        <v>N° de estaciones + 1</v>
      </c>
      <c r="F80" s="490">
        <f>'PRECIOS UNITARIOS'!L65</f>
        <v>46480.403768749988</v>
      </c>
      <c r="G80" s="79">
        <f t="shared" ref="G80:H80" si="25">G72</f>
        <v>6</v>
      </c>
      <c r="H80" s="88">
        <f t="shared" si="25"/>
        <v>5</v>
      </c>
      <c r="I80" s="8"/>
      <c r="J80" s="623">
        <f>HLOOKUP($C80,PARAMETROS!$C$36:$F$38,3)*L80</f>
        <v>69720.605653124978</v>
      </c>
      <c r="K80" s="623">
        <f>HLOOKUP($C80,PARAMETROS!$C$36:$F$38,3)*M80</f>
        <v>58100.504710937486</v>
      </c>
      <c r="L80" s="81">
        <f t="shared" si="20"/>
        <v>278882.42261249991</v>
      </c>
      <c r="M80" s="63">
        <f t="shared" si="21"/>
        <v>232402.01884374995</v>
      </c>
      <c r="N80" s="53"/>
      <c r="O80" s="609">
        <f>'PRECIOS UNITARIOS'!$Z65*CHIFFRAGE_TC!L80</f>
        <v>216141.72011249996</v>
      </c>
      <c r="P80" s="609">
        <f>'PRECIOS UNITARIOS'!$AA65*CHIFFRAGE_TC!L80</f>
        <v>62740.702499999956</v>
      </c>
      <c r="Q80" s="609">
        <f>'PRECIOS UNITARIOS'!$Z65*CHIFFRAGE_TC!M80</f>
        <v>180118.10009374996</v>
      </c>
      <c r="R80" s="609">
        <f>'PRECIOS UNITARIOS'!$AA65*CHIFFRAGE_TC!M80</f>
        <v>52283.918749999968</v>
      </c>
      <c r="S80" s="53"/>
      <c r="T80" s="389"/>
      <c r="U80" s="391">
        <v>0</v>
      </c>
      <c r="V80" s="391">
        <v>0.6</v>
      </c>
      <c r="W80" s="391">
        <v>0.4</v>
      </c>
      <c r="X80" s="8"/>
      <c r="Y80" s="159"/>
    </row>
    <row r="81" spans="1:25" s="3" customFormat="1" x14ac:dyDescent="0.25">
      <c r="A81" s="51"/>
      <c r="B81" s="485" t="str">
        <f>'PRECIOS UNITARIOS'!B66</f>
        <v>Sistema de deteccion incendio y de control de acceso</v>
      </c>
      <c r="C81" s="164" t="str">
        <f>'PRECIOS UNITARIOS'!C66</f>
        <v>EQUIP</v>
      </c>
      <c r="D81" s="931">
        <v>15</v>
      </c>
      <c r="E81" s="142" t="str">
        <f>'PRECIOS UNITARIOS'!D66</f>
        <v>Forfait</v>
      </c>
      <c r="F81" s="490">
        <f>'PRECIOS UNITARIOS'!L66</f>
        <v>106910.15705999997</v>
      </c>
      <c r="G81" s="79">
        <v>1</v>
      </c>
      <c r="H81" s="88">
        <v>1</v>
      </c>
      <c r="I81" s="8"/>
      <c r="J81" s="623">
        <f>HLOOKUP($C81,PARAMETROS!$C$36:$F$38,3)*L81</f>
        <v>26727.539264999992</v>
      </c>
      <c r="K81" s="623">
        <f>HLOOKUP($C81,PARAMETROS!$C$36:$F$38,3)*M81</f>
        <v>26727.539264999992</v>
      </c>
      <c r="L81" s="81">
        <f t="shared" si="20"/>
        <v>106910.15705999997</v>
      </c>
      <c r="M81" s="63">
        <f t="shared" si="21"/>
        <v>106910.15705999997</v>
      </c>
      <c r="N81" s="53"/>
      <c r="O81" s="609">
        <f>'PRECIOS UNITARIOS'!$Z66*CHIFFRAGE_TC!L81</f>
        <v>83068.690109999981</v>
      </c>
      <c r="P81" s="609">
        <f>'PRECIOS UNITARIOS'!$AA66*CHIFFRAGE_TC!L81</f>
        <v>23841.466949999995</v>
      </c>
      <c r="Q81" s="609">
        <f>'PRECIOS UNITARIOS'!$Z66*CHIFFRAGE_TC!M81</f>
        <v>83068.690109999981</v>
      </c>
      <c r="R81" s="609">
        <f>'PRECIOS UNITARIOS'!$AA66*CHIFFRAGE_TC!M81</f>
        <v>23841.466949999995</v>
      </c>
      <c r="S81" s="53"/>
      <c r="T81" s="389"/>
      <c r="U81" s="391">
        <v>0</v>
      </c>
      <c r="V81" s="391">
        <v>0.66666666666666663</v>
      </c>
      <c r="W81" s="391">
        <v>0.33333333333333331</v>
      </c>
      <c r="X81" s="8"/>
      <c r="Y81" s="159"/>
    </row>
    <row r="82" spans="1:25" s="3" customFormat="1" x14ac:dyDescent="0.25">
      <c r="A82" s="51"/>
      <c r="B82" s="485" t="str">
        <f>'PRECIOS UNITARIOS'!B67</f>
        <v>Fibra de seguridad y equipos de transmision Ethernet</v>
      </c>
      <c r="C82" s="164" t="str">
        <f>'PRECIOS UNITARIOS'!C67</f>
        <v>EQUIP</v>
      </c>
      <c r="D82" s="931">
        <v>15</v>
      </c>
      <c r="E82" s="142" t="str">
        <f>'PRECIOS UNITARIOS'!D67</f>
        <v>N° de estaciones + 1</v>
      </c>
      <c r="F82" s="490">
        <f>'PRECIOS UNITARIOS'!L67</f>
        <v>92960.807537499975</v>
      </c>
      <c r="G82" s="79">
        <f t="shared" ref="G82:H82" si="26">G72</f>
        <v>6</v>
      </c>
      <c r="H82" s="88">
        <f t="shared" si="26"/>
        <v>5</v>
      </c>
      <c r="I82" s="8"/>
      <c r="J82" s="623">
        <f>HLOOKUP($C82,PARAMETROS!$C$36:$F$38,3)*L82</f>
        <v>139441.21130624996</v>
      </c>
      <c r="K82" s="623">
        <f>HLOOKUP($C82,PARAMETROS!$C$36:$F$38,3)*M82</f>
        <v>116201.00942187497</v>
      </c>
      <c r="L82" s="81">
        <f t="shared" si="20"/>
        <v>557764.84522499982</v>
      </c>
      <c r="M82" s="63">
        <f t="shared" si="21"/>
        <v>464804.03768749989</v>
      </c>
      <c r="N82" s="53"/>
      <c r="O82" s="609">
        <f>'PRECIOS UNITARIOS'!$Z67*CHIFFRAGE_TC!L82</f>
        <v>432283.44022499991</v>
      </c>
      <c r="P82" s="609">
        <f>'PRECIOS UNITARIOS'!$AA67*CHIFFRAGE_TC!L82</f>
        <v>125481.40499999991</v>
      </c>
      <c r="Q82" s="609">
        <f>'PRECIOS UNITARIOS'!$Z67*CHIFFRAGE_TC!M82</f>
        <v>360236.20018749993</v>
      </c>
      <c r="R82" s="609">
        <f>'PRECIOS UNITARIOS'!$AA67*CHIFFRAGE_TC!M82</f>
        <v>104567.83749999994</v>
      </c>
      <c r="S82" s="53"/>
      <c r="T82" s="389"/>
      <c r="U82" s="391">
        <v>0.35</v>
      </c>
      <c r="V82" s="391">
        <v>0.45</v>
      </c>
      <c r="W82" s="391">
        <v>0.2</v>
      </c>
      <c r="X82" s="8"/>
      <c r="Y82" s="159"/>
    </row>
    <row r="83" spans="1:25" s="3" customFormat="1" x14ac:dyDescent="0.25">
      <c r="A83" s="51"/>
      <c r="B83" s="486" t="str">
        <f>'PRECIOS UNITARIOS'!B68</f>
        <v>Sistema de boleteria</v>
      </c>
      <c r="C83" s="462" t="str">
        <f>'PRECIOS UNITARIOS'!C68</f>
        <v>EQUIP</v>
      </c>
      <c r="D83" s="932">
        <v>15</v>
      </c>
      <c r="E83" s="462" t="str">
        <f>'PRECIOS UNITARIOS'!D68</f>
        <v>N° de estaciones + 1</v>
      </c>
      <c r="F83" s="491">
        <f>'PRECIOS UNITARIOS'!L68</f>
        <v>36388.023088825757</v>
      </c>
      <c r="G83" s="134">
        <f t="shared" ref="G83:H83" si="27">G72</f>
        <v>6</v>
      </c>
      <c r="H83" s="135">
        <f t="shared" si="27"/>
        <v>5</v>
      </c>
      <c r="I83" s="8"/>
      <c r="J83" s="623">
        <f>HLOOKUP($C83,PARAMETROS!$C$36:$F$38,3)*L83</f>
        <v>54582.03463323864</v>
      </c>
      <c r="K83" s="623">
        <f>HLOOKUP($C83,PARAMETROS!$C$36:$F$38,3)*M83</f>
        <v>45485.028861032195</v>
      </c>
      <c r="L83" s="116">
        <f t="shared" si="20"/>
        <v>218328.13853295456</v>
      </c>
      <c r="M83" s="117">
        <f t="shared" si="21"/>
        <v>181940.11544412878</v>
      </c>
      <c r="N83" s="53"/>
      <c r="O83" s="609">
        <f>'PRECIOS UNITARIOS'!$Z68*CHIFFRAGE_TC!L83</f>
        <v>17367.767192045456</v>
      </c>
      <c r="P83" s="609">
        <f>'PRECIOS UNITARIOS'!$AA68*CHIFFRAGE_TC!L83</f>
        <v>200960.3713409091</v>
      </c>
      <c r="Q83" s="609">
        <f>'PRECIOS UNITARIOS'!$Z68*CHIFFRAGE_TC!M83</f>
        <v>14473.139326704546</v>
      </c>
      <c r="R83" s="609">
        <f>'PRECIOS UNITARIOS'!$AA68*CHIFFRAGE_TC!M83</f>
        <v>167466.97611742423</v>
      </c>
      <c r="S83" s="53"/>
      <c r="T83" s="390"/>
      <c r="U83" s="392">
        <v>0</v>
      </c>
      <c r="V83" s="392">
        <v>0.75</v>
      </c>
      <c r="W83" s="392">
        <v>0.25</v>
      </c>
      <c r="X83" s="8"/>
      <c r="Y83" s="159"/>
    </row>
    <row r="84" spans="1:25" s="3" customFormat="1" x14ac:dyDescent="0.25">
      <c r="A84" s="46"/>
      <c r="B84" s="51"/>
      <c r="C84" s="48"/>
      <c r="D84" s="48"/>
      <c r="E84" s="48"/>
      <c r="F84" s="56"/>
      <c r="G84" s="48"/>
      <c r="H84" s="48"/>
      <c r="I84" s="8"/>
      <c r="J84" s="624"/>
      <c r="K84" s="624"/>
      <c r="L84" s="51"/>
      <c r="M84" s="51"/>
      <c r="N84" s="53"/>
      <c r="O84" s="611"/>
      <c r="P84" s="611"/>
      <c r="Q84" s="611"/>
      <c r="R84" s="611"/>
      <c r="S84" s="53"/>
      <c r="T84" s="65"/>
      <c r="U84" s="65"/>
      <c r="V84" s="65"/>
      <c r="W84" s="65"/>
      <c r="X84" s="8"/>
      <c r="Y84" s="159"/>
    </row>
    <row r="85" spans="1:25" s="3" customFormat="1" ht="15.6" x14ac:dyDescent="0.25">
      <c r="A85" s="46"/>
      <c r="B85" s="403" t="s">
        <v>128</v>
      </c>
      <c r="C85" s="401"/>
      <c r="D85" s="401"/>
      <c r="E85" s="401"/>
      <c r="F85" s="395"/>
      <c r="G85" s="401"/>
      <c r="H85" s="402"/>
      <c r="I85" s="8"/>
      <c r="J85" s="622">
        <f>SUM(J86:J173)/L85</f>
        <v>0.25000000000000006</v>
      </c>
      <c r="K85" s="622">
        <f>SUM(K86:K173)/M85</f>
        <v>0.25000000000000006</v>
      </c>
      <c r="L85" s="409">
        <f>L86+L97+L108+L119+L130+L141+L152+L163</f>
        <v>27063451.759753697</v>
      </c>
      <c r="M85" s="410">
        <f>M86+M97+M108+M119+M130+M141+M152+M163</f>
        <v>21170054.667694658</v>
      </c>
      <c r="N85" s="53"/>
      <c r="O85" s="615">
        <f>(O86+O97+O108+O119+O130+O141+O152+O163)/L85</f>
        <v>0.79809959628477656</v>
      </c>
      <c r="P85" s="615">
        <f>(P86+P97+P108+P119+P130+P141+P152+P163)/L85</f>
        <v>0.2019004037152235</v>
      </c>
      <c r="Q85" s="615">
        <f>(Q86+Q97+Q108+Q119+Q130+Q141+Q152+Q163)/M85</f>
        <v>0.79936701500304164</v>
      </c>
      <c r="R85" s="615">
        <f>(R86+R97+R108+R119+R130+R141+R152+R163)/M85</f>
        <v>0.20063298499695845</v>
      </c>
      <c r="S85" s="53"/>
      <c r="T85" s="411">
        <f>T$11</f>
        <v>2015</v>
      </c>
      <c r="U85" s="411">
        <f>U$11</f>
        <v>2016</v>
      </c>
      <c r="V85" s="411">
        <f>V$11</f>
        <v>2017</v>
      </c>
      <c r="W85" s="411">
        <f>W$11</f>
        <v>2018</v>
      </c>
      <c r="X85" s="8"/>
      <c r="Y85" s="159"/>
    </row>
    <row r="86" spans="1:25" s="3" customFormat="1" ht="15.6" x14ac:dyDescent="0.25">
      <c r="A86" s="51"/>
      <c r="B86" s="414" t="s">
        <v>548</v>
      </c>
      <c r="C86" s="393"/>
      <c r="D86" s="393"/>
      <c r="E86" s="393"/>
      <c r="F86" s="318"/>
      <c r="G86" s="393"/>
      <c r="H86" s="415"/>
      <c r="I86" s="8"/>
      <c r="J86" s="623"/>
      <c r="K86" s="623"/>
      <c r="L86" s="418">
        <f>SUM(L87:L96)</f>
        <v>5112952.0044105016</v>
      </c>
      <c r="M86" s="419">
        <f>SUM(M87:M96)</f>
        <v>0</v>
      </c>
      <c r="N86" s="55"/>
      <c r="O86" s="612">
        <f>SUM(O87:O96)</f>
        <v>4084892.2643508776</v>
      </c>
      <c r="P86" s="612">
        <f t="shared" ref="P86" si="28">SUM(P87:P96)</f>
        <v>1028059.7400596247</v>
      </c>
      <c r="Q86" s="612">
        <f>SUM(Q87:Q96)</f>
        <v>0</v>
      </c>
      <c r="R86" s="612">
        <f t="shared" ref="R86" si="29">SUM(R87:R96)</f>
        <v>0</v>
      </c>
      <c r="S86" s="55"/>
      <c r="T86" s="420">
        <f>T85</f>
        <v>2015</v>
      </c>
      <c r="U86" s="420">
        <f t="shared" ref="U86:W86" si="30">U85</f>
        <v>2016</v>
      </c>
      <c r="V86" s="420">
        <f t="shared" si="30"/>
        <v>2017</v>
      </c>
      <c r="W86" s="420">
        <f t="shared" si="30"/>
        <v>2018</v>
      </c>
      <c r="Y86" s="159"/>
    </row>
    <row r="87" spans="1:25" s="3" customFormat="1" outlineLevel="1" x14ac:dyDescent="0.25">
      <c r="A87" s="51"/>
      <c r="B87" s="122" t="str">
        <f>'PRECIOS UNITARIOS'!B72</f>
        <v>Fundaciones tipicas 
(edificio con piso tierra y primer piso)</v>
      </c>
      <c r="C87" s="132" t="str">
        <f>'PRECIOS UNITARIOS'!C72</f>
        <v>INFRA</v>
      </c>
      <c r="D87" s="928">
        <v>50</v>
      </c>
      <c r="E87" s="132" t="str">
        <f>'PRECIOS UNITARIOS'!D72</f>
        <v>U</v>
      </c>
      <c r="F87" s="487">
        <f>'PRECIOS UNITARIOS'!L72</f>
        <v>161184.00175762497</v>
      </c>
      <c r="G87" s="631">
        <v>0</v>
      </c>
      <c r="H87" s="89">
        <v>0</v>
      </c>
      <c r="I87" s="8"/>
      <c r="J87" s="623">
        <f>HLOOKUP($C87,PARAMETROS!$C$36:$F$38,3)*L87</f>
        <v>0</v>
      </c>
      <c r="K87" s="623">
        <f>HLOOKUP($C87,PARAMETROS!$C$36:$F$38,3)*M87</f>
        <v>0</v>
      </c>
      <c r="L87" s="81">
        <f t="shared" ref="L87:L96" si="31">$F87*G87</f>
        <v>0</v>
      </c>
      <c r="M87" s="63">
        <f t="shared" ref="M87:M96" si="32">$F87*H87</f>
        <v>0</v>
      </c>
      <c r="N87" s="55"/>
      <c r="O87" s="609">
        <f>'PRECIOS UNITARIOS'!$Z72*CHIFFRAGE_TC!L87</f>
        <v>0</v>
      </c>
      <c r="P87" s="609">
        <f>'PRECIOS UNITARIOS'!$AA72*CHIFFRAGE_TC!L87</f>
        <v>0</v>
      </c>
      <c r="Q87" s="609">
        <f>'PRECIOS UNITARIOS'!$Z72*CHIFFRAGE_TC!M87</f>
        <v>0</v>
      </c>
      <c r="R87" s="609">
        <f>'PRECIOS UNITARIOS'!$AA72*CHIFFRAGE_TC!M87</f>
        <v>0</v>
      </c>
      <c r="S87" s="55"/>
      <c r="T87" s="387"/>
      <c r="U87" s="386">
        <v>0.75</v>
      </c>
      <c r="V87" s="386">
        <v>0.25</v>
      </c>
      <c r="W87" s="386"/>
      <c r="Y87" s="159"/>
    </row>
    <row r="88" spans="1:25" s="3" customFormat="1" outlineLevel="1" x14ac:dyDescent="0.25">
      <c r="A88" s="51"/>
      <c r="B88" s="122" t="str">
        <f>'PRECIOS UNITARIOS'!B73</f>
        <v>Piso tierra sobrelevado y fundaciones</v>
      </c>
      <c r="C88" s="132" t="str">
        <f>'PRECIOS UNITARIOS'!C73</f>
        <v>INFRA</v>
      </c>
      <c r="D88" s="928">
        <v>50</v>
      </c>
      <c r="E88" s="132" t="str">
        <f>'PRECIOS UNITARIOS'!D73</f>
        <v>m2</v>
      </c>
      <c r="F88" s="487">
        <f>'PRECIOS UNITARIOS'!L73</f>
        <v>2170.8283064999991</v>
      </c>
      <c r="G88" s="80">
        <f>(G89+G90+G92+G93+G94)/2</f>
        <v>715</v>
      </c>
      <c r="H88" s="89">
        <v>0</v>
      </c>
      <c r="I88" s="8"/>
      <c r="J88" s="623">
        <f>HLOOKUP($C88,PARAMETROS!$C$36:$F$38,3)*L88</f>
        <v>388035.55978687486</v>
      </c>
      <c r="K88" s="623">
        <f>HLOOKUP($C88,PARAMETROS!$C$36:$F$38,3)*M88</f>
        <v>0</v>
      </c>
      <c r="L88" s="81">
        <f t="shared" si="31"/>
        <v>1552142.2391474994</v>
      </c>
      <c r="M88" s="63">
        <f t="shared" si="32"/>
        <v>0</v>
      </c>
      <c r="N88" s="55"/>
      <c r="O88" s="609">
        <f>'PRECIOS UNITARIOS'!$Z73*CHIFFRAGE_TC!L88</f>
        <v>1253078.2238974995</v>
      </c>
      <c r="P88" s="609">
        <f>'PRECIOS UNITARIOS'!$AA73*CHIFFRAGE_TC!L88</f>
        <v>299064.01525000005</v>
      </c>
      <c r="Q88" s="609">
        <f>'PRECIOS UNITARIOS'!$Z73*CHIFFRAGE_TC!M88</f>
        <v>0</v>
      </c>
      <c r="R88" s="609">
        <f>'PRECIOS UNITARIOS'!$AA73*CHIFFRAGE_TC!M88</f>
        <v>0</v>
      </c>
      <c r="S88" s="55"/>
      <c r="T88" s="387"/>
      <c r="U88" s="386">
        <v>0.5</v>
      </c>
      <c r="V88" s="386">
        <v>0.5</v>
      </c>
      <c r="W88" s="386"/>
      <c r="Y88" s="159"/>
    </row>
    <row r="89" spans="1:25" s="3" customFormat="1" outlineLevel="1" x14ac:dyDescent="0.25">
      <c r="A89" s="51"/>
      <c r="B89" s="122" t="str">
        <f>'PRECIOS UNITARIOS'!B74</f>
        <v>Superficies comerciales</v>
      </c>
      <c r="C89" s="132" t="str">
        <f>'PRECIOS UNITARIOS'!C74</f>
        <v>INFRA</v>
      </c>
      <c r="D89" s="928">
        <v>50</v>
      </c>
      <c r="E89" s="132" t="str">
        <f>'PRECIOS UNITARIOS'!D74</f>
        <v>m2</v>
      </c>
      <c r="F89" s="487">
        <f>'PRECIOS UNITARIOS'!L74</f>
        <v>700.63483592287469</v>
      </c>
      <c r="G89" s="631">
        <v>250</v>
      </c>
      <c r="H89" s="89">
        <v>0</v>
      </c>
      <c r="I89" s="8"/>
      <c r="J89" s="623">
        <f>HLOOKUP($C89,PARAMETROS!$C$36:$F$38,3)*L89</f>
        <v>43789.677245179671</v>
      </c>
      <c r="K89" s="623">
        <f>HLOOKUP($C89,PARAMETROS!$C$36:$F$38,3)*M89</f>
        <v>0</v>
      </c>
      <c r="L89" s="81">
        <f t="shared" si="31"/>
        <v>175158.70898071869</v>
      </c>
      <c r="M89" s="63">
        <f t="shared" si="32"/>
        <v>0</v>
      </c>
      <c r="N89" s="55"/>
      <c r="O89" s="609">
        <f>'PRECIOS UNITARIOS'!$Z74*CHIFFRAGE_TC!L89</f>
        <v>141409.43942759369</v>
      </c>
      <c r="P89" s="609">
        <f>'PRECIOS UNITARIOS'!$AA74*CHIFFRAGE_TC!L89</f>
        <v>33749.269553124985</v>
      </c>
      <c r="Q89" s="609">
        <f>'PRECIOS UNITARIOS'!$Z74*CHIFFRAGE_TC!M89</f>
        <v>0</v>
      </c>
      <c r="R89" s="609">
        <f>'PRECIOS UNITARIOS'!$AA74*CHIFFRAGE_TC!M89</f>
        <v>0</v>
      </c>
      <c r="S89" s="55"/>
      <c r="T89" s="387"/>
      <c r="U89" s="386">
        <v>0.25</v>
      </c>
      <c r="V89" s="386">
        <v>0.75</v>
      </c>
      <c r="W89" s="386"/>
      <c r="Y89" s="159"/>
    </row>
    <row r="90" spans="1:25" s="3" customFormat="1" outlineLevel="1" x14ac:dyDescent="0.25">
      <c r="A90" s="51"/>
      <c r="B90" s="122" t="str">
        <f>'PRECIOS UNITARIOS'!B75</f>
        <v xml:space="preserve">Ingreso y circulaciones al piso tierra 
(y/c servicios, escaleras mecanicas, escaleras y ascencores) </v>
      </c>
      <c r="C90" s="132" t="str">
        <f>'PRECIOS UNITARIOS'!C75</f>
        <v>INFRA</v>
      </c>
      <c r="D90" s="928">
        <v>40</v>
      </c>
      <c r="E90" s="132" t="str">
        <f>'PRECIOS UNITARIOS'!D75</f>
        <v>m2</v>
      </c>
      <c r="F90" s="487">
        <f>'PRECIOS UNITARIOS'!L75</f>
        <v>1838.5953731949994</v>
      </c>
      <c r="G90" s="631">
        <v>600</v>
      </c>
      <c r="H90" s="89">
        <v>0</v>
      </c>
      <c r="I90" s="8"/>
      <c r="J90" s="623">
        <f>HLOOKUP($C90,PARAMETROS!$C$36:$F$38,3)*L90</f>
        <v>275789.30597924988</v>
      </c>
      <c r="K90" s="623">
        <f>HLOOKUP($C90,PARAMETROS!$C$36:$F$38,3)*M90</f>
        <v>0</v>
      </c>
      <c r="L90" s="81">
        <f t="shared" si="31"/>
        <v>1103157.2239169995</v>
      </c>
      <c r="M90" s="63">
        <f t="shared" si="32"/>
        <v>0</v>
      </c>
      <c r="N90" s="55"/>
      <c r="O90" s="609">
        <f>'PRECIOS UNITARIOS'!$Z75*CHIFFRAGE_TC!L90</f>
        <v>862107.44491199986</v>
      </c>
      <c r="P90" s="609">
        <f>'PRECIOS UNITARIOS'!$AA75*CHIFFRAGE_TC!L90</f>
        <v>241049.7790049997</v>
      </c>
      <c r="Q90" s="609">
        <f>'PRECIOS UNITARIOS'!$Z75*CHIFFRAGE_TC!M90</f>
        <v>0</v>
      </c>
      <c r="R90" s="609">
        <f>'PRECIOS UNITARIOS'!$AA75*CHIFFRAGE_TC!M90</f>
        <v>0</v>
      </c>
      <c r="S90" s="55"/>
      <c r="T90" s="387"/>
      <c r="U90" s="386">
        <v>0.25</v>
      </c>
      <c r="V90" s="386">
        <v>0.75</v>
      </c>
      <c r="W90" s="386"/>
      <c r="Y90" s="159"/>
    </row>
    <row r="91" spans="1:25" s="3" customFormat="1" outlineLevel="1" x14ac:dyDescent="0.25">
      <c r="A91" s="51"/>
      <c r="B91" s="122" t="str">
        <f>'PRECIOS UNITARIOS'!B76</f>
        <v>Escaleras mecanicas, escaleras y ascencores adicionales 
(piso tierra sobrelevado)</v>
      </c>
      <c r="C91" s="132" t="str">
        <f>'PRECIOS UNITARIOS'!C76</f>
        <v>EQUIP</v>
      </c>
      <c r="D91" s="928">
        <v>15</v>
      </c>
      <c r="E91" s="132" t="str">
        <f>'PRECIOS UNITARIOS'!D76</f>
        <v>U</v>
      </c>
      <c r="F91" s="487">
        <f>'PRECIOS UNITARIOS'!L76</f>
        <v>373031.25</v>
      </c>
      <c r="G91" s="631">
        <v>0</v>
      </c>
      <c r="H91" s="89">
        <v>0</v>
      </c>
      <c r="I91" s="8"/>
      <c r="J91" s="623">
        <f>HLOOKUP($C91,PARAMETROS!$C$36:$F$38,3)*L91</f>
        <v>0</v>
      </c>
      <c r="K91" s="623">
        <f>HLOOKUP($C91,PARAMETROS!$C$36:$F$38,3)*M91</f>
        <v>0</v>
      </c>
      <c r="L91" s="81">
        <f t="shared" si="31"/>
        <v>0</v>
      </c>
      <c r="M91" s="63">
        <f t="shared" si="32"/>
        <v>0</v>
      </c>
      <c r="N91" s="55"/>
      <c r="O91" s="609">
        <f>'PRECIOS UNITARIOS'!$Z76*CHIFFRAGE_TC!L91</f>
        <v>0</v>
      </c>
      <c r="P91" s="609">
        <f>'PRECIOS UNITARIOS'!$AA76*CHIFFRAGE_TC!L91</f>
        <v>0</v>
      </c>
      <c r="Q91" s="609">
        <f>'PRECIOS UNITARIOS'!$Z76*CHIFFRAGE_TC!M91</f>
        <v>0</v>
      </c>
      <c r="R91" s="609">
        <f>'PRECIOS UNITARIOS'!$AA76*CHIFFRAGE_TC!M91</f>
        <v>0</v>
      </c>
      <c r="S91" s="55"/>
      <c r="T91" s="387"/>
      <c r="U91" s="386">
        <v>0.25</v>
      </c>
      <c r="V91" s="386">
        <v>0.75</v>
      </c>
      <c r="W91" s="386"/>
      <c r="Y91" s="159"/>
    </row>
    <row r="92" spans="1:25" s="3" customFormat="1" outlineLevel="1" x14ac:dyDescent="0.25">
      <c r="A92" s="51"/>
      <c r="B92" s="122" t="str">
        <f>'PRECIOS UNITARIOS'!B77</f>
        <v>Anden al primer piso</v>
      </c>
      <c r="C92" s="132" t="str">
        <f>'PRECIOS UNITARIOS'!C77</f>
        <v>INFRA</v>
      </c>
      <c r="D92" s="928">
        <v>50</v>
      </c>
      <c r="E92" s="132" t="str">
        <f>'PRECIOS UNITARIOS'!D77</f>
        <v>m2</v>
      </c>
      <c r="F92" s="487">
        <f>'PRECIOS UNITARIOS'!L77</f>
        <v>1051.2236074226246</v>
      </c>
      <c r="G92" s="631">
        <v>250</v>
      </c>
      <c r="H92" s="89">
        <v>0</v>
      </c>
      <c r="I92" s="8"/>
      <c r="J92" s="623">
        <f>HLOOKUP($C92,PARAMETROS!$C$36:$F$38,3)*L92</f>
        <v>65701.47546391403</v>
      </c>
      <c r="K92" s="623">
        <f>HLOOKUP($C92,PARAMETROS!$C$36:$F$38,3)*M92</f>
        <v>0</v>
      </c>
      <c r="L92" s="81">
        <f t="shared" si="31"/>
        <v>262805.90185565612</v>
      </c>
      <c r="M92" s="63">
        <f t="shared" si="32"/>
        <v>0</v>
      </c>
      <c r="N92" s="55"/>
      <c r="O92" s="609">
        <f>'PRECIOS UNITARIOS'!$Z77*CHIFFRAGE_TC!L92</f>
        <v>212168.92654628115</v>
      </c>
      <c r="P92" s="609">
        <f>'PRECIOS UNITARIOS'!$AA77*CHIFFRAGE_TC!L92</f>
        <v>50636.975309374968</v>
      </c>
      <c r="Q92" s="609">
        <f>'PRECIOS UNITARIOS'!$Z77*CHIFFRAGE_TC!M92</f>
        <v>0</v>
      </c>
      <c r="R92" s="609">
        <f>'PRECIOS UNITARIOS'!$AA77*CHIFFRAGE_TC!M92</f>
        <v>0</v>
      </c>
      <c r="S92" s="55"/>
      <c r="T92" s="387"/>
      <c r="U92" s="386">
        <v>0.25</v>
      </c>
      <c r="V92" s="386">
        <v>0.75</v>
      </c>
      <c r="W92" s="386"/>
      <c r="Y92" s="159"/>
    </row>
    <row r="93" spans="1:25" s="3" customFormat="1" outlineLevel="1" x14ac:dyDescent="0.25">
      <c r="A93" s="51"/>
      <c r="B93" s="122" t="str">
        <f>'PRECIOS UNITARIOS'!B78</f>
        <v>Centro de mando + Locales tecnicos cubiertos</v>
      </c>
      <c r="C93" s="132" t="str">
        <f>'PRECIOS UNITARIOS'!C78</f>
        <v>INFRA</v>
      </c>
      <c r="D93" s="928">
        <v>50</v>
      </c>
      <c r="E93" s="132" t="str">
        <f>'PRECIOS UNITARIOS'!D78</f>
        <v>m2</v>
      </c>
      <c r="F93" s="487">
        <f>'PRECIOS UNITARIOS'!L78</f>
        <v>1401.2696718457494</v>
      </c>
      <c r="G93" s="631">
        <v>80</v>
      </c>
      <c r="H93" s="89">
        <v>0</v>
      </c>
      <c r="I93" s="8"/>
      <c r="J93" s="623">
        <f>HLOOKUP($C93,PARAMETROS!$C$36:$F$38,3)*L93</f>
        <v>28025.393436914987</v>
      </c>
      <c r="K93" s="623">
        <f>HLOOKUP($C93,PARAMETROS!$C$36:$F$38,3)*M93</f>
        <v>0</v>
      </c>
      <c r="L93" s="81">
        <f t="shared" si="31"/>
        <v>112101.57374765995</v>
      </c>
      <c r="M93" s="63">
        <f t="shared" si="32"/>
        <v>0</v>
      </c>
      <c r="N93" s="55"/>
      <c r="O93" s="609">
        <f>'PRECIOS UNITARIOS'!$Z78*CHIFFRAGE_TC!L93</f>
        <v>90502.041233659955</v>
      </c>
      <c r="P93" s="609">
        <f>'PRECIOS UNITARIOS'!$AA78*CHIFFRAGE_TC!L93</f>
        <v>21599.532513999988</v>
      </c>
      <c r="Q93" s="609">
        <f>'PRECIOS UNITARIOS'!$Z78*CHIFFRAGE_TC!M93</f>
        <v>0</v>
      </c>
      <c r="R93" s="609">
        <f>'PRECIOS UNITARIOS'!$AA78*CHIFFRAGE_TC!M93</f>
        <v>0</v>
      </c>
      <c r="S93" s="55"/>
      <c r="T93" s="387"/>
      <c r="U93" s="386">
        <v>0.25</v>
      </c>
      <c r="V93" s="386">
        <v>0.75</v>
      </c>
      <c r="W93" s="386"/>
      <c r="Y93" s="159"/>
    </row>
    <row r="94" spans="1:25" s="3" customFormat="1" outlineLevel="1" x14ac:dyDescent="0.25">
      <c r="A94" s="51"/>
      <c r="B94" s="122" t="str">
        <f>'PRECIOS UNITARIOS'!B79</f>
        <v xml:space="preserve">Locales tecnicos non cerrados </v>
      </c>
      <c r="C94" s="132" t="str">
        <f>'PRECIOS UNITARIOS'!C79</f>
        <v>INFRA</v>
      </c>
      <c r="D94" s="928">
        <v>50</v>
      </c>
      <c r="E94" s="132" t="str">
        <f>'PRECIOS UNITARIOS'!D79</f>
        <v>m2</v>
      </c>
      <c r="F94" s="487">
        <f>'PRECIOS UNITARIOS'!L79</f>
        <v>700.63483592287469</v>
      </c>
      <c r="G94" s="631">
        <v>250</v>
      </c>
      <c r="H94" s="89">
        <v>0</v>
      </c>
      <c r="I94" s="8"/>
      <c r="J94" s="623">
        <f>HLOOKUP($C94,PARAMETROS!$C$36:$F$38,3)*L94</f>
        <v>43789.677245179671</v>
      </c>
      <c r="K94" s="623">
        <f>HLOOKUP($C94,PARAMETROS!$C$36:$F$38,3)*M94</f>
        <v>0</v>
      </c>
      <c r="L94" s="81">
        <f t="shared" si="31"/>
        <v>175158.70898071869</v>
      </c>
      <c r="M94" s="63">
        <f t="shared" si="32"/>
        <v>0</v>
      </c>
      <c r="N94" s="55"/>
      <c r="O94" s="609">
        <f>'PRECIOS UNITARIOS'!$Z79*CHIFFRAGE_TC!L94</f>
        <v>141409.43942759369</v>
      </c>
      <c r="P94" s="609">
        <f>'PRECIOS UNITARIOS'!$AA79*CHIFFRAGE_TC!L94</f>
        <v>33749.269553124985</v>
      </c>
      <c r="Q94" s="609">
        <f>'PRECIOS UNITARIOS'!$Z79*CHIFFRAGE_TC!M94</f>
        <v>0</v>
      </c>
      <c r="R94" s="609">
        <f>'PRECIOS UNITARIOS'!$AA79*CHIFFRAGE_TC!M94</f>
        <v>0</v>
      </c>
      <c r="S94" s="55"/>
      <c r="T94" s="387"/>
      <c r="U94" s="386">
        <v>0.25</v>
      </c>
      <c r="V94" s="386">
        <v>0.75</v>
      </c>
      <c r="W94" s="386"/>
      <c r="Y94" s="159"/>
    </row>
    <row r="95" spans="1:25" s="3" customFormat="1" outlineLevel="1" x14ac:dyDescent="0.25">
      <c r="A95" s="51"/>
      <c r="B95" s="122" t="str">
        <f>'PRECIOS UNITARIOS'!B80</f>
        <v>Adecuacion urbana 
(demolicion, reconstruccion, mobiliario urbano, paisaje)</v>
      </c>
      <c r="C95" s="132" t="str">
        <f>'PRECIOS UNITARIOS'!C80</f>
        <v>INFRA</v>
      </c>
      <c r="D95" s="928">
        <v>50</v>
      </c>
      <c r="E95" s="132" t="str">
        <f>'PRECIOS UNITARIOS'!D80</f>
        <v>m2</v>
      </c>
      <c r="F95" s="487">
        <f>'PRECIOS UNITARIOS'!L80</f>
        <v>527.02190099999984</v>
      </c>
      <c r="G95" s="631">
        <v>2000</v>
      </c>
      <c r="H95" s="89">
        <v>0</v>
      </c>
      <c r="I95" s="8"/>
      <c r="J95" s="623">
        <f>HLOOKUP($C95,PARAMETROS!$C$36:$F$38,3)*L95</f>
        <v>263510.95049999992</v>
      </c>
      <c r="K95" s="623">
        <f>HLOOKUP($C95,PARAMETROS!$C$36:$F$38,3)*M95</f>
        <v>0</v>
      </c>
      <c r="L95" s="81">
        <f t="shared" si="31"/>
        <v>1054043.8019999997</v>
      </c>
      <c r="M95" s="63">
        <f t="shared" si="32"/>
        <v>0</v>
      </c>
      <c r="N95" s="55"/>
      <c r="O95" s="609">
        <f>'PRECIOS UNITARIOS'!$Z80*CHIFFRAGE_TC!L95</f>
        <v>836542.69999999972</v>
      </c>
      <c r="P95" s="609">
        <f>'PRECIOS UNITARIOS'!$AA80*CHIFFRAGE_TC!L95</f>
        <v>217501.10199999998</v>
      </c>
      <c r="Q95" s="609">
        <f>'PRECIOS UNITARIOS'!$Z80*CHIFFRAGE_TC!M95</f>
        <v>0</v>
      </c>
      <c r="R95" s="609">
        <f>'PRECIOS UNITARIOS'!$AA80*CHIFFRAGE_TC!M95</f>
        <v>0</v>
      </c>
      <c r="S95" s="55"/>
      <c r="T95" s="387"/>
      <c r="U95" s="386">
        <v>0.25</v>
      </c>
      <c r="V95" s="386">
        <v>0.25</v>
      </c>
      <c r="W95" s="386">
        <v>0.5</v>
      </c>
      <c r="Y95" s="159"/>
    </row>
    <row r="96" spans="1:25" s="3" customFormat="1" outlineLevel="1" x14ac:dyDescent="0.25">
      <c r="A96" s="51"/>
      <c r="B96" s="122" t="str">
        <f>'PRECIOS UNITARIOS'!B81</f>
        <v>Pasarela</v>
      </c>
      <c r="C96" s="132" t="str">
        <f>'PRECIOS UNITARIOS'!C81</f>
        <v>INFRA</v>
      </c>
      <c r="D96" s="928">
        <v>50</v>
      </c>
      <c r="E96" s="132" t="str">
        <f>'PRECIOS UNITARIOS'!D81</f>
        <v>m2</v>
      </c>
      <c r="F96" s="487">
        <f>'PRECIOS UNITARIOS'!L81</f>
        <v>1356.7676915624995</v>
      </c>
      <c r="G96" s="1004">
        <f>200*2.5</f>
        <v>500</v>
      </c>
      <c r="H96" s="141">
        <v>0</v>
      </c>
      <c r="I96" s="8"/>
      <c r="J96" s="623">
        <f>HLOOKUP($C96,PARAMETROS!$C$36:$F$38,3)*L96</f>
        <v>169595.96144531245</v>
      </c>
      <c r="K96" s="623">
        <f>HLOOKUP($C96,PARAMETROS!$C$36:$F$38,3)*M96</f>
        <v>0</v>
      </c>
      <c r="L96" s="116">
        <f t="shared" si="31"/>
        <v>678383.84578124981</v>
      </c>
      <c r="M96" s="117">
        <f t="shared" si="32"/>
        <v>0</v>
      </c>
      <c r="N96" s="55"/>
      <c r="O96" s="609">
        <f>'PRECIOS UNITARIOS'!$Z81*CHIFFRAGE_TC!L96</f>
        <v>547674.04890624981</v>
      </c>
      <c r="P96" s="609">
        <f>'PRECIOS UNITARIOS'!$AA81*CHIFFRAGE_TC!L96</f>
        <v>130709.79687499994</v>
      </c>
      <c r="Q96" s="609">
        <f>'PRECIOS UNITARIOS'!$Z81*CHIFFRAGE_TC!M96</f>
        <v>0</v>
      </c>
      <c r="R96" s="609">
        <f>'PRECIOS UNITARIOS'!$AA81*CHIFFRAGE_TC!M96</f>
        <v>0</v>
      </c>
      <c r="S96" s="55"/>
      <c r="T96" s="387"/>
      <c r="U96" s="386"/>
      <c r="V96" s="386"/>
      <c r="W96" s="386">
        <v>1</v>
      </c>
      <c r="Y96" s="159"/>
    </row>
    <row r="97" spans="1:25" s="3" customFormat="1" ht="15.6" x14ac:dyDescent="0.25">
      <c r="A97" s="51"/>
      <c r="B97" s="414" t="s">
        <v>571</v>
      </c>
      <c r="C97" s="393"/>
      <c r="D97" s="393"/>
      <c r="E97" s="393"/>
      <c r="F97" s="318"/>
      <c r="G97" s="393"/>
      <c r="H97" s="415"/>
      <c r="I97" s="8"/>
      <c r="J97" s="623"/>
      <c r="K97" s="623"/>
      <c r="L97" s="416">
        <f>SUM(L98:L107)</f>
        <v>5893397.0920590395</v>
      </c>
      <c r="M97" s="417">
        <f>SUM(M98:M107)</f>
        <v>5112952.0044105016</v>
      </c>
      <c r="N97" s="55"/>
      <c r="O97" s="612">
        <f>SUM(O98:O107)</f>
        <v>4676686.516365665</v>
      </c>
      <c r="P97" s="612">
        <f t="shared" ref="P97" si="33">SUM(P98:P107)</f>
        <v>1216710.5756933745</v>
      </c>
      <c r="Q97" s="612">
        <f>SUM(Q98:Q107)</f>
        <v>4084892.2643508776</v>
      </c>
      <c r="R97" s="612">
        <f t="shared" ref="R97" si="34">SUM(R98:R107)</f>
        <v>1028059.7400596247</v>
      </c>
      <c r="S97" s="55"/>
      <c r="T97" s="420">
        <f>T86</f>
        <v>2015</v>
      </c>
      <c r="U97" s="420">
        <f>U86</f>
        <v>2016</v>
      </c>
      <c r="V97" s="420">
        <f>V86</f>
        <v>2017</v>
      </c>
      <c r="W97" s="420">
        <f>W86</f>
        <v>2018</v>
      </c>
      <c r="Y97" s="159"/>
    </row>
    <row r="98" spans="1:25" s="3" customFormat="1" outlineLevel="1" x14ac:dyDescent="0.25">
      <c r="A98" s="51"/>
      <c r="B98" s="122" t="str">
        <f>'PRECIOS UNITARIOS'!B83</f>
        <v>Fundaciones tipicas 
(edificio con piso tierra y primer piso)</v>
      </c>
      <c r="C98" s="132" t="str">
        <f>'PRECIOS UNITARIOS'!C83</f>
        <v>INFRA</v>
      </c>
      <c r="D98" s="928">
        <v>50</v>
      </c>
      <c r="E98" s="132" t="str">
        <f>'PRECIOS UNITARIOS'!D83</f>
        <v>U</v>
      </c>
      <c r="F98" s="487">
        <f>'PRECIOS UNITARIOS'!L83</f>
        <v>193746.42635512492</v>
      </c>
      <c r="G98" s="980">
        <v>1</v>
      </c>
      <c r="H98" s="387">
        <v>0</v>
      </c>
      <c r="I98" s="8"/>
      <c r="J98" s="623">
        <f>HLOOKUP($C98,PARAMETROS!$C$36:$F$38,3)*L98</f>
        <v>48436.606588781229</v>
      </c>
      <c r="K98" s="623">
        <f>HLOOKUP($C98,PARAMETROS!$C$36:$F$38,3)*M98</f>
        <v>0</v>
      </c>
      <c r="L98" s="81">
        <f t="shared" ref="L98:L107" si="35">$F98*G98</f>
        <v>193746.42635512492</v>
      </c>
      <c r="M98" s="63">
        <f t="shared" ref="M98:M107" si="36">$F98*H98</f>
        <v>0</v>
      </c>
      <c r="N98" s="55"/>
      <c r="O98" s="609">
        <f>'PRECIOS UNITARIOS'!$Z83*CHIFFRAGE_TC!L98</f>
        <v>156415.70836762496</v>
      </c>
      <c r="P98" s="609">
        <f>'PRECIOS UNITARIOS'!$AA83*CHIFFRAGE_TC!L98</f>
        <v>37330.717987499957</v>
      </c>
      <c r="Q98" s="609">
        <f>'PRECIOS UNITARIOS'!$Z83*CHIFFRAGE_TC!M98</f>
        <v>0</v>
      </c>
      <c r="R98" s="609">
        <f>'PRECIOS UNITARIOS'!$AA83*CHIFFRAGE_TC!M98</f>
        <v>0</v>
      </c>
      <c r="S98" s="55"/>
      <c r="T98" s="387"/>
      <c r="U98" s="386">
        <v>0.75</v>
      </c>
      <c r="V98" s="386">
        <v>0.25</v>
      </c>
      <c r="W98" s="386"/>
      <c r="Y98" s="159"/>
    </row>
    <row r="99" spans="1:25" s="3" customFormat="1" outlineLevel="1" x14ac:dyDescent="0.25">
      <c r="A99" s="51"/>
      <c r="B99" s="122" t="str">
        <f>'PRECIOS UNITARIOS'!B84</f>
        <v>Piso tierra sobrelevado y fundaciones</v>
      </c>
      <c r="C99" s="132" t="str">
        <f>'PRECIOS UNITARIOS'!C84</f>
        <v>INFRA</v>
      </c>
      <c r="D99" s="928">
        <v>50</v>
      </c>
      <c r="E99" s="132" t="str">
        <f>'PRECIOS UNITARIOS'!D84</f>
        <v>m2</v>
      </c>
      <c r="F99" s="487">
        <f>'PRECIOS UNITARIOS'!L84</f>
        <v>2170.8283064999991</v>
      </c>
      <c r="G99" s="632">
        <v>0</v>
      </c>
      <c r="H99" s="1041">
        <f>(H100+H101+H103+H104+H105)/2</f>
        <v>715</v>
      </c>
      <c r="I99" s="8"/>
      <c r="J99" s="623">
        <f>HLOOKUP($C99,PARAMETROS!$C$36:$F$38,3)*L99</f>
        <v>0</v>
      </c>
      <c r="K99" s="623">
        <f>HLOOKUP($C99,PARAMETROS!$C$36:$F$38,3)*M99</f>
        <v>388035.55978687486</v>
      </c>
      <c r="L99" s="81">
        <f t="shared" si="35"/>
        <v>0</v>
      </c>
      <c r="M99" s="63">
        <f t="shared" si="36"/>
        <v>1552142.2391474994</v>
      </c>
      <c r="N99" s="55"/>
      <c r="O99" s="609">
        <f>'PRECIOS UNITARIOS'!$Z84*CHIFFRAGE_TC!L99</f>
        <v>0</v>
      </c>
      <c r="P99" s="609">
        <f>'PRECIOS UNITARIOS'!$AA84*CHIFFRAGE_TC!L99</f>
        <v>0</v>
      </c>
      <c r="Q99" s="609">
        <f>'PRECIOS UNITARIOS'!$Z84*CHIFFRAGE_TC!M99</f>
        <v>1253078.2238974995</v>
      </c>
      <c r="R99" s="609">
        <f>'PRECIOS UNITARIOS'!$AA84*CHIFFRAGE_TC!M99</f>
        <v>299064.01525000005</v>
      </c>
      <c r="S99" s="55"/>
      <c r="T99" s="387"/>
      <c r="U99" s="386">
        <v>0.5</v>
      </c>
      <c r="V99" s="386">
        <v>0.5</v>
      </c>
      <c r="W99" s="386"/>
      <c r="Y99" s="159"/>
    </row>
    <row r="100" spans="1:25" s="3" customFormat="1" outlineLevel="1" x14ac:dyDescent="0.25">
      <c r="A100" s="51"/>
      <c r="B100" s="122" t="str">
        <f>'PRECIOS UNITARIOS'!B85</f>
        <v>Superficies comerciales</v>
      </c>
      <c r="C100" s="132" t="str">
        <f>'PRECIOS UNITARIOS'!C85</f>
        <v>INFRA</v>
      </c>
      <c r="D100" s="928">
        <v>50</v>
      </c>
      <c r="E100" s="132" t="str">
        <f>'PRECIOS UNITARIOS'!D85</f>
        <v>m2</v>
      </c>
      <c r="F100" s="487">
        <f>'PRECIOS UNITARIOS'!L85</f>
        <v>700.63483592287469</v>
      </c>
      <c r="G100" s="450">
        <v>500</v>
      </c>
      <c r="H100" s="387">
        <v>250</v>
      </c>
      <c r="I100" s="8"/>
      <c r="J100" s="623">
        <f>HLOOKUP($C100,PARAMETROS!$C$36:$F$38,3)*L100</f>
        <v>87579.354490359343</v>
      </c>
      <c r="K100" s="623">
        <f>HLOOKUP($C100,PARAMETROS!$C$36:$F$38,3)*M100</f>
        <v>43789.677245179671</v>
      </c>
      <c r="L100" s="81">
        <f t="shared" si="35"/>
        <v>350317.41796143737</v>
      </c>
      <c r="M100" s="63">
        <f t="shared" si="36"/>
        <v>175158.70898071869</v>
      </c>
      <c r="N100" s="55"/>
      <c r="O100" s="609">
        <f>'PRECIOS UNITARIOS'!$Z85*CHIFFRAGE_TC!L100</f>
        <v>282818.87885518739</v>
      </c>
      <c r="P100" s="609">
        <f>'PRECIOS UNITARIOS'!$AA85*CHIFFRAGE_TC!L100</f>
        <v>67498.539106249969</v>
      </c>
      <c r="Q100" s="609">
        <f>'PRECIOS UNITARIOS'!$Z85*CHIFFRAGE_TC!M100</f>
        <v>141409.43942759369</v>
      </c>
      <c r="R100" s="609">
        <f>'PRECIOS UNITARIOS'!$AA85*CHIFFRAGE_TC!M100</f>
        <v>33749.269553124985</v>
      </c>
      <c r="S100" s="55"/>
      <c r="T100" s="387"/>
      <c r="U100" s="386">
        <v>0.25</v>
      </c>
      <c r="V100" s="386">
        <v>0.75</v>
      </c>
      <c r="W100" s="386"/>
      <c r="Y100" s="159"/>
    </row>
    <row r="101" spans="1:25" s="3" customFormat="1" outlineLevel="1" x14ac:dyDescent="0.25">
      <c r="A101" s="51"/>
      <c r="B101" s="122" t="str">
        <f>'PRECIOS UNITARIOS'!B86</f>
        <v xml:space="preserve">Ingreso y circulaciones al piso tierra 
(y/c servicios, escaleras mecanicas, escaleras y ascencores) </v>
      </c>
      <c r="C101" s="132" t="str">
        <f>'PRECIOS UNITARIOS'!C86</f>
        <v>INFRA</v>
      </c>
      <c r="D101" s="928">
        <v>40</v>
      </c>
      <c r="E101" s="132" t="str">
        <f>'PRECIOS UNITARIOS'!D86</f>
        <v>m2</v>
      </c>
      <c r="F101" s="487">
        <f>'PRECIOS UNITARIOS'!L86</f>
        <v>1838.5953731949994</v>
      </c>
      <c r="G101" s="450">
        <v>900</v>
      </c>
      <c r="H101" s="387">
        <v>600</v>
      </c>
      <c r="I101" s="8"/>
      <c r="J101" s="623">
        <f>HLOOKUP($C101,PARAMETROS!$C$36:$F$38,3)*L101</f>
        <v>413683.95896887488</v>
      </c>
      <c r="K101" s="623">
        <f>HLOOKUP($C101,PARAMETROS!$C$36:$F$38,3)*M101</f>
        <v>275789.30597924988</v>
      </c>
      <c r="L101" s="81">
        <f t="shared" si="35"/>
        <v>1654735.8358754995</v>
      </c>
      <c r="M101" s="63">
        <f t="shared" si="36"/>
        <v>1103157.2239169995</v>
      </c>
      <c r="N101" s="55"/>
      <c r="O101" s="609">
        <f>'PRECIOS UNITARIOS'!$Z86*CHIFFRAGE_TC!L101</f>
        <v>1293161.1673679999</v>
      </c>
      <c r="P101" s="609">
        <f>'PRECIOS UNITARIOS'!$AA86*CHIFFRAGE_TC!L101</f>
        <v>361574.66850749962</v>
      </c>
      <c r="Q101" s="609">
        <f>'PRECIOS UNITARIOS'!$Z86*CHIFFRAGE_TC!M101</f>
        <v>862107.44491199986</v>
      </c>
      <c r="R101" s="609">
        <f>'PRECIOS UNITARIOS'!$AA86*CHIFFRAGE_TC!M101</f>
        <v>241049.7790049997</v>
      </c>
      <c r="S101" s="55"/>
      <c r="T101" s="387"/>
      <c r="U101" s="386">
        <v>0.25</v>
      </c>
      <c r="V101" s="386">
        <v>0.75</v>
      </c>
      <c r="W101" s="386"/>
      <c r="Y101" s="159"/>
    </row>
    <row r="102" spans="1:25" s="3" customFormat="1" outlineLevel="1" x14ac:dyDescent="0.25">
      <c r="A102" s="51"/>
      <c r="B102" s="122" t="str">
        <f>'PRECIOS UNITARIOS'!B87</f>
        <v>Escaleras mecanicas, escaleras y ascencores adicionales 
(piso tierra sobrelevado)</v>
      </c>
      <c r="C102" s="132" t="str">
        <f>'PRECIOS UNITARIOS'!C87</f>
        <v>EQUIP</v>
      </c>
      <c r="D102" s="928">
        <v>15</v>
      </c>
      <c r="E102" s="132" t="str">
        <f>'PRECIOS UNITARIOS'!D87</f>
        <v>U</v>
      </c>
      <c r="F102" s="487">
        <f>'PRECIOS UNITARIOS'!L87</f>
        <v>373031.25</v>
      </c>
      <c r="G102" s="450">
        <v>0</v>
      </c>
      <c r="H102" s="387">
        <v>0</v>
      </c>
      <c r="I102" s="8"/>
      <c r="J102" s="623">
        <f>HLOOKUP($C102,PARAMETROS!$C$36:$F$38,3)*L102</f>
        <v>0</v>
      </c>
      <c r="K102" s="623">
        <f>HLOOKUP($C102,PARAMETROS!$C$36:$F$38,3)*M102</f>
        <v>0</v>
      </c>
      <c r="L102" s="81">
        <f t="shared" si="35"/>
        <v>0</v>
      </c>
      <c r="M102" s="63">
        <f t="shared" si="36"/>
        <v>0</v>
      </c>
      <c r="N102" s="55"/>
      <c r="O102" s="609">
        <f>'PRECIOS UNITARIOS'!$Z87*CHIFFRAGE_TC!L102</f>
        <v>0</v>
      </c>
      <c r="P102" s="609">
        <f>'PRECIOS UNITARIOS'!$AA87*CHIFFRAGE_TC!L102</f>
        <v>0</v>
      </c>
      <c r="Q102" s="609">
        <f>'PRECIOS UNITARIOS'!$Z87*CHIFFRAGE_TC!M102</f>
        <v>0</v>
      </c>
      <c r="R102" s="609">
        <f>'PRECIOS UNITARIOS'!$AA87*CHIFFRAGE_TC!M102</f>
        <v>0</v>
      </c>
      <c r="S102" s="55"/>
      <c r="T102" s="387"/>
      <c r="U102" s="386">
        <v>0.25</v>
      </c>
      <c r="V102" s="386">
        <v>0.75</v>
      </c>
      <c r="W102" s="386"/>
      <c r="Y102" s="159"/>
    </row>
    <row r="103" spans="1:25" s="3" customFormat="1" outlineLevel="1" x14ac:dyDescent="0.25">
      <c r="A103" s="51"/>
      <c r="B103" s="122" t="str">
        <f>'PRECIOS UNITARIOS'!B88</f>
        <v>Anden al primer piso</v>
      </c>
      <c r="C103" s="132" t="str">
        <f>'PRECIOS UNITARIOS'!C88</f>
        <v>INFRA</v>
      </c>
      <c r="D103" s="928">
        <v>50</v>
      </c>
      <c r="E103" s="132" t="str">
        <f>'PRECIOS UNITARIOS'!D88</f>
        <v>m2</v>
      </c>
      <c r="F103" s="487">
        <f>'PRECIOS UNITARIOS'!L88</f>
        <v>1051.2236074226246</v>
      </c>
      <c r="G103" s="450">
        <v>500</v>
      </c>
      <c r="H103" s="387">
        <v>250</v>
      </c>
      <c r="I103" s="8"/>
      <c r="J103" s="623">
        <f>HLOOKUP($C103,PARAMETROS!$C$36:$F$38,3)*L103</f>
        <v>131402.95092782806</v>
      </c>
      <c r="K103" s="623">
        <f>HLOOKUP($C103,PARAMETROS!$C$36:$F$38,3)*M103</f>
        <v>65701.47546391403</v>
      </c>
      <c r="L103" s="81">
        <f t="shared" si="35"/>
        <v>525611.80371131224</v>
      </c>
      <c r="M103" s="63">
        <f t="shared" si="36"/>
        <v>262805.90185565612</v>
      </c>
      <c r="N103" s="55"/>
      <c r="O103" s="609">
        <f>'PRECIOS UNITARIOS'!$Z88*CHIFFRAGE_TC!L103</f>
        <v>424337.85309256229</v>
      </c>
      <c r="P103" s="609">
        <f>'PRECIOS UNITARIOS'!$AA88*CHIFFRAGE_TC!L103</f>
        <v>101273.95061874994</v>
      </c>
      <c r="Q103" s="609">
        <f>'PRECIOS UNITARIOS'!$Z88*CHIFFRAGE_TC!M103</f>
        <v>212168.92654628115</v>
      </c>
      <c r="R103" s="609">
        <f>'PRECIOS UNITARIOS'!$AA88*CHIFFRAGE_TC!M103</f>
        <v>50636.975309374968</v>
      </c>
      <c r="S103" s="55"/>
      <c r="T103" s="387"/>
      <c r="U103" s="386">
        <v>0.25</v>
      </c>
      <c r="V103" s="386">
        <v>0.75</v>
      </c>
      <c r="W103" s="386"/>
      <c r="Y103" s="159"/>
    </row>
    <row r="104" spans="1:25" s="3" customFormat="1" outlineLevel="1" x14ac:dyDescent="0.25">
      <c r="A104" s="51"/>
      <c r="B104" s="122" t="str">
        <f>'PRECIOS UNITARIOS'!B89</f>
        <v>Centro de mando + Locales tecnicos cubiertos</v>
      </c>
      <c r="C104" s="132" t="str">
        <f>'PRECIOS UNITARIOS'!C89</f>
        <v>INFRA</v>
      </c>
      <c r="D104" s="928">
        <v>50</v>
      </c>
      <c r="E104" s="132" t="str">
        <f>'PRECIOS UNITARIOS'!D89</f>
        <v>m2</v>
      </c>
      <c r="F104" s="487">
        <f>'PRECIOS UNITARIOS'!L89</f>
        <v>1401.2696718457494</v>
      </c>
      <c r="G104" s="450">
        <v>80</v>
      </c>
      <c r="H104" s="387">
        <v>80</v>
      </c>
      <c r="I104" s="8"/>
      <c r="J104" s="623">
        <f>HLOOKUP($C104,PARAMETROS!$C$36:$F$38,3)*L104</f>
        <v>28025.393436914987</v>
      </c>
      <c r="K104" s="623">
        <f>HLOOKUP($C104,PARAMETROS!$C$36:$F$38,3)*M104</f>
        <v>28025.393436914987</v>
      </c>
      <c r="L104" s="81">
        <f t="shared" si="35"/>
        <v>112101.57374765995</v>
      </c>
      <c r="M104" s="63">
        <f t="shared" si="36"/>
        <v>112101.57374765995</v>
      </c>
      <c r="N104" s="55"/>
      <c r="O104" s="609">
        <f>'PRECIOS UNITARIOS'!$Z89*CHIFFRAGE_TC!L104</f>
        <v>90502.041233659955</v>
      </c>
      <c r="P104" s="609">
        <f>'PRECIOS UNITARIOS'!$AA89*CHIFFRAGE_TC!L104</f>
        <v>21599.532513999988</v>
      </c>
      <c r="Q104" s="609">
        <f>'PRECIOS UNITARIOS'!$Z89*CHIFFRAGE_TC!M104</f>
        <v>90502.041233659955</v>
      </c>
      <c r="R104" s="609">
        <f>'PRECIOS UNITARIOS'!$AA89*CHIFFRAGE_TC!M104</f>
        <v>21599.532513999988</v>
      </c>
      <c r="S104" s="55"/>
      <c r="T104" s="387"/>
      <c r="U104" s="386">
        <v>0.25</v>
      </c>
      <c r="V104" s="386">
        <v>0.75</v>
      </c>
      <c r="W104" s="386"/>
      <c r="Y104" s="159"/>
    </row>
    <row r="105" spans="1:25" s="3" customFormat="1" outlineLevel="1" x14ac:dyDescent="0.25">
      <c r="A105" s="51"/>
      <c r="B105" s="122" t="str">
        <f>'PRECIOS UNITARIOS'!B90</f>
        <v xml:space="preserve">Locales tecnicos non cerrados </v>
      </c>
      <c r="C105" s="132" t="str">
        <f>'PRECIOS UNITARIOS'!C90</f>
        <v>INFRA</v>
      </c>
      <c r="D105" s="928">
        <v>50</v>
      </c>
      <c r="E105" s="132" t="str">
        <f>'PRECIOS UNITARIOS'!D90</f>
        <v>m2</v>
      </c>
      <c r="F105" s="487">
        <f>'PRECIOS UNITARIOS'!L90</f>
        <v>700.63483592287469</v>
      </c>
      <c r="G105" s="450">
        <v>350</v>
      </c>
      <c r="H105" s="387">
        <v>250</v>
      </c>
      <c r="I105" s="8"/>
      <c r="J105" s="623">
        <f>HLOOKUP($C105,PARAMETROS!$C$36:$F$38,3)*L105</f>
        <v>61305.548143251537</v>
      </c>
      <c r="K105" s="623">
        <f>HLOOKUP($C105,PARAMETROS!$C$36:$F$38,3)*M105</f>
        <v>43789.677245179671</v>
      </c>
      <c r="L105" s="81">
        <f t="shared" si="35"/>
        <v>245222.19257300615</v>
      </c>
      <c r="M105" s="63">
        <f t="shared" si="36"/>
        <v>175158.70898071869</v>
      </c>
      <c r="N105" s="55"/>
      <c r="O105" s="609">
        <f>'PRECIOS UNITARIOS'!$Z90*CHIFFRAGE_TC!L105</f>
        <v>197973.21519863117</v>
      </c>
      <c r="P105" s="609">
        <f>'PRECIOS UNITARIOS'!$AA90*CHIFFRAGE_TC!L105</f>
        <v>47248.977374374976</v>
      </c>
      <c r="Q105" s="609">
        <f>'PRECIOS UNITARIOS'!$Z90*CHIFFRAGE_TC!M105</f>
        <v>141409.43942759369</v>
      </c>
      <c r="R105" s="609">
        <f>'PRECIOS UNITARIOS'!$AA90*CHIFFRAGE_TC!M105</f>
        <v>33749.269553124985</v>
      </c>
      <c r="S105" s="55"/>
      <c r="T105" s="387"/>
      <c r="U105" s="386">
        <v>0.25</v>
      </c>
      <c r="V105" s="386">
        <v>0.75</v>
      </c>
      <c r="W105" s="386"/>
      <c r="Y105" s="159"/>
    </row>
    <row r="106" spans="1:25" s="3" customFormat="1" outlineLevel="1" x14ac:dyDescent="0.25">
      <c r="A106" s="51"/>
      <c r="B106" s="122" t="str">
        <f>'PRECIOS UNITARIOS'!B91</f>
        <v>Adecuacion urbana 
(demolicion, reconstruccion, mobiliario urbano, paisaje)</v>
      </c>
      <c r="C106" s="132" t="str">
        <f>'PRECIOS UNITARIOS'!C91</f>
        <v>INFRA</v>
      </c>
      <c r="D106" s="928">
        <v>50</v>
      </c>
      <c r="E106" s="132" t="str">
        <f>'PRECIOS UNITARIOS'!D91</f>
        <v>m2</v>
      </c>
      <c r="F106" s="487">
        <f>'PRECIOS UNITARIOS'!L91</f>
        <v>527.02190099999984</v>
      </c>
      <c r="G106" s="450">
        <f>6500-(G100+G101+G103+G104+G105)/2</f>
        <v>5335</v>
      </c>
      <c r="H106" s="387">
        <v>2000</v>
      </c>
      <c r="I106" s="8"/>
      <c r="J106" s="623">
        <f>HLOOKUP($C106,PARAMETROS!$C$36:$F$38,3)*L106</f>
        <v>702915.46045874979</v>
      </c>
      <c r="K106" s="623">
        <f>HLOOKUP($C106,PARAMETROS!$C$36:$F$38,3)*M106</f>
        <v>263510.95049999992</v>
      </c>
      <c r="L106" s="81">
        <f t="shared" si="35"/>
        <v>2811661.8418349992</v>
      </c>
      <c r="M106" s="63">
        <f t="shared" si="36"/>
        <v>1054043.8019999997</v>
      </c>
      <c r="N106" s="55"/>
      <c r="O106" s="609">
        <f>'PRECIOS UNITARIOS'!$Z91*CHIFFRAGE_TC!L106</f>
        <v>2231477.6522499993</v>
      </c>
      <c r="P106" s="609">
        <f>'PRECIOS UNITARIOS'!$AA91*CHIFFRAGE_TC!L106</f>
        <v>580184.18958499993</v>
      </c>
      <c r="Q106" s="609">
        <f>'PRECIOS UNITARIOS'!$Z91*CHIFFRAGE_TC!M106</f>
        <v>836542.69999999972</v>
      </c>
      <c r="R106" s="609">
        <f>'PRECIOS UNITARIOS'!$AA91*CHIFFRAGE_TC!M106</f>
        <v>217501.10199999998</v>
      </c>
      <c r="S106" s="55"/>
      <c r="T106" s="387"/>
      <c r="U106" s="386">
        <v>0.25</v>
      </c>
      <c r="V106" s="386">
        <v>0.25</v>
      </c>
      <c r="W106" s="386">
        <v>0.5</v>
      </c>
      <c r="Y106" s="159"/>
    </row>
    <row r="107" spans="1:25" s="3" customFormat="1" outlineLevel="1" x14ac:dyDescent="0.25">
      <c r="A107" s="51"/>
      <c r="B107" s="122" t="str">
        <f>'PRECIOS UNITARIOS'!B92</f>
        <v>Pasarela</v>
      </c>
      <c r="C107" s="132" t="str">
        <f>'PRECIOS UNITARIOS'!C92</f>
        <v>INFRA</v>
      </c>
      <c r="D107" s="928">
        <v>50</v>
      </c>
      <c r="E107" s="132" t="str">
        <f>'PRECIOS UNITARIOS'!D92</f>
        <v>m2</v>
      </c>
      <c r="F107" s="487">
        <f>'PRECIOS UNITARIOS'!L92</f>
        <v>1356.7676915624995</v>
      </c>
      <c r="G107" s="977">
        <v>0</v>
      </c>
      <c r="H107" s="1042">
        <f>200*2.5</f>
        <v>500</v>
      </c>
      <c r="I107" s="8"/>
      <c r="J107" s="623">
        <f>HLOOKUP($C107,PARAMETROS!$C$36:$F$38,3)*L107</f>
        <v>0</v>
      </c>
      <c r="K107" s="623">
        <f>HLOOKUP($C107,PARAMETROS!$C$36:$F$38,3)*M107</f>
        <v>169595.96144531245</v>
      </c>
      <c r="L107" s="116">
        <f t="shared" si="35"/>
        <v>0</v>
      </c>
      <c r="M107" s="117">
        <f t="shared" si="36"/>
        <v>678383.84578124981</v>
      </c>
      <c r="N107" s="55"/>
      <c r="O107" s="609">
        <f>'PRECIOS UNITARIOS'!$Z92*CHIFFRAGE_TC!L107</f>
        <v>0</v>
      </c>
      <c r="P107" s="609">
        <f>'PRECIOS UNITARIOS'!$AA92*CHIFFRAGE_TC!L107</f>
        <v>0</v>
      </c>
      <c r="Q107" s="609">
        <f>'PRECIOS UNITARIOS'!$Z92*CHIFFRAGE_TC!M107</f>
        <v>547674.04890624981</v>
      </c>
      <c r="R107" s="609">
        <f>'PRECIOS UNITARIOS'!$AA92*CHIFFRAGE_TC!M107</f>
        <v>130709.79687499994</v>
      </c>
      <c r="S107" s="55"/>
      <c r="T107" s="387"/>
      <c r="U107" s="386"/>
      <c r="V107" s="386"/>
      <c r="W107" s="386">
        <v>1</v>
      </c>
      <c r="Y107" s="159"/>
    </row>
    <row r="108" spans="1:25" s="3" customFormat="1" ht="15.6" x14ac:dyDescent="0.25">
      <c r="A108" s="51"/>
      <c r="B108" s="414" t="s">
        <v>572</v>
      </c>
      <c r="C108" s="393"/>
      <c r="D108" s="393"/>
      <c r="E108" s="393"/>
      <c r="F108" s="318"/>
      <c r="G108" s="393"/>
      <c r="H108" s="415"/>
      <c r="I108" s="8"/>
      <c r="J108" s="623"/>
      <c r="K108" s="623"/>
      <c r="L108" s="416">
        <f>SUM(L109:L118)</f>
        <v>6520572.1056757886</v>
      </c>
      <c r="M108" s="417">
        <f>SUM(M109:M118)</f>
        <v>6520572.1056757886</v>
      </c>
      <c r="N108" s="55"/>
      <c r="O108" s="612">
        <f>SUM(O109:O118)</f>
        <v>5214251.824742415</v>
      </c>
      <c r="P108" s="612">
        <f t="shared" ref="P108" si="37">SUM(P109:P118)</f>
        <v>1306320.2809333743</v>
      </c>
      <c r="Q108" s="612">
        <f>SUM(Q109:Q118)</f>
        <v>5214251.824742415</v>
      </c>
      <c r="R108" s="612">
        <f t="shared" ref="R108" si="38">SUM(R109:R118)</f>
        <v>1306320.2809333743</v>
      </c>
      <c r="S108" s="55"/>
      <c r="T108" s="420">
        <f>T97</f>
        <v>2015</v>
      </c>
      <c r="U108" s="420">
        <f>U97</f>
        <v>2016</v>
      </c>
      <c r="V108" s="420">
        <f>V97</f>
        <v>2017</v>
      </c>
      <c r="W108" s="420">
        <f>W97</f>
        <v>2018</v>
      </c>
      <c r="Y108" s="159"/>
    </row>
    <row r="109" spans="1:25" s="3" customFormat="1" outlineLevel="1" x14ac:dyDescent="0.25">
      <c r="A109" s="51"/>
      <c r="B109" s="495" t="str">
        <f t="shared" ref="B109:F118" si="39">B98</f>
        <v>Fundaciones tipicas 
(edificio con piso tierra y primer piso)</v>
      </c>
      <c r="C109" s="139" t="str">
        <f t="shared" si="39"/>
        <v>INFRA</v>
      </c>
      <c r="D109" s="928">
        <v>50</v>
      </c>
      <c r="E109" s="139" t="str">
        <f t="shared" si="39"/>
        <v>U</v>
      </c>
      <c r="F109" s="139">
        <f t="shared" si="39"/>
        <v>193746.42635512492</v>
      </c>
      <c r="G109" s="631">
        <v>0</v>
      </c>
      <c r="H109" s="387">
        <v>0</v>
      </c>
      <c r="I109" s="8"/>
      <c r="J109" s="623">
        <f>HLOOKUP($C109,PARAMETROS!$C$36:$F$38,3)*L109</f>
        <v>0</v>
      </c>
      <c r="K109" s="623">
        <f>HLOOKUP($C109,PARAMETROS!$C$36:$F$38,3)*M109</f>
        <v>0</v>
      </c>
      <c r="L109" s="81">
        <f t="shared" ref="L109:L118" si="40">$F109*G109</f>
        <v>0</v>
      </c>
      <c r="M109" s="63">
        <f t="shared" ref="M109:M118" si="41">$F109*H109</f>
        <v>0</v>
      </c>
      <c r="N109" s="55"/>
      <c r="O109" s="609">
        <f>'PRECIOS UNITARIOS'!$Z83*CHIFFRAGE_TC!L109</f>
        <v>0</v>
      </c>
      <c r="P109" s="609">
        <f>'PRECIOS UNITARIOS'!$AA83*CHIFFRAGE_TC!L109</f>
        <v>0</v>
      </c>
      <c r="Q109" s="609">
        <f>'PRECIOS UNITARIOS'!$Z83*CHIFFRAGE_TC!M109</f>
        <v>0</v>
      </c>
      <c r="R109" s="609">
        <f>'PRECIOS UNITARIOS'!$AA83*CHIFFRAGE_TC!M109</f>
        <v>0</v>
      </c>
      <c r="S109" s="55"/>
      <c r="T109" s="387"/>
      <c r="U109" s="386">
        <v>0.75</v>
      </c>
      <c r="V109" s="386">
        <v>0.25</v>
      </c>
      <c r="W109" s="386"/>
      <c r="Y109" s="159"/>
    </row>
    <row r="110" spans="1:25" s="3" customFormat="1" outlineLevel="1" x14ac:dyDescent="0.25">
      <c r="A110" s="51"/>
      <c r="B110" s="495" t="str">
        <f t="shared" si="39"/>
        <v>Piso tierra sobrelevado y fundaciones</v>
      </c>
      <c r="C110" s="139" t="str">
        <f t="shared" si="39"/>
        <v>INFRA</v>
      </c>
      <c r="D110" s="928">
        <v>50</v>
      </c>
      <c r="E110" s="139" t="str">
        <f t="shared" si="39"/>
        <v>m2</v>
      </c>
      <c r="F110" s="139">
        <f t="shared" si="39"/>
        <v>2170.8283064999991</v>
      </c>
      <c r="G110" s="80">
        <f>(G111+G112+G114+G115+G116)/2</f>
        <v>1165</v>
      </c>
      <c r="H110" s="1041">
        <f>(H111+H112+H114+H115+H116)/2</f>
        <v>1165</v>
      </c>
      <c r="I110" s="8"/>
      <c r="J110" s="623">
        <f>HLOOKUP($C110,PARAMETROS!$C$36:$F$38,3)*L110</f>
        <v>632253.74426812481</v>
      </c>
      <c r="K110" s="623">
        <f>HLOOKUP($C110,PARAMETROS!$C$36:$F$38,3)*M110</f>
        <v>632253.74426812481</v>
      </c>
      <c r="L110" s="81">
        <f t="shared" si="40"/>
        <v>2529014.9770724992</v>
      </c>
      <c r="M110" s="63">
        <f t="shared" si="41"/>
        <v>2529014.9770724992</v>
      </c>
      <c r="N110" s="55"/>
      <c r="O110" s="609">
        <f>'PRECIOS UNITARIOS'!$Z84*CHIFFRAGE_TC!L110</f>
        <v>2041728.8543224991</v>
      </c>
      <c r="P110" s="609">
        <f>'PRECIOS UNITARIOS'!$AA84*CHIFFRAGE_TC!L110</f>
        <v>487286.1227500001</v>
      </c>
      <c r="Q110" s="609">
        <f>'PRECIOS UNITARIOS'!$Z84*CHIFFRAGE_TC!M110</f>
        <v>2041728.8543224991</v>
      </c>
      <c r="R110" s="609">
        <f>'PRECIOS UNITARIOS'!$AA84*CHIFFRAGE_TC!M110</f>
        <v>487286.1227500001</v>
      </c>
      <c r="S110" s="55"/>
      <c r="T110" s="387"/>
      <c r="U110" s="386">
        <v>0.5</v>
      </c>
      <c r="V110" s="386">
        <v>0.5</v>
      </c>
      <c r="W110" s="386"/>
      <c r="Y110" s="159"/>
    </row>
    <row r="111" spans="1:25" s="3" customFormat="1" outlineLevel="1" x14ac:dyDescent="0.25">
      <c r="A111" s="51"/>
      <c r="B111" s="495" t="str">
        <f t="shared" si="39"/>
        <v>Superficies comerciales</v>
      </c>
      <c r="C111" s="139" t="str">
        <f t="shared" si="39"/>
        <v>INFRA</v>
      </c>
      <c r="D111" s="928">
        <v>50</v>
      </c>
      <c r="E111" s="139" t="str">
        <f t="shared" si="39"/>
        <v>m2</v>
      </c>
      <c r="F111" s="139">
        <f t="shared" si="39"/>
        <v>700.63483592287469</v>
      </c>
      <c r="G111" s="631">
        <v>500</v>
      </c>
      <c r="H111" s="387">
        <v>500</v>
      </c>
      <c r="I111" s="8"/>
      <c r="J111" s="623">
        <f>HLOOKUP($C111,PARAMETROS!$C$36:$F$38,3)*L111</f>
        <v>87579.354490359343</v>
      </c>
      <c r="K111" s="623">
        <f>HLOOKUP($C111,PARAMETROS!$C$36:$F$38,3)*M111</f>
        <v>87579.354490359343</v>
      </c>
      <c r="L111" s="81">
        <f t="shared" si="40"/>
        <v>350317.41796143737</v>
      </c>
      <c r="M111" s="63">
        <f t="shared" si="41"/>
        <v>350317.41796143737</v>
      </c>
      <c r="N111" s="55"/>
      <c r="O111" s="609">
        <f>'PRECIOS UNITARIOS'!$Z85*CHIFFRAGE_TC!L111</f>
        <v>282818.87885518739</v>
      </c>
      <c r="P111" s="609">
        <f>'PRECIOS UNITARIOS'!$AA85*CHIFFRAGE_TC!L111</f>
        <v>67498.539106249969</v>
      </c>
      <c r="Q111" s="609">
        <f>'PRECIOS UNITARIOS'!$Z85*CHIFFRAGE_TC!M111</f>
        <v>282818.87885518739</v>
      </c>
      <c r="R111" s="609">
        <f>'PRECIOS UNITARIOS'!$AA85*CHIFFRAGE_TC!M111</f>
        <v>67498.539106249969</v>
      </c>
      <c r="S111" s="55"/>
      <c r="T111" s="387"/>
      <c r="U111" s="386">
        <v>0.25</v>
      </c>
      <c r="V111" s="386">
        <v>0.75</v>
      </c>
      <c r="W111" s="386"/>
      <c r="Y111" s="159"/>
    </row>
    <row r="112" spans="1:25" s="3" customFormat="1" outlineLevel="1" x14ac:dyDescent="0.25">
      <c r="A112" s="51"/>
      <c r="B112" s="495" t="str">
        <f t="shared" si="39"/>
        <v xml:space="preserve">Ingreso y circulaciones al piso tierra 
(y/c servicios, escaleras mecanicas, escaleras y ascencores) </v>
      </c>
      <c r="C112" s="139" t="str">
        <f t="shared" si="39"/>
        <v>INFRA</v>
      </c>
      <c r="D112" s="928">
        <v>40</v>
      </c>
      <c r="E112" s="139" t="str">
        <f t="shared" si="39"/>
        <v>m2</v>
      </c>
      <c r="F112" s="139">
        <f t="shared" si="39"/>
        <v>1838.5953731949994</v>
      </c>
      <c r="G112" s="631">
        <v>900</v>
      </c>
      <c r="H112" s="387">
        <v>900</v>
      </c>
      <c r="I112" s="8"/>
      <c r="J112" s="623">
        <f>HLOOKUP($C112,PARAMETROS!$C$36:$F$38,3)*L112</f>
        <v>413683.95896887488</v>
      </c>
      <c r="K112" s="623">
        <f>HLOOKUP($C112,PARAMETROS!$C$36:$F$38,3)*M112</f>
        <v>413683.95896887488</v>
      </c>
      <c r="L112" s="81">
        <f t="shared" si="40"/>
        <v>1654735.8358754995</v>
      </c>
      <c r="M112" s="63">
        <f t="shared" si="41"/>
        <v>1654735.8358754995</v>
      </c>
      <c r="N112" s="55"/>
      <c r="O112" s="609">
        <f>'PRECIOS UNITARIOS'!$Z86*CHIFFRAGE_TC!L112</f>
        <v>1293161.1673679999</v>
      </c>
      <c r="P112" s="609">
        <f>'PRECIOS UNITARIOS'!$AA86*CHIFFRAGE_TC!L112</f>
        <v>361574.66850749962</v>
      </c>
      <c r="Q112" s="609">
        <f>'PRECIOS UNITARIOS'!$Z86*CHIFFRAGE_TC!M112</f>
        <v>1293161.1673679999</v>
      </c>
      <c r="R112" s="609">
        <f>'PRECIOS UNITARIOS'!$AA86*CHIFFRAGE_TC!M112</f>
        <v>361574.66850749962</v>
      </c>
      <c r="S112" s="55"/>
      <c r="T112" s="387"/>
      <c r="U112" s="386">
        <v>0.25</v>
      </c>
      <c r="V112" s="386">
        <v>0.75</v>
      </c>
      <c r="W112" s="386"/>
      <c r="Y112" s="159"/>
    </row>
    <row r="113" spans="1:25" s="3" customFormat="1" outlineLevel="1" x14ac:dyDescent="0.25">
      <c r="A113" s="51"/>
      <c r="B113" s="495" t="str">
        <f t="shared" si="39"/>
        <v>Escaleras mecanicas, escaleras y ascencores adicionales 
(piso tierra sobrelevado)</v>
      </c>
      <c r="C113" s="139" t="str">
        <f t="shared" si="39"/>
        <v>EQUIP</v>
      </c>
      <c r="D113" s="928">
        <v>15</v>
      </c>
      <c r="E113" s="139" t="str">
        <f t="shared" si="39"/>
        <v>U</v>
      </c>
      <c r="F113" s="139">
        <f t="shared" si="39"/>
        <v>373031.25</v>
      </c>
      <c r="G113" s="631">
        <v>1</v>
      </c>
      <c r="H113" s="387">
        <v>1</v>
      </c>
      <c r="I113" s="8"/>
      <c r="J113" s="623">
        <f>HLOOKUP($C113,PARAMETROS!$C$36:$F$38,3)*L113</f>
        <v>93257.8125</v>
      </c>
      <c r="K113" s="623">
        <f>HLOOKUP($C113,PARAMETROS!$C$36:$F$38,3)*M113</f>
        <v>93257.8125</v>
      </c>
      <c r="L113" s="81">
        <f t="shared" si="40"/>
        <v>373031.25</v>
      </c>
      <c r="M113" s="63">
        <f t="shared" si="41"/>
        <v>373031.25</v>
      </c>
      <c r="N113" s="55"/>
      <c r="O113" s="609">
        <f>'PRECIOS UNITARIOS'!$Z87*CHIFFRAGE_TC!L113</f>
        <v>301156.25</v>
      </c>
      <c r="P113" s="609">
        <f>'PRECIOS UNITARIOS'!$AA87*CHIFFRAGE_TC!L113</f>
        <v>71874.999999999985</v>
      </c>
      <c r="Q113" s="609">
        <f>'PRECIOS UNITARIOS'!$Z87*CHIFFRAGE_TC!M113</f>
        <v>301156.25</v>
      </c>
      <c r="R113" s="609">
        <f>'PRECIOS UNITARIOS'!$AA87*CHIFFRAGE_TC!M113</f>
        <v>71874.999999999985</v>
      </c>
      <c r="S113" s="55"/>
      <c r="T113" s="387"/>
      <c r="U113" s="386">
        <v>0.25</v>
      </c>
      <c r="V113" s="386">
        <v>0.75</v>
      </c>
      <c r="W113" s="386"/>
      <c r="Y113" s="159"/>
    </row>
    <row r="114" spans="1:25" s="3" customFormat="1" outlineLevel="1" x14ac:dyDescent="0.25">
      <c r="A114" s="51"/>
      <c r="B114" s="495" t="str">
        <f t="shared" si="39"/>
        <v>Anden al primer piso</v>
      </c>
      <c r="C114" s="139" t="str">
        <f t="shared" si="39"/>
        <v>INFRA</v>
      </c>
      <c r="D114" s="928">
        <v>50</v>
      </c>
      <c r="E114" s="139" t="str">
        <f t="shared" si="39"/>
        <v>m2</v>
      </c>
      <c r="F114" s="139">
        <f t="shared" si="39"/>
        <v>1051.2236074226246</v>
      </c>
      <c r="G114" s="631">
        <v>500</v>
      </c>
      <c r="H114" s="387">
        <v>500</v>
      </c>
      <c r="I114" s="8"/>
      <c r="J114" s="623">
        <f>HLOOKUP($C114,PARAMETROS!$C$36:$F$38,3)*L114</f>
        <v>131402.95092782806</v>
      </c>
      <c r="K114" s="623">
        <f>HLOOKUP($C114,PARAMETROS!$C$36:$F$38,3)*M114</f>
        <v>131402.95092782806</v>
      </c>
      <c r="L114" s="81">
        <f t="shared" si="40"/>
        <v>525611.80371131224</v>
      </c>
      <c r="M114" s="63">
        <f t="shared" si="41"/>
        <v>525611.80371131224</v>
      </c>
      <c r="N114" s="55"/>
      <c r="O114" s="609">
        <f>'PRECIOS UNITARIOS'!$Z88*CHIFFRAGE_TC!L114</f>
        <v>424337.85309256229</v>
      </c>
      <c r="P114" s="609">
        <f>'PRECIOS UNITARIOS'!$AA88*CHIFFRAGE_TC!L114</f>
        <v>101273.95061874994</v>
      </c>
      <c r="Q114" s="609">
        <f>'PRECIOS UNITARIOS'!$Z88*CHIFFRAGE_TC!M114</f>
        <v>424337.85309256229</v>
      </c>
      <c r="R114" s="609">
        <f>'PRECIOS UNITARIOS'!$AA88*CHIFFRAGE_TC!M114</f>
        <v>101273.95061874994</v>
      </c>
      <c r="S114" s="55"/>
      <c r="T114" s="387"/>
      <c r="U114" s="386">
        <v>0.25</v>
      </c>
      <c r="V114" s="386">
        <v>0.75</v>
      </c>
      <c r="W114" s="386"/>
      <c r="Y114" s="159"/>
    </row>
    <row r="115" spans="1:25" s="3" customFormat="1" outlineLevel="1" x14ac:dyDescent="0.25">
      <c r="A115" s="51"/>
      <c r="B115" s="495" t="str">
        <f t="shared" si="39"/>
        <v>Centro de mando + Locales tecnicos cubiertos</v>
      </c>
      <c r="C115" s="139" t="str">
        <f t="shared" si="39"/>
        <v>INFRA</v>
      </c>
      <c r="D115" s="928">
        <v>50</v>
      </c>
      <c r="E115" s="139" t="str">
        <f t="shared" si="39"/>
        <v>m2</v>
      </c>
      <c r="F115" s="139">
        <f t="shared" si="39"/>
        <v>1401.2696718457494</v>
      </c>
      <c r="G115" s="631">
        <v>80</v>
      </c>
      <c r="H115" s="387">
        <v>80</v>
      </c>
      <c r="I115" s="8"/>
      <c r="J115" s="623">
        <f>HLOOKUP($C115,PARAMETROS!$C$36:$F$38,3)*L115</f>
        <v>28025.393436914987</v>
      </c>
      <c r="K115" s="623">
        <f>HLOOKUP($C115,PARAMETROS!$C$36:$F$38,3)*M115</f>
        <v>28025.393436914987</v>
      </c>
      <c r="L115" s="81">
        <f t="shared" si="40"/>
        <v>112101.57374765995</v>
      </c>
      <c r="M115" s="63">
        <f t="shared" si="41"/>
        <v>112101.57374765995</v>
      </c>
      <c r="N115" s="55"/>
      <c r="O115" s="609">
        <f>'PRECIOS UNITARIOS'!$Z89*CHIFFRAGE_TC!L115</f>
        <v>90502.041233659955</v>
      </c>
      <c r="P115" s="609">
        <f>'PRECIOS UNITARIOS'!$AA89*CHIFFRAGE_TC!L115</f>
        <v>21599.532513999988</v>
      </c>
      <c r="Q115" s="609">
        <f>'PRECIOS UNITARIOS'!$Z89*CHIFFRAGE_TC!M115</f>
        <v>90502.041233659955</v>
      </c>
      <c r="R115" s="609">
        <f>'PRECIOS UNITARIOS'!$AA89*CHIFFRAGE_TC!M115</f>
        <v>21599.532513999988</v>
      </c>
      <c r="S115" s="55"/>
      <c r="T115" s="387"/>
      <c r="U115" s="386">
        <v>0.25</v>
      </c>
      <c r="V115" s="386">
        <v>0.75</v>
      </c>
      <c r="W115" s="386"/>
      <c r="Y115" s="159"/>
    </row>
    <row r="116" spans="1:25" s="3" customFormat="1" outlineLevel="1" x14ac:dyDescent="0.25">
      <c r="A116" s="51"/>
      <c r="B116" s="495" t="str">
        <f t="shared" si="39"/>
        <v xml:space="preserve">Locales tecnicos non cerrados </v>
      </c>
      <c r="C116" s="139" t="str">
        <f t="shared" si="39"/>
        <v>INFRA</v>
      </c>
      <c r="D116" s="928">
        <v>50</v>
      </c>
      <c r="E116" s="139" t="str">
        <f t="shared" si="39"/>
        <v>m2</v>
      </c>
      <c r="F116" s="139">
        <f t="shared" si="39"/>
        <v>700.63483592287469</v>
      </c>
      <c r="G116" s="631">
        <v>350</v>
      </c>
      <c r="H116" s="387">
        <v>350</v>
      </c>
      <c r="I116" s="8"/>
      <c r="J116" s="623">
        <f>HLOOKUP($C116,PARAMETROS!$C$36:$F$38,3)*L116</f>
        <v>61305.548143251537</v>
      </c>
      <c r="K116" s="623">
        <f>HLOOKUP($C116,PARAMETROS!$C$36:$F$38,3)*M116</f>
        <v>61305.548143251537</v>
      </c>
      <c r="L116" s="81">
        <f t="shared" si="40"/>
        <v>245222.19257300615</v>
      </c>
      <c r="M116" s="63">
        <f t="shared" si="41"/>
        <v>245222.19257300615</v>
      </c>
      <c r="N116" s="55"/>
      <c r="O116" s="609">
        <f>'PRECIOS UNITARIOS'!$Z90*CHIFFRAGE_TC!L116</f>
        <v>197973.21519863117</v>
      </c>
      <c r="P116" s="609">
        <f>'PRECIOS UNITARIOS'!$AA90*CHIFFRAGE_TC!L116</f>
        <v>47248.977374374976</v>
      </c>
      <c r="Q116" s="609">
        <f>'PRECIOS UNITARIOS'!$Z90*CHIFFRAGE_TC!M116</f>
        <v>197973.21519863117</v>
      </c>
      <c r="R116" s="609">
        <f>'PRECIOS UNITARIOS'!$AA90*CHIFFRAGE_TC!M116</f>
        <v>47248.977374374976</v>
      </c>
      <c r="S116" s="55"/>
      <c r="T116" s="387"/>
      <c r="U116" s="386">
        <v>0.25</v>
      </c>
      <c r="V116" s="386">
        <v>0.75</v>
      </c>
      <c r="W116" s="386"/>
      <c r="Y116" s="159"/>
    </row>
    <row r="117" spans="1:25" s="3" customFormat="1" outlineLevel="1" x14ac:dyDescent="0.25">
      <c r="A117" s="51"/>
      <c r="B117" s="495" t="str">
        <f t="shared" si="39"/>
        <v>Adecuacion urbana 
(demolicion, reconstruccion, mobiliario urbano, paisaje)</v>
      </c>
      <c r="C117" s="139" t="str">
        <f t="shared" si="39"/>
        <v>INFRA</v>
      </c>
      <c r="D117" s="928">
        <v>50</v>
      </c>
      <c r="E117" s="139" t="str">
        <f t="shared" si="39"/>
        <v>m2</v>
      </c>
      <c r="F117" s="139">
        <f t="shared" si="39"/>
        <v>527.02190099999984</v>
      </c>
      <c r="G117" s="631">
        <v>1000</v>
      </c>
      <c r="H117" s="387">
        <v>1000</v>
      </c>
      <c r="I117" s="8"/>
      <c r="J117" s="623">
        <f>HLOOKUP($C117,PARAMETROS!$C$36:$F$38,3)*L117</f>
        <v>131755.47524999996</v>
      </c>
      <c r="K117" s="623">
        <f>HLOOKUP($C117,PARAMETROS!$C$36:$F$38,3)*M117</f>
        <v>131755.47524999996</v>
      </c>
      <c r="L117" s="81">
        <f t="shared" si="40"/>
        <v>527021.90099999984</v>
      </c>
      <c r="M117" s="63">
        <f t="shared" si="41"/>
        <v>527021.90099999984</v>
      </c>
      <c r="N117" s="55"/>
      <c r="O117" s="609">
        <f>'PRECIOS UNITARIOS'!$Z91*CHIFFRAGE_TC!L117</f>
        <v>418271.34999999986</v>
      </c>
      <c r="P117" s="609">
        <f>'PRECIOS UNITARIOS'!$AA91*CHIFFRAGE_TC!L117</f>
        <v>108750.55099999999</v>
      </c>
      <c r="Q117" s="609">
        <f>'PRECIOS UNITARIOS'!$Z91*CHIFFRAGE_TC!M117</f>
        <v>418271.34999999986</v>
      </c>
      <c r="R117" s="609">
        <f>'PRECIOS UNITARIOS'!$AA91*CHIFFRAGE_TC!M117</f>
        <v>108750.55099999999</v>
      </c>
      <c r="S117" s="55"/>
      <c r="T117" s="387"/>
      <c r="U117" s="386">
        <v>0.25</v>
      </c>
      <c r="V117" s="386">
        <v>0.25</v>
      </c>
      <c r="W117" s="386">
        <v>0.5</v>
      </c>
      <c r="Y117" s="159"/>
    </row>
    <row r="118" spans="1:25" s="3" customFormat="1" outlineLevel="1" x14ac:dyDescent="0.25">
      <c r="A118" s="51"/>
      <c r="B118" s="495" t="str">
        <f t="shared" si="39"/>
        <v>Pasarela</v>
      </c>
      <c r="C118" s="139" t="str">
        <f t="shared" si="39"/>
        <v>INFRA</v>
      </c>
      <c r="D118" s="928">
        <v>50</v>
      </c>
      <c r="E118" s="139" t="str">
        <f t="shared" si="39"/>
        <v>m2</v>
      </c>
      <c r="F118" s="139">
        <f t="shared" si="39"/>
        <v>1356.7676915624995</v>
      </c>
      <c r="G118" s="1004">
        <f>60*2.5</f>
        <v>150</v>
      </c>
      <c r="H118" s="1042">
        <f>60*2.5</f>
        <v>150</v>
      </c>
      <c r="I118" s="8"/>
      <c r="J118" s="623">
        <f>HLOOKUP($C118,PARAMETROS!$C$36:$F$38,3)*L118</f>
        <v>50878.788433593734</v>
      </c>
      <c r="K118" s="623">
        <f>HLOOKUP($C118,PARAMETROS!$C$36:$F$38,3)*M118</f>
        <v>50878.788433593734</v>
      </c>
      <c r="L118" s="116">
        <f t="shared" si="40"/>
        <v>203515.15373437494</v>
      </c>
      <c r="M118" s="117">
        <f t="shared" si="41"/>
        <v>203515.15373437494</v>
      </c>
      <c r="N118" s="55"/>
      <c r="O118" s="609">
        <f>'PRECIOS UNITARIOS'!$Z92*CHIFFRAGE_TC!L118</f>
        <v>164302.21467187494</v>
      </c>
      <c r="P118" s="609">
        <f>'PRECIOS UNITARIOS'!$AA92*CHIFFRAGE_TC!L118</f>
        <v>39212.939062499987</v>
      </c>
      <c r="Q118" s="609">
        <f>'PRECIOS UNITARIOS'!$Z92*CHIFFRAGE_TC!M118</f>
        <v>164302.21467187494</v>
      </c>
      <c r="R118" s="609">
        <f>'PRECIOS UNITARIOS'!$AA92*CHIFFRAGE_TC!M118</f>
        <v>39212.939062499987</v>
      </c>
      <c r="S118" s="55"/>
      <c r="T118" s="387"/>
      <c r="U118" s="386"/>
      <c r="V118" s="386"/>
      <c r="W118" s="386">
        <v>1</v>
      </c>
      <c r="Y118" s="159"/>
    </row>
    <row r="119" spans="1:25" s="3" customFormat="1" ht="15.6" x14ac:dyDescent="0.25">
      <c r="A119" s="51"/>
      <c r="B119" s="414" t="s">
        <v>81</v>
      </c>
      <c r="C119" s="318"/>
      <c r="D119" s="318"/>
      <c r="E119" s="318"/>
      <c r="F119" s="318"/>
      <c r="G119" s="978"/>
      <c r="H119" s="1043"/>
      <c r="I119" s="8"/>
      <c r="J119" s="623"/>
      <c r="K119" s="623"/>
      <c r="L119" s="416">
        <f>SUM(L120:L129)</f>
        <v>0</v>
      </c>
      <c r="M119" s="417">
        <f>SUM(M120:M129)</f>
        <v>0</v>
      </c>
      <c r="N119" s="55"/>
      <c r="O119" s="612">
        <f>SUM(O120:O129)</f>
        <v>0</v>
      </c>
      <c r="P119" s="612">
        <f t="shared" ref="P119" si="42">SUM(P120:P129)</f>
        <v>0</v>
      </c>
      <c r="Q119" s="612">
        <f>SUM(Q120:Q129)</f>
        <v>0</v>
      </c>
      <c r="R119" s="612">
        <f t="shared" ref="R119" si="43">SUM(R120:R129)</f>
        <v>0</v>
      </c>
      <c r="S119" s="55"/>
      <c r="T119" s="420">
        <f>T108</f>
        <v>2015</v>
      </c>
      <c r="U119" s="420">
        <f>U108</f>
        <v>2016</v>
      </c>
      <c r="V119" s="420">
        <f>V108</f>
        <v>2017</v>
      </c>
      <c r="W119" s="420">
        <f>W108</f>
        <v>2018</v>
      </c>
      <c r="Y119" s="159"/>
    </row>
    <row r="120" spans="1:25" s="3" customFormat="1" outlineLevel="1" x14ac:dyDescent="0.25">
      <c r="A120" s="51"/>
      <c r="B120" s="495" t="str">
        <f t="shared" ref="B120:F129" si="44">B98</f>
        <v>Fundaciones tipicas 
(edificio con piso tierra y primer piso)</v>
      </c>
      <c r="C120" s="139" t="str">
        <f t="shared" si="44"/>
        <v>INFRA</v>
      </c>
      <c r="D120" s="928">
        <v>50</v>
      </c>
      <c r="E120" s="139" t="str">
        <f t="shared" si="44"/>
        <v>U</v>
      </c>
      <c r="F120" s="139">
        <f t="shared" si="44"/>
        <v>193746.42635512492</v>
      </c>
      <c r="G120" s="933">
        <v>0</v>
      </c>
      <c r="H120" s="428">
        <v>0</v>
      </c>
      <c r="I120" s="8"/>
      <c r="J120" s="623">
        <f>HLOOKUP($C120,PARAMETROS!$C$36:$F$38,3)*L120</f>
        <v>0</v>
      </c>
      <c r="K120" s="623">
        <f>HLOOKUP($C120,PARAMETROS!$C$36:$F$38,3)*M120</f>
        <v>0</v>
      </c>
      <c r="L120" s="81">
        <f t="shared" ref="L120:L129" si="45">$F120*G120</f>
        <v>0</v>
      </c>
      <c r="M120" s="63">
        <f t="shared" ref="M120:M129" si="46">$F120*H120</f>
        <v>0</v>
      </c>
      <c r="N120" s="55"/>
      <c r="O120" s="609">
        <f>'PRECIOS UNITARIOS'!$Z83*CHIFFRAGE_TC!L120</f>
        <v>0</v>
      </c>
      <c r="P120" s="609">
        <f>'PRECIOS UNITARIOS'!$AA83*CHIFFRAGE_TC!L120</f>
        <v>0</v>
      </c>
      <c r="Q120" s="609">
        <f>'PRECIOS UNITARIOS'!$Z83*CHIFFRAGE_TC!M120</f>
        <v>0</v>
      </c>
      <c r="R120" s="609">
        <f>'PRECIOS UNITARIOS'!$AA83*CHIFFRAGE_TC!M120</f>
        <v>0</v>
      </c>
      <c r="S120" s="55"/>
      <c r="T120" s="387"/>
      <c r="U120" s="386">
        <v>0.75</v>
      </c>
      <c r="V120" s="386">
        <v>0.25</v>
      </c>
      <c r="W120" s="386"/>
      <c r="Y120" s="159"/>
    </row>
    <row r="121" spans="1:25" s="3" customFormat="1" outlineLevel="1" x14ac:dyDescent="0.25">
      <c r="A121" s="51"/>
      <c r="B121" s="495" t="str">
        <f t="shared" si="44"/>
        <v>Piso tierra sobrelevado y fundaciones</v>
      </c>
      <c r="C121" s="139" t="str">
        <f t="shared" si="44"/>
        <v>INFRA</v>
      </c>
      <c r="D121" s="928">
        <v>50</v>
      </c>
      <c r="E121" s="139" t="str">
        <f t="shared" si="44"/>
        <v>m2</v>
      </c>
      <c r="F121" s="139">
        <f t="shared" si="44"/>
        <v>2170.8283064999991</v>
      </c>
      <c r="G121" s="1005">
        <v>0</v>
      </c>
      <c r="H121" s="1044">
        <v>0</v>
      </c>
      <c r="I121" s="8"/>
      <c r="J121" s="623">
        <f>HLOOKUP($C121,PARAMETROS!$C$36:$F$38,3)*L121</f>
        <v>0</v>
      </c>
      <c r="K121" s="623">
        <f>HLOOKUP($C121,PARAMETROS!$C$36:$F$38,3)*M121</f>
        <v>0</v>
      </c>
      <c r="L121" s="81">
        <f t="shared" si="45"/>
        <v>0</v>
      </c>
      <c r="M121" s="63">
        <f t="shared" si="46"/>
        <v>0</v>
      </c>
      <c r="N121" s="55"/>
      <c r="O121" s="609">
        <f>'PRECIOS UNITARIOS'!$Z84*CHIFFRAGE_TC!L121</f>
        <v>0</v>
      </c>
      <c r="P121" s="609">
        <f>'PRECIOS UNITARIOS'!$AA84*CHIFFRAGE_TC!L121</f>
        <v>0</v>
      </c>
      <c r="Q121" s="609">
        <f>'PRECIOS UNITARIOS'!$Z84*CHIFFRAGE_TC!M121</f>
        <v>0</v>
      </c>
      <c r="R121" s="609">
        <f>'PRECIOS UNITARIOS'!$AA84*CHIFFRAGE_TC!M121</f>
        <v>0</v>
      </c>
      <c r="S121" s="55"/>
      <c r="T121" s="387"/>
      <c r="U121" s="386">
        <v>0.5</v>
      </c>
      <c r="V121" s="386">
        <v>0.5</v>
      </c>
      <c r="W121" s="386"/>
      <c r="Y121" s="159"/>
    </row>
    <row r="122" spans="1:25" s="3" customFormat="1" outlineLevel="1" x14ac:dyDescent="0.25">
      <c r="A122" s="51"/>
      <c r="B122" s="495" t="str">
        <f t="shared" si="44"/>
        <v>Superficies comerciales</v>
      </c>
      <c r="C122" s="139" t="str">
        <f t="shared" si="44"/>
        <v>INFRA</v>
      </c>
      <c r="D122" s="928">
        <v>50</v>
      </c>
      <c r="E122" s="139" t="str">
        <f t="shared" si="44"/>
        <v>m2</v>
      </c>
      <c r="F122" s="139">
        <f t="shared" si="44"/>
        <v>700.63483592287469</v>
      </c>
      <c r="G122" s="631">
        <v>0</v>
      </c>
      <c r="H122" s="387">
        <v>0</v>
      </c>
      <c r="I122" s="8"/>
      <c r="J122" s="623">
        <f>HLOOKUP($C122,PARAMETROS!$C$36:$F$38,3)*L122</f>
        <v>0</v>
      </c>
      <c r="K122" s="623">
        <f>HLOOKUP($C122,PARAMETROS!$C$36:$F$38,3)*M122</f>
        <v>0</v>
      </c>
      <c r="L122" s="81">
        <f t="shared" si="45"/>
        <v>0</v>
      </c>
      <c r="M122" s="63">
        <f t="shared" si="46"/>
        <v>0</v>
      </c>
      <c r="N122" s="55"/>
      <c r="O122" s="609">
        <f>'PRECIOS UNITARIOS'!$Z85*CHIFFRAGE_TC!L122</f>
        <v>0</v>
      </c>
      <c r="P122" s="609">
        <f>'PRECIOS UNITARIOS'!$AA85*CHIFFRAGE_TC!L122</f>
        <v>0</v>
      </c>
      <c r="Q122" s="609">
        <f>'PRECIOS UNITARIOS'!$Z85*CHIFFRAGE_TC!M122</f>
        <v>0</v>
      </c>
      <c r="R122" s="609">
        <f>'PRECIOS UNITARIOS'!$AA85*CHIFFRAGE_TC!M122</f>
        <v>0</v>
      </c>
      <c r="S122" s="55"/>
      <c r="T122" s="387"/>
      <c r="U122" s="386">
        <v>0.25</v>
      </c>
      <c r="V122" s="386">
        <v>0.75</v>
      </c>
      <c r="W122" s="386"/>
      <c r="Y122" s="159"/>
    </row>
    <row r="123" spans="1:25" s="3" customFormat="1" outlineLevel="1" x14ac:dyDescent="0.25">
      <c r="A123" s="51"/>
      <c r="B123" s="495" t="str">
        <f t="shared" si="44"/>
        <v xml:space="preserve">Ingreso y circulaciones al piso tierra 
(y/c servicios, escaleras mecanicas, escaleras y ascencores) </v>
      </c>
      <c r="C123" s="139" t="str">
        <f t="shared" si="44"/>
        <v>INFRA</v>
      </c>
      <c r="D123" s="928">
        <v>40</v>
      </c>
      <c r="E123" s="139" t="str">
        <f t="shared" si="44"/>
        <v>m2</v>
      </c>
      <c r="F123" s="139">
        <f t="shared" si="44"/>
        <v>1838.5953731949994</v>
      </c>
      <c r="G123" s="631">
        <v>0</v>
      </c>
      <c r="H123" s="387">
        <v>0</v>
      </c>
      <c r="I123" s="8"/>
      <c r="J123" s="623">
        <f>HLOOKUP($C123,PARAMETROS!$C$36:$F$38,3)*L123</f>
        <v>0</v>
      </c>
      <c r="K123" s="623">
        <f>HLOOKUP($C123,PARAMETROS!$C$36:$F$38,3)*M123</f>
        <v>0</v>
      </c>
      <c r="L123" s="81">
        <f t="shared" si="45"/>
        <v>0</v>
      </c>
      <c r="M123" s="63">
        <f t="shared" si="46"/>
        <v>0</v>
      </c>
      <c r="N123" s="55"/>
      <c r="O123" s="609">
        <f>'PRECIOS UNITARIOS'!$Z86*CHIFFRAGE_TC!L123</f>
        <v>0</v>
      </c>
      <c r="P123" s="609">
        <f>'PRECIOS UNITARIOS'!$AA86*CHIFFRAGE_TC!L123</f>
        <v>0</v>
      </c>
      <c r="Q123" s="609">
        <f>'PRECIOS UNITARIOS'!$Z86*CHIFFRAGE_TC!M123</f>
        <v>0</v>
      </c>
      <c r="R123" s="609">
        <f>'PRECIOS UNITARIOS'!$AA86*CHIFFRAGE_TC!M123</f>
        <v>0</v>
      </c>
      <c r="S123" s="55"/>
      <c r="T123" s="387"/>
      <c r="U123" s="386">
        <v>0.25</v>
      </c>
      <c r="V123" s="386">
        <v>0.75</v>
      </c>
      <c r="W123" s="386"/>
      <c r="Y123" s="159"/>
    </row>
    <row r="124" spans="1:25" s="3" customFormat="1" outlineLevel="1" x14ac:dyDescent="0.25">
      <c r="A124" s="51"/>
      <c r="B124" s="495" t="str">
        <f t="shared" si="44"/>
        <v>Escaleras mecanicas, escaleras y ascencores adicionales 
(piso tierra sobrelevado)</v>
      </c>
      <c r="C124" s="139" t="str">
        <f t="shared" si="44"/>
        <v>EQUIP</v>
      </c>
      <c r="D124" s="928">
        <v>15</v>
      </c>
      <c r="E124" s="139" t="str">
        <f t="shared" si="44"/>
        <v>U</v>
      </c>
      <c r="F124" s="139">
        <f t="shared" si="44"/>
        <v>373031.25</v>
      </c>
      <c r="G124" s="631">
        <v>0</v>
      </c>
      <c r="H124" s="387">
        <v>0</v>
      </c>
      <c r="I124" s="8"/>
      <c r="J124" s="623">
        <f>HLOOKUP($C124,PARAMETROS!$C$36:$F$38,3)*L124</f>
        <v>0</v>
      </c>
      <c r="K124" s="623">
        <f>HLOOKUP($C124,PARAMETROS!$C$36:$F$38,3)*M124</f>
        <v>0</v>
      </c>
      <c r="L124" s="81">
        <f t="shared" si="45"/>
        <v>0</v>
      </c>
      <c r="M124" s="63">
        <f t="shared" si="46"/>
        <v>0</v>
      </c>
      <c r="N124" s="55"/>
      <c r="O124" s="609">
        <f>'PRECIOS UNITARIOS'!$Z87*CHIFFRAGE_TC!L124</f>
        <v>0</v>
      </c>
      <c r="P124" s="609">
        <f>'PRECIOS UNITARIOS'!$AA87*CHIFFRAGE_TC!L124</f>
        <v>0</v>
      </c>
      <c r="Q124" s="609">
        <f>'PRECIOS UNITARIOS'!$Z87*CHIFFRAGE_TC!M124</f>
        <v>0</v>
      </c>
      <c r="R124" s="609">
        <f>'PRECIOS UNITARIOS'!$AA87*CHIFFRAGE_TC!M124</f>
        <v>0</v>
      </c>
      <c r="S124" s="55"/>
      <c r="T124" s="387"/>
      <c r="U124" s="386">
        <v>0.25</v>
      </c>
      <c r="V124" s="386">
        <v>0.75</v>
      </c>
      <c r="W124" s="386"/>
      <c r="Y124" s="159"/>
    </row>
    <row r="125" spans="1:25" s="3" customFormat="1" outlineLevel="1" x14ac:dyDescent="0.25">
      <c r="A125" s="51"/>
      <c r="B125" s="495" t="str">
        <f t="shared" si="44"/>
        <v>Anden al primer piso</v>
      </c>
      <c r="C125" s="139" t="str">
        <f t="shared" si="44"/>
        <v>INFRA</v>
      </c>
      <c r="D125" s="928">
        <v>50</v>
      </c>
      <c r="E125" s="139" t="str">
        <f t="shared" si="44"/>
        <v>m2</v>
      </c>
      <c r="F125" s="139">
        <f t="shared" si="44"/>
        <v>1051.2236074226246</v>
      </c>
      <c r="G125" s="631">
        <v>0</v>
      </c>
      <c r="H125" s="387">
        <v>0</v>
      </c>
      <c r="I125" s="8"/>
      <c r="J125" s="623">
        <f>HLOOKUP($C125,PARAMETROS!$C$36:$F$38,3)*L125</f>
        <v>0</v>
      </c>
      <c r="K125" s="623">
        <f>HLOOKUP($C125,PARAMETROS!$C$36:$F$38,3)*M125</f>
        <v>0</v>
      </c>
      <c r="L125" s="81">
        <f t="shared" si="45"/>
        <v>0</v>
      </c>
      <c r="M125" s="63">
        <f t="shared" si="46"/>
        <v>0</v>
      </c>
      <c r="N125" s="55"/>
      <c r="O125" s="609">
        <f>'PRECIOS UNITARIOS'!$Z88*CHIFFRAGE_TC!L125</f>
        <v>0</v>
      </c>
      <c r="P125" s="609">
        <f>'PRECIOS UNITARIOS'!$AA88*CHIFFRAGE_TC!L125</f>
        <v>0</v>
      </c>
      <c r="Q125" s="609">
        <f>'PRECIOS UNITARIOS'!$Z88*CHIFFRAGE_TC!M125</f>
        <v>0</v>
      </c>
      <c r="R125" s="609">
        <f>'PRECIOS UNITARIOS'!$AA88*CHIFFRAGE_TC!M125</f>
        <v>0</v>
      </c>
      <c r="S125" s="55"/>
      <c r="T125" s="387"/>
      <c r="U125" s="386">
        <v>0.25</v>
      </c>
      <c r="V125" s="386">
        <v>0.75</v>
      </c>
      <c r="W125" s="386"/>
      <c r="Y125" s="159"/>
    </row>
    <row r="126" spans="1:25" s="3" customFormat="1" outlineLevel="1" x14ac:dyDescent="0.25">
      <c r="A126" s="51"/>
      <c r="B126" s="495" t="str">
        <f t="shared" si="44"/>
        <v>Centro de mando + Locales tecnicos cubiertos</v>
      </c>
      <c r="C126" s="139" t="str">
        <f t="shared" si="44"/>
        <v>INFRA</v>
      </c>
      <c r="D126" s="928">
        <v>50</v>
      </c>
      <c r="E126" s="139" t="str">
        <f t="shared" si="44"/>
        <v>m2</v>
      </c>
      <c r="F126" s="139">
        <f t="shared" si="44"/>
        <v>1401.2696718457494</v>
      </c>
      <c r="G126" s="631">
        <v>0</v>
      </c>
      <c r="H126" s="387">
        <v>0</v>
      </c>
      <c r="I126" s="8"/>
      <c r="J126" s="623">
        <f>HLOOKUP($C126,PARAMETROS!$C$36:$F$38,3)*L126</f>
        <v>0</v>
      </c>
      <c r="K126" s="623">
        <f>HLOOKUP($C126,PARAMETROS!$C$36:$F$38,3)*M126</f>
        <v>0</v>
      </c>
      <c r="L126" s="81">
        <f t="shared" si="45"/>
        <v>0</v>
      </c>
      <c r="M126" s="63">
        <f t="shared" si="46"/>
        <v>0</v>
      </c>
      <c r="N126" s="55"/>
      <c r="O126" s="609">
        <f>'PRECIOS UNITARIOS'!$Z89*CHIFFRAGE_TC!L126</f>
        <v>0</v>
      </c>
      <c r="P126" s="609">
        <f>'PRECIOS UNITARIOS'!$AA89*CHIFFRAGE_TC!L126</f>
        <v>0</v>
      </c>
      <c r="Q126" s="609">
        <f>'PRECIOS UNITARIOS'!$Z89*CHIFFRAGE_TC!M126</f>
        <v>0</v>
      </c>
      <c r="R126" s="609">
        <f>'PRECIOS UNITARIOS'!$AA89*CHIFFRAGE_TC!M126</f>
        <v>0</v>
      </c>
      <c r="S126" s="55"/>
      <c r="T126" s="387"/>
      <c r="U126" s="386">
        <v>0.25</v>
      </c>
      <c r="V126" s="386">
        <v>0.75</v>
      </c>
      <c r="W126" s="386"/>
      <c r="Y126" s="159"/>
    </row>
    <row r="127" spans="1:25" s="3" customFormat="1" outlineLevel="1" x14ac:dyDescent="0.25">
      <c r="A127" s="51"/>
      <c r="B127" s="495" t="str">
        <f t="shared" si="44"/>
        <v xml:space="preserve">Locales tecnicos non cerrados </v>
      </c>
      <c r="C127" s="139" t="str">
        <f t="shared" si="44"/>
        <v>INFRA</v>
      </c>
      <c r="D127" s="928">
        <v>50</v>
      </c>
      <c r="E127" s="139" t="str">
        <f t="shared" si="44"/>
        <v>m2</v>
      </c>
      <c r="F127" s="139">
        <f t="shared" si="44"/>
        <v>700.63483592287469</v>
      </c>
      <c r="G127" s="631">
        <v>0</v>
      </c>
      <c r="H127" s="387">
        <v>0</v>
      </c>
      <c r="I127" s="8"/>
      <c r="J127" s="623">
        <f>HLOOKUP($C127,PARAMETROS!$C$36:$F$38,3)*L127</f>
        <v>0</v>
      </c>
      <c r="K127" s="623">
        <f>HLOOKUP($C127,PARAMETROS!$C$36:$F$38,3)*M127</f>
        <v>0</v>
      </c>
      <c r="L127" s="81">
        <f t="shared" si="45"/>
        <v>0</v>
      </c>
      <c r="M127" s="63">
        <f t="shared" si="46"/>
        <v>0</v>
      </c>
      <c r="N127" s="55"/>
      <c r="O127" s="609">
        <f>'PRECIOS UNITARIOS'!$Z90*CHIFFRAGE_TC!L127</f>
        <v>0</v>
      </c>
      <c r="P127" s="609">
        <f>'PRECIOS UNITARIOS'!$AA90*CHIFFRAGE_TC!L127</f>
        <v>0</v>
      </c>
      <c r="Q127" s="609">
        <f>'PRECIOS UNITARIOS'!$Z90*CHIFFRAGE_TC!M127</f>
        <v>0</v>
      </c>
      <c r="R127" s="609">
        <f>'PRECIOS UNITARIOS'!$AA90*CHIFFRAGE_TC!M127</f>
        <v>0</v>
      </c>
      <c r="S127" s="55"/>
      <c r="T127" s="387"/>
      <c r="U127" s="386">
        <v>0.25</v>
      </c>
      <c r="V127" s="386">
        <v>0.75</v>
      </c>
      <c r="W127" s="386"/>
      <c r="Y127" s="159"/>
    </row>
    <row r="128" spans="1:25" s="3" customFormat="1" outlineLevel="1" x14ac:dyDescent="0.25">
      <c r="A128" s="51"/>
      <c r="B128" s="495" t="str">
        <f t="shared" si="44"/>
        <v>Adecuacion urbana 
(demolicion, reconstruccion, mobiliario urbano, paisaje)</v>
      </c>
      <c r="C128" s="139" t="str">
        <f t="shared" si="44"/>
        <v>INFRA</v>
      </c>
      <c r="D128" s="928">
        <v>50</v>
      </c>
      <c r="E128" s="139" t="str">
        <f t="shared" si="44"/>
        <v>m2</v>
      </c>
      <c r="F128" s="139">
        <f t="shared" si="44"/>
        <v>527.02190099999984</v>
      </c>
      <c r="G128" s="631">
        <v>0</v>
      </c>
      <c r="H128" s="387">
        <v>0</v>
      </c>
      <c r="I128" s="8"/>
      <c r="J128" s="623">
        <f>HLOOKUP($C128,PARAMETROS!$C$36:$F$38,3)*L128</f>
        <v>0</v>
      </c>
      <c r="K128" s="623">
        <f>HLOOKUP($C128,PARAMETROS!$C$36:$F$38,3)*M128</f>
        <v>0</v>
      </c>
      <c r="L128" s="81">
        <f t="shared" si="45"/>
        <v>0</v>
      </c>
      <c r="M128" s="63">
        <f t="shared" si="46"/>
        <v>0</v>
      </c>
      <c r="N128" s="55"/>
      <c r="O128" s="609">
        <f>'PRECIOS UNITARIOS'!$Z91*CHIFFRAGE_TC!L128</f>
        <v>0</v>
      </c>
      <c r="P128" s="609">
        <f>'PRECIOS UNITARIOS'!$AA91*CHIFFRAGE_TC!L128</f>
        <v>0</v>
      </c>
      <c r="Q128" s="609">
        <f>'PRECIOS UNITARIOS'!$Z91*CHIFFRAGE_TC!M128</f>
        <v>0</v>
      </c>
      <c r="R128" s="609">
        <f>'PRECIOS UNITARIOS'!$AA91*CHIFFRAGE_TC!M128</f>
        <v>0</v>
      </c>
      <c r="S128" s="55"/>
      <c r="T128" s="387"/>
      <c r="U128" s="386">
        <v>0.25</v>
      </c>
      <c r="V128" s="386">
        <v>0.25</v>
      </c>
      <c r="W128" s="386">
        <v>0.5</v>
      </c>
      <c r="Y128" s="159"/>
    </row>
    <row r="129" spans="1:25" s="3" customFormat="1" outlineLevel="1" x14ac:dyDescent="0.25">
      <c r="A129" s="51"/>
      <c r="B129" s="495" t="str">
        <f t="shared" si="44"/>
        <v>Pasarela</v>
      </c>
      <c r="C129" s="139" t="str">
        <f t="shared" si="44"/>
        <v>INFRA</v>
      </c>
      <c r="D129" s="928">
        <v>50</v>
      </c>
      <c r="E129" s="139" t="str">
        <f t="shared" si="44"/>
        <v>m2</v>
      </c>
      <c r="F129" s="139">
        <f t="shared" si="44"/>
        <v>1356.7676915624995</v>
      </c>
      <c r="G129" s="1004">
        <v>0</v>
      </c>
      <c r="H129" s="1042">
        <v>0</v>
      </c>
      <c r="I129" s="8"/>
      <c r="J129" s="623">
        <f>HLOOKUP($C129,PARAMETROS!$C$36:$F$38,3)*L129</f>
        <v>0</v>
      </c>
      <c r="K129" s="623">
        <f>HLOOKUP($C129,PARAMETROS!$C$36:$F$38,3)*M129</f>
        <v>0</v>
      </c>
      <c r="L129" s="116">
        <f t="shared" si="45"/>
        <v>0</v>
      </c>
      <c r="M129" s="117">
        <f t="shared" si="46"/>
        <v>0</v>
      </c>
      <c r="N129" s="55"/>
      <c r="O129" s="609">
        <f>'PRECIOS UNITARIOS'!$Z92*CHIFFRAGE_TC!L129</f>
        <v>0</v>
      </c>
      <c r="P129" s="609">
        <f>'PRECIOS UNITARIOS'!$AA92*CHIFFRAGE_TC!L129</f>
        <v>0</v>
      </c>
      <c r="Q129" s="609">
        <f>'PRECIOS UNITARIOS'!$Z92*CHIFFRAGE_TC!M129</f>
        <v>0</v>
      </c>
      <c r="R129" s="609">
        <f>'PRECIOS UNITARIOS'!$AA92*CHIFFRAGE_TC!M129</f>
        <v>0</v>
      </c>
      <c r="S129" s="55"/>
      <c r="T129" s="387"/>
      <c r="U129" s="386"/>
      <c r="V129" s="386"/>
      <c r="W129" s="386">
        <v>1</v>
      </c>
      <c r="Y129" s="159"/>
    </row>
    <row r="130" spans="1:25" s="3" customFormat="1" ht="15.6" x14ac:dyDescent="0.25">
      <c r="A130" s="51"/>
      <c r="B130" s="414" t="s">
        <v>80</v>
      </c>
      <c r="C130" s="318"/>
      <c r="D130" s="318"/>
      <c r="E130" s="318"/>
      <c r="F130" s="318"/>
      <c r="G130" s="393"/>
      <c r="H130" s="979"/>
      <c r="I130" s="8"/>
      <c r="J130" s="623"/>
      <c r="K130" s="623"/>
      <c r="L130" s="416">
        <f>SUM(L131:L140)</f>
        <v>0</v>
      </c>
      <c r="M130" s="417">
        <f>SUM(M131:M140)</f>
        <v>0</v>
      </c>
      <c r="N130" s="55"/>
      <c r="O130" s="612">
        <f>SUM(O131:O140)</f>
        <v>0</v>
      </c>
      <c r="P130" s="612">
        <f t="shared" ref="P130" si="47">SUM(P131:P140)</f>
        <v>0</v>
      </c>
      <c r="Q130" s="612">
        <f>SUM(Q131:Q140)</f>
        <v>0</v>
      </c>
      <c r="R130" s="612">
        <f t="shared" ref="R130" si="48">SUM(R131:R140)</f>
        <v>0</v>
      </c>
      <c r="S130" s="55"/>
      <c r="T130" s="420">
        <f>T119</f>
        <v>2015</v>
      </c>
      <c r="U130" s="420">
        <f>U119</f>
        <v>2016</v>
      </c>
      <c r="V130" s="420">
        <f>V119</f>
        <v>2017</v>
      </c>
      <c r="W130" s="420">
        <f>W119</f>
        <v>2018</v>
      </c>
      <c r="Y130" s="159"/>
    </row>
    <row r="131" spans="1:25" s="3" customFormat="1" outlineLevel="1" x14ac:dyDescent="0.25">
      <c r="A131" s="51"/>
      <c r="B131" s="495" t="str">
        <f t="shared" ref="B131:F140" si="49">B98</f>
        <v>Fundaciones tipicas 
(edificio con piso tierra y primer piso)</v>
      </c>
      <c r="C131" s="139" t="str">
        <f t="shared" si="49"/>
        <v>INFRA</v>
      </c>
      <c r="D131" s="928">
        <v>50</v>
      </c>
      <c r="E131" s="139" t="str">
        <f t="shared" si="49"/>
        <v>U</v>
      </c>
      <c r="F131" s="139">
        <f t="shared" si="49"/>
        <v>193746.42635512492</v>
      </c>
      <c r="G131" s="631">
        <v>0</v>
      </c>
      <c r="H131" s="89">
        <f>G131</f>
        <v>0</v>
      </c>
      <c r="I131" s="8"/>
      <c r="J131" s="623">
        <f>HLOOKUP($C131,PARAMETROS!$C$36:$F$38,3)*L131</f>
        <v>0</v>
      </c>
      <c r="K131" s="623">
        <f>HLOOKUP($C131,PARAMETROS!$C$36:$F$38,3)*M131</f>
        <v>0</v>
      </c>
      <c r="L131" s="81">
        <f t="shared" ref="L131:L140" si="50">$F131*G131</f>
        <v>0</v>
      </c>
      <c r="M131" s="63">
        <f t="shared" ref="M131:M140" si="51">$F131*H131</f>
        <v>0</v>
      </c>
      <c r="N131" s="55"/>
      <c r="O131" s="609">
        <f>'PRECIOS UNITARIOS'!$Z83*CHIFFRAGE_TC!L131</f>
        <v>0</v>
      </c>
      <c r="P131" s="609">
        <f>'PRECIOS UNITARIOS'!$AA83*CHIFFRAGE_TC!L131</f>
        <v>0</v>
      </c>
      <c r="Q131" s="609">
        <f>'PRECIOS UNITARIOS'!$Z83*CHIFFRAGE_TC!M131</f>
        <v>0</v>
      </c>
      <c r="R131" s="609">
        <f>'PRECIOS UNITARIOS'!$AA83*CHIFFRAGE_TC!M131</f>
        <v>0</v>
      </c>
      <c r="S131" s="55"/>
      <c r="T131" s="387"/>
      <c r="U131" s="386">
        <v>0.75</v>
      </c>
      <c r="V131" s="386">
        <v>0.25</v>
      </c>
      <c r="W131" s="386"/>
      <c r="Y131" s="159"/>
    </row>
    <row r="132" spans="1:25" s="3" customFormat="1" outlineLevel="1" x14ac:dyDescent="0.25">
      <c r="A132" s="51"/>
      <c r="B132" s="495" t="str">
        <f t="shared" si="49"/>
        <v>Piso tierra sobrelevado y fundaciones</v>
      </c>
      <c r="C132" s="139" t="str">
        <f t="shared" si="49"/>
        <v>INFRA</v>
      </c>
      <c r="D132" s="928">
        <v>50</v>
      </c>
      <c r="E132" s="139" t="str">
        <f t="shared" si="49"/>
        <v>m2</v>
      </c>
      <c r="F132" s="139">
        <f t="shared" si="49"/>
        <v>2170.8283064999991</v>
      </c>
      <c r="G132" s="1005">
        <v>0</v>
      </c>
      <c r="H132" s="89">
        <f>G132</f>
        <v>0</v>
      </c>
      <c r="I132" s="8"/>
      <c r="J132" s="623">
        <f>HLOOKUP($C132,PARAMETROS!$C$36:$F$38,3)*L132</f>
        <v>0</v>
      </c>
      <c r="K132" s="623">
        <f>HLOOKUP($C132,PARAMETROS!$C$36:$F$38,3)*M132</f>
        <v>0</v>
      </c>
      <c r="L132" s="81">
        <f t="shared" si="50"/>
        <v>0</v>
      </c>
      <c r="M132" s="63">
        <f t="shared" si="51"/>
        <v>0</v>
      </c>
      <c r="N132" s="55"/>
      <c r="O132" s="609">
        <f>'PRECIOS UNITARIOS'!$Z84*CHIFFRAGE_TC!L132</f>
        <v>0</v>
      </c>
      <c r="P132" s="609">
        <f>'PRECIOS UNITARIOS'!$AA84*CHIFFRAGE_TC!L132</f>
        <v>0</v>
      </c>
      <c r="Q132" s="609">
        <f>'PRECIOS UNITARIOS'!$Z84*CHIFFRAGE_TC!M132</f>
        <v>0</v>
      </c>
      <c r="R132" s="609">
        <f>'PRECIOS UNITARIOS'!$AA84*CHIFFRAGE_TC!M132</f>
        <v>0</v>
      </c>
      <c r="S132" s="55"/>
      <c r="T132" s="387"/>
      <c r="U132" s="386">
        <v>0.5</v>
      </c>
      <c r="V132" s="386">
        <v>0.5</v>
      </c>
      <c r="W132" s="386"/>
      <c r="Y132" s="159"/>
    </row>
    <row r="133" spans="1:25" s="3" customFormat="1" outlineLevel="1" x14ac:dyDescent="0.25">
      <c r="A133" s="284"/>
      <c r="B133" s="495" t="str">
        <f t="shared" si="49"/>
        <v>Superficies comerciales</v>
      </c>
      <c r="C133" s="139" t="str">
        <f t="shared" si="49"/>
        <v>INFRA</v>
      </c>
      <c r="D133" s="928">
        <v>50</v>
      </c>
      <c r="E133" s="139" t="str">
        <f t="shared" si="49"/>
        <v>m2</v>
      </c>
      <c r="F133" s="139">
        <f t="shared" si="49"/>
        <v>700.63483592287469</v>
      </c>
      <c r="G133" s="631">
        <v>0</v>
      </c>
      <c r="H133" s="89">
        <f t="shared" ref="H133:H140" si="52">G133</f>
        <v>0</v>
      </c>
      <c r="I133" s="8"/>
      <c r="J133" s="623">
        <f>HLOOKUP($C133,PARAMETROS!$C$36:$F$38,3)*L133</f>
        <v>0</v>
      </c>
      <c r="K133" s="623">
        <f>HLOOKUP($C133,PARAMETROS!$C$36:$F$38,3)*M133</f>
        <v>0</v>
      </c>
      <c r="L133" s="81">
        <f t="shared" si="50"/>
        <v>0</v>
      </c>
      <c r="M133" s="63">
        <f t="shared" si="51"/>
        <v>0</v>
      </c>
      <c r="N133" s="55"/>
      <c r="O133" s="609">
        <f>'PRECIOS UNITARIOS'!$Z85*CHIFFRAGE_TC!L133</f>
        <v>0</v>
      </c>
      <c r="P133" s="609">
        <f>'PRECIOS UNITARIOS'!$AA85*CHIFFRAGE_TC!L133</f>
        <v>0</v>
      </c>
      <c r="Q133" s="609">
        <f>'PRECIOS UNITARIOS'!$Z85*CHIFFRAGE_TC!M133</f>
        <v>0</v>
      </c>
      <c r="R133" s="609">
        <f>'PRECIOS UNITARIOS'!$AA85*CHIFFRAGE_TC!M133</f>
        <v>0</v>
      </c>
      <c r="S133" s="55"/>
      <c r="T133" s="387"/>
      <c r="U133" s="386">
        <v>0.25</v>
      </c>
      <c r="V133" s="386">
        <v>0.75</v>
      </c>
      <c r="W133" s="386"/>
      <c r="Y133" s="159"/>
    </row>
    <row r="134" spans="1:25" s="3" customFormat="1" outlineLevel="1" x14ac:dyDescent="0.25">
      <c r="A134" s="51"/>
      <c r="B134" s="495" t="str">
        <f t="shared" si="49"/>
        <v xml:space="preserve">Ingreso y circulaciones al piso tierra 
(y/c servicios, escaleras mecanicas, escaleras y ascencores) </v>
      </c>
      <c r="C134" s="139" t="str">
        <f t="shared" si="49"/>
        <v>INFRA</v>
      </c>
      <c r="D134" s="928">
        <v>40</v>
      </c>
      <c r="E134" s="139" t="str">
        <f t="shared" si="49"/>
        <v>m2</v>
      </c>
      <c r="F134" s="139">
        <f t="shared" si="49"/>
        <v>1838.5953731949994</v>
      </c>
      <c r="G134" s="631">
        <v>0</v>
      </c>
      <c r="H134" s="89">
        <f t="shared" si="52"/>
        <v>0</v>
      </c>
      <c r="I134" s="8"/>
      <c r="J134" s="623">
        <f>HLOOKUP($C134,PARAMETROS!$C$36:$F$38,3)*L134</f>
        <v>0</v>
      </c>
      <c r="K134" s="623">
        <f>HLOOKUP($C134,PARAMETROS!$C$36:$F$38,3)*M134</f>
        <v>0</v>
      </c>
      <c r="L134" s="81">
        <f t="shared" si="50"/>
        <v>0</v>
      </c>
      <c r="M134" s="63">
        <f t="shared" si="51"/>
        <v>0</v>
      </c>
      <c r="N134" s="55"/>
      <c r="O134" s="609">
        <f>'PRECIOS UNITARIOS'!$Z86*CHIFFRAGE_TC!L134</f>
        <v>0</v>
      </c>
      <c r="P134" s="609">
        <f>'PRECIOS UNITARIOS'!$AA86*CHIFFRAGE_TC!L134</f>
        <v>0</v>
      </c>
      <c r="Q134" s="609">
        <f>'PRECIOS UNITARIOS'!$Z86*CHIFFRAGE_TC!M134</f>
        <v>0</v>
      </c>
      <c r="R134" s="609">
        <f>'PRECIOS UNITARIOS'!$AA86*CHIFFRAGE_TC!M134</f>
        <v>0</v>
      </c>
      <c r="S134" s="55"/>
      <c r="T134" s="387"/>
      <c r="U134" s="386">
        <v>0.25</v>
      </c>
      <c r="V134" s="386">
        <v>0.75</v>
      </c>
      <c r="W134" s="386"/>
      <c r="Y134" s="159"/>
    </row>
    <row r="135" spans="1:25" s="3" customFormat="1" outlineLevel="1" x14ac:dyDescent="0.25">
      <c r="A135" s="51"/>
      <c r="B135" s="495" t="str">
        <f t="shared" si="49"/>
        <v>Escaleras mecanicas, escaleras y ascencores adicionales 
(piso tierra sobrelevado)</v>
      </c>
      <c r="C135" s="139" t="str">
        <f t="shared" si="49"/>
        <v>EQUIP</v>
      </c>
      <c r="D135" s="928">
        <v>15</v>
      </c>
      <c r="E135" s="139" t="str">
        <f t="shared" si="49"/>
        <v>U</v>
      </c>
      <c r="F135" s="139">
        <f t="shared" si="49"/>
        <v>373031.25</v>
      </c>
      <c r="G135" s="631">
        <v>0</v>
      </c>
      <c r="H135" s="89">
        <f t="shared" si="52"/>
        <v>0</v>
      </c>
      <c r="I135" s="8"/>
      <c r="J135" s="623">
        <f>HLOOKUP($C135,PARAMETROS!$C$36:$F$38,3)*L135</f>
        <v>0</v>
      </c>
      <c r="K135" s="623">
        <f>HLOOKUP($C135,PARAMETROS!$C$36:$F$38,3)*M135</f>
        <v>0</v>
      </c>
      <c r="L135" s="81">
        <f t="shared" si="50"/>
        <v>0</v>
      </c>
      <c r="M135" s="63">
        <f t="shared" si="51"/>
        <v>0</v>
      </c>
      <c r="N135" s="55"/>
      <c r="O135" s="609">
        <f>'PRECIOS UNITARIOS'!$Z87*CHIFFRAGE_TC!L135</f>
        <v>0</v>
      </c>
      <c r="P135" s="609">
        <f>'PRECIOS UNITARIOS'!$AA87*CHIFFRAGE_TC!L135</f>
        <v>0</v>
      </c>
      <c r="Q135" s="609">
        <f>'PRECIOS UNITARIOS'!$Z87*CHIFFRAGE_TC!M135</f>
        <v>0</v>
      </c>
      <c r="R135" s="609">
        <f>'PRECIOS UNITARIOS'!$AA87*CHIFFRAGE_TC!M135</f>
        <v>0</v>
      </c>
      <c r="S135" s="55"/>
      <c r="T135" s="387"/>
      <c r="U135" s="386">
        <v>0.25</v>
      </c>
      <c r="V135" s="386">
        <v>0.75</v>
      </c>
      <c r="W135" s="386"/>
      <c r="Y135" s="159"/>
    </row>
    <row r="136" spans="1:25" s="3" customFormat="1" outlineLevel="1" x14ac:dyDescent="0.25">
      <c r="A136" s="51"/>
      <c r="B136" s="495" t="str">
        <f t="shared" si="49"/>
        <v>Anden al primer piso</v>
      </c>
      <c r="C136" s="139" t="str">
        <f t="shared" si="49"/>
        <v>INFRA</v>
      </c>
      <c r="D136" s="928">
        <v>50</v>
      </c>
      <c r="E136" s="139" t="str">
        <f t="shared" si="49"/>
        <v>m2</v>
      </c>
      <c r="F136" s="139">
        <f t="shared" si="49"/>
        <v>1051.2236074226246</v>
      </c>
      <c r="G136" s="631">
        <v>0</v>
      </c>
      <c r="H136" s="89">
        <f t="shared" si="52"/>
        <v>0</v>
      </c>
      <c r="I136" s="8"/>
      <c r="J136" s="623">
        <f>HLOOKUP($C136,PARAMETROS!$C$36:$F$38,3)*L136</f>
        <v>0</v>
      </c>
      <c r="K136" s="623">
        <f>HLOOKUP($C136,PARAMETROS!$C$36:$F$38,3)*M136</f>
        <v>0</v>
      </c>
      <c r="L136" s="81">
        <f t="shared" si="50"/>
        <v>0</v>
      </c>
      <c r="M136" s="63">
        <f t="shared" si="51"/>
        <v>0</v>
      </c>
      <c r="N136" s="55"/>
      <c r="O136" s="609">
        <f>'PRECIOS UNITARIOS'!$Z88*CHIFFRAGE_TC!L136</f>
        <v>0</v>
      </c>
      <c r="P136" s="609">
        <f>'PRECIOS UNITARIOS'!$AA88*CHIFFRAGE_TC!L136</f>
        <v>0</v>
      </c>
      <c r="Q136" s="609">
        <f>'PRECIOS UNITARIOS'!$Z88*CHIFFRAGE_TC!M136</f>
        <v>0</v>
      </c>
      <c r="R136" s="609">
        <f>'PRECIOS UNITARIOS'!$AA88*CHIFFRAGE_TC!M136</f>
        <v>0</v>
      </c>
      <c r="S136" s="55"/>
      <c r="T136" s="387"/>
      <c r="U136" s="386">
        <v>0.25</v>
      </c>
      <c r="V136" s="386">
        <v>0.75</v>
      </c>
      <c r="W136" s="386"/>
      <c r="Y136" s="159"/>
    </row>
    <row r="137" spans="1:25" s="3" customFormat="1" outlineLevel="1" x14ac:dyDescent="0.25">
      <c r="A137" s="51"/>
      <c r="B137" s="495" t="str">
        <f t="shared" si="49"/>
        <v>Centro de mando + Locales tecnicos cubiertos</v>
      </c>
      <c r="C137" s="139" t="str">
        <f t="shared" si="49"/>
        <v>INFRA</v>
      </c>
      <c r="D137" s="928">
        <v>50</v>
      </c>
      <c r="E137" s="139" t="str">
        <f t="shared" si="49"/>
        <v>m2</v>
      </c>
      <c r="F137" s="139">
        <f t="shared" si="49"/>
        <v>1401.2696718457494</v>
      </c>
      <c r="G137" s="631">
        <v>0</v>
      </c>
      <c r="H137" s="89">
        <f t="shared" si="52"/>
        <v>0</v>
      </c>
      <c r="I137" s="8"/>
      <c r="J137" s="623">
        <f>HLOOKUP($C137,PARAMETROS!$C$36:$F$38,3)*L137</f>
        <v>0</v>
      </c>
      <c r="K137" s="623">
        <f>HLOOKUP($C137,PARAMETROS!$C$36:$F$38,3)*M137</f>
        <v>0</v>
      </c>
      <c r="L137" s="81">
        <f t="shared" si="50"/>
        <v>0</v>
      </c>
      <c r="M137" s="63">
        <f t="shared" si="51"/>
        <v>0</v>
      </c>
      <c r="N137" s="55"/>
      <c r="O137" s="609">
        <f>'PRECIOS UNITARIOS'!$Z89*CHIFFRAGE_TC!L137</f>
        <v>0</v>
      </c>
      <c r="P137" s="609">
        <f>'PRECIOS UNITARIOS'!$AA89*CHIFFRAGE_TC!L137</f>
        <v>0</v>
      </c>
      <c r="Q137" s="609">
        <f>'PRECIOS UNITARIOS'!$Z89*CHIFFRAGE_TC!M137</f>
        <v>0</v>
      </c>
      <c r="R137" s="609">
        <f>'PRECIOS UNITARIOS'!$AA89*CHIFFRAGE_TC!M137</f>
        <v>0</v>
      </c>
      <c r="S137" s="55"/>
      <c r="T137" s="387"/>
      <c r="U137" s="386">
        <v>0.25</v>
      </c>
      <c r="V137" s="386">
        <v>0.75</v>
      </c>
      <c r="W137" s="386"/>
      <c r="Y137" s="159"/>
    </row>
    <row r="138" spans="1:25" s="3" customFormat="1" outlineLevel="1" x14ac:dyDescent="0.25">
      <c r="A138" s="51"/>
      <c r="B138" s="495" t="str">
        <f t="shared" si="49"/>
        <v xml:space="preserve">Locales tecnicos non cerrados </v>
      </c>
      <c r="C138" s="139" t="str">
        <f t="shared" si="49"/>
        <v>INFRA</v>
      </c>
      <c r="D138" s="928">
        <v>50</v>
      </c>
      <c r="E138" s="139" t="str">
        <f t="shared" si="49"/>
        <v>m2</v>
      </c>
      <c r="F138" s="139">
        <f t="shared" si="49"/>
        <v>700.63483592287469</v>
      </c>
      <c r="G138" s="631">
        <v>0</v>
      </c>
      <c r="H138" s="89">
        <f t="shared" si="52"/>
        <v>0</v>
      </c>
      <c r="I138" s="8"/>
      <c r="J138" s="623">
        <f>HLOOKUP($C138,PARAMETROS!$C$36:$F$38,3)*L138</f>
        <v>0</v>
      </c>
      <c r="K138" s="623">
        <f>HLOOKUP($C138,PARAMETROS!$C$36:$F$38,3)*M138</f>
        <v>0</v>
      </c>
      <c r="L138" s="81">
        <f t="shared" si="50"/>
        <v>0</v>
      </c>
      <c r="M138" s="63">
        <f t="shared" si="51"/>
        <v>0</v>
      </c>
      <c r="N138" s="55"/>
      <c r="O138" s="609">
        <f>'PRECIOS UNITARIOS'!$Z90*CHIFFRAGE_TC!L138</f>
        <v>0</v>
      </c>
      <c r="P138" s="609">
        <f>'PRECIOS UNITARIOS'!$AA90*CHIFFRAGE_TC!L138</f>
        <v>0</v>
      </c>
      <c r="Q138" s="609">
        <f>'PRECIOS UNITARIOS'!$Z90*CHIFFRAGE_TC!M138</f>
        <v>0</v>
      </c>
      <c r="R138" s="609">
        <f>'PRECIOS UNITARIOS'!$AA90*CHIFFRAGE_TC!M138</f>
        <v>0</v>
      </c>
      <c r="S138" s="55"/>
      <c r="T138" s="387"/>
      <c r="U138" s="386">
        <v>0.25</v>
      </c>
      <c r="V138" s="386">
        <v>0.75</v>
      </c>
      <c r="W138" s="386"/>
      <c r="Y138" s="159"/>
    </row>
    <row r="139" spans="1:25" s="3" customFormat="1" outlineLevel="1" x14ac:dyDescent="0.25">
      <c r="A139" s="51"/>
      <c r="B139" s="495" t="str">
        <f t="shared" si="49"/>
        <v>Adecuacion urbana 
(demolicion, reconstruccion, mobiliario urbano, paisaje)</v>
      </c>
      <c r="C139" s="139" t="str">
        <f t="shared" si="49"/>
        <v>INFRA</v>
      </c>
      <c r="D139" s="928">
        <v>50</v>
      </c>
      <c r="E139" s="139" t="str">
        <f t="shared" si="49"/>
        <v>m2</v>
      </c>
      <c r="F139" s="139">
        <f t="shared" si="49"/>
        <v>527.02190099999984</v>
      </c>
      <c r="G139" s="631">
        <v>0</v>
      </c>
      <c r="H139" s="89">
        <f t="shared" si="52"/>
        <v>0</v>
      </c>
      <c r="I139" s="8"/>
      <c r="J139" s="623">
        <f>HLOOKUP($C139,PARAMETROS!$C$36:$F$38,3)*L139</f>
        <v>0</v>
      </c>
      <c r="K139" s="623">
        <f>HLOOKUP($C139,PARAMETROS!$C$36:$F$38,3)*M139</f>
        <v>0</v>
      </c>
      <c r="L139" s="81">
        <f t="shared" si="50"/>
        <v>0</v>
      </c>
      <c r="M139" s="63">
        <f t="shared" si="51"/>
        <v>0</v>
      </c>
      <c r="N139" s="55"/>
      <c r="O139" s="609">
        <f>'PRECIOS UNITARIOS'!$Z91*CHIFFRAGE_TC!L139</f>
        <v>0</v>
      </c>
      <c r="P139" s="609">
        <f>'PRECIOS UNITARIOS'!$AA91*CHIFFRAGE_TC!L139</f>
        <v>0</v>
      </c>
      <c r="Q139" s="609">
        <f>'PRECIOS UNITARIOS'!$Z91*CHIFFRAGE_TC!M139</f>
        <v>0</v>
      </c>
      <c r="R139" s="609">
        <f>'PRECIOS UNITARIOS'!$AA91*CHIFFRAGE_TC!M139</f>
        <v>0</v>
      </c>
      <c r="S139" s="55"/>
      <c r="T139" s="387"/>
      <c r="U139" s="386">
        <v>0.25</v>
      </c>
      <c r="V139" s="386">
        <v>0.25</v>
      </c>
      <c r="W139" s="386">
        <v>0.5</v>
      </c>
      <c r="Y139" s="159"/>
    </row>
    <row r="140" spans="1:25" s="3" customFormat="1" outlineLevel="1" x14ac:dyDescent="0.25">
      <c r="A140" s="51"/>
      <c r="B140" s="495" t="str">
        <f t="shared" si="49"/>
        <v>Pasarela</v>
      </c>
      <c r="C140" s="139" t="str">
        <f t="shared" si="49"/>
        <v>INFRA</v>
      </c>
      <c r="D140" s="928">
        <v>50</v>
      </c>
      <c r="E140" s="139" t="str">
        <f t="shared" si="49"/>
        <v>m2</v>
      </c>
      <c r="F140" s="139">
        <f t="shared" si="49"/>
        <v>1356.7676915624995</v>
      </c>
      <c r="G140" s="1004">
        <v>0</v>
      </c>
      <c r="H140" s="141">
        <f t="shared" si="52"/>
        <v>0</v>
      </c>
      <c r="I140" s="8"/>
      <c r="J140" s="623">
        <f>HLOOKUP($C140,PARAMETROS!$C$36:$F$38,3)*L140</f>
        <v>0</v>
      </c>
      <c r="K140" s="623">
        <f>HLOOKUP($C140,PARAMETROS!$C$36:$F$38,3)*M140</f>
        <v>0</v>
      </c>
      <c r="L140" s="116">
        <f t="shared" si="50"/>
        <v>0</v>
      </c>
      <c r="M140" s="117">
        <f t="shared" si="51"/>
        <v>0</v>
      </c>
      <c r="N140" s="55"/>
      <c r="O140" s="609">
        <f>'PRECIOS UNITARIOS'!$Z92*CHIFFRAGE_TC!L140</f>
        <v>0</v>
      </c>
      <c r="P140" s="609">
        <f>'PRECIOS UNITARIOS'!$AA92*CHIFFRAGE_TC!L140</f>
        <v>0</v>
      </c>
      <c r="Q140" s="609">
        <f>'PRECIOS UNITARIOS'!$Z92*CHIFFRAGE_TC!M140</f>
        <v>0</v>
      </c>
      <c r="R140" s="609">
        <f>'PRECIOS UNITARIOS'!$AA92*CHIFFRAGE_TC!M140</f>
        <v>0</v>
      </c>
      <c r="S140" s="55"/>
      <c r="T140" s="387"/>
      <c r="U140" s="386"/>
      <c r="V140" s="386"/>
      <c r="W140" s="386">
        <v>1</v>
      </c>
      <c r="Y140" s="159"/>
    </row>
    <row r="141" spans="1:25" s="3" customFormat="1" ht="15.6" x14ac:dyDescent="0.25">
      <c r="A141" s="51"/>
      <c r="B141" s="414" t="s">
        <v>82</v>
      </c>
      <c r="C141" s="318"/>
      <c r="D141" s="318"/>
      <c r="E141" s="318"/>
      <c r="F141" s="318"/>
      <c r="G141" s="393"/>
      <c r="H141" s="415"/>
      <c r="I141" s="8"/>
      <c r="J141" s="623"/>
      <c r="K141" s="623"/>
      <c r="L141" s="416">
        <f>SUM(L142:L151)</f>
        <v>0</v>
      </c>
      <c r="M141" s="417">
        <f>SUM(M142:M151)</f>
        <v>0</v>
      </c>
      <c r="N141" s="55"/>
      <c r="O141" s="612">
        <f>SUM(O142:O151)</f>
        <v>0</v>
      </c>
      <c r="P141" s="612">
        <f t="shared" ref="P141" si="53">SUM(P142:P151)</f>
        <v>0</v>
      </c>
      <c r="Q141" s="612">
        <f>SUM(Q142:Q151)</f>
        <v>0</v>
      </c>
      <c r="R141" s="612">
        <f t="shared" ref="R141" si="54">SUM(R142:R151)</f>
        <v>0</v>
      </c>
      <c r="S141" s="55"/>
      <c r="T141" s="420">
        <f>T130</f>
        <v>2015</v>
      </c>
      <c r="U141" s="420">
        <f>U130</f>
        <v>2016</v>
      </c>
      <c r="V141" s="420">
        <f>V130</f>
        <v>2017</v>
      </c>
      <c r="W141" s="420">
        <f>W130</f>
        <v>2018</v>
      </c>
      <c r="Y141" s="159"/>
    </row>
    <row r="142" spans="1:25" s="3" customFormat="1" outlineLevel="1" x14ac:dyDescent="0.25">
      <c r="A142" s="51"/>
      <c r="B142" s="495" t="str">
        <f t="shared" ref="B142:F151" si="55">B98</f>
        <v>Fundaciones tipicas 
(edificio con piso tierra y primer piso)</v>
      </c>
      <c r="C142" s="139" t="str">
        <f t="shared" si="55"/>
        <v>INFRA</v>
      </c>
      <c r="D142" s="928">
        <v>50</v>
      </c>
      <c r="E142" s="139" t="str">
        <f t="shared" si="55"/>
        <v>U</v>
      </c>
      <c r="F142" s="139">
        <f t="shared" si="55"/>
        <v>193746.42635512492</v>
      </c>
      <c r="G142" s="631">
        <v>0</v>
      </c>
      <c r="H142" s="88">
        <f>G142</f>
        <v>0</v>
      </c>
      <c r="I142" s="8"/>
      <c r="J142" s="623">
        <f>HLOOKUP($C142,PARAMETROS!$C$36:$F$38,3)*L142</f>
        <v>0</v>
      </c>
      <c r="K142" s="623">
        <f>HLOOKUP($C142,PARAMETROS!$C$36:$F$38,3)*M142</f>
        <v>0</v>
      </c>
      <c r="L142" s="81">
        <f t="shared" ref="L142:L151" si="56">$F142*G142</f>
        <v>0</v>
      </c>
      <c r="M142" s="63">
        <f t="shared" ref="M142:M151" si="57">$F142*H142</f>
        <v>0</v>
      </c>
      <c r="N142" s="55"/>
      <c r="O142" s="609">
        <f>'PRECIOS UNITARIOS'!$Z83*CHIFFRAGE_TC!L142</f>
        <v>0</v>
      </c>
      <c r="P142" s="609">
        <f>'PRECIOS UNITARIOS'!$AA83*CHIFFRAGE_TC!L142</f>
        <v>0</v>
      </c>
      <c r="Q142" s="609">
        <f>'PRECIOS UNITARIOS'!$Z83*CHIFFRAGE_TC!M142</f>
        <v>0</v>
      </c>
      <c r="R142" s="609">
        <f>'PRECIOS UNITARIOS'!$AA83*CHIFFRAGE_TC!M142</f>
        <v>0</v>
      </c>
      <c r="S142" s="55"/>
      <c r="T142" s="387"/>
      <c r="U142" s="386">
        <v>0.75</v>
      </c>
      <c r="V142" s="386">
        <v>0.25</v>
      </c>
      <c r="W142" s="386"/>
      <c r="Y142" s="159"/>
    </row>
    <row r="143" spans="1:25" s="3" customFormat="1" outlineLevel="1" x14ac:dyDescent="0.25">
      <c r="A143" s="51"/>
      <c r="B143" s="495" t="str">
        <f t="shared" si="55"/>
        <v>Piso tierra sobrelevado y fundaciones</v>
      </c>
      <c r="C143" s="139" t="str">
        <f t="shared" si="55"/>
        <v>INFRA</v>
      </c>
      <c r="D143" s="928">
        <v>50</v>
      </c>
      <c r="E143" s="139" t="str">
        <f t="shared" si="55"/>
        <v>m2</v>
      </c>
      <c r="F143" s="139">
        <f t="shared" si="55"/>
        <v>2170.8283064999991</v>
      </c>
      <c r="G143" s="1005">
        <v>0</v>
      </c>
      <c r="H143" s="89">
        <f>G143</f>
        <v>0</v>
      </c>
      <c r="I143" s="8"/>
      <c r="J143" s="623">
        <f>HLOOKUP($C143,PARAMETROS!$C$36:$F$38,3)*L143</f>
        <v>0</v>
      </c>
      <c r="K143" s="623">
        <f>HLOOKUP($C143,PARAMETROS!$C$36:$F$38,3)*M143</f>
        <v>0</v>
      </c>
      <c r="L143" s="81">
        <f t="shared" si="56"/>
        <v>0</v>
      </c>
      <c r="M143" s="63">
        <f t="shared" si="57"/>
        <v>0</v>
      </c>
      <c r="N143" s="55"/>
      <c r="O143" s="609">
        <f>'PRECIOS UNITARIOS'!$Z84*CHIFFRAGE_TC!L143</f>
        <v>0</v>
      </c>
      <c r="P143" s="609">
        <f>'PRECIOS UNITARIOS'!$AA84*CHIFFRAGE_TC!L143</f>
        <v>0</v>
      </c>
      <c r="Q143" s="609">
        <f>'PRECIOS UNITARIOS'!$Z84*CHIFFRAGE_TC!M143</f>
        <v>0</v>
      </c>
      <c r="R143" s="609">
        <f>'PRECIOS UNITARIOS'!$AA84*CHIFFRAGE_TC!M143</f>
        <v>0</v>
      </c>
      <c r="S143" s="55"/>
      <c r="T143" s="387"/>
      <c r="U143" s="386">
        <v>0.5</v>
      </c>
      <c r="V143" s="386">
        <v>0.5</v>
      </c>
      <c r="W143" s="386"/>
      <c r="Y143" s="159"/>
    </row>
    <row r="144" spans="1:25" s="3" customFormat="1" outlineLevel="1" x14ac:dyDescent="0.25">
      <c r="A144" s="51"/>
      <c r="B144" s="495" t="str">
        <f t="shared" si="55"/>
        <v>Superficies comerciales</v>
      </c>
      <c r="C144" s="139" t="str">
        <f t="shared" si="55"/>
        <v>INFRA</v>
      </c>
      <c r="D144" s="928">
        <v>50</v>
      </c>
      <c r="E144" s="139" t="str">
        <f t="shared" si="55"/>
        <v>m2</v>
      </c>
      <c r="F144" s="139">
        <f t="shared" si="55"/>
        <v>700.63483592287469</v>
      </c>
      <c r="G144" s="631">
        <v>0</v>
      </c>
      <c r="H144" s="89">
        <f t="shared" ref="H144:H151" si="58">G144</f>
        <v>0</v>
      </c>
      <c r="I144" s="8"/>
      <c r="J144" s="623">
        <f>HLOOKUP($C144,PARAMETROS!$C$36:$F$38,3)*L144</f>
        <v>0</v>
      </c>
      <c r="K144" s="623">
        <f>HLOOKUP($C144,PARAMETROS!$C$36:$F$38,3)*M144</f>
        <v>0</v>
      </c>
      <c r="L144" s="81">
        <f t="shared" si="56"/>
        <v>0</v>
      </c>
      <c r="M144" s="63">
        <f t="shared" si="57"/>
        <v>0</v>
      </c>
      <c r="N144" s="55"/>
      <c r="O144" s="609">
        <f>'PRECIOS UNITARIOS'!$Z85*CHIFFRAGE_TC!L144</f>
        <v>0</v>
      </c>
      <c r="P144" s="609">
        <f>'PRECIOS UNITARIOS'!$AA85*CHIFFRAGE_TC!L144</f>
        <v>0</v>
      </c>
      <c r="Q144" s="609">
        <f>'PRECIOS UNITARIOS'!$Z85*CHIFFRAGE_TC!M144</f>
        <v>0</v>
      </c>
      <c r="R144" s="609">
        <f>'PRECIOS UNITARIOS'!$AA85*CHIFFRAGE_TC!M144</f>
        <v>0</v>
      </c>
      <c r="S144" s="55"/>
      <c r="T144" s="387"/>
      <c r="U144" s="386">
        <v>0.25</v>
      </c>
      <c r="V144" s="386">
        <v>0.75</v>
      </c>
      <c r="W144" s="386"/>
      <c r="Y144" s="159"/>
    </row>
    <row r="145" spans="1:25" s="3" customFormat="1" outlineLevel="1" x14ac:dyDescent="0.25">
      <c r="A145" s="51"/>
      <c r="B145" s="495" t="str">
        <f t="shared" si="55"/>
        <v xml:space="preserve">Ingreso y circulaciones al piso tierra 
(y/c servicios, escaleras mecanicas, escaleras y ascencores) </v>
      </c>
      <c r="C145" s="139" t="str">
        <f t="shared" si="55"/>
        <v>INFRA</v>
      </c>
      <c r="D145" s="928">
        <v>40</v>
      </c>
      <c r="E145" s="139" t="str">
        <f t="shared" si="55"/>
        <v>m2</v>
      </c>
      <c r="F145" s="139">
        <f t="shared" si="55"/>
        <v>1838.5953731949994</v>
      </c>
      <c r="G145" s="631">
        <v>0</v>
      </c>
      <c r="H145" s="89">
        <f t="shared" si="58"/>
        <v>0</v>
      </c>
      <c r="I145" s="8"/>
      <c r="J145" s="623">
        <f>HLOOKUP($C145,PARAMETROS!$C$36:$F$38,3)*L145</f>
        <v>0</v>
      </c>
      <c r="K145" s="623">
        <f>HLOOKUP($C145,PARAMETROS!$C$36:$F$38,3)*M145</f>
        <v>0</v>
      </c>
      <c r="L145" s="81">
        <f t="shared" si="56"/>
        <v>0</v>
      </c>
      <c r="M145" s="63">
        <f t="shared" si="57"/>
        <v>0</v>
      </c>
      <c r="N145" s="55"/>
      <c r="O145" s="609">
        <f>'PRECIOS UNITARIOS'!$Z86*CHIFFRAGE_TC!L145</f>
        <v>0</v>
      </c>
      <c r="P145" s="609">
        <f>'PRECIOS UNITARIOS'!$AA86*CHIFFRAGE_TC!L145</f>
        <v>0</v>
      </c>
      <c r="Q145" s="609">
        <f>'PRECIOS UNITARIOS'!$Z86*CHIFFRAGE_TC!M145</f>
        <v>0</v>
      </c>
      <c r="R145" s="609">
        <f>'PRECIOS UNITARIOS'!$AA86*CHIFFRAGE_TC!M145</f>
        <v>0</v>
      </c>
      <c r="S145" s="55"/>
      <c r="T145" s="387"/>
      <c r="U145" s="386">
        <v>0.25</v>
      </c>
      <c r="V145" s="386">
        <v>0.75</v>
      </c>
      <c r="W145" s="386"/>
      <c r="Y145" s="159"/>
    </row>
    <row r="146" spans="1:25" s="3" customFormat="1" outlineLevel="1" x14ac:dyDescent="0.25">
      <c r="A146" s="51"/>
      <c r="B146" s="495" t="str">
        <f t="shared" si="55"/>
        <v>Escaleras mecanicas, escaleras y ascencores adicionales 
(piso tierra sobrelevado)</v>
      </c>
      <c r="C146" s="139" t="str">
        <f t="shared" si="55"/>
        <v>EQUIP</v>
      </c>
      <c r="D146" s="928">
        <v>15</v>
      </c>
      <c r="E146" s="139" t="str">
        <f t="shared" si="55"/>
        <v>U</v>
      </c>
      <c r="F146" s="139">
        <f t="shared" si="55"/>
        <v>373031.25</v>
      </c>
      <c r="G146" s="631">
        <v>0</v>
      </c>
      <c r="H146" s="89">
        <f t="shared" si="58"/>
        <v>0</v>
      </c>
      <c r="I146" s="8"/>
      <c r="J146" s="623">
        <f>HLOOKUP($C146,PARAMETROS!$C$36:$F$38,3)*L146</f>
        <v>0</v>
      </c>
      <c r="K146" s="623">
        <f>HLOOKUP($C146,PARAMETROS!$C$36:$F$38,3)*M146</f>
        <v>0</v>
      </c>
      <c r="L146" s="81">
        <f t="shared" si="56"/>
        <v>0</v>
      </c>
      <c r="M146" s="63">
        <f t="shared" si="57"/>
        <v>0</v>
      </c>
      <c r="N146" s="55"/>
      <c r="O146" s="609">
        <f>'PRECIOS UNITARIOS'!$Z87*CHIFFRAGE_TC!L146</f>
        <v>0</v>
      </c>
      <c r="P146" s="609">
        <f>'PRECIOS UNITARIOS'!$AA87*CHIFFRAGE_TC!L146</f>
        <v>0</v>
      </c>
      <c r="Q146" s="609">
        <f>'PRECIOS UNITARIOS'!$Z87*CHIFFRAGE_TC!M146</f>
        <v>0</v>
      </c>
      <c r="R146" s="609">
        <f>'PRECIOS UNITARIOS'!$AA87*CHIFFRAGE_TC!M146</f>
        <v>0</v>
      </c>
      <c r="S146" s="55"/>
      <c r="T146" s="387"/>
      <c r="U146" s="386">
        <v>0.25</v>
      </c>
      <c r="V146" s="386">
        <v>0.75</v>
      </c>
      <c r="W146" s="386"/>
      <c r="Y146" s="159"/>
    </row>
    <row r="147" spans="1:25" s="3" customFormat="1" outlineLevel="1" x14ac:dyDescent="0.25">
      <c r="A147" s="51"/>
      <c r="B147" s="495" t="str">
        <f t="shared" si="55"/>
        <v>Anden al primer piso</v>
      </c>
      <c r="C147" s="139" t="str">
        <f t="shared" si="55"/>
        <v>INFRA</v>
      </c>
      <c r="D147" s="928">
        <v>50</v>
      </c>
      <c r="E147" s="139" t="str">
        <f t="shared" si="55"/>
        <v>m2</v>
      </c>
      <c r="F147" s="139">
        <f t="shared" si="55"/>
        <v>1051.2236074226246</v>
      </c>
      <c r="G147" s="631">
        <v>0</v>
      </c>
      <c r="H147" s="89">
        <f t="shared" si="58"/>
        <v>0</v>
      </c>
      <c r="I147" s="8"/>
      <c r="J147" s="623">
        <f>HLOOKUP($C147,PARAMETROS!$C$36:$F$38,3)*L147</f>
        <v>0</v>
      </c>
      <c r="K147" s="623">
        <f>HLOOKUP($C147,PARAMETROS!$C$36:$F$38,3)*M147</f>
        <v>0</v>
      </c>
      <c r="L147" s="81">
        <f t="shared" si="56"/>
        <v>0</v>
      </c>
      <c r="M147" s="63">
        <f t="shared" si="57"/>
        <v>0</v>
      </c>
      <c r="N147" s="55"/>
      <c r="O147" s="609">
        <f>'PRECIOS UNITARIOS'!$Z88*CHIFFRAGE_TC!L147</f>
        <v>0</v>
      </c>
      <c r="P147" s="609">
        <f>'PRECIOS UNITARIOS'!$AA88*CHIFFRAGE_TC!L147</f>
        <v>0</v>
      </c>
      <c r="Q147" s="609">
        <f>'PRECIOS UNITARIOS'!$Z88*CHIFFRAGE_TC!M147</f>
        <v>0</v>
      </c>
      <c r="R147" s="609">
        <f>'PRECIOS UNITARIOS'!$AA88*CHIFFRAGE_TC!M147</f>
        <v>0</v>
      </c>
      <c r="S147" s="55"/>
      <c r="T147" s="387"/>
      <c r="U147" s="386">
        <v>0.25</v>
      </c>
      <c r="V147" s="386">
        <v>0.75</v>
      </c>
      <c r="W147" s="386"/>
      <c r="Y147" s="159"/>
    </row>
    <row r="148" spans="1:25" s="3" customFormat="1" outlineLevel="1" x14ac:dyDescent="0.25">
      <c r="A148" s="51"/>
      <c r="B148" s="495" t="str">
        <f t="shared" si="55"/>
        <v>Centro de mando + Locales tecnicos cubiertos</v>
      </c>
      <c r="C148" s="139" t="str">
        <f t="shared" si="55"/>
        <v>INFRA</v>
      </c>
      <c r="D148" s="928">
        <v>50</v>
      </c>
      <c r="E148" s="139" t="str">
        <f t="shared" si="55"/>
        <v>m2</v>
      </c>
      <c r="F148" s="139">
        <f t="shared" si="55"/>
        <v>1401.2696718457494</v>
      </c>
      <c r="G148" s="631">
        <v>0</v>
      </c>
      <c r="H148" s="89">
        <f t="shared" si="58"/>
        <v>0</v>
      </c>
      <c r="I148" s="8"/>
      <c r="J148" s="623">
        <f>HLOOKUP($C148,PARAMETROS!$C$36:$F$38,3)*L148</f>
        <v>0</v>
      </c>
      <c r="K148" s="623">
        <f>HLOOKUP($C148,PARAMETROS!$C$36:$F$38,3)*M148</f>
        <v>0</v>
      </c>
      <c r="L148" s="81">
        <f t="shared" si="56"/>
        <v>0</v>
      </c>
      <c r="M148" s="63">
        <f t="shared" si="57"/>
        <v>0</v>
      </c>
      <c r="N148" s="55"/>
      <c r="O148" s="609">
        <f>'PRECIOS UNITARIOS'!$Z89*CHIFFRAGE_TC!L148</f>
        <v>0</v>
      </c>
      <c r="P148" s="609">
        <f>'PRECIOS UNITARIOS'!$AA89*CHIFFRAGE_TC!L148</f>
        <v>0</v>
      </c>
      <c r="Q148" s="609">
        <f>'PRECIOS UNITARIOS'!$Z89*CHIFFRAGE_TC!M148</f>
        <v>0</v>
      </c>
      <c r="R148" s="609">
        <f>'PRECIOS UNITARIOS'!$AA89*CHIFFRAGE_TC!M148</f>
        <v>0</v>
      </c>
      <c r="S148" s="55"/>
      <c r="T148" s="387"/>
      <c r="U148" s="386">
        <v>0.25</v>
      </c>
      <c r="V148" s="386">
        <v>0.75</v>
      </c>
      <c r="W148" s="386"/>
      <c r="Y148" s="159"/>
    </row>
    <row r="149" spans="1:25" s="3" customFormat="1" outlineLevel="1" x14ac:dyDescent="0.25">
      <c r="A149" s="51"/>
      <c r="B149" s="495" t="str">
        <f t="shared" si="55"/>
        <v xml:space="preserve">Locales tecnicos non cerrados </v>
      </c>
      <c r="C149" s="139" t="str">
        <f t="shared" si="55"/>
        <v>INFRA</v>
      </c>
      <c r="D149" s="928">
        <v>50</v>
      </c>
      <c r="E149" s="139" t="str">
        <f t="shared" si="55"/>
        <v>m2</v>
      </c>
      <c r="F149" s="139">
        <f t="shared" si="55"/>
        <v>700.63483592287469</v>
      </c>
      <c r="G149" s="631">
        <v>0</v>
      </c>
      <c r="H149" s="89">
        <f t="shared" si="58"/>
        <v>0</v>
      </c>
      <c r="I149" s="8"/>
      <c r="J149" s="623">
        <f>HLOOKUP($C149,PARAMETROS!$C$36:$F$38,3)*L149</f>
        <v>0</v>
      </c>
      <c r="K149" s="623">
        <f>HLOOKUP($C149,PARAMETROS!$C$36:$F$38,3)*M149</f>
        <v>0</v>
      </c>
      <c r="L149" s="81">
        <f t="shared" si="56"/>
        <v>0</v>
      </c>
      <c r="M149" s="63">
        <f t="shared" si="57"/>
        <v>0</v>
      </c>
      <c r="N149" s="55"/>
      <c r="O149" s="609">
        <f>'PRECIOS UNITARIOS'!$Z90*CHIFFRAGE_TC!L149</f>
        <v>0</v>
      </c>
      <c r="P149" s="609">
        <f>'PRECIOS UNITARIOS'!$AA90*CHIFFRAGE_TC!L149</f>
        <v>0</v>
      </c>
      <c r="Q149" s="609">
        <f>'PRECIOS UNITARIOS'!$Z90*CHIFFRAGE_TC!M149</f>
        <v>0</v>
      </c>
      <c r="R149" s="609">
        <f>'PRECIOS UNITARIOS'!$AA90*CHIFFRAGE_TC!M149</f>
        <v>0</v>
      </c>
      <c r="S149" s="55"/>
      <c r="T149" s="387"/>
      <c r="U149" s="386">
        <v>0.25</v>
      </c>
      <c r="V149" s="386">
        <v>0.75</v>
      </c>
      <c r="W149" s="386"/>
      <c r="Y149" s="159"/>
    </row>
    <row r="150" spans="1:25" s="3" customFormat="1" outlineLevel="1" x14ac:dyDescent="0.25">
      <c r="A150" s="51"/>
      <c r="B150" s="495" t="str">
        <f t="shared" si="55"/>
        <v>Adecuacion urbana 
(demolicion, reconstruccion, mobiliario urbano, paisaje)</v>
      </c>
      <c r="C150" s="139" t="str">
        <f t="shared" si="55"/>
        <v>INFRA</v>
      </c>
      <c r="D150" s="928">
        <v>50</v>
      </c>
      <c r="E150" s="139" t="str">
        <f t="shared" si="55"/>
        <v>m2</v>
      </c>
      <c r="F150" s="139">
        <f t="shared" si="55"/>
        <v>527.02190099999984</v>
      </c>
      <c r="G150" s="1005">
        <v>0</v>
      </c>
      <c r="H150" s="89">
        <f t="shared" si="58"/>
        <v>0</v>
      </c>
      <c r="I150" s="8"/>
      <c r="J150" s="623">
        <f>HLOOKUP($C150,PARAMETROS!$C$36:$F$38,3)*L150</f>
        <v>0</v>
      </c>
      <c r="K150" s="623">
        <f>HLOOKUP($C150,PARAMETROS!$C$36:$F$38,3)*M150</f>
        <v>0</v>
      </c>
      <c r="L150" s="81">
        <f t="shared" si="56"/>
        <v>0</v>
      </c>
      <c r="M150" s="63">
        <f t="shared" si="57"/>
        <v>0</v>
      </c>
      <c r="N150" s="55"/>
      <c r="O150" s="609">
        <f>'PRECIOS UNITARIOS'!$Z91*CHIFFRAGE_TC!L150</f>
        <v>0</v>
      </c>
      <c r="P150" s="609">
        <f>'PRECIOS UNITARIOS'!$AA91*CHIFFRAGE_TC!L150</f>
        <v>0</v>
      </c>
      <c r="Q150" s="609">
        <f>'PRECIOS UNITARIOS'!$Z91*CHIFFRAGE_TC!M150</f>
        <v>0</v>
      </c>
      <c r="R150" s="609">
        <f>'PRECIOS UNITARIOS'!$AA91*CHIFFRAGE_TC!M150</f>
        <v>0</v>
      </c>
      <c r="S150" s="55"/>
      <c r="T150" s="387"/>
      <c r="U150" s="386">
        <v>0.25</v>
      </c>
      <c r="V150" s="386">
        <v>0.25</v>
      </c>
      <c r="W150" s="386">
        <v>0.5</v>
      </c>
      <c r="Y150" s="159"/>
    </row>
    <row r="151" spans="1:25" s="3" customFormat="1" outlineLevel="1" x14ac:dyDescent="0.25">
      <c r="A151" s="51"/>
      <c r="B151" s="495" t="str">
        <f t="shared" si="55"/>
        <v>Pasarela</v>
      </c>
      <c r="C151" s="139" t="str">
        <f t="shared" si="55"/>
        <v>INFRA</v>
      </c>
      <c r="D151" s="928">
        <v>50</v>
      </c>
      <c r="E151" s="139" t="str">
        <f t="shared" si="55"/>
        <v>m2</v>
      </c>
      <c r="F151" s="139">
        <f t="shared" si="55"/>
        <v>1356.7676915624995</v>
      </c>
      <c r="G151" s="1004">
        <v>0</v>
      </c>
      <c r="H151" s="89">
        <f t="shared" si="58"/>
        <v>0</v>
      </c>
      <c r="I151" s="8"/>
      <c r="J151" s="623">
        <f>HLOOKUP($C151,PARAMETROS!$C$36:$F$38,3)*L151</f>
        <v>0</v>
      </c>
      <c r="K151" s="623">
        <f>HLOOKUP($C151,PARAMETROS!$C$36:$F$38,3)*M151</f>
        <v>0</v>
      </c>
      <c r="L151" s="116">
        <f t="shared" si="56"/>
        <v>0</v>
      </c>
      <c r="M151" s="117">
        <f t="shared" si="57"/>
        <v>0</v>
      </c>
      <c r="N151" s="55"/>
      <c r="O151" s="609">
        <f>'PRECIOS UNITARIOS'!$Z92*CHIFFRAGE_TC!L151</f>
        <v>0</v>
      </c>
      <c r="P151" s="609">
        <f>'PRECIOS UNITARIOS'!$AA92*CHIFFRAGE_TC!L151</f>
        <v>0</v>
      </c>
      <c r="Q151" s="609">
        <f>'PRECIOS UNITARIOS'!$Z92*CHIFFRAGE_TC!M151</f>
        <v>0</v>
      </c>
      <c r="R151" s="609">
        <f>'PRECIOS UNITARIOS'!$AA92*CHIFFRAGE_TC!M151</f>
        <v>0</v>
      </c>
      <c r="S151" s="55"/>
      <c r="T151" s="387"/>
      <c r="U151" s="386"/>
      <c r="V151" s="386"/>
      <c r="W151" s="386">
        <v>1</v>
      </c>
      <c r="Y151" s="159"/>
    </row>
    <row r="152" spans="1:25" s="3" customFormat="1" ht="15.6" x14ac:dyDescent="0.25">
      <c r="A152" s="51"/>
      <c r="B152" s="414" t="s">
        <v>108</v>
      </c>
      <c r="C152" s="318"/>
      <c r="D152" s="318"/>
      <c r="E152" s="318"/>
      <c r="F152" s="318"/>
      <c r="G152" s="393"/>
      <c r="H152" s="415"/>
      <c r="I152" s="8"/>
      <c r="J152" s="623"/>
      <c r="K152" s="623"/>
      <c r="L152" s="416">
        <f>SUM(L153:L162)</f>
        <v>7284142.1402764134</v>
      </c>
      <c r="M152" s="417">
        <f>SUM(M153:M162)</f>
        <v>7284142.1402764134</v>
      </c>
      <c r="N152" s="55"/>
      <c r="O152" s="612">
        <f>SUM(O153:O162)</f>
        <v>5817477.5373205394</v>
      </c>
      <c r="P152" s="612">
        <f t="shared" ref="P152" si="59">SUM(P153:P162)</f>
        <v>1466664.6029558743</v>
      </c>
      <c r="Q152" s="612">
        <f>SUM(Q153:Q162)</f>
        <v>5817477.5373205394</v>
      </c>
      <c r="R152" s="612">
        <f t="shared" ref="R152" si="60">SUM(R153:R162)</f>
        <v>1466664.6029558743</v>
      </c>
      <c r="S152" s="55"/>
      <c r="T152" s="420">
        <f>T141</f>
        <v>2015</v>
      </c>
      <c r="U152" s="420">
        <f>U141</f>
        <v>2016</v>
      </c>
      <c r="V152" s="420">
        <f>V141</f>
        <v>2017</v>
      </c>
      <c r="W152" s="420">
        <f>W141</f>
        <v>2018</v>
      </c>
      <c r="Y152" s="159"/>
    </row>
    <row r="153" spans="1:25" s="3" customFormat="1" outlineLevel="1" x14ac:dyDescent="0.25">
      <c r="A153" s="51"/>
      <c r="B153" s="495" t="str">
        <f t="shared" ref="B153:F162" si="61">B98</f>
        <v>Fundaciones tipicas 
(edificio con piso tierra y primer piso)</v>
      </c>
      <c r="C153" s="139" t="str">
        <f t="shared" si="61"/>
        <v>INFRA</v>
      </c>
      <c r="D153" s="928">
        <v>50</v>
      </c>
      <c r="E153" s="139" t="str">
        <f t="shared" si="61"/>
        <v>U</v>
      </c>
      <c r="F153" s="156">
        <f t="shared" si="61"/>
        <v>193746.42635512492</v>
      </c>
      <c r="G153" s="631">
        <v>0</v>
      </c>
      <c r="H153" s="88">
        <f t="shared" ref="H153:H162" si="62">G153</f>
        <v>0</v>
      </c>
      <c r="I153" s="8"/>
      <c r="J153" s="623">
        <f>HLOOKUP($C153,PARAMETROS!$C$36:$F$38,3)*L153</f>
        <v>0</v>
      </c>
      <c r="K153" s="623">
        <f>HLOOKUP($C153,PARAMETROS!$C$36:$F$38,3)*M153</f>
        <v>0</v>
      </c>
      <c r="L153" s="81">
        <f t="shared" ref="L153:L162" si="63">$F153*G153</f>
        <v>0</v>
      </c>
      <c r="M153" s="63">
        <f t="shared" ref="M153:M162" si="64">$F153*H153</f>
        <v>0</v>
      </c>
      <c r="N153" s="55"/>
      <c r="O153" s="609">
        <f>'PRECIOS UNITARIOS'!$Z83*CHIFFRAGE_TC!L153</f>
        <v>0</v>
      </c>
      <c r="P153" s="609">
        <f>'PRECIOS UNITARIOS'!$AA83*CHIFFRAGE_TC!L153</f>
        <v>0</v>
      </c>
      <c r="Q153" s="609">
        <f>'PRECIOS UNITARIOS'!$Z83*CHIFFRAGE_TC!M153</f>
        <v>0</v>
      </c>
      <c r="R153" s="609">
        <f>'PRECIOS UNITARIOS'!$AA83*CHIFFRAGE_TC!M153</f>
        <v>0</v>
      </c>
      <c r="S153" s="55"/>
      <c r="T153" s="387"/>
      <c r="U153" s="386">
        <v>0.75</v>
      </c>
      <c r="V153" s="386">
        <v>0.25</v>
      </c>
      <c r="W153" s="386"/>
      <c r="Y153" s="159"/>
    </row>
    <row r="154" spans="1:25" s="3" customFormat="1" outlineLevel="1" x14ac:dyDescent="0.25">
      <c r="A154" s="51"/>
      <c r="B154" s="495" t="str">
        <f t="shared" si="61"/>
        <v>Piso tierra sobrelevado y fundaciones</v>
      </c>
      <c r="C154" s="139" t="str">
        <f t="shared" si="61"/>
        <v>INFRA</v>
      </c>
      <c r="D154" s="928">
        <v>50</v>
      </c>
      <c r="E154" s="139" t="str">
        <f t="shared" si="61"/>
        <v>m2</v>
      </c>
      <c r="F154" s="156">
        <f t="shared" si="61"/>
        <v>2170.8283064999991</v>
      </c>
      <c r="G154" s="80">
        <f>(G155+G156+G158+G159+G160)/2</f>
        <v>1165</v>
      </c>
      <c r="H154" s="88">
        <f t="shared" si="62"/>
        <v>1165</v>
      </c>
      <c r="I154" s="8"/>
      <c r="J154" s="623">
        <f>HLOOKUP($C154,PARAMETROS!$C$36:$F$38,3)*L154</f>
        <v>632253.74426812481</v>
      </c>
      <c r="K154" s="623">
        <f>HLOOKUP($C154,PARAMETROS!$C$36:$F$38,3)*M154</f>
        <v>632253.74426812481</v>
      </c>
      <c r="L154" s="81">
        <f t="shared" si="63"/>
        <v>2529014.9770724992</v>
      </c>
      <c r="M154" s="63">
        <f t="shared" si="64"/>
        <v>2529014.9770724992</v>
      </c>
      <c r="N154" s="55"/>
      <c r="O154" s="609">
        <f>'PRECIOS UNITARIOS'!$Z84*CHIFFRAGE_TC!L154</f>
        <v>2041728.8543224991</v>
      </c>
      <c r="P154" s="609">
        <f>'PRECIOS UNITARIOS'!$AA84*CHIFFRAGE_TC!L154</f>
        <v>487286.1227500001</v>
      </c>
      <c r="Q154" s="609">
        <f>'PRECIOS UNITARIOS'!$Z84*CHIFFRAGE_TC!M154</f>
        <v>2041728.8543224991</v>
      </c>
      <c r="R154" s="609">
        <f>'PRECIOS UNITARIOS'!$AA84*CHIFFRAGE_TC!M154</f>
        <v>487286.1227500001</v>
      </c>
      <c r="S154" s="55"/>
      <c r="T154" s="387"/>
      <c r="U154" s="386">
        <v>0.5</v>
      </c>
      <c r="V154" s="386">
        <v>0.5</v>
      </c>
      <c r="W154" s="386"/>
      <c r="Y154" s="159"/>
    </row>
    <row r="155" spans="1:25" s="3" customFormat="1" outlineLevel="1" x14ac:dyDescent="0.25">
      <c r="A155" s="51"/>
      <c r="B155" s="495" t="str">
        <f t="shared" si="61"/>
        <v>Superficies comerciales</v>
      </c>
      <c r="C155" s="139" t="str">
        <f t="shared" si="61"/>
        <v>INFRA</v>
      </c>
      <c r="D155" s="928">
        <v>50</v>
      </c>
      <c r="E155" s="139" t="str">
        <f t="shared" si="61"/>
        <v>m2</v>
      </c>
      <c r="F155" s="156">
        <f t="shared" si="61"/>
        <v>700.63483592287469</v>
      </c>
      <c r="G155" s="631">
        <v>500</v>
      </c>
      <c r="H155" s="88">
        <f t="shared" si="62"/>
        <v>500</v>
      </c>
      <c r="I155" s="8"/>
      <c r="J155" s="623">
        <f>HLOOKUP($C155,PARAMETROS!$C$36:$F$38,3)*L155</f>
        <v>87579.354490359343</v>
      </c>
      <c r="K155" s="623">
        <f>HLOOKUP($C155,PARAMETROS!$C$36:$F$38,3)*M155</f>
        <v>87579.354490359343</v>
      </c>
      <c r="L155" s="81">
        <f t="shared" si="63"/>
        <v>350317.41796143737</v>
      </c>
      <c r="M155" s="63">
        <f t="shared" si="64"/>
        <v>350317.41796143737</v>
      </c>
      <c r="N155" s="55"/>
      <c r="O155" s="609">
        <f>'PRECIOS UNITARIOS'!$Z85*CHIFFRAGE_TC!L155</f>
        <v>282818.87885518739</v>
      </c>
      <c r="P155" s="609">
        <f>'PRECIOS UNITARIOS'!$AA85*CHIFFRAGE_TC!L155</f>
        <v>67498.539106249969</v>
      </c>
      <c r="Q155" s="609">
        <f>'PRECIOS UNITARIOS'!$Z85*CHIFFRAGE_TC!M155</f>
        <v>282818.87885518739</v>
      </c>
      <c r="R155" s="609">
        <f>'PRECIOS UNITARIOS'!$AA85*CHIFFRAGE_TC!M155</f>
        <v>67498.539106249969</v>
      </c>
      <c r="S155" s="55"/>
      <c r="T155" s="387"/>
      <c r="U155" s="386">
        <v>0.25</v>
      </c>
      <c r="V155" s="386">
        <v>0.75</v>
      </c>
      <c r="W155" s="386"/>
      <c r="Y155" s="159"/>
    </row>
    <row r="156" spans="1:25" s="3" customFormat="1" outlineLevel="1" x14ac:dyDescent="0.25">
      <c r="A156" s="51"/>
      <c r="B156" s="495" t="str">
        <f t="shared" si="61"/>
        <v xml:space="preserve">Ingreso y circulaciones al piso tierra 
(y/c servicios, escaleras mecanicas, escaleras y ascencores) </v>
      </c>
      <c r="C156" s="139" t="str">
        <f t="shared" si="61"/>
        <v>INFRA</v>
      </c>
      <c r="D156" s="928">
        <v>40</v>
      </c>
      <c r="E156" s="139" t="str">
        <f t="shared" si="61"/>
        <v>m2</v>
      </c>
      <c r="F156" s="156">
        <f t="shared" si="61"/>
        <v>1838.5953731949994</v>
      </c>
      <c r="G156" s="631">
        <v>900</v>
      </c>
      <c r="H156" s="88">
        <f t="shared" si="62"/>
        <v>900</v>
      </c>
      <c r="I156" s="8"/>
      <c r="J156" s="623">
        <f>HLOOKUP($C156,PARAMETROS!$C$36:$F$38,3)*L156</f>
        <v>413683.95896887488</v>
      </c>
      <c r="K156" s="623">
        <f>HLOOKUP($C156,PARAMETROS!$C$36:$F$38,3)*M156</f>
        <v>413683.95896887488</v>
      </c>
      <c r="L156" s="81">
        <f t="shared" si="63"/>
        <v>1654735.8358754995</v>
      </c>
      <c r="M156" s="63">
        <f t="shared" si="64"/>
        <v>1654735.8358754995</v>
      </c>
      <c r="N156" s="55"/>
      <c r="O156" s="609">
        <f>'PRECIOS UNITARIOS'!$Z86*CHIFFRAGE_TC!L156</f>
        <v>1293161.1673679999</v>
      </c>
      <c r="P156" s="609">
        <f>'PRECIOS UNITARIOS'!$AA86*CHIFFRAGE_TC!L156</f>
        <v>361574.66850749962</v>
      </c>
      <c r="Q156" s="609">
        <f>'PRECIOS UNITARIOS'!$Z86*CHIFFRAGE_TC!M156</f>
        <v>1293161.1673679999</v>
      </c>
      <c r="R156" s="609">
        <f>'PRECIOS UNITARIOS'!$AA86*CHIFFRAGE_TC!M156</f>
        <v>361574.66850749962</v>
      </c>
      <c r="S156" s="55"/>
      <c r="T156" s="387"/>
      <c r="U156" s="386">
        <v>0.25</v>
      </c>
      <c r="V156" s="386">
        <v>0.75</v>
      </c>
      <c r="W156" s="386"/>
      <c r="Y156" s="159"/>
    </row>
    <row r="157" spans="1:25" s="3" customFormat="1" outlineLevel="1" x14ac:dyDescent="0.25">
      <c r="A157" s="51"/>
      <c r="B157" s="495" t="str">
        <f t="shared" si="61"/>
        <v>Escaleras mecanicas, escaleras y ascencores adicionales 
(piso tierra sobrelevado)</v>
      </c>
      <c r="C157" s="139" t="str">
        <f t="shared" si="61"/>
        <v>EQUIP</v>
      </c>
      <c r="D157" s="928">
        <v>15</v>
      </c>
      <c r="E157" s="139" t="str">
        <f t="shared" si="61"/>
        <v>U</v>
      </c>
      <c r="F157" s="156">
        <f t="shared" si="61"/>
        <v>373031.25</v>
      </c>
      <c r="G157" s="631">
        <v>1</v>
      </c>
      <c r="H157" s="88">
        <f t="shared" si="62"/>
        <v>1</v>
      </c>
      <c r="I157" s="8"/>
      <c r="J157" s="623">
        <f>HLOOKUP($C157,PARAMETROS!$C$36:$F$38,3)*L157</f>
        <v>93257.8125</v>
      </c>
      <c r="K157" s="623">
        <f>HLOOKUP($C157,PARAMETROS!$C$36:$F$38,3)*M157</f>
        <v>93257.8125</v>
      </c>
      <c r="L157" s="81">
        <f t="shared" si="63"/>
        <v>373031.25</v>
      </c>
      <c r="M157" s="63">
        <f t="shared" si="64"/>
        <v>373031.25</v>
      </c>
      <c r="N157" s="55"/>
      <c r="O157" s="609">
        <f>'PRECIOS UNITARIOS'!$Z87*CHIFFRAGE_TC!L157</f>
        <v>301156.25</v>
      </c>
      <c r="P157" s="609">
        <f>'PRECIOS UNITARIOS'!$AA87*CHIFFRAGE_TC!L157</f>
        <v>71874.999999999985</v>
      </c>
      <c r="Q157" s="609">
        <f>'PRECIOS UNITARIOS'!$Z87*CHIFFRAGE_TC!M157</f>
        <v>301156.25</v>
      </c>
      <c r="R157" s="609">
        <f>'PRECIOS UNITARIOS'!$AA87*CHIFFRAGE_TC!M157</f>
        <v>71874.999999999985</v>
      </c>
      <c r="S157" s="55"/>
      <c r="T157" s="387"/>
      <c r="U157" s="386">
        <v>0.25</v>
      </c>
      <c r="V157" s="386">
        <v>0.75</v>
      </c>
      <c r="W157" s="386"/>
      <c r="Y157" s="159"/>
    </row>
    <row r="158" spans="1:25" s="3" customFormat="1" outlineLevel="1" x14ac:dyDescent="0.25">
      <c r="A158" s="51"/>
      <c r="B158" s="495" t="str">
        <f t="shared" si="61"/>
        <v>Anden al primer piso</v>
      </c>
      <c r="C158" s="139" t="str">
        <f t="shared" si="61"/>
        <v>INFRA</v>
      </c>
      <c r="D158" s="928">
        <v>50</v>
      </c>
      <c r="E158" s="139" t="str">
        <f t="shared" si="61"/>
        <v>m2</v>
      </c>
      <c r="F158" s="156">
        <f t="shared" si="61"/>
        <v>1051.2236074226246</v>
      </c>
      <c r="G158" s="631">
        <v>500</v>
      </c>
      <c r="H158" s="88">
        <f t="shared" si="62"/>
        <v>500</v>
      </c>
      <c r="I158" s="8"/>
      <c r="J158" s="623">
        <f>HLOOKUP($C158,PARAMETROS!$C$36:$F$38,3)*L158</f>
        <v>131402.95092782806</v>
      </c>
      <c r="K158" s="623">
        <f>HLOOKUP($C158,PARAMETROS!$C$36:$F$38,3)*M158</f>
        <v>131402.95092782806</v>
      </c>
      <c r="L158" s="81">
        <f t="shared" si="63"/>
        <v>525611.80371131224</v>
      </c>
      <c r="M158" s="63">
        <f t="shared" si="64"/>
        <v>525611.80371131224</v>
      </c>
      <c r="N158" s="55"/>
      <c r="O158" s="609">
        <f>'PRECIOS UNITARIOS'!$Z88*CHIFFRAGE_TC!L158</f>
        <v>424337.85309256229</v>
      </c>
      <c r="P158" s="609">
        <f>'PRECIOS UNITARIOS'!$AA88*CHIFFRAGE_TC!L158</f>
        <v>101273.95061874994</v>
      </c>
      <c r="Q158" s="609">
        <f>'PRECIOS UNITARIOS'!$Z88*CHIFFRAGE_TC!M158</f>
        <v>424337.85309256229</v>
      </c>
      <c r="R158" s="609">
        <f>'PRECIOS UNITARIOS'!$AA88*CHIFFRAGE_TC!M158</f>
        <v>101273.95061874994</v>
      </c>
      <c r="S158" s="55"/>
      <c r="T158" s="387"/>
      <c r="U158" s="386">
        <v>0.25</v>
      </c>
      <c r="V158" s="386">
        <v>0.75</v>
      </c>
      <c r="W158" s="386"/>
      <c r="Y158" s="159"/>
    </row>
    <row r="159" spans="1:25" s="3" customFormat="1" outlineLevel="1" x14ac:dyDescent="0.25">
      <c r="A159" s="51"/>
      <c r="B159" s="495" t="str">
        <f t="shared" si="61"/>
        <v>Centro de mando + Locales tecnicos cubiertos</v>
      </c>
      <c r="C159" s="139" t="str">
        <f t="shared" si="61"/>
        <v>INFRA</v>
      </c>
      <c r="D159" s="928">
        <v>50</v>
      </c>
      <c r="E159" s="139" t="str">
        <f t="shared" si="61"/>
        <v>m2</v>
      </c>
      <c r="F159" s="156">
        <f t="shared" si="61"/>
        <v>1401.2696718457494</v>
      </c>
      <c r="G159" s="631">
        <v>80</v>
      </c>
      <c r="H159" s="88">
        <f t="shared" si="62"/>
        <v>80</v>
      </c>
      <c r="I159" s="8"/>
      <c r="J159" s="623">
        <f>HLOOKUP($C159,PARAMETROS!$C$36:$F$38,3)*L159</f>
        <v>28025.393436914987</v>
      </c>
      <c r="K159" s="623">
        <f>HLOOKUP($C159,PARAMETROS!$C$36:$F$38,3)*M159</f>
        <v>28025.393436914987</v>
      </c>
      <c r="L159" s="81">
        <f t="shared" si="63"/>
        <v>112101.57374765995</v>
      </c>
      <c r="M159" s="63">
        <f t="shared" si="64"/>
        <v>112101.57374765995</v>
      </c>
      <c r="N159" s="55"/>
      <c r="O159" s="609">
        <f>'PRECIOS UNITARIOS'!$Z89*CHIFFRAGE_TC!L159</f>
        <v>90502.041233659955</v>
      </c>
      <c r="P159" s="609">
        <f>'PRECIOS UNITARIOS'!$AA89*CHIFFRAGE_TC!L159</f>
        <v>21599.532513999988</v>
      </c>
      <c r="Q159" s="609">
        <f>'PRECIOS UNITARIOS'!$Z89*CHIFFRAGE_TC!M159</f>
        <v>90502.041233659955</v>
      </c>
      <c r="R159" s="609">
        <f>'PRECIOS UNITARIOS'!$AA89*CHIFFRAGE_TC!M159</f>
        <v>21599.532513999988</v>
      </c>
      <c r="S159" s="55"/>
      <c r="T159" s="387"/>
      <c r="U159" s="386">
        <v>0.25</v>
      </c>
      <c r="V159" s="386">
        <v>0.75</v>
      </c>
      <c r="W159" s="386"/>
      <c r="Y159" s="159"/>
    </row>
    <row r="160" spans="1:25" s="3" customFormat="1" outlineLevel="1" x14ac:dyDescent="0.25">
      <c r="A160" s="51"/>
      <c r="B160" s="495" t="str">
        <f t="shared" si="61"/>
        <v xml:space="preserve">Locales tecnicos non cerrados </v>
      </c>
      <c r="C160" s="139" t="str">
        <f t="shared" si="61"/>
        <v>INFRA</v>
      </c>
      <c r="D160" s="928">
        <v>50</v>
      </c>
      <c r="E160" s="139" t="str">
        <f t="shared" si="61"/>
        <v>m2</v>
      </c>
      <c r="F160" s="156">
        <f t="shared" si="61"/>
        <v>700.63483592287469</v>
      </c>
      <c r="G160" s="631">
        <v>350</v>
      </c>
      <c r="H160" s="88">
        <f t="shared" si="62"/>
        <v>350</v>
      </c>
      <c r="I160" s="8"/>
      <c r="J160" s="623">
        <f>HLOOKUP($C160,PARAMETROS!$C$36:$F$38,3)*L160</f>
        <v>61305.548143251537</v>
      </c>
      <c r="K160" s="623">
        <f>HLOOKUP($C160,PARAMETROS!$C$36:$F$38,3)*M160</f>
        <v>61305.548143251537</v>
      </c>
      <c r="L160" s="81">
        <f t="shared" si="63"/>
        <v>245222.19257300615</v>
      </c>
      <c r="M160" s="63">
        <f t="shared" si="64"/>
        <v>245222.19257300615</v>
      </c>
      <c r="N160" s="55"/>
      <c r="O160" s="609">
        <f>'PRECIOS UNITARIOS'!$Z90*CHIFFRAGE_TC!L160</f>
        <v>197973.21519863117</v>
      </c>
      <c r="P160" s="609">
        <f>'PRECIOS UNITARIOS'!$AA90*CHIFFRAGE_TC!L160</f>
        <v>47248.977374374976</v>
      </c>
      <c r="Q160" s="609">
        <f>'PRECIOS UNITARIOS'!$Z90*CHIFFRAGE_TC!M160</f>
        <v>197973.21519863117</v>
      </c>
      <c r="R160" s="609">
        <f>'PRECIOS UNITARIOS'!$AA90*CHIFFRAGE_TC!M160</f>
        <v>47248.977374374976</v>
      </c>
      <c r="S160" s="55"/>
      <c r="T160" s="387"/>
      <c r="U160" s="386">
        <v>0.25</v>
      </c>
      <c r="V160" s="386">
        <v>0.75</v>
      </c>
      <c r="W160" s="386"/>
      <c r="Y160" s="159"/>
    </row>
    <row r="161" spans="1:25" s="3" customFormat="1" outlineLevel="1" x14ac:dyDescent="0.25">
      <c r="A161" s="51"/>
      <c r="B161" s="495" t="str">
        <f t="shared" si="61"/>
        <v>Adecuacion urbana 
(demolicion, reconstruccion, mobiliario urbano, paisaje)</v>
      </c>
      <c r="C161" s="139" t="str">
        <f t="shared" si="61"/>
        <v>INFRA</v>
      </c>
      <c r="D161" s="928">
        <v>50</v>
      </c>
      <c r="E161" s="139" t="str">
        <f t="shared" si="61"/>
        <v>m2</v>
      </c>
      <c r="F161" s="156">
        <f t="shared" si="61"/>
        <v>527.02190099999984</v>
      </c>
      <c r="G161" s="631">
        <f>4000-(G155+G156+G158+G159+G160)/2</f>
        <v>2835</v>
      </c>
      <c r="H161" s="88">
        <f t="shared" si="62"/>
        <v>2835</v>
      </c>
      <c r="I161" s="8"/>
      <c r="J161" s="623">
        <f>HLOOKUP($C161,PARAMETROS!$C$36:$F$38,3)*L161</f>
        <v>373526.77233374986</v>
      </c>
      <c r="K161" s="623">
        <f>HLOOKUP($C161,PARAMETROS!$C$36:$F$38,3)*M161</f>
        <v>373526.77233374986</v>
      </c>
      <c r="L161" s="81">
        <f t="shared" si="63"/>
        <v>1494107.0893349994</v>
      </c>
      <c r="M161" s="63">
        <f t="shared" si="64"/>
        <v>1494107.0893349994</v>
      </c>
      <c r="N161" s="55"/>
      <c r="O161" s="609">
        <f>'PRECIOS UNITARIOS'!$Z91*CHIFFRAGE_TC!L161</f>
        <v>1185799.2772499996</v>
      </c>
      <c r="P161" s="609">
        <f>'PRECIOS UNITARIOS'!$AA91*CHIFFRAGE_TC!L161</f>
        <v>308307.81208499992</v>
      </c>
      <c r="Q161" s="609">
        <f>'PRECIOS UNITARIOS'!$Z91*CHIFFRAGE_TC!M161</f>
        <v>1185799.2772499996</v>
      </c>
      <c r="R161" s="609">
        <f>'PRECIOS UNITARIOS'!$AA91*CHIFFRAGE_TC!M161</f>
        <v>308307.81208499992</v>
      </c>
      <c r="S161" s="55"/>
      <c r="T161" s="387"/>
      <c r="U161" s="386">
        <v>0.25</v>
      </c>
      <c r="V161" s="386">
        <v>0.25</v>
      </c>
      <c r="W161" s="386">
        <v>0.5</v>
      </c>
      <c r="Y161" s="159"/>
    </row>
    <row r="162" spans="1:25" s="3" customFormat="1" outlineLevel="1" x14ac:dyDescent="0.25">
      <c r="A162" s="51"/>
      <c r="B162" s="495" t="str">
        <f t="shared" si="61"/>
        <v>Pasarela</v>
      </c>
      <c r="C162" s="139" t="str">
        <f t="shared" si="61"/>
        <v>INFRA</v>
      </c>
      <c r="D162" s="928">
        <v>50</v>
      </c>
      <c r="E162" s="139" t="str">
        <f t="shared" si="61"/>
        <v>m2</v>
      </c>
      <c r="F162" s="156">
        <f t="shared" si="61"/>
        <v>1356.7676915624995</v>
      </c>
      <c r="G162" s="1004">
        <v>0</v>
      </c>
      <c r="H162" s="135">
        <f t="shared" si="62"/>
        <v>0</v>
      </c>
      <c r="I162" s="8"/>
      <c r="J162" s="623">
        <f>HLOOKUP($C162,PARAMETROS!$C$36:$F$38,3)*L162</f>
        <v>0</v>
      </c>
      <c r="K162" s="623">
        <f>HLOOKUP($C162,PARAMETROS!$C$36:$F$38,3)*M162</f>
        <v>0</v>
      </c>
      <c r="L162" s="116">
        <f t="shared" si="63"/>
        <v>0</v>
      </c>
      <c r="M162" s="117">
        <f t="shared" si="64"/>
        <v>0</v>
      </c>
      <c r="N162" s="55"/>
      <c r="O162" s="609">
        <f>'PRECIOS UNITARIOS'!$Z92*CHIFFRAGE_TC!L162</f>
        <v>0</v>
      </c>
      <c r="P162" s="609">
        <f>'PRECIOS UNITARIOS'!$AA92*CHIFFRAGE_TC!L162</f>
        <v>0</v>
      </c>
      <c r="Q162" s="609">
        <f>'PRECIOS UNITARIOS'!$Z92*CHIFFRAGE_TC!M162</f>
        <v>0</v>
      </c>
      <c r="R162" s="609">
        <f>'PRECIOS UNITARIOS'!$AA92*CHIFFRAGE_TC!M162</f>
        <v>0</v>
      </c>
      <c r="S162" s="55"/>
      <c r="T162" s="387"/>
      <c r="U162" s="386"/>
      <c r="V162" s="386"/>
      <c r="W162" s="386">
        <v>1</v>
      </c>
      <c r="Y162" s="159"/>
    </row>
    <row r="163" spans="1:25" s="3" customFormat="1" ht="15.6" x14ac:dyDescent="0.25">
      <c r="A163" s="51"/>
      <c r="B163" s="414" t="s">
        <v>73</v>
      </c>
      <c r="C163" s="318"/>
      <c r="D163" s="318"/>
      <c r="E163" s="318"/>
      <c r="F163" s="318"/>
      <c r="G163" s="393"/>
      <c r="H163" s="415"/>
      <c r="I163" s="8"/>
      <c r="J163" s="623"/>
      <c r="K163" s="623"/>
      <c r="L163" s="416">
        <f>SUM(L164:L173)</f>
        <v>2252388.4173319545</v>
      </c>
      <c r="M163" s="417">
        <f>SUM(M164:M173)</f>
        <v>2252388.4173319545</v>
      </c>
      <c r="N163" s="55"/>
      <c r="O163" s="612">
        <f>SUM(O164:O173)</f>
        <v>1806021.7807524544</v>
      </c>
      <c r="P163" s="612">
        <f t="shared" ref="P163" si="65">SUM(P164:P173)</f>
        <v>446366.63657949981</v>
      </c>
      <c r="Q163" s="612">
        <f>SUM(Q164:Q173)</f>
        <v>1806021.7807524544</v>
      </c>
      <c r="R163" s="612">
        <f t="shared" ref="R163" si="66">SUM(R164:R173)</f>
        <v>446366.63657949981</v>
      </c>
      <c r="S163" s="55"/>
      <c r="T163" s="420">
        <f>T152</f>
        <v>2015</v>
      </c>
      <c r="U163" s="420">
        <f>U152</f>
        <v>2016</v>
      </c>
      <c r="V163" s="420">
        <f>V152</f>
        <v>2017</v>
      </c>
      <c r="W163" s="420">
        <f>W152</f>
        <v>2018</v>
      </c>
      <c r="Y163" s="159"/>
    </row>
    <row r="164" spans="1:25" s="3" customFormat="1" outlineLevel="1" x14ac:dyDescent="0.25">
      <c r="A164" s="51"/>
      <c r="B164" s="495" t="str">
        <f t="shared" ref="B164:F173" si="67">B87</f>
        <v>Fundaciones tipicas 
(edificio con piso tierra y primer piso)</v>
      </c>
      <c r="C164" s="139" t="str">
        <f t="shared" si="67"/>
        <v>INFRA</v>
      </c>
      <c r="D164" s="928">
        <v>50</v>
      </c>
      <c r="E164" s="139" t="str">
        <f t="shared" si="67"/>
        <v>U</v>
      </c>
      <c r="F164" s="139">
        <f t="shared" si="67"/>
        <v>161184.00175762497</v>
      </c>
      <c r="G164" s="631">
        <v>0</v>
      </c>
      <c r="H164" s="88">
        <f t="shared" ref="H164:H173" si="68">G164</f>
        <v>0</v>
      </c>
      <c r="I164" s="8"/>
      <c r="J164" s="623">
        <f>HLOOKUP($C164,PARAMETROS!$C$36:$F$38,3)*L164</f>
        <v>0</v>
      </c>
      <c r="K164" s="623">
        <f>HLOOKUP($C164,PARAMETROS!$C$36:$F$38,3)*M164</f>
        <v>0</v>
      </c>
      <c r="L164" s="81">
        <f t="shared" ref="L164:L173" si="69">$F164*G164</f>
        <v>0</v>
      </c>
      <c r="M164" s="63">
        <f t="shared" ref="M164:M173" si="70">$F164*H164</f>
        <v>0</v>
      </c>
      <c r="N164" s="55"/>
      <c r="O164" s="609">
        <f>'PRECIOS UNITARIOS'!$Z72*CHIFFRAGE_TC!L164</f>
        <v>0</v>
      </c>
      <c r="P164" s="609">
        <f>'PRECIOS UNITARIOS'!$AA72*CHIFFRAGE_TC!L164</f>
        <v>0</v>
      </c>
      <c r="Q164" s="609">
        <f>'PRECIOS UNITARIOS'!$Z72*CHIFFRAGE_TC!M164</f>
        <v>0</v>
      </c>
      <c r="R164" s="609">
        <f>'PRECIOS UNITARIOS'!$AA72*CHIFFRAGE_TC!M164</f>
        <v>0</v>
      </c>
      <c r="S164" s="55"/>
      <c r="T164" s="387"/>
      <c r="U164" s="386">
        <v>0.75</v>
      </c>
      <c r="V164" s="386">
        <v>0.25</v>
      </c>
      <c r="W164" s="386"/>
      <c r="Y164" s="159"/>
    </row>
    <row r="165" spans="1:25" s="3" customFormat="1" outlineLevel="1" x14ac:dyDescent="0.25">
      <c r="A165" s="51"/>
      <c r="B165" s="495" t="str">
        <f t="shared" si="67"/>
        <v>Piso tierra sobrelevado y fundaciones</v>
      </c>
      <c r="C165" s="139" t="str">
        <f t="shared" si="67"/>
        <v>INFRA</v>
      </c>
      <c r="D165" s="928">
        <v>50</v>
      </c>
      <c r="E165" s="139" t="str">
        <f t="shared" si="67"/>
        <v>m2</v>
      </c>
      <c r="F165" s="139">
        <f t="shared" si="67"/>
        <v>2170.8283064999991</v>
      </c>
      <c r="G165" s="1005">
        <f>(G166+G167+G169+G170+G171)</f>
        <v>600</v>
      </c>
      <c r="H165" s="88">
        <f t="shared" si="68"/>
        <v>600</v>
      </c>
      <c r="I165" s="8"/>
      <c r="J165" s="623">
        <f>HLOOKUP($C165,PARAMETROS!$C$36:$F$38,3)*L165</f>
        <v>325624.24597499985</v>
      </c>
      <c r="K165" s="623">
        <f>HLOOKUP($C165,PARAMETROS!$C$36:$F$38,3)*M165</f>
        <v>325624.24597499985</v>
      </c>
      <c r="L165" s="81">
        <f t="shared" si="69"/>
        <v>1302496.9838999994</v>
      </c>
      <c r="M165" s="63">
        <f t="shared" si="70"/>
        <v>1302496.9838999994</v>
      </c>
      <c r="N165" s="55"/>
      <c r="O165" s="609">
        <f>'PRECIOS UNITARIOS'!$Z73*CHIFFRAGE_TC!L165</f>
        <v>1051534.1738999994</v>
      </c>
      <c r="P165" s="609">
        <f>'PRECIOS UNITARIOS'!$AA73*CHIFFRAGE_TC!L165</f>
        <v>250962.81</v>
      </c>
      <c r="Q165" s="609">
        <f>'PRECIOS UNITARIOS'!$Z73*CHIFFRAGE_TC!M165</f>
        <v>1051534.1738999994</v>
      </c>
      <c r="R165" s="609">
        <f>'PRECIOS UNITARIOS'!$AA73*CHIFFRAGE_TC!M165</f>
        <v>250962.81</v>
      </c>
      <c r="S165" s="55"/>
      <c r="T165" s="387"/>
      <c r="U165" s="386">
        <v>0.5</v>
      </c>
      <c r="V165" s="386">
        <v>0.5</v>
      </c>
      <c r="W165" s="386"/>
      <c r="Y165" s="159"/>
    </row>
    <row r="166" spans="1:25" s="3" customFormat="1" outlineLevel="1" x14ac:dyDescent="0.25">
      <c r="A166" s="51"/>
      <c r="B166" s="495" t="str">
        <f t="shared" si="67"/>
        <v>Superficies comerciales</v>
      </c>
      <c r="C166" s="139" t="str">
        <f t="shared" si="67"/>
        <v>INFRA</v>
      </c>
      <c r="D166" s="928">
        <v>50</v>
      </c>
      <c r="E166" s="139" t="str">
        <f t="shared" si="67"/>
        <v>m2</v>
      </c>
      <c r="F166" s="139">
        <f t="shared" si="67"/>
        <v>700.63483592287469</v>
      </c>
      <c r="G166" s="631">
        <v>0</v>
      </c>
      <c r="H166" s="88">
        <f t="shared" si="68"/>
        <v>0</v>
      </c>
      <c r="I166" s="8"/>
      <c r="J166" s="623">
        <f>HLOOKUP($C166,PARAMETROS!$C$36:$F$38,3)*L166</f>
        <v>0</v>
      </c>
      <c r="K166" s="623">
        <f>HLOOKUP($C166,PARAMETROS!$C$36:$F$38,3)*M166</f>
        <v>0</v>
      </c>
      <c r="L166" s="81">
        <f t="shared" si="69"/>
        <v>0</v>
      </c>
      <c r="M166" s="63">
        <f t="shared" si="70"/>
        <v>0</v>
      </c>
      <c r="N166" s="55"/>
      <c r="O166" s="609">
        <f>'PRECIOS UNITARIOS'!$Z74*CHIFFRAGE_TC!L166</f>
        <v>0</v>
      </c>
      <c r="P166" s="609">
        <f>'PRECIOS UNITARIOS'!$AA74*CHIFFRAGE_TC!L166</f>
        <v>0</v>
      </c>
      <c r="Q166" s="609">
        <f>'PRECIOS UNITARIOS'!$Z74*CHIFFRAGE_TC!M166</f>
        <v>0</v>
      </c>
      <c r="R166" s="609">
        <f>'PRECIOS UNITARIOS'!$AA74*CHIFFRAGE_TC!M166</f>
        <v>0</v>
      </c>
      <c r="S166" s="55"/>
      <c r="T166" s="387"/>
      <c r="U166" s="386">
        <v>0.25</v>
      </c>
      <c r="V166" s="386">
        <v>0.75</v>
      </c>
      <c r="W166" s="386"/>
      <c r="Y166" s="159"/>
    </row>
    <row r="167" spans="1:25" s="3" customFormat="1" outlineLevel="1" x14ac:dyDescent="0.25">
      <c r="A167" s="51"/>
      <c r="B167" s="495" t="str">
        <f t="shared" si="67"/>
        <v xml:space="preserve">Ingreso y circulaciones al piso tierra 
(y/c servicios, escaleras mecanicas, escaleras y ascencores) </v>
      </c>
      <c r="C167" s="139" t="str">
        <f t="shared" si="67"/>
        <v>INFRA</v>
      </c>
      <c r="D167" s="928">
        <v>40</v>
      </c>
      <c r="E167" s="139" t="str">
        <f t="shared" si="67"/>
        <v>m2</v>
      </c>
      <c r="F167" s="139">
        <f t="shared" si="67"/>
        <v>1838.5953731949994</v>
      </c>
      <c r="G167" s="631">
        <v>200</v>
      </c>
      <c r="H167" s="88">
        <f t="shared" si="68"/>
        <v>200</v>
      </c>
      <c r="I167" s="8"/>
      <c r="J167" s="623">
        <f>HLOOKUP($C167,PARAMETROS!$C$36:$F$38,3)*L167</f>
        <v>91929.768659749971</v>
      </c>
      <c r="K167" s="623">
        <f>HLOOKUP($C167,PARAMETROS!$C$36:$F$38,3)*M167</f>
        <v>91929.768659749971</v>
      </c>
      <c r="L167" s="81">
        <f t="shared" si="69"/>
        <v>367719.07463899988</v>
      </c>
      <c r="M167" s="63">
        <f t="shared" si="70"/>
        <v>367719.07463899988</v>
      </c>
      <c r="N167" s="55"/>
      <c r="O167" s="609">
        <f>'PRECIOS UNITARIOS'!$Z75*CHIFFRAGE_TC!L167</f>
        <v>287369.14830399997</v>
      </c>
      <c r="P167" s="609">
        <f>'PRECIOS UNITARIOS'!$AA75*CHIFFRAGE_TC!L167</f>
        <v>80349.926334999909</v>
      </c>
      <c r="Q167" s="609">
        <f>'PRECIOS UNITARIOS'!$Z75*CHIFFRAGE_TC!M167</f>
        <v>287369.14830399997</v>
      </c>
      <c r="R167" s="609">
        <f>'PRECIOS UNITARIOS'!$AA75*CHIFFRAGE_TC!M167</f>
        <v>80349.926334999909</v>
      </c>
      <c r="S167" s="55"/>
      <c r="T167" s="387"/>
      <c r="U167" s="386">
        <v>0.25</v>
      </c>
      <c r="V167" s="386">
        <v>0.75</v>
      </c>
      <c r="W167" s="386"/>
      <c r="Y167" s="159"/>
    </row>
    <row r="168" spans="1:25" s="3" customFormat="1" outlineLevel="1" x14ac:dyDescent="0.25">
      <c r="A168" s="51"/>
      <c r="B168" s="495" t="str">
        <f t="shared" si="67"/>
        <v>Escaleras mecanicas, escaleras y ascencores adicionales 
(piso tierra sobrelevado)</v>
      </c>
      <c r="C168" s="139" t="str">
        <f t="shared" si="67"/>
        <v>EQUIP</v>
      </c>
      <c r="D168" s="928">
        <v>15</v>
      </c>
      <c r="E168" s="139" t="str">
        <f t="shared" si="67"/>
        <v>U</v>
      </c>
      <c r="F168" s="139">
        <f t="shared" si="67"/>
        <v>373031.25</v>
      </c>
      <c r="G168" s="631">
        <v>0</v>
      </c>
      <c r="H168" s="88">
        <f t="shared" si="68"/>
        <v>0</v>
      </c>
      <c r="I168" s="8"/>
      <c r="J168" s="623">
        <f>HLOOKUP($C168,PARAMETROS!$C$36:$F$38,3)*L168</f>
        <v>0</v>
      </c>
      <c r="K168" s="623">
        <f>HLOOKUP($C168,PARAMETROS!$C$36:$F$38,3)*M168</f>
        <v>0</v>
      </c>
      <c r="L168" s="81">
        <f t="shared" si="69"/>
        <v>0</v>
      </c>
      <c r="M168" s="63">
        <f t="shared" si="70"/>
        <v>0</v>
      </c>
      <c r="N168" s="55"/>
      <c r="O168" s="609">
        <f>'PRECIOS UNITARIOS'!$Z76*CHIFFRAGE_TC!L168</f>
        <v>0</v>
      </c>
      <c r="P168" s="609">
        <f>'PRECIOS UNITARIOS'!$AA76*CHIFFRAGE_TC!L168</f>
        <v>0</v>
      </c>
      <c r="Q168" s="609">
        <f>'PRECIOS UNITARIOS'!$Z76*CHIFFRAGE_TC!M168</f>
        <v>0</v>
      </c>
      <c r="R168" s="609">
        <f>'PRECIOS UNITARIOS'!$AA76*CHIFFRAGE_TC!M168</f>
        <v>0</v>
      </c>
      <c r="S168" s="55"/>
      <c r="T168" s="387"/>
      <c r="U168" s="386">
        <v>0.25</v>
      </c>
      <c r="V168" s="386">
        <v>0.75</v>
      </c>
      <c r="W168" s="386"/>
      <c r="Y168" s="159"/>
    </row>
    <row r="169" spans="1:25" s="3" customFormat="1" outlineLevel="1" x14ac:dyDescent="0.25">
      <c r="A169" s="51"/>
      <c r="B169" s="495" t="str">
        <f t="shared" si="67"/>
        <v>Anden al primer piso</v>
      </c>
      <c r="C169" s="139" t="str">
        <f t="shared" si="67"/>
        <v>INFRA</v>
      </c>
      <c r="D169" s="928">
        <v>50</v>
      </c>
      <c r="E169" s="139" t="str">
        <f t="shared" si="67"/>
        <v>m2</v>
      </c>
      <c r="F169" s="139">
        <f t="shared" si="67"/>
        <v>1051.2236074226246</v>
      </c>
      <c r="G169" s="631">
        <v>100</v>
      </c>
      <c r="H169" s="88">
        <f t="shared" si="68"/>
        <v>100</v>
      </c>
      <c r="I169" s="8"/>
      <c r="J169" s="623">
        <f>HLOOKUP($C169,PARAMETROS!$C$36:$F$38,3)*L169</f>
        <v>26280.590185565616</v>
      </c>
      <c r="K169" s="623">
        <f>HLOOKUP($C169,PARAMETROS!$C$36:$F$38,3)*M169</f>
        <v>26280.590185565616</v>
      </c>
      <c r="L169" s="81">
        <f t="shared" si="69"/>
        <v>105122.36074226246</v>
      </c>
      <c r="M169" s="63">
        <f t="shared" si="70"/>
        <v>105122.36074226246</v>
      </c>
      <c r="N169" s="55"/>
      <c r="O169" s="609">
        <f>'PRECIOS UNITARIOS'!$Z77*CHIFFRAGE_TC!L169</f>
        <v>84867.570618512473</v>
      </c>
      <c r="P169" s="609">
        <f>'PRECIOS UNITARIOS'!$AA77*CHIFFRAGE_TC!L169</f>
        <v>20254.79012374999</v>
      </c>
      <c r="Q169" s="609">
        <f>'PRECIOS UNITARIOS'!$Z77*CHIFFRAGE_TC!M169</f>
        <v>84867.570618512473</v>
      </c>
      <c r="R169" s="609">
        <f>'PRECIOS UNITARIOS'!$AA77*CHIFFRAGE_TC!M169</f>
        <v>20254.79012374999</v>
      </c>
      <c r="S169" s="55"/>
      <c r="T169" s="387"/>
      <c r="U169" s="386">
        <v>0.25</v>
      </c>
      <c r="V169" s="386">
        <v>0.75</v>
      </c>
      <c r="W169" s="386"/>
      <c r="Y169" s="159"/>
    </row>
    <row r="170" spans="1:25" s="3" customFormat="1" outlineLevel="1" x14ac:dyDescent="0.25">
      <c r="A170" s="51"/>
      <c r="B170" s="495" t="str">
        <f t="shared" si="67"/>
        <v>Centro de mando + Locales tecnicos cubiertos</v>
      </c>
      <c r="C170" s="139" t="str">
        <f t="shared" si="67"/>
        <v>INFRA</v>
      </c>
      <c r="D170" s="928">
        <v>50</v>
      </c>
      <c r="E170" s="139" t="str">
        <f t="shared" si="67"/>
        <v>m2</v>
      </c>
      <c r="F170" s="139">
        <f t="shared" si="67"/>
        <v>1401.2696718457494</v>
      </c>
      <c r="G170" s="631">
        <v>80</v>
      </c>
      <c r="H170" s="88">
        <f t="shared" si="68"/>
        <v>80</v>
      </c>
      <c r="I170" s="8"/>
      <c r="J170" s="623">
        <f>HLOOKUP($C170,PARAMETROS!$C$36:$F$38,3)*L170</f>
        <v>28025.393436914987</v>
      </c>
      <c r="K170" s="623">
        <f>HLOOKUP($C170,PARAMETROS!$C$36:$F$38,3)*M170</f>
        <v>28025.393436914987</v>
      </c>
      <c r="L170" s="81">
        <f t="shared" si="69"/>
        <v>112101.57374765995</v>
      </c>
      <c r="M170" s="63">
        <f t="shared" si="70"/>
        <v>112101.57374765995</v>
      </c>
      <c r="N170" s="55"/>
      <c r="O170" s="609">
        <f>'PRECIOS UNITARIOS'!$Z78*CHIFFRAGE_TC!L170</f>
        <v>90502.041233659955</v>
      </c>
      <c r="P170" s="609">
        <f>'PRECIOS UNITARIOS'!$AA78*CHIFFRAGE_TC!L170</f>
        <v>21599.532513999988</v>
      </c>
      <c r="Q170" s="609">
        <f>'PRECIOS UNITARIOS'!$Z78*CHIFFRAGE_TC!M170</f>
        <v>90502.041233659955</v>
      </c>
      <c r="R170" s="609">
        <f>'PRECIOS UNITARIOS'!$AA78*CHIFFRAGE_TC!M170</f>
        <v>21599.532513999988</v>
      </c>
      <c r="S170" s="55"/>
      <c r="T170" s="387"/>
      <c r="U170" s="386">
        <v>0.25</v>
      </c>
      <c r="V170" s="386">
        <v>0.75</v>
      </c>
      <c r="W170" s="386"/>
      <c r="Y170" s="159"/>
    </row>
    <row r="171" spans="1:25" s="3" customFormat="1" outlineLevel="1" x14ac:dyDescent="0.25">
      <c r="A171" s="51"/>
      <c r="B171" s="495" t="str">
        <f t="shared" si="67"/>
        <v xml:space="preserve">Locales tecnicos non cerrados </v>
      </c>
      <c r="C171" s="139" t="str">
        <f t="shared" si="67"/>
        <v>INFRA</v>
      </c>
      <c r="D171" s="928">
        <v>50</v>
      </c>
      <c r="E171" s="139" t="str">
        <f t="shared" si="67"/>
        <v>m2</v>
      </c>
      <c r="F171" s="139">
        <f t="shared" si="67"/>
        <v>700.63483592287469</v>
      </c>
      <c r="G171" s="631">
        <v>220</v>
      </c>
      <c r="H171" s="88">
        <f t="shared" si="68"/>
        <v>220</v>
      </c>
      <c r="I171" s="8"/>
      <c r="J171" s="623">
        <f>HLOOKUP($C171,PARAMETROS!$C$36:$F$38,3)*L171</f>
        <v>38534.915975758107</v>
      </c>
      <c r="K171" s="623">
        <f>HLOOKUP($C171,PARAMETROS!$C$36:$F$38,3)*M171</f>
        <v>38534.915975758107</v>
      </c>
      <c r="L171" s="81">
        <f t="shared" si="69"/>
        <v>154139.66390303243</v>
      </c>
      <c r="M171" s="63">
        <f t="shared" si="70"/>
        <v>154139.66390303243</v>
      </c>
      <c r="N171" s="55"/>
      <c r="O171" s="609">
        <f>'PRECIOS UNITARIOS'!$Z79*CHIFFRAGE_TC!L171</f>
        <v>124440.30669628245</v>
      </c>
      <c r="P171" s="609">
        <f>'PRECIOS UNITARIOS'!$AA79*CHIFFRAGE_TC!L171</f>
        <v>29699.357206749984</v>
      </c>
      <c r="Q171" s="609">
        <f>'PRECIOS UNITARIOS'!$Z79*CHIFFRAGE_TC!M171</f>
        <v>124440.30669628245</v>
      </c>
      <c r="R171" s="609">
        <f>'PRECIOS UNITARIOS'!$AA79*CHIFFRAGE_TC!M171</f>
        <v>29699.357206749984</v>
      </c>
      <c r="S171" s="55"/>
      <c r="T171" s="387"/>
      <c r="U171" s="386">
        <v>0.25</v>
      </c>
      <c r="V171" s="386">
        <v>0.75</v>
      </c>
      <c r="W171" s="386"/>
      <c r="Y171" s="159"/>
    </row>
    <row r="172" spans="1:25" s="3" customFormat="1" outlineLevel="1" x14ac:dyDescent="0.25">
      <c r="A172" s="51"/>
      <c r="B172" s="495" t="str">
        <f t="shared" si="67"/>
        <v>Adecuacion urbana 
(demolicion, reconstruccion, mobiliario urbano, paisaje)</v>
      </c>
      <c r="C172" s="139" t="str">
        <f t="shared" si="67"/>
        <v>INFRA</v>
      </c>
      <c r="D172" s="928">
        <v>50</v>
      </c>
      <c r="E172" s="139" t="str">
        <f t="shared" si="67"/>
        <v>m2</v>
      </c>
      <c r="F172" s="139">
        <f t="shared" si="67"/>
        <v>527.02190099999984</v>
      </c>
      <c r="G172" s="631">
        <v>400</v>
      </c>
      <c r="H172" s="88">
        <f t="shared" si="68"/>
        <v>400</v>
      </c>
      <c r="I172" s="8"/>
      <c r="J172" s="623">
        <f>HLOOKUP($C172,PARAMETROS!$C$36:$F$38,3)*L172</f>
        <v>52702.190099999985</v>
      </c>
      <c r="K172" s="623">
        <f>HLOOKUP($C172,PARAMETROS!$C$36:$F$38,3)*M172</f>
        <v>52702.190099999985</v>
      </c>
      <c r="L172" s="81">
        <f t="shared" si="69"/>
        <v>210808.76039999994</v>
      </c>
      <c r="M172" s="63">
        <f t="shared" si="70"/>
        <v>210808.76039999994</v>
      </c>
      <c r="N172" s="55"/>
      <c r="O172" s="609">
        <f>'PRECIOS UNITARIOS'!$Z80*CHIFFRAGE_TC!L172</f>
        <v>167308.53999999995</v>
      </c>
      <c r="P172" s="609">
        <f>'PRECIOS UNITARIOS'!$AA80*CHIFFRAGE_TC!L172</f>
        <v>43500.220399999998</v>
      </c>
      <c r="Q172" s="609">
        <f>'PRECIOS UNITARIOS'!$Z80*CHIFFRAGE_TC!M172</f>
        <v>167308.53999999995</v>
      </c>
      <c r="R172" s="609">
        <f>'PRECIOS UNITARIOS'!$AA80*CHIFFRAGE_TC!M172</f>
        <v>43500.220399999998</v>
      </c>
      <c r="S172" s="55"/>
      <c r="T172" s="387"/>
      <c r="U172" s="386">
        <v>0.25</v>
      </c>
      <c r="V172" s="386">
        <v>0.25</v>
      </c>
      <c r="W172" s="386">
        <v>0.5</v>
      </c>
      <c r="Y172" s="159"/>
    </row>
    <row r="173" spans="1:25" s="3" customFormat="1" outlineLevel="1" x14ac:dyDescent="0.25">
      <c r="A173" s="51"/>
      <c r="B173" s="496" t="str">
        <f t="shared" si="67"/>
        <v>Pasarela</v>
      </c>
      <c r="C173" s="140" t="str">
        <f t="shared" si="67"/>
        <v>INFRA</v>
      </c>
      <c r="D173" s="929">
        <v>50</v>
      </c>
      <c r="E173" s="140" t="str">
        <f t="shared" si="67"/>
        <v>m2</v>
      </c>
      <c r="F173" s="140">
        <f t="shared" si="67"/>
        <v>1356.7676915624995</v>
      </c>
      <c r="G173" s="1004">
        <v>0</v>
      </c>
      <c r="H173" s="135">
        <f t="shared" si="68"/>
        <v>0</v>
      </c>
      <c r="I173" s="8"/>
      <c r="J173" s="623">
        <f>HLOOKUP($C173,PARAMETROS!$C$36:$F$38,3)*L173</f>
        <v>0</v>
      </c>
      <c r="K173" s="623">
        <f>HLOOKUP($C173,PARAMETROS!$C$36:$F$38,3)*M173</f>
        <v>0</v>
      </c>
      <c r="L173" s="116">
        <f t="shared" si="69"/>
        <v>0</v>
      </c>
      <c r="M173" s="117">
        <f t="shared" si="70"/>
        <v>0</v>
      </c>
      <c r="N173" s="55"/>
      <c r="O173" s="609">
        <f>'PRECIOS UNITARIOS'!$Z81*CHIFFRAGE_TC!L173</f>
        <v>0</v>
      </c>
      <c r="P173" s="609">
        <f>'PRECIOS UNITARIOS'!$AA81*CHIFFRAGE_TC!L173</f>
        <v>0</v>
      </c>
      <c r="Q173" s="609">
        <f>'PRECIOS UNITARIOS'!$Z81*CHIFFRAGE_TC!M173</f>
        <v>0</v>
      </c>
      <c r="R173" s="609">
        <f>'PRECIOS UNITARIOS'!$AA81*CHIFFRAGE_TC!M173</f>
        <v>0</v>
      </c>
      <c r="S173" s="55"/>
      <c r="T173" s="387"/>
      <c r="U173" s="386"/>
      <c r="V173" s="386"/>
      <c r="W173" s="386">
        <v>1</v>
      </c>
      <c r="Y173" s="159"/>
    </row>
    <row r="174" spans="1:25" s="3" customFormat="1" x14ac:dyDescent="0.25">
      <c r="A174" s="51"/>
      <c r="B174" s="84"/>
      <c r="C174" s="48"/>
      <c r="D174" s="48"/>
      <c r="E174" s="48"/>
      <c r="F174" s="56"/>
      <c r="G174" s="59"/>
      <c r="H174" s="59"/>
      <c r="I174" s="8"/>
      <c r="J174" s="624"/>
      <c r="K174" s="624"/>
      <c r="L174" s="63"/>
      <c r="M174" s="63"/>
      <c r="N174" s="66"/>
      <c r="O174" s="613"/>
      <c r="P174" s="613"/>
      <c r="Q174" s="613"/>
      <c r="R174" s="613"/>
      <c r="S174" s="66"/>
      <c r="T174" s="65"/>
      <c r="U174" s="62"/>
      <c r="V174" s="62"/>
      <c r="W174" s="62"/>
      <c r="Y174" s="159"/>
    </row>
    <row r="175" spans="1:25" s="3" customFormat="1" ht="15.6" x14ac:dyDescent="0.25">
      <c r="A175" s="51"/>
      <c r="B175" s="302" t="s">
        <v>551</v>
      </c>
      <c r="C175" s="394"/>
      <c r="D175" s="394"/>
      <c r="E175" s="394"/>
      <c r="F175" s="317"/>
      <c r="G175" s="404"/>
      <c r="H175" s="397"/>
      <c r="J175" s="622">
        <f>SUM(J176:J182)/L175</f>
        <v>0.25</v>
      </c>
      <c r="K175" s="622">
        <f>SUM(K176:K182)/M175</f>
        <v>0.25</v>
      </c>
      <c r="L175" s="409">
        <f>SUM(L176:L182)</f>
        <v>5708448.9335223995</v>
      </c>
      <c r="M175" s="410">
        <f>SUM(M176:M182)</f>
        <v>4324580.6650465485</v>
      </c>
      <c r="N175" s="66"/>
      <c r="O175" s="615">
        <f>SUM(O176:O182)/L175</f>
        <v>0.34110738262877516</v>
      </c>
      <c r="P175" s="615">
        <f>SUM(P176:P182)/L175</f>
        <v>0.65889261737122506</v>
      </c>
      <c r="Q175" s="615">
        <f>SUM(Q176:Q182)/M175</f>
        <v>0.33731844248357756</v>
      </c>
      <c r="R175" s="615">
        <f>SUM(R176:R182)/M175</f>
        <v>0.66268155751642255</v>
      </c>
      <c r="S175" s="66"/>
      <c r="T175" s="411">
        <f>T$11</f>
        <v>2015</v>
      </c>
      <c r="U175" s="411">
        <f>U$11</f>
        <v>2016</v>
      </c>
      <c r="V175" s="411">
        <f>V$11</f>
        <v>2017</v>
      </c>
      <c r="W175" s="411">
        <f>W$11</f>
        <v>2018</v>
      </c>
      <c r="Y175" s="159"/>
    </row>
    <row r="176" spans="1:25" s="3" customFormat="1" outlineLevel="1" x14ac:dyDescent="0.25">
      <c r="A176" s="46"/>
      <c r="B176" s="482" t="str">
        <f>'PRECIOS UNITARIOS'!B95</f>
        <v>Zona de almacenamiento de tipo local industrial</v>
      </c>
      <c r="C176" s="123" t="str">
        <f>'PRECIOS UNITARIOS'!C95</f>
        <v>INFRA</v>
      </c>
      <c r="D176" s="428">
        <v>50</v>
      </c>
      <c r="E176" s="123" t="str">
        <f>'PRECIOS UNITARIOS'!D95</f>
        <v>m2</v>
      </c>
      <c r="F176" s="156">
        <f>'PRECIOS UNITARIOS'!L95</f>
        <v>700.63483592287469</v>
      </c>
      <c r="G176" s="79">
        <f>CANTIDADES!B74</f>
        <v>2380</v>
      </c>
      <c r="H176" s="88">
        <f>CANTIDADES!C74</f>
        <v>1638</v>
      </c>
      <c r="I176" s="8"/>
      <c r="J176" s="623">
        <f>HLOOKUP($C176,PARAMETROS!$C$36:$F$38,3)*L176</f>
        <v>416877.72737411043</v>
      </c>
      <c r="K176" s="623">
        <f>HLOOKUP($C176,PARAMETROS!$C$36:$F$38,3)*M176</f>
        <v>286909.96531041717</v>
      </c>
      <c r="L176" s="81">
        <f t="shared" ref="L176:M182" si="71">$F176*G176</f>
        <v>1667510.9094964417</v>
      </c>
      <c r="M176" s="63">
        <f t="shared" si="71"/>
        <v>1147639.8612416687</v>
      </c>
      <c r="N176" s="55"/>
      <c r="O176" s="609">
        <f>'PRECIOS UNITARIOS'!$Z95*CHIFFRAGE_TC!L176</f>
        <v>1346217.863350692</v>
      </c>
      <c r="P176" s="609">
        <f>'PRECIOS UNITARIOS'!$AA95*CHIFFRAGE_TC!L176</f>
        <v>321293.0461457498</v>
      </c>
      <c r="Q176" s="609">
        <f>'PRECIOS UNITARIOS'!$Z95*CHIFFRAGE_TC!M176</f>
        <v>926514.64712959388</v>
      </c>
      <c r="R176" s="609">
        <f>'PRECIOS UNITARIOS'!$AA95*CHIFFRAGE_TC!M176</f>
        <v>221125.21411207487</v>
      </c>
      <c r="S176" s="55"/>
      <c r="T176" s="387"/>
      <c r="U176" s="386">
        <v>0.25</v>
      </c>
      <c r="V176" s="386">
        <v>0.75</v>
      </c>
      <c r="W176" s="386"/>
      <c r="Y176" s="159"/>
    </row>
    <row r="177" spans="1:25" s="3" customFormat="1" outlineLevel="1" x14ac:dyDescent="0.25">
      <c r="A177" s="46"/>
      <c r="B177" s="479" t="str">
        <f>'PRECIOS UNITARIOS'!B96</f>
        <v>Almacen y taller</v>
      </c>
      <c r="C177" s="124" t="str">
        <f>'PRECIOS UNITARIOS'!C96</f>
        <v>INFRA</v>
      </c>
      <c r="D177" s="387">
        <v>50</v>
      </c>
      <c r="E177" s="124" t="str">
        <f>'PRECIOS UNITARIOS'!D96</f>
        <v>m2</v>
      </c>
      <c r="F177" s="156">
        <f>'PRECIOS UNITARIOS'!L96</f>
        <v>992.61124314712447</v>
      </c>
      <c r="G177" s="79">
        <f>CANTIDADES!B77</f>
        <v>250</v>
      </c>
      <c r="H177" s="88">
        <f>CANTIDADES!C77</f>
        <v>250</v>
      </c>
      <c r="I177" s="8"/>
      <c r="J177" s="623">
        <f>HLOOKUP($C177,PARAMETROS!$C$36:$F$38,3)*L177</f>
        <v>62038.202696695276</v>
      </c>
      <c r="K177" s="623">
        <f>HLOOKUP($C177,PARAMETROS!$C$36:$F$38,3)*M177</f>
        <v>62038.202696695276</v>
      </c>
      <c r="L177" s="81">
        <f t="shared" si="71"/>
        <v>248152.8107867811</v>
      </c>
      <c r="M177" s="63">
        <f t="shared" si="71"/>
        <v>248152.8107867811</v>
      </c>
      <c r="N177" s="55"/>
      <c r="O177" s="609">
        <f>'PRECIOS UNITARIOS'!$Z96*CHIFFRAGE_TC!L177</f>
        <v>200339.16708990614</v>
      </c>
      <c r="P177" s="609">
        <f>'PRECIOS UNITARIOS'!$AA96*CHIFFRAGE_TC!L177</f>
        <v>47813.643696874969</v>
      </c>
      <c r="Q177" s="609">
        <f>'PRECIOS UNITARIOS'!$Z96*CHIFFRAGE_TC!M177</f>
        <v>200339.16708990614</v>
      </c>
      <c r="R177" s="609">
        <f>'PRECIOS UNITARIOS'!$AA96*CHIFFRAGE_TC!M177</f>
        <v>47813.643696874969</v>
      </c>
      <c r="S177" s="55"/>
      <c r="T177" s="387"/>
      <c r="U177" s="386">
        <v>0.25</v>
      </c>
      <c r="V177" s="386">
        <v>0.75</v>
      </c>
      <c r="W177" s="386"/>
      <c r="Y177" s="159"/>
    </row>
    <row r="178" spans="1:25" s="3" customFormat="1" outlineLevel="1" x14ac:dyDescent="0.25">
      <c r="A178" s="46"/>
      <c r="B178" s="479" t="str">
        <f>'PRECIOS UNITARIOS'!B97</f>
        <v>Local de supervision</v>
      </c>
      <c r="C178" s="124" t="str">
        <f>'PRECIOS UNITARIOS'!C97</f>
        <v>INFRA</v>
      </c>
      <c r="D178" s="387">
        <v>50</v>
      </c>
      <c r="E178" s="124" t="str">
        <f>'PRECIOS UNITARIOS'!D97</f>
        <v>m2</v>
      </c>
      <c r="F178" s="156">
        <f>'PRECIOS UNITARIOS'!L97</f>
        <v>992.61124314712447</v>
      </c>
      <c r="G178" s="79">
        <f>CANTIDADES!B80</f>
        <v>150</v>
      </c>
      <c r="H178" s="88">
        <f>CANTIDADES!C80</f>
        <v>150</v>
      </c>
      <c r="I178" s="8"/>
      <c r="J178" s="623">
        <f>HLOOKUP($C178,PARAMETROS!$C$36:$F$38,3)*L178</f>
        <v>37222.921618017164</v>
      </c>
      <c r="K178" s="623">
        <f>HLOOKUP($C178,PARAMETROS!$C$36:$F$38,3)*M178</f>
        <v>37222.921618017164</v>
      </c>
      <c r="L178" s="81">
        <f t="shared" si="71"/>
        <v>148891.68647206866</v>
      </c>
      <c r="M178" s="63">
        <f t="shared" si="71"/>
        <v>148891.68647206866</v>
      </c>
      <c r="N178" s="55"/>
      <c r="O178" s="609">
        <f>'PRECIOS UNITARIOS'!$Z97*CHIFFRAGE_TC!L178</f>
        <v>120203.50025394368</v>
      </c>
      <c r="P178" s="609">
        <f>'PRECIOS UNITARIOS'!$AA97*CHIFFRAGE_TC!L178</f>
        <v>28688.186218124978</v>
      </c>
      <c r="Q178" s="609">
        <f>'PRECIOS UNITARIOS'!$Z97*CHIFFRAGE_TC!M178</f>
        <v>120203.50025394368</v>
      </c>
      <c r="R178" s="609">
        <f>'PRECIOS UNITARIOS'!$AA97*CHIFFRAGE_TC!M178</f>
        <v>28688.186218124978</v>
      </c>
      <c r="S178" s="55"/>
      <c r="T178" s="387"/>
      <c r="U178" s="386">
        <v>0.25</v>
      </c>
      <c r="V178" s="386">
        <v>0.75</v>
      </c>
      <c r="W178" s="386"/>
      <c r="Y178" s="159"/>
    </row>
    <row r="179" spans="1:25" s="3" customFormat="1" outlineLevel="1" x14ac:dyDescent="0.25">
      <c r="A179" s="46"/>
      <c r="B179" s="479" t="str">
        <f>'PRECIOS UNITARIOS'!B98</f>
        <v>Transporte cabinas</v>
      </c>
      <c r="C179" s="124" t="str">
        <f>'PRECIOS UNITARIOS'!C98</f>
        <v>EQUIP</v>
      </c>
      <c r="D179" s="387">
        <v>40</v>
      </c>
      <c r="E179" s="124" t="str">
        <f>'PRECIOS UNITARIOS'!D98</f>
        <v>m2</v>
      </c>
      <c r="F179" s="156">
        <f>'PRECIOS UNITARIOS'!L98</f>
        <v>1164.4167388424239</v>
      </c>
      <c r="G179" s="79">
        <f>CANTIDADES!B83</f>
        <v>2380</v>
      </c>
      <c r="H179" s="88">
        <f>CANTIDADES!C83</f>
        <v>1638</v>
      </c>
      <c r="I179" s="8"/>
      <c r="J179" s="623">
        <f>HLOOKUP($C179,PARAMETROS!$C$36:$F$38,3)*L179</f>
        <v>692827.95961124217</v>
      </c>
      <c r="K179" s="623">
        <f>HLOOKUP($C179,PARAMETROS!$C$36:$F$38,3)*M179</f>
        <v>476828.65455597261</v>
      </c>
      <c r="L179" s="81">
        <f t="shared" si="71"/>
        <v>2771311.8384449687</v>
      </c>
      <c r="M179" s="63">
        <f t="shared" si="71"/>
        <v>1907314.6182238904</v>
      </c>
      <c r="N179" s="55"/>
      <c r="O179" s="609">
        <f>'PRECIOS UNITARIOS'!$Z98*CHIFFRAGE_TC!L179</f>
        <v>220454.85822436353</v>
      </c>
      <c r="P179" s="609">
        <f>'PRECIOS UNITARIOS'!$AA98*CHIFFRAGE_TC!L179</f>
        <v>2550856.9802206052</v>
      </c>
      <c r="Q179" s="609">
        <f>'PRECIOS UNITARIOS'!$Z98*CHIFFRAGE_TC!M179</f>
        <v>151724.81418970902</v>
      </c>
      <c r="R179" s="609">
        <f>'PRECIOS UNITARIOS'!$AA98*CHIFFRAGE_TC!M179</f>
        <v>1755589.8040341814</v>
      </c>
      <c r="S179" s="55"/>
      <c r="T179" s="387"/>
      <c r="U179" s="386">
        <v>0.25</v>
      </c>
      <c r="V179" s="386">
        <v>0.5</v>
      </c>
      <c r="W179" s="386">
        <v>0.25</v>
      </c>
      <c r="Y179" s="159"/>
    </row>
    <row r="180" spans="1:25" s="3" customFormat="1" outlineLevel="1" x14ac:dyDescent="0.25">
      <c r="A180" s="46"/>
      <c r="B180" s="479" t="str">
        <f>'PRECIOS UNITARIOS'!B99</f>
        <v>Instrumentos, elevador y piezas de recambio</v>
      </c>
      <c r="C180" s="124" t="str">
        <f>'PRECIOS UNITARIOS'!C99</f>
        <v>EQUIP</v>
      </c>
      <c r="D180" s="387">
        <v>15</v>
      </c>
      <c r="E180" s="124" t="str">
        <f>'PRECIOS UNITARIOS'!D99</f>
        <v>U</v>
      </c>
      <c r="F180" s="156">
        <f>'PRECIOS UNITARIOS'!L99</f>
        <v>144821.22654562496</v>
      </c>
      <c r="G180" s="631">
        <v>1</v>
      </c>
      <c r="H180" s="1036">
        <v>1</v>
      </c>
      <c r="I180" s="8"/>
      <c r="J180" s="623">
        <f>HLOOKUP($C180,PARAMETROS!$C$36:$F$38,3)*L180</f>
        <v>36205.30663640624</v>
      </c>
      <c r="K180" s="623">
        <f>HLOOKUP($C180,PARAMETROS!$C$36:$F$38,3)*M180</f>
        <v>36205.30663640624</v>
      </c>
      <c r="L180" s="81">
        <f t="shared" si="71"/>
        <v>144821.22654562496</v>
      </c>
      <c r="M180" s="63">
        <f t="shared" si="71"/>
        <v>144821.22654562496</v>
      </c>
      <c r="N180" s="55"/>
      <c r="O180" s="609">
        <f>'PRECIOS UNITARIOS'!$Z99*CHIFFRAGE_TC!L180</f>
        <v>2086.1283581249991</v>
      </c>
      <c r="P180" s="609">
        <f>'PRECIOS UNITARIOS'!$AA99*CHIFFRAGE_TC!L180</f>
        <v>142735.09818749997</v>
      </c>
      <c r="Q180" s="609">
        <f>'PRECIOS UNITARIOS'!$Z99*CHIFFRAGE_TC!M180</f>
        <v>2086.1283581249991</v>
      </c>
      <c r="R180" s="609">
        <f>'PRECIOS UNITARIOS'!$AA99*CHIFFRAGE_TC!M180</f>
        <v>142735.09818749997</v>
      </c>
      <c r="S180" s="55"/>
      <c r="T180" s="387"/>
      <c r="U180" s="386"/>
      <c r="V180" s="386">
        <v>0.75</v>
      </c>
      <c r="W180" s="386">
        <v>0.25</v>
      </c>
      <c r="Y180" s="159"/>
    </row>
    <row r="181" spans="1:25" s="3" customFormat="1" outlineLevel="1" x14ac:dyDescent="0.25">
      <c r="A181" s="46"/>
      <c r="B181" s="479" t="str">
        <f>'PRECIOS UNITARIOS'!B100</f>
        <v>Ascensores inclinados para las cabinas</v>
      </c>
      <c r="C181" s="124" t="str">
        <f>'PRECIOS UNITARIOS'!C100</f>
        <v>EQUIP</v>
      </c>
      <c r="D181" s="387">
        <v>40</v>
      </c>
      <c r="E181" s="124" t="str">
        <f>'PRECIOS UNITARIOS'!D100</f>
        <v>U</v>
      </c>
      <c r="F181" s="156">
        <f>'PRECIOS UNITARIOS'!L100</f>
        <v>727760.461776515</v>
      </c>
      <c r="G181" s="631">
        <v>1</v>
      </c>
      <c r="H181" s="1036">
        <v>1</v>
      </c>
      <c r="I181" s="8"/>
      <c r="J181" s="623">
        <f>HLOOKUP($C181,PARAMETROS!$C$36:$F$38,3)*L181</f>
        <v>181940.11544412875</v>
      </c>
      <c r="K181" s="623">
        <f>HLOOKUP($C181,PARAMETROS!$C$36:$F$38,3)*M181</f>
        <v>181940.11544412875</v>
      </c>
      <c r="L181" s="81">
        <f t="shared" si="71"/>
        <v>727760.461776515</v>
      </c>
      <c r="M181" s="63">
        <f t="shared" si="71"/>
        <v>727760.461776515</v>
      </c>
      <c r="N181" s="55"/>
      <c r="O181" s="609">
        <f>'PRECIOS UNITARIOS'!$Z100*CHIFFRAGE_TC!L181</f>
        <v>57892.557306818169</v>
      </c>
      <c r="P181" s="609">
        <f>'PRECIOS UNITARIOS'!$AA100*CHIFFRAGE_TC!L181</f>
        <v>669867.9044696968</v>
      </c>
      <c r="Q181" s="609">
        <f>'PRECIOS UNITARIOS'!$Z100*CHIFFRAGE_TC!M181</f>
        <v>57892.557306818169</v>
      </c>
      <c r="R181" s="609">
        <f>'PRECIOS UNITARIOS'!$AA100*CHIFFRAGE_TC!M181</f>
        <v>669867.9044696968</v>
      </c>
      <c r="S181" s="55"/>
      <c r="T181" s="387"/>
      <c r="U181" s="386">
        <v>0.25</v>
      </c>
      <c r="V181" s="386">
        <v>0.5</v>
      </c>
      <c r="W181" s="386">
        <v>0.25</v>
      </c>
      <c r="Y181" s="124"/>
    </row>
    <row r="182" spans="1:25" s="3" customFormat="1" outlineLevel="1" x14ac:dyDescent="0.25">
      <c r="A182" s="46"/>
      <c r="B182" s="480" t="str">
        <f>'PRECIOS UNITARIOS'!B101</f>
        <v>Adecuacion urbana 
(demolicion, reconstruccion, mobiliario urbano, paisaje)</v>
      </c>
      <c r="C182" s="125" t="str">
        <f>'PRECIOS UNITARIOS'!C101</f>
        <v>INFRA</v>
      </c>
      <c r="D182" s="388">
        <v>50</v>
      </c>
      <c r="E182" s="125" t="str">
        <f>'PRECIOS UNITARIOS'!D101</f>
        <v>m2</v>
      </c>
      <c r="F182" s="619">
        <f>'PRECIOS UNITARIOS'!L101</f>
        <v>197.63321287499991</v>
      </c>
      <c r="G182" s="982">
        <v>0</v>
      </c>
      <c r="H182" s="1040">
        <v>0</v>
      </c>
      <c r="I182" s="8"/>
      <c r="J182" s="623">
        <f>HLOOKUP($C182,PARAMETROS!$C$36:$F$38,3)*L182</f>
        <v>0</v>
      </c>
      <c r="K182" s="623">
        <f>HLOOKUP($C182,PARAMETROS!$C$36:$F$38,3)*M182</f>
        <v>0</v>
      </c>
      <c r="L182" s="116">
        <f t="shared" si="71"/>
        <v>0</v>
      </c>
      <c r="M182" s="117">
        <f t="shared" si="71"/>
        <v>0</v>
      </c>
      <c r="N182" s="55"/>
      <c r="O182" s="609">
        <f>'PRECIOS UNITARIOS'!$Z101*CHIFFRAGE_TC!L182</f>
        <v>0</v>
      </c>
      <c r="P182" s="609">
        <f>'PRECIOS UNITARIOS'!$AA101*CHIFFRAGE_TC!L182</f>
        <v>0</v>
      </c>
      <c r="Q182" s="609">
        <f>'PRECIOS UNITARIOS'!$Z101*CHIFFRAGE_TC!M182</f>
        <v>0</v>
      </c>
      <c r="R182" s="609">
        <f>'PRECIOS UNITARIOS'!$AA101*CHIFFRAGE_TC!M182</f>
        <v>0</v>
      </c>
      <c r="S182" s="55"/>
      <c r="T182" s="388"/>
      <c r="U182" s="381">
        <v>0.25</v>
      </c>
      <c r="V182" s="381">
        <v>0.5</v>
      </c>
      <c r="W182" s="381">
        <v>0.25</v>
      </c>
      <c r="Y182" s="124"/>
    </row>
    <row r="183" spans="1:25" s="3" customFormat="1" x14ac:dyDescent="0.25">
      <c r="A183" s="46"/>
      <c r="B183" s="51"/>
      <c r="C183" s="48"/>
      <c r="D183" s="48"/>
      <c r="E183" s="48"/>
      <c r="F183" s="56"/>
      <c r="G183" s="48"/>
      <c r="H183" s="48"/>
      <c r="I183" s="4"/>
      <c r="J183" s="626"/>
      <c r="K183" s="626"/>
      <c r="L183" s="63"/>
      <c r="M183" s="63"/>
      <c r="N183" s="55"/>
      <c r="O183" s="610"/>
      <c r="P183" s="610"/>
      <c r="Q183" s="610"/>
      <c r="R183" s="610"/>
      <c r="S183" s="55"/>
      <c r="T183" s="61"/>
      <c r="U183" s="62"/>
      <c r="V183" s="62"/>
      <c r="W183" s="62"/>
      <c r="Y183" s="124"/>
    </row>
    <row r="184" spans="1:25" s="3" customFormat="1" ht="15.6" x14ac:dyDescent="0.25">
      <c r="A184" s="46"/>
      <c r="B184" s="302" t="s">
        <v>50</v>
      </c>
      <c r="C184" s="394"/>
      <c r="D184" s="394"/>
      <c r="E184" s="394"/>
      <c r="F184" s="395"/>
      <c r="G184" s="300"/>
      <c r="H184" s="400"/>
      <c r="J184" s="622">
        <f>SUM(J185:J191)/L184</f>
        <v>0.17757854933484599</v>
      </c>
      <c r="K184" s="622">
        <f>SUM(K185:K191)/M184</f>
        <v>0.19276693592062155</v>
      </c>
      <c r="L184" s="412">
        <f t="shared" ref="L184:M184" si="72">SUM(L185:L191)</f>
        <v>4667125.5117874993</v>
      </c>
      <c r="M184" s="413">
        <f t="shared" si="72"/>
        <v>2271414.2968074996</v>
      </c>
      <c r="N184" s="55"/>
      <c r="O184" s="615">
        <f>SUM(O185:O191)/L184</f>
        <v>0.80317705605303535</v>
      </c>
      <c r="P184" s="615">
        <f>SUM(P185:P191)/L184</f>
        <v>0.19682294394696465</v>
      </c>
      <c r="Q184" s="615">
        <f>SUM(Q185:Q191)/M184</f>
        <v>0.80257619941669145</v>
      </c>
      <c r="R184" s="615">
        <f>SUM(R185:R191)/M184</f>
        <v>0.19742380058330852</v>
      </c>
      <c r="S184" s="55"/>
      <c r="T184" s="411">
        <f>T$11</f>
        <v>2015</v>
      </c>
      <c r="U184" s="411">
        <f>U$11</f>
        <v>2016</v>
      </c>
      <c r="V184" s="411">
        <f>V$11</f>
        <v>2017</v>
      </c>
      <c r="W184" s="411">
        <f>W$11</f>
        <v>2018</v>
      </c>
      <c r="Y184" s="425"/>
    </row>
    <row r="185" spans="1:25" s="3" customFormat="1" x14ac:dyDescent="0.25">
      <c r="A185" s="111"/>
      <c r="B185" s="497" t="str">
        <f>'PRECIOS UNITARIOS'!B104</f>
        <v>Estacionamiento incitativo</v>
      </c>
      <c r="C185" s="133" t="str">
        <f>'PRECIOS UNITARIOS'!C104</f>
        <v>INFRA</v>
      </c>
      <c r="D185" s="933">
        <v>10</v>
      </c>
      <c r="E185" s="123" t="str">
        <f>'PRECIOS UNITARIOS'!D104</f>
        <v>Plaza</v>
      </c>
      <c r="F185" s="983">
        <f>'PRECIOS UNITARIOS'!L104</f>
        <v>1899.4747681874994</v>
      </c>
      <c r="G185" s="1006">
        <f>DEMANDA!E16</f>
        <v>200</v>
      </c>
      <c r="H185" s="1035">
        <f>DEMANDA!E17</f>
        <v>200</v>
      </c>
      <c r="J185" s="623">
        <f>HLOOKUP($C185,PARAMETROS!$C$36:$F$38,3)*L185</f>
        <v>94973.738409374972</v>
      </c>
      <c r="K185" s="623">
        <f>HLOOKUP($C185,PARAMETROS!$C$36:$F$38,3)*M185</f>
        <v>94973.738409374972</v>
      </c>
      <c r="L185" s="81">
        <f t="shared" ref="L185:M191" si="73">$F185*G185</f>
        <v>379894.95363749989</v>
      </c>
      <c r="M185" s="63">
        <f t="shared" si="73"/>
        <v>379894.95363749989</v>
      </c>
      <c r="N185" s="55"/>
      <c r="O185" s="609">
        <f>'PRECIOS UNITARIOS'!$Z104*CHIFFRAGE_TC!L185</f>
        <v>306697.46738749993</v>
      </c>
      <c r="P185" s="609">
        <f>'PRECIOS UNITARIOS'!$AA104*CHIFFRAGE_TC!L185</f>
        <v>73197.486249999973</v>
      </c>
      <c r="Q185" s="609">
        <f>'PRECIOS UNITARIOS'!$Z104*CHIFFRAGE_TC!M185</f>
        <v>306697.46738749993</v>
      </c>
      <c r="R185" s="609">
        <f>'PRECIOS UNITARIOS'!$AA104*CHIFFRAGE_TC!M185</f>
        <v>73197.486249999973</v>
      </c>
      <c r="S185" s="55"/>
      <c r="T185" s="387"/>
      <c r="U185" s="386"/>
      <c r="V185" s="386">
        <v>0.5</v>
      </c>
      <c r="W185" s="386">
        <v>0.5</v>
      </c>
      <c r="Y185" s="124"/>
    </row>
    <row r="186" spans="1:25" s="3" customFormat="1" x14ac:dyDescent="0.25">
      <c r="A186" s="111"/>
      <c r="B186" s="82" t="str">
        <f>'PRECIOS UNITARIOS'!B105</f>
        <v>Creacion de vias de acceso en Samborondon</v>
      </c>
      <c r="C186" s="76" t="str">
        <f>'PRECIOS UNITARIOS'!C105</f>
        <v>INFRA</v>
      </c>
      <c r="D186" s="630">
        <v>10</v>
      </c>
      <c r="E186" s="132" t="str">
        <f>'PRECIOS UNITARIOS'!D105</f>
        <v>m²</v>
      </c>
      <c r="F186" s="156">
        <f>'PRECIOS UNITARIOS'!L105</f>
        <v>197.63321287499991</v>
      </c>
      <c r="G186" s="450">
        <f>200*10</f>
        <v>2000</v>
      </c>
      <c r="H186" s="1036">
        <v>2000</v>
      </c>
      <c r="J186" s="623">
        <f>HLOOKUP($C186,PARAMETROS!$C$36:$F$38,3)*L186</f>
        <v>98816.606437499955</v>
      </c>
      <c r="K186" s="623">
        <f>HLOOKUP($C186,PARAMETROS!$C$36:$F$38,3)*M186</f>
        <v>98816.606437499955</v>
      </c>
      <c r="L186" s="81">
        <f t="shared" si="73"/>
        <v>395266.42574999982</v>
      </c>
      <c r="M186" s="63">
        <f t="shared" si="73"/>
        <v>395266.42574999982</v>
      </c>
      <c r="N186" s="55"/>
      <c r="O186" s="609">
        <f>'PRECIOS UNITARIOS'!$Z105*CHIFFRAGE_TC!L186</f>
        <v>313703.5124999999</v>
      </c>
      <c r="P186" s="609">
        <f>'PRECIOS UNITARIOS'!$AA105*CHIFFRAGE_TC!L186</f>
        <v>81562.91324999994</v>
      </c>
      <c r="Q186" s="609">
        <f>'PRECIOS UNITARIOS'!$Z105*CHIFFRAGE_TC!M186</f>
        <v>313703.5124999999</v>
      </c>
      <c r="R186" s="609">
        <f>'PRECIOS UNITARIOS'!$AA105*CHIFFRAGE_TC!M186</f>
        <v>81562.91324999994</v>
      </c>
      <c r="S186" s="55"/>
      <c r="T186" s="387"/>
      <c r="U186" s="386"/>
      <c r="V186" s="386">
        <v>0.5</v>
      </c>
      <c r="W186" s="386">
        <v>0.5</v>
      </c>
      <c r="Y186" s="124"/>
    </row>
    <row r="187" spans="1:25" s="3" customFormat="1" x14ac:dyDescent="0.25">
      <c r="A187" s="111"/>
      <c r="B187" s="82" t="str">
        <f>'PRECIOS UNITARIOS'!B106</f>
        <v>Compra de buses alimentadores para Samborondon (12 m)</v>
      </c>
      <c r="C187" s="76" t="str">
        <f>'PRECIOS UNITARIOS'!C106</f>
        <v>VEH</v>
      </c>
      <c r="D187" s="630">
        <v>10</v>
      </c>
      <c r="E187" s="132" t="str">
        <f>'PRECIOS UNITARIOS'!D106</f>
        <v>U</v>
      </c>
      <c r="F187" s="156">
        <f>'PRECIOS UNITARIOS'!L106</f>
        <v>130000</v>
      </c>
      <c r="G187" s="683">
        <f>'OFERTA ALIMENTADORA'!F31</f>
        <v>10</v>
      </c>
      <c r="H187" s="89">
        <f>G187</f>
        <v>10</v>
      </c>
      <c r="J187" s="623">
        <f>HLOOKUP($C187,PARAMETROS!$C$36:$F$38,3)*L187</f>
        <v>195000</v>
      </c>
      <c r="K187" s="623">
        <f>HLOOKUP($C187,PARAMETROS!$C$36:$F$38,3)*M187</f>
        <v>195000</v>
      </c>
      <c r="L187" s="81">
        <f t="shared" si="73"/>
        <v>1300000</v>
      </c>
      <c r="M187" s="63">
        <f t="shared" si="73"/>
        <v>1300000</v>
      </c>
      <c r="N187" s="55"/>
      <c r="O187" s="609">
        <f>'PRECIOS UNITARIOS'!$Z106*CHIFFRAGE_TC!L187</f>
        <v>1040000</v>
      </c>
      <c r="P187" s="609">
        <f>'PRECIOS UNITARIOS'!$AA106*CHIFFRAGE_TC!L187</f>
        <v>259999.99999999994</v>
      </c>
      <c r="Q187" s="609">
        <f>'PRECIOS UNITARIOS'!$Z106*CHIFFRAGE_TC!M187</f>
        <v>1040000</v>
      </c>
      <c r="R187" s="609">
        <f>'PRECIOS UNITARIOS'!$AA106*CHIFFRAGE_TC!M187</f>
        <v>259999.99999999994</v>
      </c>
      <c r="S187" s="55"/>
      <c r="T187" s="387"/>
      <c r="U187" s="386"/>
      <c r="V187" s="386">
        <v>0.5</v>
      </c>
      <c r="W187" s="386">
        <v>0.5</v>
      </c>
      <c r="Y187" s="124"/>
    </row>
    <row r="188" spans="1:25" s="3" customFormat="1" x14ac:dyDescent="0.25">
      <c r="A188" s="111"/>
      <c r="B188" s="82" t="str">
        <f>'PRECIOS UNITARIOS'!B107</f>
        <v>Compra de buses alimentadores para Duran (12 m)</v>
      </c>
      <c r="C188" s="76" t="str">
        <f>'PRECIOS UNITARIOS'!C107</f>
        <v>VEH</v>
      </c>
      <c r="D188" s="630">
        <v>10</v>
      </c>
      <c r="E188" s="132" t="str">
        <f>'PRECIOS UNITARIOS'!D107</f>
        <v>U</v>
      </c>
      <c r="F188" s="156">
        <f>'PRECIOS UNITARIOS'!L107</f>
        <v>130000</v>
      </c>
      <c r="G188" s="683">
        <f>'OFERTA ALIMENTADORA'!F32+'OFERTA ALIMENTADORA'!F33</f>
        <v>16</v>
      </c>
      <c r="H188" s="1037">
        <v>0</v>
      </c>
      <c r="J188" s="623">
        <f>HLOOKUP($C188,PARAMETROS!$C$36:$F$38,3)*L188</f>
        <v>312000</v>
      </c>
      <c r="K188" s="623">
        <f>HLOOKUP($C188,PARAMETROS!$C$36:$F$38,3)*M188</f>
        <v>0</v>
      </c>
      <c r="L188" s="81">
        <f t="shared" si="73"/>
        <v>2080000</v>
      </c>
      <c r="M188" s="63">
        <f t="shared" si="73"/>
        <v>0</v>
      </c>
      <c r="N188" s="55"/>
      <c r="O188" s="609">
        <f>'PRECIOS UNITARIOS'!$Z107*CHIFFRAGE_TC!L188</f>
        <v>1664000</v>
      </c>
      <c r="P188" s="609">
        <f>'PRECIOS UNITARIOS'!$AA107*CHIFFRAGE_TC!L188</f>
        <v>415999.99999999988</v>
      </c>
      <c r="Q188" s="609">
        <f>'PRECIOS UNITARIOS'!$Z107*CHIFFRAGE_TC!M188</f>
        <v>0</v>
      </c>
      <c r="R188" s="609">
        <f>'PRECIOS UNITARIOS'!$AA107*CHIFFRAGE_TC!M188</f>
        <v>0</v>
      </c>
      <c r="S188" s="55"/>
      <c r="T188" s="387"/>
      <c r="U188" s="386"/>
      <c r="V188" s="386">
        <v>0.5</v>
      </c>
      <c r="W188" s="386">
        <v>0.5</v>
      </c>
      <c r="Y188" s="124"/>
    </row>
    <row r="189" spans="1:25" s="3" customFormat="1" x14ac:dyDescent="0.25">
      <c r="A189" s="111"/>
      <c r="B189" s="82" t="str">
        <f>'PRECIOS UNITARIOS'!B108</f>
        <v>Creacion de paraderos en Samborondon</v>
      </c>
      <c r="C189" s="76" t="str">
        <f>'PRECIOS UNITARIOS'!C108</f>
        <v>INFRA</v>
      </c>
      <c r="D189" s="630">
        <v>10</v>
      </c>
      <c r="E189" s="132" t="str">
        <f>'PRECIOS UNITARIOS'!D108</f>
        <v>U</v>
      </c>
      <c r="F189" s="156">
        <f>'PRECIOS UNITARIOS'!L108</f>
        <v>4266.3677699999989</v>
      </c>
      <c r="G189" s="976">
        <f>ROUNDUP('OFERTA ALIMENTADORA'!C17/200*2,0)</f>
        <v>38</v>
      </c>
      <c r="H189" s="88">
        <f>G189</f>
        <v>38</v>
      </c>
      <c r="J189" s="623">
        <f>HLOOKUP($C189,PARAMETROS!$C$36:$F$38,3)*L189</f>
        <v>40530.493814999987</v>
      </c>
      <c r="K189" s="623">
        <f>HLOOKUP($C189,PARAMETROS!$C$36:$F$38,3)*M189</f>
        <v>40530.493814999987</v>
      </c>
      <c r="L189" s="81">
        <f t="shared" si="73"/>
        <v>162121.97525999995</v>
      </c>
      <c r="M189" s="63">
        <f t="shared" si="73"/>
        <v>162121.97525999995</v>
      </c>
      <c r="N189" s="55"/>
      <c r="O189" s="609">
        <f>'PRECIOS UNITARIOS'!$Z108*CHIFFRAGE_TC!L189</f>
        <v>134306.93048499996</v>
      </c>
      <c r="P189" s="609">
        <f>'PRECIOS UNITARIOS'!$AA108*CHIFFRAGE_TC!L189</f>
        <v>27815.044774999984</v>
      </c>
      <c r="Q189" s="609">
        <f>'PRECIOS UNITARIOS'!$Z108*CHIFFRAGE_TC!M189</f>
        <v>134306.93048499996</v>
      </c>
      <c r="R189" s="609">
        <f>'PRECIOS UNITARIOS'!$AA108*CHIFFRAGE_TC!M189</f>
        <v>27815.044774999984</v>
      </c>
      <c r="S189" s="55"/>
      <c r="T189" s="387"/>
      <c r="U189" s="386"/>
      <c r="V189" s="386"/>
      <c r="W189" s="386">
        <v>1</v>
      </c>
      <c r="Y189" s="124"/>
    </row>
    <row r="190" spans="1:25" s="3" customFormat="1" x14ac:dyDescent="0.25">
      <c r="A190" s="111"/>
      <c r="B190" s="82" t="str">
        <f>'PRECIOS UNITARIOS'!B109</f>
        <v>Creacion de paraderos en Duran</v>
      </c>
      <c r="C190" s="76" t="str">
        <f>'PRECIOS UNITARIOS'!C109</f>
        <v>INFRA</v>
      </c>
      <c r="D190" s="630">
        <v>10</v>
      </c>
      <c r="E190" s="132" t="str">
        <f>'PRECIOS UNITARIOS'!D109</f>
        <v>U</v>
      </c>
      <c r="F190" s="156">
        <f>'PRECIOS UNITARIOS'!L109</f>
        <v>4266.3677699999989</v>
      </c>
      <c r="G190" s="976">
        <f>ROUNDUP('OFERTA ALIMENTADORA'!C18/200*2,0)</f>
        <v>72</v>
      </c>
      <c r="H190" s="1036">
        <v>0</v>
      </c>
      <c r="J190" s="623">
        <f>HLOOKUP($C190,PARAMETROS!$C$36:$F$38,3)*L190</f>
        <v>76794.619859999977</v>
      </c>
      <c r="K190" s="623">
        <f>HLOOKUP($C190,PARAMETROS!$C$36:$F$38,3)*M190</f>
        <v>0</v>
      </c>
      <c r="L190" s="81">
        <f t="shared" si="73"/>
        <v>307178.47943999991</v>
      </c>
      <c r="M190" s="63">
        <f t="shared" si="73"/>
        <v>0</v>
      </c>
      <c r="N190" s="55"/>
      <c r="O190" s="609">
        <f>'PRECIOS UNITARIOS'!$Z109*CHIFFRAGE_TC!L190</f>
        <v>254476.28933999993</v>
      </c>
      <c r="P190" s="609">
        <f>'PRECIOS UNITARIOS'!$AA109*CHIFFRAGE_TC!L190</f>
        <v>52702.190099999971</v>
      </c>
      <c r="Q190" s="609">
        <f>'PRECIOS UNITARIOS'!$Z109*CHIFFRAGE_TC!M190</f>
        <v>0</v>
      </c>
      <c r="R190" s="609">
        <f>'PRECIOS UNITARIOS'!$AA109*CHIFFRAGE_TC!M190</f>
        <v>0</v>
      </c>
      <c r="S190" s="55"/>
      <c r="T190" s="387"/>
      <c r="U190" s="386"/>
      <c r="V190" s="386"/>
      <c r="W190" s="386">
        <v>1</v>
      </c>
      <c r="Y190" s="124"/>
    </row>
    <row r="191" spans="1:25" s="3" customFormat="1" x14ac:dyDescent="0.25">
      <c r="A191" s="51"/>
      <c r="B191" s="130" t="str">
        <f>'PRECIOS UNITARIOS'!B110</f>
        <v>Modificacion de parada de bus</v>
      </c>
      <c r="C191" s="83" t="str">
        <f>'PRECIOS UNITARIOS'!C110</f>
        <v>INFRA</v>
      </c>
      <c r="D191" s="934">
        <v>10</v>
      </c>
      <c r="E191" s="151" t="str">
        <f>'PRECIOS UNITARIOS'!D110</f>
        <v>forfait</v>
      </c>
      <c r="F191" s="619">
        <f>'PRECIOS UNITARIOS'!L110</f>
        <v>4266.3677699999989</v>
      </c>
      <c r="G191" s="136">
        <f>2*(CANTIDADES!B30+CANTIDADES!B31)</f>
        <v>10</v>
      </c>
      <c r="H191" s="135">
        <f>2*(CANTIDADES!C30+CANTIDADES!C31)</f>
        <v>8</v>
      </c>
      <c r="J191" s="623">
        <f>HLOOKUP($C191,PARAMETROS!$C$36:$F$38,3)*L191</f>
        <v>10665.919424999996</v>
      </c>
      <c r="K191" s="623">
        <f>HLOOKUP($C191,PARAMETROS!$C$36:$F$38,3)*M191</f>
        <v>8532.7355399999979</v>
      </c>
      <c r="L191" s="116">
        <f t="shared" si="73"/>
        <v>42663.677699999986</v>
      </c>
      <c r="M191" s="117">
        <f t="shared" si="73"/>
        <v>34130.942159999991</v>
      </c>
      <c r="N191" s="55"/>
      <c r="O191" s="609">
        <f>'PRECIOS UNITARIOS'!$Z110*CHIFFRAGE_TC!L191</f>
        <v>35343.929074999993</v>
      </c>
      <c r="P191" s="609">
        <f>'PRECIOS UNITARIOS'!$AA110*CHIFFRAGE_TC!L191</f>
        <v>7319.7486249999956</v>
      </c>
      <c r="Q191" s="609">
        <f>'PRECIOS UNITARIOS'!$Z110*CHIFFRAGE_TC!M191</f>
        <v>28275.143259999993</v>
      </c>
      <c r="R191" s="609">
        <f>'PRECIOS UNITARIOS'!$AA110*CHIFFRAGE_TC!M191</f>
        <v>5855.798899999997</v>
      </c>
      <c r="S191" s="55"/>
      <c r="T191" s="388"/>
      <c r="U191" s="381"/>
      <c r="V191" s="381"/>
      <c r="W191" s="381">
        <v>1</v>
      </c>
      <c r="Y191" s="124"/>
    </row>
    <row r="192" spans="1:25" s="3" customFormat="1" x14ac:dyDescent="0.25">
      <c r="A192" s="46"/>
      <c r="B192" s="51"/>
      <c r="C192" s="48"/>
      <c r="D192" s="48"/>
      <c r="E192" s="48"/>
      <c r="F192" s="56"/>
      <c r="G192" s="48"/>
      <c r="H192" s="48"/>
      <c r="J192" s="627"/>
      <c r="K192" s="627"/>
      <c r="L192" s="46"/>
      <c r="M192" s="46"/>
      <c r="N192" s="55"/>
      <c r="O192" s="610"/>
      <c r="P192" s="610"/>
      <c r="Q192" s="610"/>
      <c r="R192" s="610"/>
      <c r="S192" s="55"/>
      <c r="T192" s="61"/>
      <c r="U192" s="61"/>
      <c r="V192" s="61"/>
      <c r="W192" s="61"/>
      <c r="Y192" s="124"/>
    </row>
    <row r="193" spans="1:25" s="3" customFormat="1" ht="15.6" x14ac:dyDescent="0.25">
      <c r="A193" s="46"/>
      <c r="B193" s="302" t="s">
        <v>119</v>
      </c>
      <c r="C193" s="394"/>
      <c r="D193" s="394"/>
      <c r="E193" s="394"/>
      <c r="F193" s="317"/>
      <c r="G193" s="394"/>
      <c r="H193" s="400"/>
      <c r="J193" s="622">
        <f>SUM(J194:J198)/L193</f>
        <v>0.10409356616238837</v>
      </c>
      <c r="K193" s="622">
        <f>SUM(K194:K198)/M193</f>
        <v>0.10548810415228024</v>
      </c>
      <c r="L193" s="409">
        <f t="shared" ref="L193:M193" si="74">SUM(L194:L198)</f>
        <v>21985720.13490802</v>
      </c>
      <c r="M193" s="410">
        <f t="shared" si="74"/>
        <v>16399105.684356652</v>
      </c>
      <c r="N193" s="55"/>
      <c r="O193" s="615">
        <f>SUM(O194:O198)/L193</f>
        <v>0.27046783081194181</v>
      </c>
      <c r="P193" s="615">
        <f>SUM(P194:P198)/L193</f>
        <v>0.7295321691880583</v>
      </c>
      <c r="Q193" s="615">
        <f>SUM(Q194:Q198)/M193</f>
        <v>0.27744052076140113</v>
      </c>
      <c r="R193" s="615">
        <f>SUM(R194:R198)/M193</f>
        <v>0.72255947923859887</v>
      </c>
      <c r="S193" s="55"/>
      <c r="T193" s="411">
        <f>T$11</f>
        <v>2015</v>
      </c>
      <c r="U193" s="411">
        <f>U$11</f>
        <v>2016</v>
      </c>
      <c r="V193" s="411">
        <f>V$11</f>
        <v>2017</v>
      </c>
      <c r="W193" s="411">
        <f>W$11</f>
        <v>2018</v>
      </c>
      <c r="Y193" s="425"/>
    </row>
    <row r="194" spans="1:25" s="3" customFormat="1" x14ac:dyDescent="0.25">
      <c r="A194" s="51"/>
      <c r="B194" s="121" t="str">
        <f>PARAMETROS!B30</f>
        <v>Estudios y diseños</v>
      </c>
      <c r="C194" s="131" t="s">
        <v>501</v>
      </c>
      <c r="D194" s="927" t="s">
        <v>503</v>
      </c>
      <c r="E194" s="131" t="s">
        <v>125</v>
      </c>
      <c r="F194" s="617">
        <f>PARAMETROS!D30</f>
        <v>0.08</v>
      </c>
      <c r="G194" s="983">
        <f>L33+L38+L45+L53+L57+L61+L70+L85+L184+L175</f>
        <v>106928600.6745401</v>
      </c>
      <c r="H194" s="1038">
        <f>M33+M38+M45+M53+M57+M61+M70+M85+M184+M175</f>
        <v>78995528.421783254</v>
      </c>
      <c r="I194" s="8"/>
      <c r="J194" s="623">
        <f>PARAMETROS!$E30*L194</f>
        <v>855428.80539632088</v>
      </c>
      <c r="K194" s="623">
        <f>PARAMETROS!$E30*M194</f>
        <v>631964.22737426613</v>
      </c>
      <c r="L194" s="81">
        <f t="shared" ref="L194:M198" si="75">$F194*G194</f>
        <v>8554288.0539632086</v>
      </c>
      <c r="M194" s="63">
        <f t="shared" si="75"/>
        <v>6319642.2737426609</v>
      </c>
      <c r="N194" s="67"/>
      <c r="O194" s="616">
        <v>0</v>
      </c>
      <c r="P194" s="609">
        <f>L194</f>
        <v>8554288.0539632086</v>
      </c>
      <c r="Q194" s="616">
        <v>0</v>
      </c>
      <c r="R194" s="609">
        <f>M194</f>
        <v>6319642.2737426609</v>
      </c>
      <c r="S194" s="67"/>
      <c r="T194" s="386">
        <v>0.5</v>
      </c>
      <c r="U194" s="386">
        <v>0.5</v>
      </c>
      <c r="V194" s="386"/>
      <c r="W194" s="386"/>
      <c r="Y194" s="424" t="s">
        <v>123</v>
      </c>
    </row>
    <row r="195" spans="1:25" s="3" customFormat="1" x14ac:dyDescent="0.25">
      <c r="A195" s="51"/>
      <c r="B195" s="122" t="str">
        <f>PARAMETROS!B31</f>
        <v>Supervision de obras</v>
      </c>
      <c r="C195" s="132" t="s">
        <v>501</v>
      </c>
      <c r="D195" s="928" t="s">
        <v>503</v>
      </c>
      <c r="E195" s="132" t="s">
        <v>125</v>
      </c>
      <c r="F195" s="618">
        <f>PARAMETROS!D31</f>
        <v>0.04</v>
      </c>
      <c r="G195" s="156">
        <f>L33+L38+L45+L53+L57+L61+L70+L85+L184+L175</f>
        <v>106928600.6745401</v>
      </c>
      <c r="H195" s="1039">
        <f>M33+M38+M45+M53+M57+M61+M70+M85+M184+M175</f>
        <v>78995528.421783254</v>
      </c>
      <c r="I195" s="8"/>
      <c r="J195" s="623">
        <f>PARAMETROS!$E31*L195</f>
        <v>427714.40269816044</v>
      </c>
      <c r="K195" s="623">
        <f>PARAMETROS!$E31*M195</f>
        <v>315982.11368713307</v>
      </c>
      <c r="L195" s="81">
        <f t="shared" si="75"/>
        <v>4277144.0269816043</v>
      </c>
      <c r="M195" s="63">
        <f t="shared" si="75"/>
        <v>3159821.1368713304</v>
      </c>
      <c r="N195" s="67"/>
      <c r="O195" s="616">
        <v>0</v>
      </c>
      <c r="P195" s="609">
        <f>L195</f>
        <v>4277144.0269816043</v>
      </c>
      <c r="Q195" s="616">
        <v>0</v>
      </c>
      <c r="R195" s="609">
        <f>M195</f>
        <v>3159821.1368713304</v>
      </c>
      <c r="S195" s="67"/>
      <c r="T195" s="386">
        <v>0.5</v>
      </c>
      <c r="U195" s="386">
        <v>0.5</v>
      </c>
      <c r="V195" s="386"/>
      <c r="W195" s="386"/>
      <c r="Y195" s="424"/>
    </row>
    <row r="196" spans="1:25" s="3" customFormat="1" x14ac:dyDescent="0.25">
      <c r="A196" s="51"/>
      <c r="B196" s="122" t="str">
        <f>PARAMETROS!B32</f>
        <v>Fiscalizacion del proyecto</v>
      </c>
      <c r="C196" s="132" t="s">
        <v>501</v>
      </c>
      <c r="D196" s="928" t="s">
        <v>503</v>
      </c>
      <c r="E196" s="132" t="s">
        <v>125</v>
      </c>
      <c r="F196" s="618">
        <f>PARAMETROS!D32</f>
        <v>0.05</v>
      </c>
      <c r="G196" s="156">
        <f>L33+L38+L45+L53+L57+L61+L70+L85+L184+L175</f>
        <v>106928600.6745401</v>
      </c>
      <c r="H196" s="1039">
        <f>M33+M38+M45+M53+M57+M61+M70+M85+M184+M175</f>
        <v>78995528.421783254</v>
      </c>
      <c r="I196" s="8"/>
      <c r="J196" s="623">
        <f>PARAMETROS!$E32*L196</f>
        <v>534643.00337270054</v>
      </c>
      <c r="K196" s="623">
        <f>PARAMETROS!$E32*M196</f>
        <v>394977.64210891631</v>
      </c>
      <c r="L196" s="81">
        <f t="shared" si="75"/>
        <v>5346430.0337270051</v>
      </c>
      <c r="M196" s="63">
        <f t="shared" si="75"/>
        <v>3949776.4210891631</v>
      </c>
      <c r="N196" s="67"/>
      <c r="O196" s="628">
        <f>L196</f>
        <v>5346430.0337270051</v>
      </c>
      <c r="P196" s="616">
        <v>0</v>
      </c>
      <c r="Q196" s="628">
        <f>M196</f>
        <v>3949776.4210891631</v>
      </c>
      <c r="R196" s="616">
        <v>0</v>
      </c>
      <c r="S196" s="67"/>
      <c r="T196" s="386">
        <v>0.15</v>
      </c>
      <c r="U196" s="386">
        <v>0.25</v>
      </c>
      <c r="V196" s="386">
        <v>0.4</v>
      </c>
      <c r="W196" s="386">
        <v>0.2</v>
      </c>
      <c r="Y196" s="424" t="s">
        <v>124</v>
      </c>
    </row>
    <row r="197" spans="1:25" s="3" customFormat="1" x14ac:dyDescent="0.25">
      <c r="A197" s="51"/>
      <c r="B197" s="122" t="str">
        <f>PARAMETROS!B33</f>
        <v>% gastos de Gestión externalizados (auditores, seguros)</v>
      </c>
      <c r="C197" s="132" t="s">
        <v>501</v>
      </c>
      <c r="D197" s="928" t="s">
        <v>503</v>
      </c>
      <c r="E197" s="132" t="s">
        <v>121</v>
      </c>
      <c r="F197" s="618">
        <f>PARAMETROS!D33</f>
        <v>0.03</v>
      </c>
      <c r="G197" s="156">
        <f>L33+L38+L45+L53+L57+L61+L70+L85+L184+L175</f>
        <v>106928600.6745401</v>
      </c>
      <c r="H197" s="1039">
        <f>M33+M38+M45+M53+M57+M61+M70+M85+M184+M175</f>
        <v>78995528.421783254</v>
      </c>
      <c r="I197" s="8"/>
      <c r="J197" s="623">
        <f>PARAMETROS!$E33*L197</f>
        <v>320785.80202362034</v>
      </c>
      <c r="K197" s="623">
        <f>PARAMETROS!$E33*M197</f>
        <v>236986.58526534974</v>
      </c>
      <c r="L197" s="81">
        <f t="shared" si="75"/>
        <v>3207858.020236203</v>
      </c>
      <c r="M197" s="63">
        <f t="shared" si="75"/>
        <v>2369865.8526534974</v>
      </c>
      <c r="N197" s="55"/>
      <c r="O197" s="616">
        <v>0</v>
      </c>
      <c r="P197" s="609">
        <f>L197</f>
        <v>3207858.020236203</v>
      </c>
      <c r="Q197" s="616">
        <v>0</v>
      </c>
      <c r="R197" s="609">
        <f>M197</f>
        <v>2369865.8526534974</v>
      </c>
      <c r="S197" s="55"/>
      <c r="T197" s="386">
        <v>0.25</v>
      </c>
      <c r="U197" s="386">
        <v>0.25</v>
      </c>
      <c r="V197" s="386">
        <v>0.25</v>
      </c>
      <c r="W197" s="386">
        <v>0.25</v>
      </c>
      <c r="Y197" s="424" t="s">
        <v>122</v>
      </c>
    </row>
    <row r="198" spans="1:25" s="3" customFormat="1" x14ac:dyDescent="0.25">
      <c r="A198" s="51"/>
      <c r="B198" s="118" t="str">
        <f>PARAMETROS!B34</f>
        <v>Tramites administrativos</v>
      </c>
      <c r="C198" s="151" t="s">
        <v>501</v>
      </c>
      <c r="D198" s="929" t="s">
        <v>503</v>
      </c>
      <c r="E198" s="125" t="s">
        <v>1</v>
      </c>
      <c r="F198" s="619">
        <f>PARAMETROS!D34</f>
        <v>600000</v>
      </c>
      <c r="G198" s="982">
        <v>1</v>
      </c>
      <c r="H198" s="1040">
        <v>1</v>
      </c>
      <c r="I198" s="8"/>
      <c r="J198" s="623">
        <f>PARAMETROS!$E34*L198</f>
        <v>150000</v>
      </c>
      <c r="K198" s="623">
        <f>PARAMETROS!$E34*M198</f>
        <v>150000</v>
      </c>
      <c r="L198" s="116">
        <f t="shared" si="75"/>
        <v>600000</v>
      </c>
      <c r="M198" s="117">
        <f t="shared" si="75"/>
        <v>600000</v>
      </c>
      <c r="N198" s="55"/>
      <c r="O198" s="609">
        <f>L198</f>
        <v>600000</v>
      </c>
      <c r="P198" s="616">
        <v>0</v>
      </c>
      <c r="Q198" s="609">
        <f>M198</f>
        <v>600000</v>
      </c>
      <c r="R198" s="616">
        <v>0</v>
      </c>
      <c r="S198" s="55"/>
      <c r="T198" s="381">
        <v>1</v>
      </c>
      <c r="U198" s="381"/>
      <c r="V198" s="381"/>
      <c r="W198" s="381"/>
      <c r="Y198" s="158"/>
    </row>
    <row r="199" spans="1:25" s="3" customFormat="1" x14ac:dyDescent="0.25">
      <c r="A199" s="46"/>
      <c r="B199" s="51"/>
      <c r="C199" s="51"/>
      <c r="D199" s="51"/>
      <c r="E199" s="48"/>
      <c r="F199" s="56"/>
      <c r="G199" s="48"/>
      <c r="H199" s="48"/>
      <c r="J199" s="620"/>
      <c r="K199" s="620"/>
      <c r="L199" s="46"/>
      <c r="M199" s="46"/>
      <c r="N199" s="55"/>
      <c r="O199" s="61"/>
      <c r="P199" s="61"/>
      <c r="Q199" s="61"/>
      <c r="R199" s="61"/>
      <c r="S199" s="55"/>
      <c r="T199" s="55"/>
      <c r="U199" s="55"/>
      <c r="V199" s="55"/>
      <c r="W199" s="55"/>
      <c r="Y199" s="61"/>
    </row>
    <row r="200" spans="1:25" s="3" customFormat="1" ht="15.6" x14ac:dyDescent="0.25">
      <c r="A200" s="46"/>
      <c r="B200" s="49"/>
      <c r="C200" s="49"/>
      <c r="D200" s="49"/>
      <c r="E200" s="49"/>
      <c r="F200" s="49"/>
      <c r="G200" s="49"/>
      <c r="H200" s="49"/>
      <c r="J200" s="1046" t="s">
        <v>112</v>
      </c>
      <c r="K200" s="1046"/>
      <c r="L200" s="994">
        <f>L33+L38+L45+L53+L57+L61+L70+L85+L175+L194+L195+L197</f>
        <v>118300765.26393363</v>
      </c>
      <c r="M200" s="994">
        <f>M33+M38+M45+M53+M57+M61+M70+M85+M175+M194+M195+M197</f>
        <v>88573443.388243258</v>
      </c>
      <c r="N200" s="55"/>
      <c r="O200" s="61"/>
      <c r="P200" s="61"/>
      <c r="Q200" s="61"/>
      <c r="R200" s="61"/>
      <c r="S200" s="55"/>
      <c r="T200" s="55"/>
      <c r="U200" s="55"/>
      <c r="V200" s="55"/>
      <c r="W200" s="55"/>
      <c r="Y200" s="61"/>
    </row>
    <row r="201" spans="1:25" s="3" customFormat="1" ht="15.6" x14ac:dyDescent="0.25">
      <c r="A201" s="46"/>
      <c r="B201" s="49"/>
      <c r="C201" s="49"/>
      <c r="D201" s="49"/>
      <c r="E201" s="49"/>
      <c r="F201" s="49"/>
      <c r="G201" s="49"/>
      <c r="H201" s="49"/>
      <c r="J201" s="1047" t="s">
        <v>180</v>
      </c>
      <c r="K201" s="1047"/>
      <c r="L201" s="993">
        <f>L33*J33+L38*J38+L45*J45+L53*J53+L57*J57+L61*J61+L70*J70+L85*J85+L175*J175+(L194+L195+L197)*J193</f>
        <v>26429725.321639534</v>
      </c>
      <c r="M201" s="993">
        <f>M33*K33+M38*K38+M45*K45+M53*K53+M57*K57+M61*K61+M70*K70+M85*K85+M175*K175+(M194+M195+M197)*K193</f>
        <v>19876803.847148888</v>
      </c>
      <c r="N201" s="55"/>
      <c r="O201" s="61"/>
      <c r="P201" s="61"/>
      <c r="Q201" s="61"/>
      <c r="R201" s="61"/>
      <c r="S201" s="55"/>
      <c r="T201" s="55"/>
      <c r="U201" s="55"/>
      <c r="V201" s="55"/>
      <c r="W201" s="55"/>
      <c r="Y201" s="61"/>
    </row>
    <row r="202" spans="1:25" s="3" customFormat="1" ht="15.6" x14ac:dyDescent="0.25">
      <c r="A202" s="46"/>
      <c r="B202" s="187" t="s">
        <v>40</v>
      </c>
      <c r="C202" s="187"/>
      <c r="D202" s="187"/>
      <c r="E202" s="188" t="s">
        <v>2</v>
      </c>
      <c r="F202" s="49"/>
      <c r="G202" s="189">
        <f>G89+G100+G111+G122+G133+G144+G155+G166</f>
        <v>1750</v>
      </c>
      <c r="H202" s="189">
        <f>H89+H100+H111+H122+H133+H144+H155+H166</f>
        <v>1250</v>
      </c>
      <c r="J202" s="1046" t="s">
        <v>114</v>
      </c>
      <c r="K202" s="1046"/>
      <c r="L202" s="994">
        <f t="shared" ref="L202" si="76">L200+L201</f>
        <v>144730490.58557317</v>
      </c>
      <c r="M202" s="994">
        <f t="shared" ref="M202" si="77">M200+M201</f>
        <v>108450247.23539215</v>
      </c>
      <c r="N202" s="55"/>
      <c r="O202" s="61"/>
      <c r="P202" s="61"/>
      <c r="Q202" s="61"/>
      <c r="R202" s="61"/>
      <c r="S202" s="55"/>
      <c r="T202" s="55"/>
      <c r="U202" s="55"/>
      <c r="V202" s="55"/>
      <c r="W202" s="55"/>
      <c r="Y202" s="61"/>
    </row>
    <row r="203" spans="1:25" s="3" customFormat="1" ht="15.6" x14ac:dyDescent="0.25">
      <c r="A203" s="46"/>
      <c r="B203" s="187" t="s">
        <v>228</v>
      </c>
      <c r="C203" s="187"/>
      <c r="D203" s="187"/>
      <c r="E203" s="188" t="s">
        <v>2</v>
      </c>
      <c r="F203" s="49"/>
      <c r="G203" s="621">
        <f>G90+G92+G101+G103+G112+G114+G123+G125+G134+G136+G145+G147+G156+G158+G167+G169</f>
        <v>5350</v>
      </c>
      <c r="H203" s="621">
        <f>H90+H92+H101+H103+H112+H114+H123+H125+H134+H136+H145+H147+H156+H158+H167+H169</f>
        <v>3950</v>
      </c>
      <c r="I203" s="4"/>
      <c r="J203" s="4"/>
      <c r="K203" s="4"/>
      <c r="L203" s="144"/>
      <c r="M203" s="144"/>
      <c r="N203" s="55"/>
      <c r="O203" s="61"/>
      <c r="P203" s="61"/>
      <c r="Q203" s="61"/>
      <c r="R203" s="61"/>
      <c r="S203" s="55"/>
      <c r="T203" s="55"/>
      <c r="U203" s="55"/>
      <c r="V203" s="55"/>
      <c r="W203" s="55"/>
      <c r="Y203" s="61"/>
    </row>
    <row r="204" spans="1:25" s="3" customFormat="1" ht="18" x14ac:dyDescent="0.25">
      <c r="A204" s="46"/>
      <c r="B204" s="187" t="s">
        <v>229</v>
      </c>
      <c r="C204" s="187"/>
      <c r="D204" s="187"/>
      <c r="E204" s="188" t="s">
        <v>2</v>
      </c>
      <c r="F204" s="49"/>
      <c r="G204" s="621">
        <f>G93+G94+G104+G105+G115+G116+G126+G127+G137+G138+G148+G149+G159+G160+G170+G171</f>
        <v>1920</v>
      </c>
      <c r="H204" s="621">
        <f>H93+H94+H104+H105+H115+H116+H126+H127+H137+H138+H148+H149+H159+H160+H170+H171</f>
        <v>1490</v>
      </c>
      <c r="J204" s="1048" t="s">
        <v>113</v>
      </c>
      <c r="K204" s="1048"/>
      <c r="L204" s="995">
        <f>L23+L33+L38+L45+L53+L57+L61+L70+L85+L175+L184+L194+L195+L197</f>
        <v>122967890.77572113</v>
      </c>
      <c r="M204" s="995">
        <f>M23+M33+M38+M45+M53+M57+M61+M70+M85+M175+M184+M194+M195+M197</f>
        <v>90844857.685050756</v>
      </c>
      <c r="N204" s="55"/>
      <c r="O204" s="61"/>
      <c r="P204" s="61"/>
      <c r="Q204" s="61"/>
      <c r="R204" s="61"/>
      <c r="S204" s="55"/>
      <c r="T204" s="55"/>
      <c r="U204" s="55"/>
      <c r="V204" s="55"/>
      <c r="W204" s="55"/>
      <c r="Y204" s="61"/>
    </row>
    <row r="205" spans="1:25" s="3" customFormat="1" ht="18" x14ac:dyDescent="0.25">
      <c r="A205" s="46"/>
      <c r="B205" s="49"/>
      <c r="C205" s="49"/>
      <c r="D205" s="49"/>
      <c r="E205" s="49"/>
      <c r="F205" s="49"/>
      <c r="G205" s="49"/>
      <c r="H205" s="49"/>
      <c r="J205" s="1049" t="s">
        <v>180</v>
      </c>
      <c r="K205" s="1049"/>
      <c r="L205" s="996">
        <f>L201+L23*J23+L184*J184</f>
        <v>27258506.69958641</v>
      </c>
      <c r="M205" s="996">
        <f>M201+M23*K23+M184*K184</f>
        <v>20314657.421350762</v>
      </c>
      <c r="N205" s="55"/>
      <c r="O205" s="61"/>
      <c r="P205" s="61"/>
      <c r="Q205" s="61"/>
      <c r="R205" s="61"/>
      <c r="S205" s="55"/>
      <c r="T205" s="55"/>
      <c r="U205" s="55"/>
      <c r="V205" s="55"/>
      <c r="W205" s="55"/>
      <c r="Y205" s="61"/>
    </row>
    <row r="206" spans="1:25" s="3" customFormat="1" ht="18" x14ac:dyDescent="0.25">
      <c r="A206" s="46"/>
      <c r="B206" s="13"/>
      <c r="C206" s="13"/>
      <c r="D206" s="13"/>
      <c r="E206" s="13"/>
      <c r="F206" s="13"/>
      <c r="G206" s="56"/>
      <c r="H206" s="56"/>
      <c r="I206" s="7"/>
      <c r="J206" s="1048" t="s">
        <v>111</v>
      </c>
      <c r="K206" s="1048"/>
      <c r="L206" s="995">
        <f t="shared" ref="L206" si="78">L204+L205</f>
        <v>150226397.47530755</v>
      </c>
      <c r="M206" s="995">
        <f t="shared" ref="M206" si="79">M204+M205</f>
        <v>111159515.10640152</v>
      </c>
      <c r="N206" s="55"/>
      <c r="O206" s="61"/>
      <c r="P206" s="61"/>
      <c r="Q206" s="61"/>
      <c r="R206" s="61"/>
      <c r="S206" s="55"/>
      <c r="T206" s="55"/>
      <c r="U206" s="55"/>
      <c r="V206" s="55"/>
      <c r="W206" s="55"/>
      <c r="Y206" s="61"/>
    </row>
    <row r="207" spans="1:25" x14ac:dyDescent="0.25">
      <c r="A207" s="52"/>
      <c r="L207" s="49"/>
      <c r="M207" s="49"/>
      <c r="N207" s="52"/>
      <c r="O207" s="264"/>
      <c r="P207" s="264"/>
      <c r="Q207" s="264"/>
      <c r="R207" s="264"/>
      <c r="S207" s="52"/>
      <c r="T207" s="52"/>
      <c r="U207" s="52"/>
      <c r="V207" s="52"/>
      <c r="W207" s="52"/>
    </row>
    <row r="208" spans="1:25" ht="13.8" thickBot="1" x14ac:dyDescent="0.3">
      <c r="A208" s="52"/>
      <c r="L208" s="52"/>
      <c r="M208" s="52"/>
      <c r="N208" s="52"/>
      <c r="O208" s="264"/>
      <c r="P208" s="264"/>
      <c r="Q208" s="264"/>
      <c r="R208" s="264"/>
      <c r="S208" s="52"/>
      <c r="T208" s="52"/>
      <c r="U208" s="52"/>
      <c r="V208" s="52"/>
      <c r="W208" s="52"/>
    </row>
    <row r="209" spans="1:23" x14ac:dyDescent="0.25">
      <c r="A209" s="52"/>
      <c r="J209" s="98"/>
      <c r="K209" s="98" t="s">
        <v>126</v>
      </c>
      <c r="L209" s="1065">
        <f>L204/CANTIDADES!B22*1000</f>
        <v>17319421.23601706</v>
      </c>
      <c r="M209" s="1066">
        <f>M204/CANTIDADES!C22*1000</f>
        <v>18539766.874500155</v>
      </c>
      <c r="N209" s="52"/>
      <c r="O209" s="264"/>
      <c r="P209" s="264"/>
      <c r="Q209" s="264"/>
      <c r="R209" s="264"/>
      <c r="S209" s="52"/>
      <c r="T209" s="52"/>
      <c r="U209" s="52"/>
      <c r="V209" s="52"/>
      <c r="W209" s="52"/>
    </row>
    <row r="210" spans="1:23" ht="13.8" thickBot="1" x14ac:dyDescent="0.3">
      <c r="A210" s="52"/>
      <c r="L210" s="1067">
        <f>L206/CANTIDADES!B22*1000</f>
        <v>21158647.531733461</v>
      </c>
      <c r="M210" s="1068">
        <f>M206/CANTIDADES!C22*1000</f>
        <v>22685615.327837043</v>
      </c>
      <c r="N210" s="52"/>
      <c r="O210" s="264"/>
      <c r="P210" s="264"/>
      <c r="Q210" s="264"/>
      <c r="R210" s="264"/>
      <c r="S210" s="52"/>
      <c r="T210" s="52"/>
      <c r="U210" s="52"/>
      <c r="V210" s="52"/>
      <c r="W210" s="52"/>
    </row>
    <row r="211" spans="1:23" x14ac:dyDescent="0.25">
      <c r="A211" s="52"/>
      <c r="J211" s="972"/>
      <c r="L211" s="52"/>
      <c r="M211" s="52"/>
      <c r="N211" s="52"/>
      <c r="O211" s="264"/>
      <c r="P211" s="264"/>
      <c r="Q211" s="264"/>
      <c r="R211" s="264"/>
      <c r="S211" s="52"/>
      <c r="T211" s="52"/>
      <c r="U211" s="52"/>
      <c r="V211" s="52"/>
      <c r="W211" s="52"/>
    </row>
    <row r="212" spans="1:23" x14ac:dyDescent="0.25">
      <c r="A212" s="52"/>
      <c r="L212" s="52"/>
      <c r="M212" s="52"/>
      <c r="N212" s="52"/>
      <c r="O212" s="264"/>
      <c r="P212" s="264"/>
      <c r="Q212" s="264"/>
      <c r="R212" s="264"/>
      <c r="S212" s="52"/>
      <c r="T212" s="52"/>
      <c r="U212" s="52"/>
      <c r="V212" s="52"/>
      <c r="W212" s="52"/>
    </row>
    <row r="213" spans="1:23" x14ac:dyDescent="0.25">
      <c r="J213" s="98"/>
      <c r="K213" s="98" t="s">
        <v>181</v>
      </c>
      <c r="L213" s="985">
        <f t="shared" ref="L213" si="80">L193</f>
        <v>21985720.13490802</v>
      </c>
      <c r="M213" s="985">
        <f t="shared" ref="M213" si="81">M193</f>
        <v>16399105.684356652</v>
      </c>
    </row>
    <row r="214" spans="1:23" x14ac:dyDescent="0.25">
      <c r="K214" s="94"/>
      <c r="L214" s="984">
        <f>J193*L213</f>
        <v>2288572.0134908021</v>
      </c>
      <c r="M214" s="984">
        <f>K193*M213</f>
        <v>1729910.5684356655</v>
      </c>
    </row>
    <row r="215" spans="1:23" x14ac:dyDescent="0.25">
      <c r="K215" s="94"/>
      <c r="L215" s="985">
        <f t="shared" ref="L215:M215" si="82">L213+L214</f>
        <v>24274292.148398824</v>
      </c>
      <c r="M215" s="985">
        <f t="shared" si="82"/>
        <v>18129016.252792317</v>
      </c>
    </row>
    <row r="216" spans="1:23" x14ac:dyDescent="0.25">
      <c r="I216" s="972"/>
      <c r="K216" s="94"/>
      <c r="L216" s="92"/>
      <c r="M216" s="92"/>
    </row>
    <row r="217" spans="1:23" x14ac:dyDescent="0.25">
      <c r="K217" s="94"/>
      <c r="L217" s="92"/>
      <c r="M217" s="92"/>
    </row>
    <row r="218" spans="1:23" x14ac:dyDescent="0.25">
      <c r="K218" s="98" t="s">
        <v>497</v>
      </c>
      <c r="L218" s="1050">
        <f>SUMIF($D$12:$D$198,"Infinida",(L12:L198))/L204</f>
        <v>0.22551315381680292</v>
      </c>
      <c r="M218" s="1050">
        <f>SUMIF($D$12:$D$198,"Infinida",(M12:M198))/M204</f>
        <v>0.23013699343294833</v>
      </c>
    </row>
    <row r="219" spans="1:23" x14ac:dyDescent="0.25">
      <c r="K219" s="98" t="s">
        <v>498</v>
      </c>
      <c r="L219" s="1050">
        <f>SUMIF($D$12:$D$198,50,(L12:L198))/L204</f>
        <v>0.26969054957295224</v>
      </c>
      <c r="M219" s="1050">
        <f>SUMIF($D$12:$D$198,50,(M12:M198))/M204</f>
        <v>0.26828387817410493</v>
      </c>
    </row>
    <row r="220" spans="1:23" x14ac:dyDescent="0.25">
      <c r="K220" s="98" t="s">
        <v>499</v>
      </c>
      <c r="L220" s="1050">
        <f>SUMIF($D$12:$D$198,40,(L12:L198))/L204</f>
        <v>0.45341241088588236</v>
      </c>
      <c r="M220" s="1050">
        <f>SUMIF($D$12:$D$198,40,(M12:M198))/M204</f>
        <v>0.46768156165052532</v>
      </c>
    </row>
    <row r="221" spans="1:23" x14ac:dyDescent="0.25">
      <c r="K221" s="98" t="s">
        <v>500</v>
      </c>
      <c r="L221" s="1050">
        <f>SUMIF($D$12:$D$198,15,(L12:L198))/L204</f>
        <v>9.9706418151122897E-2</v>
      </c>
      <c r="M221" s="1050">
        <f>SUMIF($D$12:$D$198,15,(M12:M198))/M204</f>
        <v>0.10004953000066474</v>
      </c>
    </row>
    <row r="222" spans="1:23" x14ac:dyDescent="0.25">
      <c r="K222" s="98" t="s">
        <v>505</v>
      </c>
      <c r="L222" s="1050">
        <f>SUMIF($D$12:$D$198,10,(L12:L198))/L204</f>
        <v>3.7954017771190229E-2</v>
      </c>
      <c r="M222" s="1050">
        <f>SUMIF($D$12:$D$198,10,(M12:M198))/M204</f>
        <v>2.5003223679233952E-2</v>
      </c>
    </row>
    <row r="223" spans="1:23" x14ac:dyDescent="0.25">
      <c r="K223" s="98" t="s">
        <v>506</v>
      </c>
      <c r="L223" s="1050">
        <f>SUMIF($D$12:$D$198,5,(L12:L198))/L204</f>
        <v>8.0279870318331111E-3</v>
      </c>
      <c r="M223" s="1050">
        <f>SUMIF($D$12:$D$198,5,(M12:M198))/M204</f>
        <v>7.4995597314029654E-3</v>
      </c>
    </row>
    <row r="224" spans="1:23" x14ac:dyDescent="0.25">
      <c r="K224" s="94"/>
      <c r="L224" s="1051"/>
      <c r="M224" s="92"/>
    </row>
    <row r="225" spans="9:14" x14ac:dyDescent="0.25">
      <c r="K225" s="94"/>
      <c r="L225" s="1051">
        <f>SUM(L218:L223)</f>
        <v>1.0943045372297837</v>
      </c>
      <c r="M225" s="1051">
        <f t="shared" ref="M225" si="83">SUM(M218:M223)</f>
        <v>1.0986547466688803</v>
      </c>
    </row>
    <row r="226" spans="9:14" x14ac:dyDescent="0.25">
      <c r="K226" s="94"/>
      <c r="L226" s="92"/>
      <c r="M226" s="92"/>
    </row>
    <row r="227" spans="9:14" x14ac:dyDescent="0.25">
      <c r="K227" s="94"/>
      <c r="L227" s="92"/>
      <c r="M227" s="92"/>
    </row>
    <row r="228" spans="9:14" x14ac:dyDescent="0.25">
      <c r="I228" s="103"/>
      <c r="J228" s="103"/>
      <c r="K228" s="990" t="s">
        <v>557</v>
      </c>
      <c r="L228" s="985">
        <f>L33+L38+L45+L53+L57+L61+L70+L85+L175+L184+L194+L195+L197</f>
        <v>122967890.77572113</v>
      </c>
      <c r="M228" s="985">
        <f>M33+M38+M45+M53+M57+M61+M70+M85+M175+M184+M194+M195+M197</f>
        <v>90844857.685050756</v>
      </c>
    </row>
    <row r="229" spans="9:14" x14ac:dyDescent="0.25">
      <c r="I229" s="103"/>
      <c r="J229" s="103"/>
      <c r="K229" s="1052"/>
      <c r="L229" s="984">
        <f>L33*J33+L38*J38+L45*J45+L53*J53+L57*J57+L61*J61+L70*J70+L85*J85+L175*J175+L184*J184+L194*J193+L195*J193+L197*J193</f>
        <v>27258506.69958641</v>
      </c>
      <c r="M229" s="984">
        <f>M33*K33+M38*K38+M45*K45+M53*K53+M57*K57+M61*K61+M70*K70+M85*K85+M175*K175+M184*K184+M194*K193+M195*K193+M197*K193</f>
        <v>20314657.421350766</v>
      </c>
    </row>
    <row r="230" spans="9:14" x14ac:dyDescent="0.25">
      <c r="I230" s="103"/>
      <c r="J230" s="103"/>
      <c r="K230" s="990" t="s">
        <v>556</v>
      </c>
      <c r="L230" s="985">
        <f>L228+L229</f>
        <v>150226397.47530755</v>
      </c>
      <c r="M230" s="985">
        <f t="shared" ref="M230" si="84">M228+M229</f>
        <v>111159515.10640152</v>
      </c>
    </row>
    <row r="231" spans="9:14" x14ac:dyDescent="0.25">
      <c r="I231" s="103"/>
      <c r="J231" s="103"/>
      <c r="K231" s="1052"/>
      <c r="L231" s="984"/>
      <c r="M231" s="984"/>
    </row>
    <row r="232" spans="9:14" x14ac:dyDescent="0.25">
      <c r="I232" s="103"/>
      <c r="J232" s="103"/>
      <c r="K232" s="1052"/>
      <c r="L232" s="984"/>
      <c r="M232" s="984"/>
    </row>
    <row r="233" spans="9:14" ht="13.8" x14ac:dyDescent="0.25">
      <c r="I233" s="103"/>
      <c r="J233" s="103"/>
      <c r="K233" s="991" t="s">
        <v>554</v>
      </c>
      <c r="L233" s="985">
        <f>L12+L23</f>
        <v>5650000</v>
      </c>
      <c r="M233" s="985">
        <f>M12+M23</f>
        <v>4412500</v>
      </c>
    </row>
    <row r="234" spans="9:14" x14ac:dyDescent="0.25">
      <c r="I234" s="103"/>
      <c r="J234" s="103"/>
      <c r="K234" s="1052"/>
      <c r="L234" s="984">
        <f>L12*J12</f>
        <v>1412500</v>
      </c>
      <c r="M234" s="984">
        <f>M12*K12</f>
        <v>1103125</v>
      </c>
    </row>
    <row r="235" spans="9:14" x14ac:dyDescent="0.25">
      <c r="I235" s="103"/>
      <c r="J235" s="103"/>
      <c r="K235" s="1052"/>
      <c r="L235" s="985">
        <f>L233+L234</f>
        <v>7062500</v>
      </c>
      <c r="M235" s="985">
        <f t="shared" ref="M235" si="85">M233+M234</f>
        <v>5515625</v>
      </c>
    </row>
    <row r="236" spans="9:14" x14ac:dyDescent="0.25">
      <c r="I236" s="103"/>
      <c r="J236" s="103"/>
      <c r="K236" s="1052"/>
      <c r="L236" s="984"/>
      <c r="M236" s="984"/>
    </row>
    <row r="237" spans="9:14" ht="13.8" x14ac:dyDescent="0.25">
      <c r="I237" s="103"/>
      <c r="J237" s="103"/>
      <c r="K237" s="991" t="s">
        <v>555</v>
      </c>
      <c r="L237" s="985">
        <f>L196+L198</f>
        <v>5946430.0337270051</v>
      </c>
      <c r="M237" s="985">
        <f t="shared" ref="M237" si="86">M196+M198</f>
        <v>4549776.4210891631</v>
      </c>
      <c r="N237" s="985"/>
    </row>
    <row r="238" spans="9:14" x14ac:dyDescent="0.25">
      <c r="I238" s="103"/>
      <c r="J238" s="103"/>
      <c r="K238" s="1052"/>
      <c r="L238" s="984">
        <f>L196*J193+L198*J193</f>
        <v>618985.10814577527</v>
      </c>
      <c r="M238" s="984">
        <f>M196*K193+M198*K193</f>
        <v>479947.28897744248</v>
      </c>
    </row>
    <row r="239" spans="9:14" x14ac:dyDescent="0.25">
      <c r="I239" s="103"/>
      <c r="J239" s="103"/>
      <c r="K239" s="1052"/>
      <c r="L239" s="985">
        <f>L237+L238</f>
        <v>6565415.1418727804</v>
      </c>
      <c r="M239" s="985">
        <f t="shared" ref="M239" si="87">M237+M238</f>
        <v>5029723.7100666054</v>
      </c>
    </row>
    <row r="240" spans="9:14" x14ac:dyDescent="0.25">
      <c r="I240" s="103"/>
      <c r="J240" s="103"/>
      <c r="K240" s="1052"/>
      <c r="L240" s="92"/>
      <c r="M240" s="92"/>
    </row>
    <row r="241" spans="9:14" x14ac:dyDescent="0.25">
      <c r="I241" s="103"/>
      <c r="J241" s="103"/>
      <c r="K241" s="1052"/>
      <c r="L241" s="984"/>
      <c r="M241" s="984"/>
    </row>
    <row r="242" spans="9:14" x14ac:dyDescent="0.25">
      <c r="I242" s="103"/>
      <c r="J242" s="103"/>
      <c r="K242" s="990" t="s">
        <v>466</v>
      </c>
      <c r="L242" s="985">
        <f>L228+L233+L237</f>
        <v>134564320.80944812</v>
      </c>
      <c r="M242" s="985">
        <f t="shared" ref="M242" si="88">M228+M233+M237</f>
        <v>99807134.106139913</v>
      </c>
    </row>
    <row r="243" spans="9:14" x14ac:dyDescent="0.25">
      <c r="I243" s="103"/>
      <c r="J243" s="103"/>
      <c r="K243" s="992" t="s">
        <v>467</v>
      </c>
      <c r="L243" s="985">
        <f>L230+L235+L239</f>
        <v>163854312.61718035</v>
      </c>
      <c r="M243" s="985">
        <f t="shared" ref="M243" si="89">M230+M235+M239</f>
        <v>121704863.81646812</v>
      </c>
    </row>
    <row r="244" spans="9:14" x14ac:dyDescent="0.25">
      <c r="I244" s="103"/>
      <c r="J244" s="103"/>
      <c r="K244" s="103"/>
      <c r="L244" s="147"/>
      <c r="M244" s="147"/>
      <c r="N244" s="147"/>
    </row>
    <row r="245" spans="9:14" x14ac:dyDescent="0.25">
      <c r="I245" s="103"/>
      <c r="J245" s="103"/>
      <c r="K245" s="103"/>
    </row>
    <row r="246" spans="9:14" x14ac:dyDescent="0.25">
      <c r="I246" s="103"/>
      <c r="J246" s="103"/>
      <c r="K246" s="103"/>
    </row>
    <row r="247" spans="9:14" x14ac:dyDescent="0.25">
      <c r="I247" s="103"/>
      <c r="J247" s="103"/>
      <c r="K247" s="103"/>
    </row>
  </sheetData>
  <sheetProtection algorithmName="SHA-512" hashValue="jnYki6ZUh1YwGjG+OAhftm19hHgJS6NYqdL+iud7ZPdshjLVU7Vp19zaaJBlQsZ6T8UXQJOUDSi7kTNsHNEjVw==" saltValue="MuE1UDN0Ec2Tm8bbyEQf3A==" spinCount="100000" sheet="1" objects="1" scenarios="1"/>
  <mergeCells count="7">
    <mergeCell ref="F9:F10"/>
    <mergeCell ref="B2:B5"/>
    <mergeCell ref="T9:W9"/>
    <mergeCell ref="G9:H10"/>
    <mergeCell ref="L9:M10"/>
    <mergeCell ref="O9:R10"/>
    <mergeCell ref="J9:K1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rgb="FF002060"/>
  </sheetPr>
  <dimension ref="A2:BM772"/>
  <sheetViews>
    <sheetView zoomScaleNormal="100" workbookViewId="0">
      <selection activeCell="B120" sqref="B120"/>
    </sheetView>
  </sheetViews>
  <sheetFormatPr baseColWidth="10" defaultColWidth="11.44140625" defaultRowHeight="12.6" outlineLevelRow="2" x14ac:dyDescent="0.2"/>
  <cols>
    <col min="1" max="1" width="3.6640625" style="1" customWidth="1"/>
    <col min="2" max="2" width="72.33203125" style="707" bestFit="1" customWidth="1"/>
    <col min="3" max="3" width="24.5546875" style="54" bestFit="1" customWidth="1"/>
    <col min="4" max="4" width="20" style="725" bestFit="1" customWidth="1"/>
    <col min="5" max="5" width="18.44140625" style="16" bestFit="1" customWidth="1"/>
    <col min="6" max="6" width="18" style="16" bestFit="1" customWidth="1"/>
    <col min="7" max="8" width="18.44140625" style="16" bestFit="1" customWidth="1"/>
    <col min="9" max="9" width="13.6640625" style="16" customWidth="1"/>
    <col min="10" max="10" width="13.5546875" style="16" bestFit="1" customWidth="1"/>
    <col min="11" max="12" width="11.44140625" style="16" customWidth="1"/>
    <col min="13" max="13" width="15.109375" style="16" bestFit="1" customWidth="1"/>
    <col min="14" max="15" width="11.44140625" style="16" customWidth="1"/>
    <col min="16" max="16" width="15.109375" style="16" bestFit="1" customWidth="1"/>
    <col min="17" max="17" width="11.44140625" style="16" customWidth="1"/>
    <col min="18" max="19" width="15.109375" style="16" bestFit="1" customWidth="1"/>
    <col min="20" max="20" width="11.44140625" style="16" customWidth="1"/>
    <col min="21" max="21" width="15.109375" style="16" bestFit="1" customWidth="1"/>
    <col min="22" max="22" width="11.44140625" style="16" customWidth="1"/>
    <col min="23" max="23" width="15.88671875" style="16" bestFit="1" customWidth="1"/>
    <col min="24" max="25" width="16.88671875" style="16" bestFit="1" customWidth="1"/>
    <col min="26" max="26" width="14.88671875" style="16" bestFit="1" customWidth="1"/>
    <col min="27" max="27" width="16.33203125" style="16" bestFit="1" customWidth="1"/>
    <col min="28" max="29" width="15.44140625" style="16" bestFit="1" customWidth="1"/>
    <col min="30" max="30" width="15.88671875" style="16" bestFit="1" customWidth="1"/>
    <col min="31" max="31" width="15.5546875" style="16" bestFit="1" customWidth="1"/>
    <col min="32" max="33" width="15.88671875" style="16" bestFit="1" customWidth="1"/>
    <col min="34" max="34" width="15.5546875" style="16" bestFit="1" customWidth="1"/>
    <col min="35" max="35" width="15.88671875" style="16" bestFit="1" customWidth="1"/>
    <col min="36" max="36" width="15.109375" style="16" bestFit="1" customWidth="1"/>
    <col min="37" max="38" width="15.88671875" style="16" bestFit="1" customWidth="1"/>
    <col min="39" max="39" width="16.109375" style="16" bestFit="1" customWidth="1"/>
    <col min="40" max="40" width="15.88671875" style="16" bestFit="1" customWidth="1"/>
    <col min="41" max="42" width="16.88671875" style="1" bestFit="1" customWidth="1"/>
    <col min="43" max="43" width="16.33203125" style="1" customWidth="1"/>
    <col min="44" max="44" width="16.88671875" style="1" bestFit="1" customWidth="1"/>
    <col min="45" max="45" width="16.33203125" style="1" bestFit="1" customWidth="1"/>
    <col min="46" max="46" width="16.88671875" style="1" bestFit="1" customWidth="1"/>
    <col min="47" max="47" width="15.5546875" style="1" bestFit="1" customWidth="1"/>
    <col min="48" max="48" width="16.88671875" style="1" bestFit="1" customWidth="1"/>
    <col min="49" max="49" width="15.5546875" style="1" bestFit="1" customWidth="1"/>
    <col min="50" max="50" width="16.109375" style="1" bestFit="1" customWidth="1"/>
    <col min="51" max="16384" width="11.44140625" style="1"/>
  </cols>
  <sheetData>
    <row r="2" spans="1:50" ht="14.4" x14ac:dyDescent="0.2">
      <c r="B2" s="1078" t="s">
        <v>260</v>
      </c>
      <c r="C2" s="366" t="s">
        <v>312</v>
      </c>
    </row>
    <row r="3" spans="1:50" ht="14.4" x14ac:dyDescent="0.2">
      <c r="B3" s="1079"/>
      <c r="C3" s="498" t="s">
        <v>325</v>
      </c>
    </row>
    <row r="4" spans="1:50" ht="14.4" x14ac:dyDescent="0.2">
      <c r="B4" s="1079"/>
      <c r="C4" s="499" t="s">
        <v>324</v>
      </c>
    </row>
    <row r="5" spans="1:50" ht="14.4" x14ac:dyDescent="0.2">
      <c r="B5" s="1080"/>
      <c r="C5" s="367" t="s">
        <v>261</v>
      </c>
    </row>
    <row r="7" spans="1:50" ht="13.2" thickBot="1" x14ac:dyDescent="0.25"/>
    <row r="8" spans="1:50" ht="38.25" customHeight="1" thickBot="1" x14ac:dyDescent="0.25">
      <c r="E8" s="1114" t="s">
        <v>405</v>
      </c>
      <c r="F8" s="1115"/>
      <c r="G8" s="1115"/>
      <c r="H8" s="1115"/>
      <c r="I8" s="1115"/>
      <c r="J8" s="1115"/>
      <c r="K8" s="1115"/>
      <c r="L8" s="1115"/>
      <c r="M8" s="1115"/>
      <c r="N8" s="1115"/>
      <c r="O8" s="1115"/>
      <c r="P8" s="1115"/>
      <c r="Q8" s="1115"/>
      <c r="R8" s="1115"/>
      <c r="S8" s="1115"/>
      <c r="T8" s="1115"/>
      <c r="U8" s="1115"/>
      <c r="V8" s="1115"/>
      <c r="W8" s="1115"/>
      <c r="X8" s="1115"/>
      <c r="Y8" s="1115"/>
      <c r="Z8" s="1115"/>
      <c r="AA8" s="1115"/>
      <c r="AB8" s="1115"/>
      <c r="AC8" s="1115"/>
      <c r="AD8" s="1115"/>
      <c r="AE8" s="1115"/>
      <c r="AF8" s="1115"/>
      <c r="AG8" s="1115"/>
      <c r="AH8" s="1115"/>
      <c r="AI8" s="1115"/>
      <c r="AJ8" s="1115"/>
      <c r="AK8" s="1115"/>
      <c r="AL8" s="1115"/>
      <c r="AM8" s="1115"/>
      <c r="AN8" s="1115"/>
      <c r="AO8" s="1115"/>
      <c r="AP8" s="1115"/>
      <c r="AQ8" s="1115"/>
      <c r="AR8" s="1115"/>
      <c r="AS8" s="1115"/>
      <c r="AT8" s="1115"/>
      <c r="AU8" s="1115"/>
      <c r="AV8" s="1115"/>
      <c r="AW8" s="1115"/>
      <c r="AX8" s="1116"/>
    </row>
    <row r="9" spans="1:50" ht="24" customHeight="1" x14ac:dyDescent="0.2">
      <c r="A9" s="199"/>
      <c r="B9" s="286"/>
      <c r="C9" s="751" t="s">
        <v>502</v>
      </c>
      <c r="D9" s="725" t="s">
        <v>180</v>
      </c>
      <c r="E9" s="207">
        <v>2015</v>
      </c>
      <c r="F9" s="200">
        <v>2016</v>
      </c>
      <c r="G9" s="200">
        <v>2017</v>
      </c>
      <c r="H9" s="201">
        <v>2018</v>
      </c>
      <c r="I9" s="200">
        <v>2019</v>
      </c>
      <c r="J9" s="201">
        <v>2020</v>
      </c>
      <c r="K9" s="200">
        <v>2021</v>
      </c>
      <c r="L9" s="201">
        <v>2022</v>
      </c>
      <c r="M9" s="200">
        <v>2023</v>
      </c>
      <c r="N9" s="201">
        <v>2024</v>
      </c>
      <c r="O9" s="200">
        <v>2025</v>
      </c>
      <c r="P9" s="201">
        <v>2026</v>
      </c>
      <c r="Q9" s="200">
        <v>2027</v>
      </c>
      <c r="R9" s="201">
        <v>2028</v>
      </c>
      <c r="S9" s="200">
        <v>2029</v>
      </c>
      <c r="T9" s="201">
        <v>2030</v>
      </c>
      <c r="U9" s="200">
        <v>2031</v>
      </c>
      <c r="V9" s="201">
        <v>2032</v>
      </c>
      <c r="W9" s="200">
        <v>2033</v>
      </c>
      <c r="X9" s="201">
        <v>2034</v>
      </c>
      <c r="Y9" s="200">
        <v>2035</v>
      </c>
      <c r="Z9" s="201">
        <v>2036</v>
      </c>
      <c r="AA9" s="200">
        <v>2037</v>
      </c>
      <c r="AB9" s="201">
        <v>2038</v>
      </c>
      <c r="AC9" s="200">
        <v>2039</v>
      </c>
      <c r="AD9" s="201">
        <v>2040</v>
      </c>
      <c r="AE9" s="200">
        <v>2041</v>
      </c>
      <c r="AF9" s="201">
        <v>2042</v>
      </c>
      <c r="AG9" s="200">
        <v>2043</v>
      </c>
      <c r="AH9" s="201">
        <v>2044</v>
      </c>
      <c r="AI9" s="200">
        <v>2045</v>
      </c>
      <c r="AJ9" s="201">
        <v>2046</v>
      </c>
      <c r="AK9" s="200">
        <v>2047</v>
      </c>
      <c r="AL9" s="201">
        <v>2048</v>
      </c>
      <c r="AM9" s="200">
        <v>2049</v>
      </c>
      <c r="AN9" s="201">
        <v>2050</v>
      </c>
      <c r="AO9" s="201">
        <v>2051</v>
      </c>
      <c r="AP9" s="201">
        <v>2052</v>
      </c>
      <c r="AQ9" s="201">
        <v>2053</v>
      </c>
      <c r="AR9" s="201">
        <v>2054</v>
      </c>
      <c r="AS9" s="201">
        <v>2055</v>
      </c>
      <c r="AT9" s="201">
        <v>2056</v>
      </c>
      <c r="AU9" s="201">
        <v>2057</v>
      </c>
      <c r="AV9" s="201">
        <v>2058</v>
      </c>
      <c r="AW9" s="201">
        <v>2059</v>
      </c>
      <c r="AX9" s="201">
        <v>2060</v>
      </c>
    </row>
    <row r="10" spans="1:50" ht="13.2" thickBot="1" x14ac:dyDescent="0.25">
      <c r="B10" s="708"/>
      <c r="E10" s="712"/>
      <c r="F10" s="713"/>
      <c r="G10" s="713"/>
      <c r="H10" s="714"/>
      <c r="I10" s="696"/>
      <c r="AO10" s="16"/>
      <c r="AP10" s="16"/>
      <c r="AQ10" s="16"/>
      <c r="AR10" s="16"/>
      <c r="AS10" s="16"/>
      <c r="AT10" s="16"/>
      <c r="AU10" s="16"/>
      <c r="AV10" s="16"/>
      <c r="AW10" s="16"/>
      <c r="AX10" s="16"/>
    </row>
    <row r="11" spans="1:50" ht="16.2" thickBot="1" x14ac:dyDescent="0.25">
      <c r="B11" s="288" t="str">
        <f>CHIFFRAGE_TC!B12</f>
        <v>Compra de terrenos para estaciones y servidumbres</v>
      </c>
      <c r="D11" s="725">
        <f>CHIFFRAGE_TC!J12</f>
        <v>0.25</v>
      </c>
      <c r="E11" s="209">
        <f t="shared" ref="E11:AX11" si="0">SUM(E12:E20)</f>
        <v>0</v>
      </c>
      <c r="F11" s="196">
        <f t="shared" si="0"/>
        <v>0</v>
      </c>
      <c r="G11" s="697">
        <f t="shared" si="0"/>
        <v>0</v>
      </c>
      <c r="H11" s="698">
        <f t="shared" si="0"/>
        <v>0</v>
      </c>
      <c r="I11" s="698">
        <f t="shared" si="0"/>
        <v>0</v>
      </c>
      <c r="J11" s="699">
        <f t="shared" si="0"/>
        <v>0</v>
      </c>
      <c r="K11" s="699">
        <f t="shared" si="0"/>
        <v>0</v>
      </c>
      <c r="L11" s="699">
        <f t="shared" si="0"/>
        <v>0</v>
      </c>
      <c r="M11" s="699">
        <f t="shared" si="0"/>
        <v>0</v>
      </c>
      <c r="N11" s="699">
        <f t="shared" si="0"/>
        <v>0</v>
      </c>
      <c r="O11" s="699">
        <f t="shared" si="0"/>
        <v>0</v>
      </c>
      <c r="P11" s="699">
        <f t="shared" si="0"/>
        <v>0</v>
      </c>
      <c r="Q11" s="699">
        <f t="shared" si="0"/>
        <v>0</v>
      </c>
      <c r="R11" s="699">
        <f t="shared" si="0"/>
        <v>0</v>
      </c>
      <c r="S11" s="699">
        <f t="shared" si="0"/>
        <v>0</v>
      </c>
      <c r="T11" s="699">
        <f t="shared" si="0"/>
        <v>0</v>
      </c>
      <c r="U11" s="699">
        <f t="shared" si="0"/>
        <v>0</v>
      </c>
      <c r="V11" s="699">
        <f t="shared" si="0"/>
        <v>0</v>
      </c>
      <c r="W11" s="699">
        <f t="shared" si="0"/>
        <v>0</v>
      </c>
      <c r="X11" s="699">
        <f t="shared" si="0"/>
        <v>0</v>
      </c>
      <c r="Y11" s="699">
        <f t="shared" si="0"/>
        <v>0</v>
      </c>
      <c r="Z11" s="699">
        <f t="shared" si="0"/>
        <v>0</v>
      </c>
      <c r="AA11" s="699">
        <f t="shared" si="0"/>
        <v>0</v>
      </c>
      <c r="AB11" s="699">
        <f t="shared" si="0"/>
        <v>0</v>
      </c>
      <c r="AC11" s="699">
        <f t="shared" si="0"/>
        <v>0</v>
      </c>
      <c r="AD11" s="699">
        <f t="shared" si="0"/>
        <v>0</v>
      </c>
      <c r="AE11" s="699">
        <f t="shared" si="0"/>
        <v>0</v>
      </c>
      <c r="AF11" s="699">
        <f t="shared" si="0"/>
        <v>0</v>
      </c>
      <c r="AG11" s="699">
        <f t="shared" si="0"/>
        <v>0</v>
      </c>
      <c r="AH11" s="699">
        <f t="shared" si="0"/>
        <v>0</v>
      </c>
      <c r="AI11" s="699">
        <f t="shared" si="0"/>
        <v>0</v>
      </c>
      <c r="AJ11" s="699">
        <f t="shared" si="0"/>
        <v>0</v>
      </c>
      <c r="AK11" s="699">
        <f t="shared" si="0"/>
        <v>0</v>
      </c>
      <c r="AL11" s="699">
        <f t="shared" si="0"/>
        <v>0</v>
      </c>
      <c r="AM11" s="699">
        <f t="shared" si="0"/>
        <v>0</v>
      </c>
      <c r="AN11" s="700">
        <f t="shared" si="0"/>
        <v>0</v>
      </c>
      <c r="AO11" s="700">
        <f t="shared" si="0"/>
        <v>0</v>
      </c>
      <c r="AP11" s="700">
        <f t="shared" si="0"/>
        <v>0</v>
      </c>
      <c r="AQ11" s="700">
        <f t="shared" si="0"/>
        <v>0</v>
      </c>
      <c r="AR11" s="700">
        <f t="shared" si="0"/>
        <v>0</v>
      </c>
      <c r="AS11" s="700">
        <f t="shared" si="0"/>
        <v>0</v>
      </c>
      <c r="AT11" s="700">
        <f t="shared" si="0"/>
        <v>0</v>
      </c>
      <c r="AU11" s="700">
        <f t="shared" si="0"/>
        <v>0</v>
      </c>
      <c r="AV11" s="700">
        <f t="shared" si="0"/>
        <v>0</v>
      </c>
      <c r="AW11" s="700">
        <f t="shared" si="0"/>
        <v>0</v>
      </c>
      <c r="AX11" s="700">
        <f t="shared" si="0"/>
        <v>0</v>
      </c>
    </row>
    <row r="12" spans="1:50" ht="13.2" outlineLevel="1" x14ac:dyDescent="0.2">
      <c r="B12" s="290" t="str">
        <f>CHIFFRAGE_TC!B13</f>
        <v>Estacion Duran (Terminal)</v>
      </c>
      <c r="C12" s="16" t="str">
        <f>CHIFFRAGE_TC!D13</f>
        <v>Infinida</v>
      </c>
      <c r="E12" s="997"/>
      <c r="F12" s="998"/>
      <c r="G12" s="998"/>
      <c r="H12" s="999"/>
      <c r="I12" s="709">
        <v>0</v>
      </c>
      <c r="J12" s="709">
        <v>0</v>
      </c>
      <c r="K12" s="709">
        <v>0</v>
      </c>
      <c r="L12" s="709">
        <v>0</v>
      </c>
      <c r="M12" s="709">
        <v>0</v>
      </c>
      <c r="N12" s="709">
        <v>0</v>
      </c>
      <c r="O12" s="709">
        <v>0</v>
      </c>
      <c r="P12" s="709">
        <v>0</v>
      </c>
      <c r="Q12" s="709">
        <v>0</v>
      </c>
      <c r="R12" s="709">
        <v>0</v>
      </c>
      <c r="S12" s="709">
        <v>0</v>
      </c>
      <c r="T12" s="709">
        <v>0</v>
      </c>
      <c r="U12" s="709">
        <v>0</v>
      </c>
      <c r="V12" s="709">
        <v>0</v>
      </c>
      <c r="W12" s="709">
        <v>0</v>
      </c>
      <c r="X12" s="709">
        <v>0</v>
      </c>
      <c r="Y12" s="709">
        <v>0</v>
      </c>
      <c r="Z12" s="709">
        <v>0</v>
      </c>
      <c r="AA12" s="709">
        <v>0</v>
      </c>
      <c r="AB12" s="709">
        <v>0</v>
      </c>
      <c r="AC12" s="709">
        <v>0</v>
      </c>
      <c r="AD12" s="709">
        <v>0</v>
      </c>
      <c r="AE12" s="709">
        <v>0</v>
      </c>
      <c r="AF12" s="709">
        <v>0</v>
      </c>
      <c r="AG12" s="709">
        <v>0</v>
      </c>
      <c r="AH12" s="709">
        <v>0</v>
      </c>
      <c r="AI12" s="709">
        <v>0</v>
      </c>
      <c r="AJ12" s="709">
        <v>0</v>
      </c>
      <c r="AK12" s="709">
        <v>0</v>
      </c>
      <c r="AL12" s="709">
        <v>0</v>
      </c>
      <c r="AM12" s="709">
        <v>0</v>
      </c>
      <c r="AN12" s="709">
        <v>0</v>
      </c>
      <c r="AO12" s="709">
        <v>0</v>
      </c>
      <c r="AP12" s="709">
        <v>0</v>
      </c>
      <c r="AQ12" s="709">
        <v>0</v>
      </c>
      <c r="AR12" s="709">
        <v>0</v>
      </c>
      <c r="AS12" s="709">
        <v>0</v>
      </c>
      <c r="AT12" s="709">
        <v>0</v>
      </c>
      <c r="AU12" s="709">
        <v>0</v>
      </c>
      <c r="AV12" s="709">
        <v>0</v>
      </c>
      <c r="AW12" s="709">
        <v>0</v>
      </c>
      <c r="AX12" s="709">
        <v>0</v>
      </c>
    </row>
    <row r="13" spans="1:50" ht="13.2" outlineLevel="1" x14ac:dyDescent="0.2">
      <c r="B13" s="290" t="str">
        <f>CHIFFRAGE_TC!B14</f>
        <v>Estacion Samborondon</v>
      </c>
      <c r="C13" s="16" t="str">
        <f>CHIFFRAGE_TC!D14</f>
        <v>Infinida</v>
      </c>
      <c r="E13" s="997"/>
      <c r="F13" s="998"/>
      <c r="G13" s="998"/>
      <c r="H13" s="999"/>
      <c r="I13" s="709">
        <v>0</v>
      </c>
      <c r="J13" s="709">
        <v>0</v>
      </c>
      <c r="K13" s="709">
        <v>0</v>
      </c>
      <c r="L13" s="709">
        <v>0</v>
      </c>
      <c r="M13" s="709">
        <v>0</v>
      </c>
      <c r="N13" s="709">
        <v>0</v>
      </c>
      <c r="O13" s="709">
        <v>0</v>
      </c>
      <c r="P13" s="709">
        <v>0</v>
      </c>
      <c r="Q13" s="709">
        <v>0</v>
      </c>
      <c r="R13" s="709">
        <v>0</v>
      </c>
      <c r="S13" s="709">
        <v>0</v>
      </c>
      <c r="T13" s="709">
        <v>0</v>
      </c>
      <c r="U13" s="709">
        <v>0</v>
      </c>
      <c r="V13" s="709">
        <v>0</v>
      </c>
      <c r="W13" s="709">
        <v>0</v>
      </c>
      <c r="X13" s="709">
        <v>0</v>
      </c>
      <c r="Y13" s="709">
        <v>0</v>
      </c>
      <c r="Z13" s="709">
        <v>0</v>
      </c>
      <c r="AA13" s="709">
        <v>0</v>
      </c>
      <c r="AB13" s="709">
        <v>0</v>
      </c>
      <c r="AC13" s="709">
        <v>0</v>
      </c>
      <c r="AD13" s="709">
        <v>0</v>
      </c>
      <c r="AE13" s="709">
        <v>0</v>
      </c>
      <c r="AF13" s="709">
        <v>0</v>
      </c>
      <c r="AG13" s="709">
        <v>0</v>
      </c>
      <c r="AH13" s="709">
        <v>0</v>
      </c>
      <c r="AI13" s="709">
        <v>0</v>
      </c>
      <c r="AJ13" s="709">
        <v>0</v>
      </c>
      <c r="AK13" s="709">
        <v>0</v>
      </c>
      <c r="AL13" s="709">
        <v>0</v>
      </c>
      <c r="AM13" s="709">
        <v>0</v>
      </c>
      <c r="AN13" s="709">
        <v>0</v>
      </c>
      <c r="AO13" s="709">
        <v>0</v>
      </c>
      <c r="AP13" s="709">
        <v>0</v>
      </c>
      <c r="AQ13" s="709">
        <v>0</v>
      </c>
      <c r="AR13" s="709">
        <v>0</v>
      </c>
      <c r="AS13" s="709">
        <v>0</v>
      </c>
      <c r="AT13" s="709">
        <v>0</v>
      </c>
      <c r="AU13" s="709">
        <v>0</v>
      </c>
      <c r="AV13" s="709">
        <v>0</v>
      </c>
      <c r="AW13" s="709">
        <v>0</v>
      </c>
      <c r="AX13" s="709">
        <v>0</v>
      </c>
    </row>
    <row r="14" spans="1:50" ht="13.2" outlineLevel="1" x14ac:dyDescent="0.2">
      <c r="B14" s="290" t="str">
        <f>CHIFFRAGE_TC!B15</f>
        <v>Estacion Puerto Santa Ana (Norte)</v>
      </c>
      <c r="C14" s="16" t="str">
        <f>CHIFFRAGE_TC!D15</f>
        <v>Infinida</v>
      </c>
      <c r="E14" s="997"/>
      <c r="F14" s="998"/>
      <c r="G14" s="998"/>
      <c r="H14" s="999"/>
      <c r="I14" s="709">
        <v>0</v>
      </c>
      <c r="J14" s="709">
        <v>0</v>
      </c>
      <c r="K14" s="709">
        <v>0</v>
      </c>
      <c r="L14" s="709">
        <v>0</v>
      </c>
      <c r="M14" s="709">
        <v>0</v>
      </c>
      <c r="N14" s="709">
        <v>0</v>
      </c>
      <c r="O14" s="709">
        <v>0</v>
      </c>
      <c r="P14" s="709">
        <v>0</v>
      </c>
      <c r="Q14" s="709">
        <v>0</v>
      </c>
      <c r="R14" s="709">
        <v>0</v>
      </c>
      <c r="S14" s="709">
        <v>0</v>
      </c>
      <c r="T14" s="709">
        <v>0</v>
      </c>
      <c r="U14" s="709">
        <v>0</v>
      </c>
      <c r="V14" s="709">
        <v>0</v>
      </c>
      <c r="W14" s="709">
        <v>0</v>
      </c>
      <c r="X14" s="709">
        <v>0</v>
      </c>
      <c r="Y14" s="709">
        <v>0</v>
      </c>
      <c r="Z14" s="709">
        <v>0</v>
      </c>
      <c r="AA14" s="709">
        <v>0</v>
      </c>
      <c r="AB14" s="709">
        <v>0</v>
      </c>
      <c r="AC14" s="709">
        <v>0</v>
      </c>
      <c r="AD14" s="709">
        <v>0</v>
      </c>
      <c r="AE14" s="709">
        <v>0</v>
      </c>
      <c r="AF14" s="709">
        <v>0</v>
      </c>
      <c r="AG14" s="709">
        <v>0</v>
      </c>
      <c r="AH14" s="709">
        <v>0</v>
      </c>
      <c r="AI14" s="709">
        <v>0</v>
      </c>
      <c r="AJ14" s="709">
        <v>0</v>
      </c>
      <c r="AK14" s="709">
        <v>0</v>
      </c>
      <c r="AL14" s="709">
        <v>0</v>
      </c>
      <c r="AM14" s="709">
        <v>0</v>
      </c>
      <c r="AN14" s="709">
        <v>0</v>
      </c>
      <c r="AO14" s="709">
        <v>0</v>
      </c>
      <c r="AP14" s="709">
        <v>0</v>
      </c>
      <c r="AQ14" s="709">
        <v>0</v>
      </c>
      <c r="AR14" s="709">
        <v>0</v>
      </c>
      <c r="AS14" s="709">
        <v>0</v>
      </c>
      <c r="AT14" s="709">
        <v>0</v>
      </c>
      <c r="AU14" s="709">
        <v>0</v>
      </c>
      <c r="AV14" s="709">
        <v>0</v>
      </c>
      <c r="AW14" s="709">
        <v>0</v>
      </c>
      <c r="AX14" s="709">
        <v>0</v>
      </c>
    </row>
    <row r="15" spans="1:50" ht="13.2" outlineLevel="1" x14ac:dyDescent="0.2">
      <c r="A15" s="19"/>
      <c r="B15" s="290" t="str">
        <f>CHIFFRAGE_TC!B16</f>
        <v>Estacion Puerto Santa Ana (Sur)</v>
      </c>
      <c r="C15" s="16" t="str">
        <f>CHIFFRAGE_TC!D16</f>
        <v>Infinida</v>
      </c>
      <c r="E15" s="997"/>
      <c r="F15" s="998"/>
      <c r="G15" s="998"/>
      <c r="H15" s="999"/>
      <c r="I15" s="709">
        <v>0</v>
      </c>
      <c r="J15" s="709">
        <v>0</v>
      </c>
      <c r="K15" s="709">
        <v>0</v>
      </c>
      <c r="L15" s="709">
        <v>0</v>
      </c>
      <c r="M15" s="709">
        <v>0</v>
      </c>
      <c r="N15" s="709">
        <v>0</v>
      </c>
      <c r="O15" s="709">
        <v>0</v>
      </c>
      <c r="P15" s="709">
        <v>0</v>
      </c>
      <c r="Q15" s="709">
        <v>0</v>
      </c>
      <c r="R15" s="709">
        <v>0</v>
      </c>
      <c r="S15" s="709">
        <v>0</v>
      </c>
      <c r="T15" s="709">
        <v>0</v>
      </c>
      <c r="U15" s="709">
        <v>0</v>
      </c>
      <c r="V15" s="709">
        <v>0</v>
      </c>
      <c r="W15" s="709">
        <v>0</v>
      </c>
      <c r="X15" s="709">
        <v>0</v>
      </c>
      <c r="Y15" s="709">
        <v>0</v>
      </c>
      <c r="Z15" s="709">
        <v>0</v>
      </c>
      <c r="AA15" s="709">
        <v>0</v>
      </c>
      <c r="AB15" s="709">
        <v>0</v>
      </c>
      <c r="AC15" s="709">
        <v>0</v>
      </c>
      <c r="AD15" s="709">
        <v>0</v>
      </c>
      <c r="AE15" s="709">
        <v>0</v>
      </c>
      <c r="AF15" s="709">
        <v>0</v>
      </c>
      <c r="AG15" s="709">
        <v>0</v>
      </c>
      <c r="AH15" s="709">
        <v>0</v>
      </c>
      <c r="AI15" s="709">
        <v>0</v>
      </c>
      <c r="AJ15" s="709">
        <v>0</v>
      </c>
      <c r="AK15" s="709">
        <v>0</v>
      </c>
      <c r="AL15" s="709">
        <v>0</v>
      </c>
      <c r="AM15" s="709">
        <v>0</v>
      </c>
      <c r="AN15" s="709">
        <v>0</v>
      </c>
      <c r="AO15" s="709">
        <v>0</v>
      </c>
      <c r="AP15" s="709">
        <v>0</v>
      </c>
      <c r="AQ15" s="709">
        <v>0</v>
      </c>
      <c r="AR15" s="709">
        <v>0</v>
      </c>
      <c r="AS15" s="709">
        <v>0</v>
      </c>
      <c r="AT15" s="709">
        <v>0</v>
      </c>
      <c r="AU15" s="709">
        <v>0</v>
      </c>
      <c r="AV15" s="709">
        <v>0</v>
      </c>
      <c r="AW15" s="709">
        <v>0</v>
      </c>
      <c r="AX15" s="709">
        <v>0</v>
      </c>
    </row>
    <row r="16" spans="1:50" ht="13.2" outlineLevel="1" x14ac:dyDescent="0.2">
      <c r="B16" s="290" t="str">
        <f>CHIFFRAGE_TC!B17</f>
        <v>Estacion Malecon Centro Cultural</v>
      </c>
      <c r="C16" s="16" t="str">
        <f>CHIFFRAGE_TC!D17</f>
        <v>Infinida</v>
      </c>
      <c r="E16" s="997"/>
      <c r="F16" s="998"/>
      <c r="G16" s="998"/>
      <c r="H16" s="999"/>
      <c r="I16" s="709">
        <v>0</v>
      </c>
      <c r="J16" s="709">
        <v>0</v>
      </c>
      <c r="K16" s="709">
        <v>0</v>
      </c>
      <c r="L16" s="709">
        <v>0</v>
      </c>
      <c r="M16" s="709">
        <v>0</v>
      </c>
      <c r="N16" s="709">
        <v>0</v>
      </c>
      <c r="O16" s="709">
        <v>0</v>
      </c>
      <c r="P16" s="709">
        <v>0</v>
      </c>
      <c r="Q16" s="709">
        <v>0</v>
      </c>
      <c r="R16" s="709">
        <v>0</v>
      </c>
      <c r="S16" s="709">
        <v>0</v>
      </c>
      <c r="T16" s="709">
        <v>0</v>
      </c>
      <c r="U16" s="709">
        <v>0</v>
      </c>
      <c r="V16" s="709">
        <v>0</v>
      </c>
      <c r="W16" s="709">
        <v>0</v>
      </c>
      <c r="X16" s="709">
        <v>0</v>
      </c>
      <c r="Y16" s="709">
        <v>0</v>
      </c>
      <c r="Z16" s="709">
        <v>0</v>
      </c>
      <c r="AA16" s="709">
        <v>0</v>
      </c>
      <c r="AB16" s="709">
        <v>0</v>
      </c>
      <c r="AC16" s="709">
        <v>0</v>
      </c>
      <c r="AD16" s="709">
        <v>0</v>
      </c>
      <c r="AE16" s="709">
        <v>0</v>
      </c>
      <c r="AF16" s="709">
        <v>0</v>
      </c>
      <c r="AG16" s="709">
        <v>0</v>
      </c>
      <c r="AH16" s="709">
        <v>0</v>
      </c>
      <c r="AI16" s="709">
        <v>0</v>
      </c>
      <c r="AJ16" s="709">
        <v>0</v>
      </c>
      <c r="AK16" s="709">
        <v>0</v>
      </c>
      <c r="AL16" s="709">
        <v>0</v>
      </c>
      <c r="AM16" s="709">
        <v>0</v>
      </c>
      <c r="AN16" s="709">
        <v>0</v>
      </c>
      <c r="AO16" s="709">
        <v>0</v>
      </c>
      <c r="AP16" s="709">
        <v>0</v>
      </c>
      <c r="AQ16" s="709">
        <v>0</v>
      </c>
      <c r="AR16" s="709">
        <v>0</v>
      </c>
      <c r="AS16" s="709">
        <v>0</v>
      </c>
      <c r="AT16" s="709">
        <v>0</v>
      </c>
      <c r="AU16" s="709">
        <v>0</v>
      </c>
      <c r="AV16" s="709">
        <v>0</v>
      </c>
      <c r="AW16" s="709">
        <v>0</v>
      </c>
      <c r="AX16" s="709">
        <v>0</v>
      </c>
    </row>
    <row r="17" spans="1:50" ht="16.2" outlineLevel="1" x14ac:dyDescent="0.3">
      <c r="A17" s="21"/>
      <c r="B17" s="290" t="str">
        <f>CHIFFRAGE_TC!B18</f>
        <v>Estacion Cimentero (Tecnica)</v>
      </c>
      <c r="C17" s="16" t="str">
        <f>CHIFFRAGE_TC!D18</f>
        <v>Infinida</v>
      </c>
      <c r="E17" s="997"/>
      <c r="F17" s="998"/>
      <c r="G17" s="998"/>
      <c r="H17" s="999"/>
      <c r="I17" s="709">
        <v>0</v>
      </c>
      <c r="J17" s="709">
        <v>0</v>
      </c>
      <c r="K17" s="709">
        <v>0</v>
      </c>
      <c r="L17" s="709">
        <v>0</v>
      </c>
      <c r="M17" s="709">
        <v>0</v>
      </c>
      <c r="N17" s="709">
        <v>0</v>
      </c>
      <c r="O17" s="709">
        <v>0</v>
      </c>
      <c r="P17" s="709">
        <v>0</v>
      </c>
      <c r="Q17" s="709">
        <v>0</v>
      </c>
      <c r="R17" s="709">
        <v>0</v>
      </c>
      <c r="S17" s="709">
        <v>0</v>
      </c>
      <c r="T17" s="709">
        <v>0</v>
      </c>
      <c r="U17" s="709">
        <v>0</v>
      </c>
      <c r="V17" s="709">
        <v>0</v>
      </c>
      <c r="W17" s="709">
        <v>0</v>
      </c>
      <c r="X17" s="709">
        <v>0</v>
      </c>
      <c r="Y17" s="709">
        <v>0</v>
      </c>
      <c r="Z17" s="709">
        <v>0</v>
      </c>
      <c r="AA17" s="709">
        <v>0</v>
      </c>
      <c r="AB17" s="709">
        <v>0</v>
      </c>
      <c r="AC17" s="709">
        <v>0</v>
      </c>
      <c r="AD17" s="709">
        <v>0</v>
      </c>
      <c r="AE17" s="709">
        <v>0</v>
      </c>
      <c r="AF17" s="709">
        <v>0</v>
      </c>
      <c r="AG17" s="709">
        <v>0</v>
      </c>
      <c r="AH17" s="709">
        <v>0</v>
      </c>
      <c r="AI17" s="709">
        <v>0</v>
      </c>
      <c r="AJ17" s="709">
        <v>0</v>
      </c>
      <c r="AK17" s="709">
        <v>0</v>
      </c>
      <c r="AL17" s="709">
        <v>0</v>
      </c>
      <c r="AM17" s="709">
        <v>0</v>
      </c>
      <c r="AN17" s="709">
        <v>0</v>
      </c>
      <c r="AO17" s="709">
        <v>0</v>
      </c>
      <c r="AP17" s="709">
        <v>0</v>
      </c>
      <c r="AQ17" s="709">
        <v>0</v>
      </c>
      <c r="AR17" s="709">
        <v>0</v>
      </c>
      <c r="AS17" s="709">
        <v>0</v>
      </c>
      <c r="AT17" s="709">
        <v>0</v>
      </c>
      <c r="AU17" s="709">
        <v>0</v>
      </c>
      <c r="AV17" s="709">
        <v>0</v>
      </c>
      <c r="AW17" s="709">
        <v>0</v>
      </c>
      <c r="AX17" s="709">
        <v>0</v>
      </c>
    </row>
    <row r="18" spans="1:50" ht="13.2" outlineLevel="1" x14ac:dyDescent="0.2">
      <c r="A18" s="20"/>
      <c r="B18" s="290" t="str">
        <f>CHIFFRAGE_TC!B19</f>
        <v>Estacion Avenida Quito</v>
      </c>
      <c r="C18" s="16" t="str">
        <f>CHIFFRAGE_TC!D19</f>
        <v>Infinida</v>
      </c>
      <c r="E18" s="997"/>
      <c r="F18" s="998"/>
      <c r="G18" s="998"/>
      <c r="H18" s="999"/>
      <c r="I18" s="709">
        <v>0</v>
      </c>
      <c r="J18" s="709">
        <v>0</v>
      </c>
      <c r="K18" s="709">
        <v>0</v>
      </c>
      <c r="L18" s="709">
        <v>0</v>
      </c>
      <c r="M18" s="709">
        <v>0</v>
      </c>
      <c r="N18" s="709">
        <v>0</v>
      </c>
      <c r="O18" s="709">
        <v>0</v>
      </c>
      <c r="P18" s="709">
        <v>0</v>
      </c>
      <c r="Q18" s="709">
        <v>0</v>
      </c>
      <c r="R18" s="709">
        <v>0</v>
      </c>
      <c r="S18" s="709">
        <v>0</v>
      </c>
      <c r="T18" s="709">
        <v>0</v>
      </c>
      <c r="U18" s="709">
        <v>0</v>
      </c>
      <c r="V18" s="709">
        <v>0</v>
      </c>
      <c r="W18" s="709">
        <v>0</v>
      </c>
      <c r="X18" s="709">
        <v>0</v>
      </c>
      <c r="Y18" s="709">
        <v>0</v>
      </c>
      <c r="Z18" s="709">
        <v>0</v>
      </c>
      <c r="AA18" s="709">
        <v>0</v>
      </c>
      <c r="AB18" s="709">
        <v>0</v>
      </c>
      <c r="AC18" s="709">
        <v>0</v>
      </c>
      <c r="AD18" s="709">
        <v>0</v>
      </c>
      <c r="AE18" s="709">
        <v>0</v>
      </c>
      <c r="AF18" s="709">
        <v>0</v>
      </c>
      <c r="AG18" s="709">
        <v>0</v>
      </c>
      <c r="AH18" s="709">
        <v>0</v>
      </c>
      <c r="AI18" s="709">
        <v>0</v>
      </c>
      <c r="AJ18" s="709">
        <v>0</v>
      </c>
      <c r="AK18" s="709">
        <v>0</v>
      </c>
      <c r="AL18" s="709">
        <v>0</v>
      </c>
      <c r="AM18" s="709">
        <v>0</v>
      </c>
      <c r="AN18" s="709">
        <v>0</v>
      </c>
      <c r="AO18" s="709">
        <v>0</v>
      </c>
      <c r="AP18" s="709">
        <v>0</v>
      </c>
      <c r="AQ18" s="709">
        <v>0</v>
      </c>
      <c r="AR18" s="709">
        <v>0</v>
      </c>
      <c r="AS18" s="709">
        <v>0</v>
      </c>
      <c r="AT18" s="709">
        <v>0</v>
      </c>
      <c r="AU18" s="709">
        <v>0</v>
      </c>
      <c r="AV18" s="709">
        <v>0</v>
      </c>
      <c r="AW18" s="709">
        <v>0</v>
      </c>
      <c r="AX18" s="709">
        <v>0</v>
      </c>
    </row>
    <row r="19" spans="1:50" ht="13.2" outlineLevel="1" x14ac:dyDescent="0.2">
      <c r="A19" s="20"/>
      <c r="B19" s="290" t="str">
        <f>CHIFFRAGE_TC!B20</f>
        <v>Estacion Centenario (Terminal)</v>
      </c>
      <c r="C19" s="16" t="str">
        <f>CHIFFRAGE_TC!D20</f>
        <v>Infinida</v>
      </c>
      <c r="E19" s="997"/>
      <c r="F19" s="998"/>
      <c r="G19" s="998"/>
      <c r="H19" s="999"/>
      <c r="I19" s="709">
        <v>0</v>
      </c>
      <c r="J19" s="709">
        <v>0</v>
      </c>
      <c r="K19" s="709">
        <v>0</v>
      </c>
      <c r="L19" s="709">
        <v>0</v>
      </c>
      <c r="M19" s="709">
        <v>0</v>
      </c>
      <c r="N19" s="709">
        <v>0</v>
      </c>
      <c r="O19" s="709">
        <v>0</v>
      </c>
      <c r="P19" s="709">
        <v>0</v>
      </c>
      <c r="Q19" s="709">
        <v>0</v>
      </c>
      <c r="R19" s="709">
        <v>0</v>
      </c>
      <c r="S19" s="709">
        <v>0</v>
      </c>
      <c r="T19" s="709">
        <v>0</v>
      </c>
      <c r="U19" s="709">
        <v>0</v>
      </c>
      <c r="V19" s="709">
        <v>0</v>
      </c>
      <c r="W19" s="709">
        <v>0</v>
      </c>
      <c r="X19" s="709">
        <v>0</v>
      </c>
      <c r="Y19" s="709">
        <v>0</v>
      </c>
      <c r="Z19" s="709">
        <v>0</v>
      </c>
      <c r="AA19" s="709">
        <v>0</v>
      </c>
      <c r="AB19" s="709">
        <v>0</v>
      </c>
      <c r="AC19" s="709">
        <v>0</v>
      </c>
      <c r="AD19" s="709">
        <v>0</v>
      </c>
      <c r="AE19" s="709">
        <v>0</v>
      </c>
      <c r="AF19" s="709">
        <v>0</v>
      </c>
      <c r="AG19" s="709">
        <v>0</v>
      </c>
      <c r="AH19" s="709">
        <v>0</v>
      </c>
      <c r="AI19" s="709">
        <v>0</v>
      </c>
      <c r="AJ19" s="709">
        <v>0</v>
      </c>
      <c r="AK19" s="709">
        <v>0</v>
      </c>
      <c r="AL19" s="709">
        <v>0</v>
      </c>
      <c r="AM19" s="709">
        <v>0</v>
      </c>
      <c r="AN19" s="709">
        <v>0</v>
      </c>
      <c r="AO19" s="709">
        <v>0</v>
      </c>
      <c r="AP19" s="709">
        <v>0</v>
      </c>
      <c r="AQ19" s="709">
        <v>0</v>
      </c>
      <c r="AR19" s="709">
        <v>0</v>
      </c>
      <c r="AS19" s="709">
        <v>0</v>
      </c>
      <c r="AT19" s="709">
        <v>0</v>
      </c>
      <c r="AU19" s="709">
        <v>0</v>
      </c>
      <c r="AV19" s="709">
        <v>0</v>
      </c>
      <c r="AW19" s="709">
        <v>0</v>
      </c>
      <c r="AX19" s="709">
        <v>0</v>
      </c>
    </row>
    <row r="20" spans="1:50" ht="13.2" outlineLevel="1" x14ac:dyDescent="0.2">
      <c r="B20" s="289" t="str">
        <f>CHIFFRAGE_TC!B21</f>
        <v>Servidumbres en linea</v>
      </c>
      <c r="C20" s="16" t="str">
        <f>CHIFFRAGE_TC!D21</f>
        <v>Infinida</v>
      </c>
      <c r="E20" s="997"/>
      <c r="F20" s="998"/>
      <c r="G20" s="998"/>
      <c r="H20" s="999"/>
      <c r="I20" s="709">
        <v>0</v>
      </c>
      <c r="J20" s="709">
        <v>0</v>
      </c>
      <c r="K20" s="709">
        <v>0</v>
      </c>
      <c r="L20" s="709">
        <v>0</v>
      </c>
      <c r="M20" s="709">
        <v>0</v>
      </c>
      <c r="N20" s="709">
        <v>0</v>
      </c>
      <c r="O20" s="709">
        <v>0</v>
      </c>
      <c r="P20" s="709">
        <v>0</v>
      </c>
      <c r="Q20" s="709">
        <v>0</v>
      </c>
      <c r="R20" s="709">
        <v>0</v>
      </c>
      <c r="S20" s="709">
        <v>0</v>
      </c>
      <c r="T20" s="709">
        <v>0</v>
      </c>
      <c r="U20" s="709">
        <v>0</v>
      </c>
      <c r="V20" s="709">
        <v>0</v>
      </c>
      <c r="W20" s="709">
        <v>0</v>
      </c>
      <c r="X20" s="709">
        <v>0</v>
      </c>
      <c r="Y20" s="709">
        <v>0</v>
      </c>
      <c r="Z20" s="709">
        <v>0</v>
      </c>
      <c r="AA20" s="709">
        <v>0</v>
      </c>
      <c r="AB20" s="709">
        <v>0</v>
      </c>
      <c r="AC20" s="709">
        <v>0</v>
      </c>
      <c r="AD20" s="709">
        <v>0</v>
      </c>
      <c r="AE20" s="709">
        <v>0</v>
      </c>
      <c r="AF20" s="709">
        <v>0</v>
      </c>
      <c r="AG20" s="709">
        <v>0</v>
      </c>
      <c r="AH20" s="709">
        <v>0</v>
      </c>
      <c r="AI20" s="709">
        <v>0</v>
      </c>
      <c r="AJ20" s="709">
        <v>0</v>
      </c>
      <c r="AK20" s="709">
        <v>0</v>
      </c>
      <c r="AL20" s="709">
        <v>0</v>
      </c>
      <c r="AM20" s="709">
        <v>0</v>
      </c>
      <c r="AN20" s="709">
        <v>0</v>
      </c>
      <c r="AO20" s="709">
        <v>0</v>
      </c>
      <c r="AP20" s="709">
        <v>0</v>
      </c>
      <c r="AQ20" s="709">
        <v>0</v>
      </c>
      <c r="AR20" s="709">
        <v>0</v>
      </c>
      <c r="AS20" s="709">
        <v>0</v>
      </c>
      <c r="AT20" s="709">
        <v>0</v>
      </c>
      <c r="AU20" s="709">
        <v>0</v>
      </c>
      <c r="AV20" s="709">
        <v>0</v>
      </c>
      <c r="AW20" s="709">
        <v>0</v>
      </c>
      <c r="AX20" s="709">
        <v>0</v>
      </c>
    </row>
    <row r="21" spans="1:50" ht="13.8" thickBot="1" x14ac:dyDescent="0.25">
      <c r="B21" s="290"/>
      <c r="C21" s="16"/>
      <c r="E21" s="712"/>
      <c r="F21" s="715"/>
      <c r="G21" s="715"/>
      <c r="H21" s="716"/>
      <c r="I21" s="696"/>
      <c r="AO21" s="16"/>
      <c r="AP21" s="16"/>
      <c r="AQ21" s="16"/>
      <c r="AR21" s="16"/>
      <c r="AS21" s="16"/>
      <c r="AT21" s="16"/>
      <c r="AU21" s="16"/>
      <c r="AV21" s="16"/>
      <c r="AW21" s="16"/>
      <c r="AX21" s="16"/>
    </row>
    <row r="22" spans="1:50" ht="16.2" thickBot="1" x14ac:dyDescent="0.25">
      <c r="B22" s="288" t="str">
        <f>CHIFFRAGE_TC!B23</f>
        <v>Compra de terrenos para estacionamiento (operacion adicional)</v>
      </c>
      <c r="C22" s="16"/>
      <c r="D22" s="725">
        <f>CHIFFRAGE_TC!J23</f>
        <v>0</v>
      </c>
      <c r="E22" s="209">
        <f t="shared" ref="E22:AX22" si="1">SUM(E23:E30)</f>
        <v>0</v>
      </c>
      <c r="F22" s="196">
        <f t="shared" si="1"/>
        <v>0</v>
      </c>
      <c r="G22" s="196">
        <f t="shared" si="1"/>
        <v>0</v>
      </c>
      <c r="H22" s="197">
        <f t="shared" si="1"/>
        <v>0</v>
      </c>
      <c r="I22" s="698">
        <f t="shared" si="1"/>
        <v>0</v>
      </c>
      <c r="J22" s="699">
        <f t="shared" si="1"/>
        <v>0</v>
      </c>
      <c r="K22" s="699">
        <f t="shared" si="1"/>
        <v>0</v>
      </c>
      <c r="L22" s="699">
        <f t="shared" si="1"/>
        <v>0</v>
      </c>
      <c r="M22" s="699">
        <f t="shared" si="1"/>
        <v>0</v>
      </c>
      <c r="N22" s="699">
        <f t="shared" si="1"/>
        <v>0</v>
      </c>
      <c r="O22" s="699">
        <f t="shared" si="1"/>
        <v>0</v>
      </c>
      <c r="P22" s="699">
        <f t="shared" si="1"/>
        <v>0</v>
      </c>
      <c r="Q22" s="699">
        <f t="shared" si="1"/>
        <v>0</v>
      </c>
      <c r="R22" s="699">
        <f t="shared" si="1"/>
        <v>0</v>
      </c>
      <c r="S22" s="699">
        <f t="shared" si="1"/>
        <v>0</v>
      </c>
      <c r="T22" s="699">
        <f t="shared" si="1"/>
        <v>0</v>
      </c>
      <c r="U22" s="699">
        <f t="shared" si="1"/>
        <v>0</v>
      </c>
      <c r="V22" s="699">
        <f t="shared" si="1"/>
        <v>0</v>
      </c>
      <c r="W22" s="699">
        <f t="shared" si="1"/>
        <v>0</v>
      </c>
      <c r="X22" s="699">
        <f t="shared" si="1"/>
        <v>0</v>
      </c>
      <c r="Y22" s="699">
        <f t="shared" si="1"/>
        <v>0</v>
      </c>
      <c r="Z22" s="699">
        <f t="shared" si="1"/>
        <v>0</v>
      </c>
      <c r="AA22" s="699">
        <f t="shared" si="1"/>
        <v>0</v>
      </c>
      <c r="AB22" s="699">
        <f t="shared" si="1"/>
        <v>0</v>
      </c>
      <c r="AC22" s="699">
        <f t="shared" si="1"/>
        <v>0</v>
      </c>
      <c r="AD22" s="699">
        <f t="shared" si="1"/>
        <v>0</v>
      </c>
      <c r="AE22" s="699">
        <f t="shared" si="1"/>
        <v>0</v>
      </c>
      <c r="AF22" s="699">
        <f t="shared" si="1"/>
        <v>0</v>
      </c>
      <c r="AG22" s="699">
        <f t="shared" si="1"/>
        <v>0</v>
      </c>
      <c r="AH22" s="699">
        <f t="shared" si="1"/>
        <v>0</v>
      </c>
      <c r="AI22" s="699">
        <f t="shared" si="1"/>
        <v>0</v>
      </c>
      <c r="AJ22" s="699">
        <f t="shared" si="1"/>
        <v>0</v>
      </c>
      <c r="AK22" s="699">
        <f t="shared" si="1"/>
        <v>0</v>
      </c>
      <c r="AL22" s="699">
        <f t="shared" si="1"/>
        <v>0</v>
      </c>
      <c r="AM22" s="699">
        <f t="shared" si="1"/>
        <v>0</v>
      </c>
      <c r="AN22" s="700">
        <f t="shared" si="1"/>
        <v>0</v>
      </c>
      <c r="AO22" s="700">
        <f t="shared" si="1"/>
        <v>0</v>
      </c>
      <c r="AP22" s="700">
        <f t="shared" si="1"/>
        <v>0</v>
      </c>
      <c r="AQ22" s="700">
        <f t="shared" si="1"/>
        <v>0</v>
      </c>
      <c r="AR22" s="700">
        <f t="shared" si="1"/>
        <v>0</v>
      </c>
      <c r="AS22" s="700">
        <f t="shared" si="1"/>
        <v>0</v>
      </c>
      <c r="AT22" s="700">
        <f t="shared" si="1"/>
        <v>0</v>
      </c>
      <c r="AU22" s="700">
        <f t="shared" si="1"/>
        <v>0</v>
      </c>
      <c r="AV22" s="700">
        <f t="shared" si="1"/>
        <v>0</v>
      </c>
      <c r="AW22" s="700">
        <f t="shared" si="1"/>
        <v>0</v>
      </c>
      <c r="AX22" s="700">
        <f t="shared" si="1"/>
        <v>0</v>
      </c>
    </row>
    <row r="23" spans="1:50" ht="13.2" outlineLevel="1" x14ac:dyDescent="0.2">
      <c r="B23" s="291" t="str">
        <f>CHIFFRAGE_TC!B24</f>
        <v>Estacion Duran (Terminal)</v>
      </c>
      <c r="C23" s="16" t="str">
        <f>CHIFFRAGE_TC!D24</f>
        <v>Infinida</v>
      </c>
      <c r="E23" s="997"/>
      <c r="F23" s="998"/>
      <c r="G23" s="998"/>
      <c r="H23" s="999"/>
      <c r="I23" s="709">
        <v>0</v>
      </c>
      <c r="J23" s="709">
        <v>0</v>
      </c>
      <c r="K23" s="709">
        <v>0</v>
      </c>
      <c r="L23" s="709">
        <v>0</v>
      </c>
      <c r="M23" s="709">
        <v>0</v>
      </c>
      <c r="N23" s="709">
        <v>0</v>
      </c>
      <c r="O23" s="709">
        <v>0</v>
      </c>
      <c r="P23" s="709">
        <v>0</v>
      </c>
      <c r="Q23" s="709">
        <v>0</v>
      </c>
      <c r="R23" s="709">
        <v>0</v>
      </c>
      <c r="S23" s="709">
        <v>0</v>
      </c>
      <c r="T23" s="709">
        <v>0</v>
      </c>
      <c r="U23" s="709">
        <v>0</v>
      </c>
      <c r="V23" s="709">
        <v>0</v>
      </c>
      <c r="W23" s="709">
        <v>0</v>
      </c>
      <c r="X23" s="709">
        <v>0</v>
      </c>
      <c r="Y23" s="709">
        <v>0</v>
      </c>
      <c r="Z23" s="709">
        <v>0</v>
      </c>
      <c r="AA23" s="709">
        <v>0</v>
      </c>
      <c r="AB23" s="709">
        <v>0</v>
      </c>
      <c r="AC23" s="709">
        <v>0</v>
      </c>
      <c r="AD23" s="709">
        <v>0</v>
      </c>
      <c r="AE23" s="709">
        <v>0</v>
      </c>
      <c r="AF23" s="709">
        <v>0</v>
      </c>
      <c r="AG23" s="709">
        <v>0</v>
      </c>
      <c r="AH23" s="709">
        <v>0</v>
      </c>
      <c r="AI23" s="709">
        <v>0</v>
      </c>
      <c r="AJ23" s="709">
        <v>0</v>
      </c>
      <c r="AK23" s="709">
        <v>0</v>
      </c>
      <c r="AL23" s="709">
        <v>0</v>
      </c>
      <c r="AM23" s="709">
        <v>0</v>
      </c>
      <c r="AN23" s="709">
        <v>0</v>
      </c>
      <c r="AO23" s="709">
        <v>0</v>
      </c>
      <c r="AP23" s="709">
        <v>0</v>
      </c>
      <c r="AQ23" s="709">
        <v>0</v>
      </c>
      <c r="AR23" s="709">
        <v>0</v>
      </c>
      <c r="AS23" s="709">
        <v>0</v>
      </c>
      <c r="AT23" s="709">
        <v>0</v>
      </c>
      <c r="AU23" s="709">
        <v>0</v>
      </c>
      <c r="AV23" s="709">
        <v>0</v>
      </c>
      <c r="AW23" s="709">
        <v>0</v>
      </c>
      <c r="AX23" s="709">
        <v>0</v>
      </c>
    </row>
    <row r="24" spans="1:50" ht="13.2" outlineLevel="1" x14ac:dyDescent="0.2">
      <c r="B24" s="290" t="str">
        <f>CHIFFRAGE_TC!B25</f>
        <v>Estacion Samborondon</v>
      </c>
      <c r="C24" s="16" t="str">
        <f>CHIFFRAGE_TC!D25</f>
        <v>Infinida</v>
      </c>
      <c r="E24" s="997"/>
      <c r="F24" s="998"/>
      <c r="G24" s="998"/>
      <c r="H24" s="999"/>
      <c r="I24" s="709">
        <v>0</v>
      </c>
      <c r="J24" s="709">
        <v>0</v>
      </c>
      <c r="K24" s="709">
        <v>0</v>
      </c>
      <c r="L24" s="709">
        <v>0</v>
      </c>
      <c r="M24" s="709">
        <v>0</v>
      </c>
      <c r="N24" s="709">
        <v>0</v>
      </c>
      <c r="O24" s="709">
        <v>0</v>
      </c>
      <c r="P24" s="709">
        <v>0</v>
      </c>
      <c r="Q24" s="709">
        <v>0</v>
      </c>
      <c r="R24" s="709">
        <v>0</v>
      </c>
      <c r="S24" s="709">
        <v>0</v>
      </c>
      <c r="T24" s="709">
        <v>0</v>
      </c>
      <c r="U24" s="709">
        <v>0</v>
      </c>
      <c r="V24" s="709">
        <v>0</v>
      </c>
      <c r="W24" s="709">
        <v>0</v>
      </c>
      <c r="X24" s="709">
        <v>0</v>
      </c>
      <c r="Y24" s="709">
        <v>0</v>
      </c>
      <c r="Z24" s="709">
        <v>0</v>
      </c>
      <c r="AA24" s="709">
        <v>0</v>
      </c>
      <c r="AB24" s="709">
        <v>0</v>
      </c>
      <c r="AC24" s="709">
        <v>0</v>
      </c>
      <c r="AD24" s="709">
        <v>0</v>
      </c>
      <c r="AE24" s="709">
        <v>0</v>
      </c>
      <c r="AF24" s="709">
        <v>0</v>
      </c>
      <c r="AG24" s="709">
        <v>0</v>
      </c>
      <c r="AH24" s="709">
        <v>0</v>
      </c>
      <c r="AI24" s="709">
        <v>0</v>
      </c>
      <c r="AJ24" s="709">
        <v>0</v>
      </c>
      <c r="AK24" s="709">
        <v>0</v>
      </c>
      <c r="AL24" s="709">
        <v>0</v>
      </c>
      <c r="AM24" s="709">
        <v>0</v>
      </c>
      <c r="AN24" s="709">
        <v>0</v>
      </c>
      <c r="AO24" s="709">
        <v>0</v>
      </c>
      <c r="AP24" s="709">
        <v>0</v>
      </c>
      <c r="AQ24" s="709">
        <v>0</v>
      </c>
      <c r="AR24" s="709">
        <v>0</v>
      </c>
      <c r="AS24" s="709">
        <v>0</v>
      </c>
      <c r="AT24" s="709">
        <v>0</v>
      </c>
      <c r="AU24" s="709">
        <v>0</v>
      </c>
      <c r="AV24" s="709">
        <v>0</v>
      </c>
      <c r="AW24" s="709">
        <v>0</v>
      </c>
      <c r="AX24" s="709">
        <v>0</v>
      </c>
    </row>
    <row r="25" spans="1:50" ht="13.2" outlineLevel="1" x14ac:dyDescent="0.2">
      <c r="B25" s="290" t="str">
        <f>CHIFFRAGE_TC!B26</f>
        <v>Estacion Puerto Santa Ana (Norte)</v>
      </c>
      <c r="C25" s="16" t="str">
        <f>CHIFFRAGE_TC!D26</f>
        <v>Infinida</v>
      </c>
      <c r="E25" s="997"/>
      <c r="F25" s="998"/>
      <c r="G25" s="998"/>
      <c r="H25" s="999"/>
      <c r="I25" s="709">
        <v>0</v>
      </c>
      <c r="J25" s="709">
        <v>0</v>
      </c>
      <c r="K25" s="709">
        <v>0</v>
      </c>
      <c r="L25" s="709">
        <v>0</v>
      </c>
      <c r="M25" s="709">
        <v>0</v>
      </c>
      <c r="N25" s="709">
        <v>0</v>
      </c>
      <c r="O25" s="709">
        <v>0</v>
      </c>
      <c r="P25" s="709">
        <v>0</v>
      </c>
      <c r="Q25" s="709">
        <v>0</v>
      </c>
      <c r="R25" s="709">
        <v>0</v>
      </c>
      <c r="S25" s="709">
        <v>0</v>
      </c>
      <c r="T25" s="709">
        <v>0</v>
      </c>
      <c r="U25" s="709">
        <v>0</v>
      </c>
      <c r="V25" s="709">
        <v>0</v>
      </c>
      <c r="W25" s="709">
        <v>0</v>
      </c>
      <c r="X25" s="709">
        <v>0</v>
      </c>
      <c r="Y25" s="709">
        <v>0</v>
      </c>
      <c r="Z25" s="709">
        <v>0</v>
      </c>
      <c r="AA25" s="709">
        <v>0</v>
      </c>
      <c r="AB25" s="709">
        <v>0</v>
      </c>
      <c r="AC25" s="709">
        <v>0</v>
      </c>
      <c r="AD25" s="709">
        <v>0</v>
      </c>
      <c r="AE25" s="709">
        <v>0</v>
      </c>
      <c r="AF25" s="709">
        <v>0</v>
      </c>
      <c r="AG25" s="709">
        <v>0</v>
      </c>
      <c r="AH25" s="709">
        <v>0</v>
      </c>
      <c r="AI25" s="709">
        <v>0</v>
      </c>
      <c r="AJ25" s="709">
        <v>0</v>
      </c>
      <c r="AK25" s="709">
        <v>0</v>
      </c>
      <c r="AL25" s="709">
        <v>0</v>
      </c>
      <c r="AM25" s="709">
        <v>0</v>
      </c>
      <c r="AN25" s="709">
        <v>0</v>
      </c>
      <c r="AO25" s="709">
        <v>0</v>
      </c>
      <c r="AP25" s="709">
        <v>0</v>
      </c>
      <c r="AQ25" s="709">
        <v>0</v>
      </c>
      <c r="AR25" s="709">
        <v>0</v>
      </c>
      <c r="AS25" s="709">
        <v>0</v>
      </c>
      <c r="AT25" s="709">
        <v>0</v>
      </c>
      <c r="AU25" s="709">
        <v>0</v>
      </c>
      <c r="AV25" s="709">
        <v>0</v>
      </c>
      <c r="AW25" s="709">
        <v>0</v>
      </c>
      <c r="AX25" s="709">
        <v>0</v>
      </c>
    </row>
    <row r="26" spans="1:50" ht="13.2" outlineLevel="1" x14ac:dyDescent="0.2">
      <c r="B26" s="290" t="str">
        <f>CHIFFRAGE_TC!B27</f>
        <v>Estacion Puerto Santa Ana (Sur)</v>
      </c>
      <c r="C26" s="16" t="str">
        <f>CHIFFRAGE_TC!D27</f>
        <v>Infinida</v>
      </c>
      <c r="E26" s="997"/>
      <c r="F26" s="998"/>
      <c r="G26" s="998"/>
      <c r="H26" s="999"/>
      <c r="I26" s="709">
        <v>0</v>
      </c>
      <c r="J26" s="709">
        <v>0</v>
      </c>
      <c r="K26" s="709">
        <v>0</v>
      </c>
      <c r="L26" s="709">
        <v>0</v>
      </c>
      <c r="M26" s="709">
        <v>0</v>
      </c>
      <c r="N26" s="709">
        <v>0</v>
      </c>
      <c r="O26" s="709">
        <v>0</v>
      </c>
      <c r="P26" s="709">
        <v>0</v>
      </c>
      <c r="Q26" s="709">
        <v>0</v>
      </c>
      <c r="R26" s="709">
        <v>0</v>
      </c>
      <c r="S26" s="709">
        <v>0</v>
      </c>
      <c r="T26" s="709">
        <v>0</v>
      </c>
      <c r="U26" s="709">
        <v>0</v>
      </c>
      <c r="V26" s="709">
        <v>0</v>
      </c>
      <c r="W26" s="709">
        <v>0</v>
      </c>
      <c r="X26" s="709">
        <v>0</v>
      </c>
      <c r="Y26" s="709">
        <v>0</v>
      </c>
      <c r="Z26" s="709">
        <v>0</v>
      </c>
      <c r="AA26" s="709">
        <v>0</v>
      </c>
      <c r="AB26" s="709">
        <v>0</v>
      </c>
      <c r="AC26" s="709">
        <v>0</v>
      </c>
      <c r="AD26" s="709">
        <v>0</v>
      </c>
      <c r="AE26" s="709">
        <v>0</v>
      </c>
      <c r="AF26" s="709">
        <v>0</v>
      </c>
      <c r="AG26" s="709">
        <v>0</v>
      </c>
      <c r="AH26" s="709">
        <v>0</v>
      </c>
      <c r="AI26" s="709">
        <v>0</v>
      </c>
      <c r="AJ26" s="709">
        <v>0</v>
      </c>
      <c r="AK26" s="709">
        <v>0</v>
      </c>
      <c r="AL26" s="709">
        <v>0</v>
      </c>
      <c r="AM26" s="709">
        <v>0</v>
      </c>
      <c r="AN26" s="709">
        <v>0</v>
      </c>
      <c r="AO26" s="709">
        <v>0</v>
      </c>
      <c r="AP26" s="709">
        <v>0</v>
      </c>
      <c r="AQ26" s="709">
        <v>0</v>
      </c>
      <c r="AR26" s="709">
        <v>0</v>
      </c>
      <c r="AS26" s="709">
        <v>0</v>
      </c>
      <c r="AT26" s="709">
        <v>0</v>
      </c>
      <c r="AU26" s="709">
        <v>0</v>
      </c>
      <c r="AV26" s="709">
        <v>0</v>
      </c>
      <c r="AW26" s="709">
        <v>0</v>
      </c>
      <c r="AX26" s="709">
        <v>0</v>
      </c>
    </row>
    <row r="27" spans="1:50" ht="13.2" outlineLevel="1" x14ac:dyDescent="0.2">
      <c r="B27" s="290" t="str">
        <f>CHIFFRAGE_TC!B28</f>
        <v>Estacion Malecon Centro Cultural</v>
      </c>
      <c r="C27" s="16" t="str">
        <f>CHIFFRAGE_TC!D28</f>
        <v>Infinida</v>
      </c>
      <c r="E27" s="997"/>
      <c r="F27" s="998"/>
      <c r="G27" s="998"/>
      <c r="H27" s="999"/>
      <c r="I27" s="709">
        <v>0</v>
      </c>
      <c r="J27" s="709">
        <v>0</v>
      </c>
      <c r="K27" s="709">
        <v>0</v>
      </c>
      <c r="L27" s="709">
        <v>0</v>
      </c>
      <c r="M27" s="709">
        <v>0</v>
      </c>
      <c r="N27" s="709">
        <v>0</v>
      </c>
      <c r="O27" s="709">
        <v>0</v>
      </c>
      <c r="P27" s="709">
        <v>0</v>
      </c>
      <c r="Q27" s="709">
        <v>0</v>
      </c>
      <c r="R27" s="709">
        <v>0</v>
      </c>
      <c r="S27" s="709">
        <v>0</v>
      </c>
      <c r="T27" s="709">
        <v>0</v>
      </c>
      <c r="U27" s="709">
        <v>0</v>
      </c>
      <c r="V27" s="709">
        <v>0</v>
      </c>
      <c r="W27" s="709">
        <v>0</v>
      </c>
      <c r="X27" s="709">
        <v>0</v>
      </c>
      <c r="Y27" s="709">
        <v>0</v>
      </c>
      <c r="Z27" s="709">
        <v>0</v>
      </c>
      <c r="AA27" s="709">
        <v>0</v>
      </c>
      <c r="AB27" s="709">
        <v>0</v>
      </c>
      <c r="AC27" s="709">
        <v>0</v>
      </c>
      <c r="AD27" s="709">
        <v>0</v>
      </c>
      <c r="AE27" s="709">
        <v>0</v>
      </c>
      <c r="AF27" s="709">
        <v>0</v>
      </c>
      <c r="AG27" s="709">
        <v>0</v>
      </c>
      <c r="AH27" s="709">
        <v>0</v>
      </c>
      <c r="AI27" s="709">
        <v>0</v>
      </c>
      <c r="AJ27" s="709">
        <v>0</v>
      </c>
      <c r="AK27" s="709">
        <v>0</v>
      </c>
      <c r="AL27" s="709">
        <v>0</v>
      </c>
      <c r="AM27" s="709">
        <v>0</v>
      </c>
      <c r="AN27" s="709">
        <v>0</v>
      </c>
      <c r="AO27" s="709">
        <v>0</v>
      </c>
      <c r="AP27" s="709">
        <v>0</v>
      </c>
      <c r="AQ27" s="709">
        <v>0</v>
      </c>
      <c r="AR27" s="709">
        <v>0</v>
      </c>
      <c r="AS27" s="709">
        <v>0</v>
      </c>
      <c r="AT27" s="709">
        <v>0</v>
      </c>
      <c r="AU27" s="709">
        <v>0</v>
      </c>
      <c r="AV27" s="709">
        <v>0</v>
      </c>
      <c r="AW27" s="709">
        <v>0</v>
      </c>
      <c r="AX27" s="709">
        <v>0</v>
      </c>
    </row>
    <row r="28" spans="1:50" ht="13.2" outlineLevel="1" x14ac:dyDescent="0.2">
      <c r="B28" s="290" t="str">
        <f>CHIFFRAGE_TC!B29</f>
        <v>Estacion Cimentero (Tecnica)</v>
      </c>
      <c r="C28" s="16" t="str">
        <f>CHIFFRAGE_TC!D29</f>
        <v>Infinida</v>
      </c>
      <c r="E28" s="997"/>
      <c r="F28" s="998"/>
      <c r="G28" s="998"/>
      <c r="H28" s="999"/>
      <c r="I28" s="709">
        <v>0</v>
      </c>
      <c r="J28" s="709">
        <v>0</v>
      </c>
      <c r="K28" s="709">
        <v>0</v>
      </c>
      <c r="L28" s="709">
        <v>0</v>
      </c>
      <c r="M28" s="709">
        <v>0</v>
      </c>
      <c r="N28" s="709">
        <v>0</v>
      </c>
      <c r="O28" s="709">
        <v>0</v>
      </c>
      <c r="P28" s="709">
        <v>0</v>
      </c>
      <c r="Q28" s="709">
        <v>0</v>
      </c>
      <c r="R28" s="709">
        <v>0</v>
      </c>
      <c r="S28" s="709">
        <v>0</v>
      </c>
      <c r="T28" s="709">
        <v>0</v>
      </c>
      <c r="U28" s="709">
        <v>0</v>
      </c>
      <c r="V28" s="709">
        <v>0</v>
      </c>
      <c r="W28" s="709">
        <v>0</v>
      </c>
      <c r="X28" s="709">
        <v>0</v>
      </c>
      <c r="Y28" s="709">
        <v>0</v>
      </c>
      <c r="Z28" s="709">
        <v>0</v>
      </c>
      <c r="AA28" s="709">
        <v>0</v>
      </c>
      <c r="AB28" s="709">
        <v>0</v>
      </c>
      <c r="AC28" s="709">
        <v>0</v>
      </c>
      <c r="AD28" s="709">
        <v>0</v>
      </c>
      <c r="AE28" s="709">
        <v>0</v>
      </c>
      <c r="AF28" s="709">
        <v>0</v>
      </c>
      <c r="AG28" s="709">
        <v>0</v>
      </c>
      <c r="AH28" s="709">
        <v>0</v>
      </c>
      <c r="AI28" s="709">
        <v>0</v>
      </c>
      <c r="AJ28" s="709">
        <v>0</v>
      </c>
      <c r="AK28" s="709">
        <v>0</v>
      </c>
      <c r="AL28" s="709">
        <v>0</v>
      </c>
      <c r="AM28" s="709">
        <v>0</v>
      </c>
      <c r="AN28" s="709">
        <v>0</v>
      </c>
      <c r="AO28" s="709">
        <v>0</v>
      </c>
      <c r="AP28" s="709">
        <v>0</v>
      </c>
      <c r="AQ28" s="709">
        <v>0</v>
      </c>
      <c r="AR28" s="709">
        <v>0</v>
      </c>
      <c r="AS28" s="709">
        <v>0</v>
      </c>
      <c r="AT28" s="709">
        <v>0</v>
      </c>
      <c r="AU28" s="709">
        <v>0</v>
      </c>
      <c r="AV28" s="709">
        <v>0</v>
      </c>
      <c r="AW28" s="709">
        <v>0</v>
      </c>
      <c r="AX28" s="709">
        <v>0</v>
      </c>
    </row>
    <row r="29" spans="1:50" ht="13.2" outlineLevel="1" x14ac:dyDescent="0.2">
      <c r="B29" s="290" t="str">
        <f>CHIFFRAGE_TC!B30</f>
        <v>Estacion Avenida Quito</v>
      </c>
      <c r="C29" s="16" t="str">
        <f>CHIFFRAGE_TC!D30</f>
        <v>Infinida</v>
      </c>
      <c r="E29" s="997"/>
      <c r="F29" s="998"/>
      <c r="G29" s="998"/>
      <c r="H29" s="999"/>
      <c r="I29" s="709">
        <v>0</v>
      </c>
      <c r="J29" s="709">
        <v>0</v>
      </c>
      <c r="K29" s="709">
        <v>0</v>
      </c>
      <c r="L29" s="709">
        <v>0</v>
      </c>
      <c r="M29" s="709">
        <v>0</v>
      </c>
      <c r="N29" s="709">
        <v>0</v>
      </c>
      <c r="O29" s="709">
        <v>0</v>
      </c>
      <c r="P29" s="709">
        <v>0</v>
      </c>
      <c r="Q29" s="709">
        <v>0</v>
      </c>
      <c r="R29" s="709">
        <v>0</v>
      </c>
      <c r="S29" s="709">
        <v>0</v>
      </c>
      <c r="T29" s="709">
        <v>0</v>
      </c>
      <c r="U29" s="709">
        <v>0</v>
      </c>
      <c r="V29" s="709">
        <v>0</v>
      </c>
      <c r="W29" s="709">
        <v>0</v>
      </c>
      <c r="X29" s="709">
        <v>0</v>
      </c>
      <c r="Y29" s="709">
        <v>0</v>
      </c>
      <c r="Z29" s="709">
        <v>0</v>
      </c>
      <c r="AA29" s="709">
        <v>0</v>
      </c>
      <c r="AB29" s="709">
        <v>0</v>
      </c>
      <c r="AC29" s="709">
        <v>0</v>
      </c>
      <c r="AD29" s="709">
        <v>0</v>
      </c>
      <c r="AE29" s="709">
        <v>0</v>
      </c>
      <c r="AF29" s="709">
        <v>0</v>
      </c>
      <c r="AG29" s="709">
        <v>0</v>
      </c>
      <c r="AH29" s="709">
        <v>0</v>
      </c>
      <c r="AI29" s="709">
        <v>0</v>
      </c>
      <c r="AJ29" s="709">
        <v>0</v>
      </c>
      <c r="AK29" s="709">
        <v>0</v>
      </c>
      <c r="AL29" s="709">
        <v>0</v>
      </c>
      <c r="AM29" s="709">
        <v>0</v>
      </c>
      <c r="AN29" s="709">
        <v>0</v>
      </c>
      <c r="AO29" s="709">
        <v>0</v>
      </c>
      <c r="AP29" s="709">
        <v>0</v>
      </c>
      <c r="AQ29" s="709">
        <v>0</v>
      </c>
      <c r="AR29" s="709">
        <v>0</v>
      </c>
      <c r="AS29" s="709">
        <v>0</v>
      </c>
      <c r="AT29" s="709">
        <v>0</v>
      </c>
      <c r="AU29" s="709">
        <v>0</v>
      </c>
      <c r="AV29" s="709">
        <v>0</v>
      </c>
      <c r="AW29" s="709">
        <v>0</v>
      </c>
      <c r="AX29" s="709">
        <v>0</v>
      </c>
    </row>
    <row r="30" spans="1:50" ht="13.2" outlineLevel="1" x14ac:dyDescent="0.2">
      <c r="B30" s="290" t="str">
        <f>CHIFFRAGE_TC!B31</f>
        <v>Estacion Centenario (Terminal)</v>
      </c>
      <c r="C30" s="16" t="str">
        <f>CHIFFRAGE_TC!D31</f>
        <v>Infinida</v>
      </c>
      <c r="E30" s="997"/>
      <c r="F30" s="998"/>
      <c r="G30" s="998"/>
      <c r="H30" s="999"/>
      <c r="I30" s="709">
        <v>0</v>
      </c>
      <c r="J30" s="709">
        <v>0</v>
      </c>
      <c r="K30" s="709">
        <v>0</v>
      </c>
      <c r="L30" s="709">
        <v>0</v>
      </c>
      <c r="M30" s="709">
        <v>0</v>
      </c>
      <c r="N30" s="709">
        <v>0</v>
      </c>
      <c r="O30" s="709">
        <v>0</v>
      </c>
      <c r="P30" s="709">
        <v>0</v>
      </c>
      <c r="Q30" s="709">
        <v>0</v>
      </c>
      <c r="R30" s="709">
        <v>0</v>
      </c>
      <c r="S30" s="709">
        <v>0</v>
      </c>
      <c r="T30" s="709">
        <v>0</v>
      </c>
      <c r="U30" s="709">
        <v>0</v>
      </c>
      <c r="V30" s="709">
        <v>0</v>
      </c>
      <c r="W30" s="709">
        <v>0</v>
      </c>
      <c r="X30" s="709">
        <v>0</v>
      </c>
      <c r="Y30" s="709">
        <v>0</v>
      </c>
      <c r="Z30" s="709">
        <v>0</v>
      </c>
      <c r="AA30" s="709">
        <v>0</v>
      </c>
      <c r="AB30" s="709">
        <v>0</v>
      </c>
      <c r="AC30" s="709">
        <v>0</v>
      </c>
      <c r="AD30" s="709">
        <v>0</v>
      </c>
      <c r="AE30" s="709">
        <v>0</v>
      </c>
      <c r="AF30" s="709">
        <v>0</v>
      </c>
      <c r="AG30" s="709">
        <v>0</v>
      </c>
      <c r="AH30" s="709">
        <v>0</v>
      </c>
      <c r="AI30" s="709">
        <v>0</v>
      </c>
      <c r="AJ30" s="709">
        <v>0</v>
      </c>
      <c r="AK30" s="709">
        <v>0</v>
      </c>
      <c r="AL30" s="709">
        <v>0</v>
      </c>
      <c r="AM30" s="709">
        <v>0</v>
      </c>
      <c r="AN30" s="709">
        <v>0</v>
      </c>
      <c r="AO30" s="709">
        <v>0</v>
      </c>
      <c r="AP30" s="709">
        <v>0</v>
      </c>
      <c r="AQ30" s="709">
        <v>0</v>
      </c>
      <c r="AR30" s="709">
        <v>0</v>
      </c>
      <c r="AS30" s="709">
        <v>0</v>
      </c>
      <c r="AT30" s="709">
        <v>0</v>
      </c>
      <c r="AU30" s="709">
        <v>0</v>
      </c>
      <c r="AV30" s="709">
        <v>0</v>
      </c>
      <c r="AW30" s="709">
        <v>0</v>
      </c>
      <c r="AX30" s="709">
        <v>0</v>
      </c>
    </row>
    <row r="31" spans="1:50" ht="13.8" thickBot="1" x14ac:dyDescent="0.25">
      <c r="B31" s="290"/>
      <c r="C31" s="16"/>
      <c r="E31" s="712"/>
      <c r="F31" s="715"/>
      <c r="G31" s="715"/>
      <c r="H31" s="716"/>
      <c r="I31" s="696"/>
      <c r="AO31" s="16"/>
      <c r="AP31" s="16"/>
      <c r="AQ31" s="16"/>
      <c r="AR31" s="16"/>
      <c r="AS31" s="16"/>
      <c r="AT31" s="16"/>
      <c r="AU31" s="16"/>
      <c r="AV31" s="16"/>
      <c r="AW31" s="16"/>
      <c r="AX31" s="16"/>
    </row>
    <row r="32" spans="1:50" ht="16.2" thickBot="1" x14ac:dyDescent="0.25">
      <c r="B32" s="288" t="str">
        <f>CHIFFRAGE_TC!B33</f>
        <v>Decontaminacion y proteccion</v>
      </c>
      <c r="C32" s="16"/>
      <c r="D32" s="725">
        <f>CHIFFRAGE_TC!J33</f>
        <v>0.25</v>
      </c>
      <c r="E32" s="209">
        <f>SUM(E33:E35)</f>
        <v>0</v>
      </c>
      <c r="F32" s="196">
        <f>SUM(F33:F35)</f>
        <v>1044207.8897851558</v>
      </c>
      <c r="G32" s="196">
        <f>SUM(G33:G35)</f>
        <v>949051.15766015579</v>
      </c>
      <c r="H32" s="197">
        <f>SUM(H33:H35)</f>
        <v>1898102.3153203116</v>
      </c>
      <c r="I32" s="698">
        <f t="shared" ref="I32:AN32" si="2">SUM(I33:I35)</f>
        <v>0</v>
      </c>
      <c r="J32" s="699">
        <f t="shared" si="2"/>
        <v>0</v>
      </c>
      <c r="K32" s="699">
        <f t="shared" si="2"/>
        <v>0</v>
      </c>
      <c r="L32" s="699">
        <f t="shared" si="2"/>
        <v>0</v>
      </c>
      <c r="M32" s="699">
        <f t="shared" si="2"/>
        <v>0</v>
      </c>
      <c r="N32" s="699">
        <f t="shared" si="2"/>
        <v>0</v>
      </c>
      <c r="O32" s="699">
        <f t="shared" si="2"/>
        <v>0</v>
      </c>
      <c r="P32" s="699">
        <f t="shared" si="2"/>
        <v>0</v>
      </c>
      <c r="Q32" s="699">
        <f t="shared" si="2"/>
        <v>0</v>
      </c>
      <c r="R32" s="699">
        <f t="shared" si="2"/>
        <v>0</v>
      </c>
      <c r="S32" s="699">
        <f t="shared" si="2"/>
        <v>0</v>
      </c>
      <c r="T32" s="699">
        <f t="shared" si="2"/>
        <v>0</v>
      </c>
      <c r="U32" s="699">
        <f t="shared" si="2"/>
        <v>0</v>
      </c>
      <c r="V32" s="699">
        <f t="shared" si="2"/>
        <v>0</v>
      </c>
      <c r="W32" s="699">
        <f t="shared" si="2"/>
        <v>0</v>
      </c>
      <c r="X32" s="699">
        <f t="shared" si="2"/>
        <v>0</v>
      </c>
      <c r="Y32" s="699">
        <f t="shared" si="2"/>
        <v>0</v>
      </c>
      <c r="Z32" s="699">
        <f t="shared" si="2"/>
        <v>0</v>
      </c>
      <c r="AA32" s="699">
        <f t="shared" si="2"/>
        <v>0</v>
      </c>
      <c r="AB32" s="699">
        <f t="shared" si="2"/>
        <v>0</v>
      </c>
      <c r="AC32" s="699">
        <f t="shared" si="2"/>
        <v>0</v>
      </c>
      <c r="AD32" s="699">
        <f t="shared" si="2"/>
        <v>0</v>
      </c>
      <c r="AE32" s="699">
        <f t="shared" si="2"/>
        <v>0</v>
      </c>
      <c r="AF32" s="699">
        <f t="shared" si="2"/>
        <v>0</v>
      </c>
      <c r="AG32" s="699">
        <f t="shared" si="2"/>
        <v>0</v>
      </c>
      <c r="AH32" s="699">
        <f t="shared" si="2"/>
        <v>0</v>
      </c>
      <c r="AI32" s="699">
        <f t="shared" si="2"/>
        <v>0</v>
      </c>
      <c r="AJ32" s="699">
        <f t="shared" si="2"/>
        <v>0</v>
      </c>
      <c r="AK32" s="699">
        <f t="shared" si="2"/>
        <v>0</v>
      </c>
      <c r="AL32" s="699">
        <f t="shared" si="2"/>
        <v>0</v>
      </c>
      <c r="AM32" s="699">
        <f t="shared" si="2"/>
        <v>0</v>
      </c>
      <c r="AN32" s="700">
        <f t="shared" si="2"/>
        <v>0</v>
      </c>
      <c r="AO32" s="700">
        <f t="shared" ref="AO32" si="3">SUM(AO33:AO35)</f>
        <v>0</v>
      </c>
      <c r="AP32" s="700">
        <f t="shared" ref="AP32" si="4">SUM(AP33:AP35)</f>
        <v>0</v>
      </c>
      <c r="AQ32" s="700">
        <f t="shared" ref="AQ32" si="5">SUM(AQ33:AQ35)</f>
        <v>0</v>
      </c>
      <c r="AR32" s="700">
        <f t="shared" ref="AR32" si="6">SUM(AR33:AR35)</f>
        <v>0</v>
      </c>
      <c r="AS32" s="700">
        <f t="shared" ref="AS32" si="7">SUM(AS33:AS35)</f>
        <v>0</v>
      </c>
      <c r="AT32" s="700">
        <f t="shared" ref="AT32" si="8">SUM(AT33:AT35)</f>
        <v>0</v>
      </c>
      <c r="AU32" s="700">
        <f t="shared" ref="AU32" si="9">SUM(AU33:AU35)</f>
        <v>0</v>
      </c>
      <c r="AV32" s="700">
        <f t="shared" ref="AV32" si="10">SUM(AV33:AV35)</f>
        <v>0</v>
      </c>
      <c r="AW32" s="700">
        <f t="shared" ref="AW32" si="11">SUM(AW33:AW35)</f>
        <v>0</v>
      </c>
      <c r="AX32" s="700">
        <f t="shared" ref="AX32" si="12">SUM(AX33:AX35)</f>
        <v>0</v>
      </c>
    </row>
    <row r="33" spans="2:50" ht="13.2" outlineLevel="1" x14ac:dyDescent="0.2">
      <c r="B33" s="290" t="str">
        <f>CHIFFRAGE_TC!B34</f>
        <v>Proteccion contra incendios (techos)</v>
      </c>
      <c r="C33" s="16">
        <f>CHIFFRAGE_TC!D34</f>
        <v>40</v>
      </c>
      <c r="E33" s="712">
        <f>CHIFFRAGE_TC!$L34*CHIFFRAGE_TC!$T34</f>
        <v>0</v>
      </c>
      <c r="F33" s="715">
        <f>CHIFFRAGE_TC!$L34*CHIFFRAGE_TC!$U34</f>
        <v>444674.72896874975</v>
      </c>
      <c r="G33" s="715">
        <f>CHIFFRAGE_TC!$L34*CHIFFRAGE_TC!$V34</f>
        <v>444674.72896874975</v>
      </c>
      <c r="H33" s="716">
        <f>CHIFFRAGE_TC!$L34*CHIFFRAGE_TC!$W34</f>
        <v>889349.45793749951</v>
      </c>
      <c r="I33" s="709">
        <v>0</v>
      </c>
      <c r="J33" s="709">
        <v>0</v>
      </c>
      <c r="K33" s="709">
        <v>0</v>
      </c>
      <c r="L33" s="709">
        <v>0</v>
      </c>
      <c r="M33" s="709">
        <v>0</v>
      </c>
      <c r="N33" s="709">
        <v>0</v>
      </c>
      <c r="O33" s="709">
        <v>0</v>
      </c>
      <c r="P33" s="709">
        <v>0</v>
      </c>
      <c r="Q33" s="709">
        <v>0</v>
      </c>
      <c r="R33" s="709">
        <v>0</v>
      </c>
      <c r="S33" s="709">
        <v>0</v>
      </c>
      <c r="T33" s="709">
        <v>0</v>
      </c>
      <c r="U33" s="709">
        <v>0</v>
      </c>
      <c r="V33" s="709">
        <v>0</v>
      </c>
      <c r="W33" s="709">
        <v>0</v>
      </c>
      <c r="X33" s="709">
        <v>0</v>
      </c>
      <c r="Y33" s="709">
        <v>0</v>
      </c>
      <c r="Z33" s="709">
        <v>0</v>
      </c>
      <c r="AA33" s="709">
        <v>0</v>
      </c>
      <c r="AB33" s="709">
        <v>0</v>
      </c>
      <c r="AC33" s="709">
        <v>0</v>
      </c>
      <c r="AD33" s="709">
        <v>0</v>
      </c>
      <c r="AE33" s="709">
        <v>0</v>
      </c>
      <c r="AF33" s="709">
        <v>0</v>
      </c>
      <c r="AG33" s="709">
        <v>0</v>
      </c>
      <c r="AH33" s="709">
        <v>0</v>
      </c>
      <c r="AI33" s="709">
        <v>0</v>
      </c>
      <c r="AJ33" s="709">
        <v>0</v>
      </c>
      <c r="AK33" s="709">
        <v>0</v>
      </c>
      <c r="AL33" s="709">
        <v>0</v>
      </c>
      <c r="AM33" s="709">
        <v>0</v>
      </c>
      <c r="AN33" s="709">
        <v>0</v>
      </c>
      <c r="AO33" s="709">
        <v>0</v>
      </c>
      <c r="AP33" s="709">
        <v>0</v>
      </c>
      <c r="AQ33" s="709">
        <v>0</v>
      </c>
      <c r="AR33" s="709">
        <v>0</v>
      </c>
      <c r="AS33" s="709">
        <v>0</v>
      </c>
      <c r="AT33" s="709">
        <v>0</v>
      </c>
      <c r="AU33" s="709">
        <v>0</v>
      </c>
      <c r="AV33" s="709">
        <v>0</v>
      </c>
      <c r="AW33" s="709">
        <v>0</v>
      </c>
      <c r="AX33" s="709">
        <v>0</v>
      </c>
    </row>
    <row r="34" spans="2:50" ht="13.2" outlineLevel="1" x14ac:dyDescent="0.2">
      <c r="B34" s="290" t="str">
        <f>CHIFFRAGE_TC!B35</f>
        <v>Proteccion contra incendios (fachadas)</v>
      </c>
      <c r="C34" s="16">
        <f>CHIFFRAGE_TC!D35</f>
        <v>40</v>
      </c>
      <c r="E34" s="712">
        <f>CHIFFRAGE_TC!$L35*CHIFFRAGE_TC!$T35</f>
        <v>0</v>
      </c>
      <c r="F34" s="715">
        <f>CHIFFRAGE_TC!$L35*CHIFFRAGE_TC!$U35</f>
        <v>504376.42869140598</v>
      </c>
      <c r="G34" s="715">
        <f>CHIFFRAGE_TC!$L35*CHIFFRAGE_TC!$V35</f>
        <v>504376.42869140598</v>
      </c>
      <c r="H34" s="716">
        <f>CHIFFRAGE_TC!$L35*CHIFFRAGE_TC!$W35</f>
        <v>1008752.857382812</v>
      </c>
      <c r="I34" s="709">
        <v>0</v>
      </c>
      <c r="J34" s="709">
        <v>0</v>
      </c>
      <c r="K34" s="709">
        <v>0</v>
      </c>
      <c r="L34" s="709">
        <v>0</v>
      </c>
      <c r="M34" s="709">
        <v>0</v>
      </c>
      <c r="N34" s="709">
        <v>0</v>
      </c>
      <c r="O34" s="709">
        <v>0</v>
      </c>
      <c r="P34" s="709">
        <v>0</v>
      </c>
      <c r="Q34" s="709">
        <v>0</v>
      </c>
      <c r="R34" s="709">
        <v>0</v>
      </c>
      <c r="S34" s="709">
        <v>0</v>
      </c>
      <c r="T34" s="709">
        <v>0</v>
      </c>
      <c r="U34" s="709">
        <v>0</v>
      </c>
      <c r="V34" s="709">
        <v>0</v>
      </c>
      <c r="W34" s="709">
        <v>0</v>
      </c>
      <c r="X34" s="709">
        <v>0</v>
      </c>
      <c r="Y34" s="709">
        <v>0</v>
      </c>
      <c r="Z34" s="709">
        <v>0</v>
      </c>
      <c r="AA34" s="709">
        <v>0</v>
      </c>
      <c r="AB34" s="709">
        <v>0</v>
      </c>
      <c r="AC34" s="709">
        <v>0</v>
      </c>
      <c r="AD34" s="709">
        <v>0</v>
      </c>
      <c r="AE34" s="709">
        <v>0</v>
      </c>
      <c r="AF34" s="709">
        <v>0</v>
      </c>
      <c r="AG34" s="709">
        <v>0</v>
      </c>
      <c r="AH34" s="709">
        <v>0</v>
      </c>
      <c r="AI34" s="709">
        <v>0</v>
      </c>
      <c r="AJ34" s="709">
        <v>0</v>
      </c>
      <c r="AK34" s="709">
        <v>0</v>
      </c>
      <c r="AL34" s="709">
        <v>0</v>
      </c>
      <c r="AM34" s="709">
        <v>0</v>
      </c>
      <c r="AN34" s="709">
        <v>0</v>
      </c>
      <c r="AO34" s="709">
        <v>0</v>
      </c>
      <c r="AP34" s="709">
        <v>0</v>
      </c>
      <c r="AQ34" s="709">
        <v>0</v>
      </c>
      <c r="AR34" s="709">
        <v>0</v>
      </c>
      <c r="AS34" s="709">
        <v>0</v>
      </c>
      <c r="AT34" s="709">
        <v>0</v>
      </c>
      <c r="AU34" s="709">
        <v>0</v>
      </c>
      <c r="AV34" s="709">
        <v>0</v>
      </c>
      <c r="AW34" s="709">
        <v>0</v>
      </c>
      <c r="AX34" s="709">
        <v>0</v>
      </c>
    </row>
    <row r="35" spans="2:50" ht="13.2" outlineLevel="1" x14ac:dyDescent="0.2">
      <c r="B35" s="289" t="str">
        <f>CHIFFRAGE_TC!B36</f>
        <v>Decontaminacion de suelo</v>
      </c>
      <c r="C35" s="16" t="str">
        <f>CHIFFRAGE_TC!D36</f>
        <v>Infinida</v>
      </c>
      <c r="E35" s="712">
        <f>CHIFFRAGE_TC!$L36*CHIFFRAGE_TC!$T36</f>
        <v>0</v>
      </c>
      <c r="F35" s="715">
        <f>CHIFFRAGE_TC!$L36*CHIFFRAGE_TC!$U36</f>
        <v>95156.732124999966</v>
      </c>
      <c r="G35" s="715">
        <f>CHIFFRAGE_TC!$L36*CHIFFRAGE_TC!$V36</f>
        <v>0</v>
      </c>
      <c r="H35" s="716">
        <f>CHIFFRAGE_TC!$L36*CHIFFRAGE_TC!$W36</f>
        <v>0</v>
      </c>
      <c r="I35" s="709">
        <v>0</v>
      </c>
      <c r="J35" s="709">
        <v>0</v>
      </c>
      <c r="K35" s="709">
        <v>0</v>
      </c>
      <c r="L35" s="709">
        <v>0</v>
      </c>
      <c r="M35" s="709">
        <v>0</v>
      </c>
      <c r="N35" s="709">
        <v>0</v>
      </c>
      <c r="O35" s="709">
        <v>0</v>
      </c>
      <c r="P35" s="709">
        <v>0</v>
      </c>
      <c r="Q35" s="709">
        <v>0</v>
      </c>
      <c r="R35" s="709">
        <v>0</v>
      </c>
      <c r="S35" s="709">
        <v>0</v>
      </c>
      <c r="T35" s="709">
        <v>0</v>
      </c>
      <c r="U35" s="709">
        <v>0</v>
      </c>
      <c r="V35" s="709">
        <v>0</v>
      </c>
      <c r="W35" s="709">
        <v>0</v>
      </c>
      <c r="X35" s="709">
        <v>0</v>
      </c>
      <c r="Y35" s="709">
        <v>0</v>
      </c>
      <c r="Z35" s="709">
        <v>0</v>
      </c>
      <c r="AA35" s="709">
        <v>0</v>
      </c>
      <c r="AB35" s="709">
        <v>0</v>
      </c>
      <c r="AC35" s="709">
        <v>0</v>
      </c>
      <c r="AD35" s="709">
        <v>0</v>
      </c>
      <c r="AE35" s="709">
        <v>0</v>
      </c>
      <c r="AF35" s="709">
        <v>0</v>
      </c>
      <c r="AG35" s="709">
        <v>0</v>
      </c>
      <c r="AH35" s="709">
        <v>0</v>
      </c>
      <c r="AI35" s="709">
        <v>0</v>
      </c>
      <c r="AJ35" s="709">
        <v>0</v>
      </c>
      <c r="AK35" s="709">
        <v>0</v>
      </c>
      <c r="AL35" s="709">
        <v>0</v>
      </c>
      <c r="AM35" s="709">
        <v>0</v>
      </c>
      <c r="AN35" s="709">
        <v>0</v>
      </c>
      <c r="AO35" s="709">
        <v>0</v>
      </c>
      <c r="AP35" s="709">
        <v>0</v>
      </c>
      <c r="AQ35" s="709">
        <v>0</v>
      </c>
      <c r="AR35" s="709">
        <v>0</v>
      </c>
      <c r="AS35" s="709">
        <v>0</v>
      </c>
      <c r="AT35" s="709">
        <v>0</v>
      </c>
      <c r="AU35" s="709">
        <v>0</v>
      </c>
      <c r="AV35" s="709">
        <v>0</v>
      </c>
      <c r="AW35" s="709">
        <v>0</v>
      </c>
      <c r="AX35" s="709">
        <v>0</v>
      </c>
    </row>
    <row r="36" spans="2:50" ht="13.8" thickBot="1" x14ac:dyDescent="0.25">
      <c r="B36" s="290"/>
      <c r="C36" s="16"/>
      <c r="E36" s="712"/>
      <c r="F36" s="715"/>
      <c r="G36" s="715"/>
      <c r="H36" s="716"/>
      <c r="I36" s="696"/>
      <c r="AO36" s="16"/>
      <c r="AP36" s="16"/>
      <c r="AQ36" s="16"/>
      <c r="AR36" s="16"/>
      <c r="AS36" s="16"/>
      <c r="AT36" s="16"/>
      <c r="AU36" s="16"/>
      <c r="AV36" s="16"/>
      <c r="AW36" s="16"/>
      <c r="AX36" s="16"/>
    </row>
    <row r="37" spans="2:50" ht="16.2" thickBot="1" x14ac:dyDescent="0.25">
      <c r="B37" s="288" t="str">
        <f>CHIFFRAGE_TC!B38</f>
        <v>Infraestructura y estructuras de lineas</v>
      </c>
      <c r="C37" s="16"/>
      <c r="D37" s="725">
        <f>CHIFFRAGE_TC!J38</f>
        <v>0.25</v>
      </c>
      <c r="E37" s="209">
        <f>SUM(E38:E42)</f>
        <v>0</v>
      </c>
      <c r="F37" s="196">
        <f t="shared" ref="F37:AN37" si="13">SUM(F38:F42)</f>
        <v>2941439.768377109</v>
      </c>
      <c r="G37" s="196">
        <f t="shared" si="13"/>
        <v>8824319.3051313274</v>
      </c>
      <c r="H37" s="197">
        <f t="shared" si="13"/>
        <v>2941439.768377109</v>
      </c>
      <c r="I37" s="698">
        <f t="shared" si="13"/>
        <v>0</v>
      </c>
      <c r="J37" s="699">
        <f t="shared" si="13"/>
        <v>0</v>
      </c>
      <c r="K37" s="699">
        <f t="shared" si="13"/>
        <v>0</v>
      </c>
      <c r="L37" s="699">
        <f t="shared" si="13"/>
        <v>0</v>
      </c>
      <c r="M37" s="699">
        <f t="shared" si="13"/>
        <v>0</v>
      </c>
      <c r="N37" s="699">
        <f t="shared" si="13"/>
        <v>0</v>
      </c>
      <c r="O37" s="699">
        <f t="shared" si="13"/>
        <v>0</v>
      </c>
      <c r="P37" s="699">
        <f t="shared" si="13"/>
        <v>0</v>
      </c>
      <c r="Q37" s="699">
        <f t="shared" si="13"/>
        <v>0</v>
      </c>
      <c r="R37" s="699">
        <f t="shared" si="13"/>
        <v>0</v>
      </c>
      <c r="S37" s="699">
        <f t="shared" si="13"/>
        <v>0</v>
      </c>
      <c r="T37" s="699">
        <f t="shared" si="13"/>
        <v>0</v>
      </c>
      <c r="U37" s="699">
        <f t="shared" si="13"/>
        <v>0</v>
      </c>
      <c r="V37" s="699">
        <f t="shared" si="13"/>
        <v>0</v>
      </c>
      <c r="W37" s="699">
        <f t="shared" si="13"/>
        <v>0</v>
      </c>
      <c r="X37" s="699">
        <f t="shared" si="13"/>
        <v>0</v>
      </c>
      <c r="Y37" s="699">
        <f t="shared" si="13"/>
        <v>0</v>
      </c>
      <c r="Z37" s="699">
        <f t="shared" si="13"/>
        <v>0</v>
      </c>
      <c r="AA37" s="699">
        <f t="shared" si="13"/>
        <v>0</v>
      </c>
      <c r="AB37" s="699">
        <f t="shared" si="13"/>
        <v>0</v>
      </c>
      <c r="AC37" s="699">
        <f t="shared" si="13"/>
        <v>0</v>
      </c>
      <c r="AD37" s="699">
        <f t="shared" si="13"/>
        <v>0</v>
      </c>
      <c r="AE37" s="699">
        <f t="shared" si="13"/>
        <v>0</v>
      </c>
      <c r="AF37" s="699">
        <f t="shared" si="13"/>
        <v>0</v>
      </c>
      <c r="AG37" s="699">
        <f t="shared" si="13"/>
        <v>0</v>
      </c>
      <c r="AH37" s="699">
        <f t="shared" si="13"/>
        <v>0</v>
      </c>
      <c r="AI37" s="699">
        <f t="shared" si="13"/>
        <v>0</v>
      </c>
      <c r="AJ37" s="699">
        <f t="shared" si="13"/>
        <v>0</v>
      </c>
      <c r="AK37" s="699">
        <f t="shared" si="13"/>
        <v>0</v>
      </c>
      <c r="AL37" s="699">
        <f t="shared" si="13"/>
        <v>0</v>
      </c>
      <c r="AM37" s="699">
        <f t="shared" si="13"/>
        <v>0</v>
      </c>
      <c r="AN37" s="700">
        <f t="shared" si="13"/>
        <v>0</v>
      </c>
      <c r="AO37" s="700">
        <f t="shared" ref="AO37:AX37" si="14">SUM(AO38:AO42)</f>
        <v>0</v>
      </c>
      <c r="AP37" s="700">
        <f t="shared" si="14"/>
        <v>0</v>
      </c>
      <c r="AQ37" s="700">
        <f t="shared" si="14"/>
        <v>0</v>
      </c>
      <c r="AR37" s="700">
        <f t="shared" si="14"/>
        <v>0</v>
      </c>
      <c r="AS37" s="700">
        <f t="shared" si="14"/>
        <v>0</v>
      </c>
      <c r="AT37" s="700">
        <f t="shared" si="14"/>
        <v>0</v>
      </c>
      <c r="AU37" s="700">
        <f t="shared" si="14"/>
        <v>0</v>
      </c>
      <c r="AV37" s="700">
        <f t="shared" si="14"/>
        <v>0</v>
      </c>
      <c r="AW37" s="700">
        <f t="shared" si="14"/>
        <v>0</v>
      </c>
      <c r="AX37" s="700">
        <f t="shared" si="14"/>
        <v>0</v>
      </c>
    </row>
    <row r="38" spans="2:50" ht="13.2" outlineLevel="2" x14ac:dyDescent="0.2">
      <c r="B38" s="290" t="str">
        <f>CHIFFRAGE_TC!B39</f>
        <v>Cables de soportes</v>
      </c>
      <c r="C38" s="16">
        <f>CHIFFRAGE_TC!D39</f>
        <v>10</v>
      </c>
      <c r="E38" s="712">
        <f>CHIFFRAGE_TC!$L39*CHIFFRAGE_TC!$T39</f>
        <v>0</v>
      </c>
      <c r="F38" s="715">
        <f>CHIFFRAGE_TC!$L39*CHIFFRAGE_TC!$U39</f>
        <v>0</v>
      </c>
      <c r="G38" s="715">
        <f>CHIFFRAGE_TC!$L39*CHIFFRAGE_TC!$V39</f>
        <v>0</v>
      </c>
      <c r="H38" s="716">
        <f>CHIFFRAGE_TC!$L39*CHIFFRAGE_TC!$W39</f>
        <v>0</v>
      </c>
      <c r="I38" s="709">
        <v>0</v>
      </c>
      <c r="J38" s="709">
        <v>0</v>
      </c>
      <c r="K38" s="709">
        <v>0</v>
      </c>
      <c r="L38" s="709">
        <v>0</v>
      </c>
      <c r="M38" s="709">
        <v>0</v>
      </c>
      <c r="N38" s="709">
        <v>0</v>
      </c>
      <c r="O38" s="709">
        <v>0</v>
      </c>
      <c r="P38" s="709">
        <v>0</v>
      </c>
      <c r="Q38" s="709">
        <v>0</v>
      </c>
      <c r="R38" s="709">
        <v>0</v>
      </c>
      <c r="S38" s="709">
        <v>0</v>
      </c>
      <c r="T38" s="709">
        <v>0</v>
      </c>
      <c r="U38" s="709">
        <v>0</v>
      </c>
      <c r="V38" s="709">
        <v>0</v>
      </c>
      <c r="W38" s="709">
        <v>0</v>
      </c>
      <c r="X38" s="709">
        <v>0</v>
      </c>
      <c r="Y38" s="709">
        <v>0</v>
      </c>
      <c r="Z38" s="709">
        <v>0</v>
      </c>
      <c r="AA38" s="709">
        <v>0</v>
      </c>
      <c r="AB38" s="709">
        <v>0</v>
      </c>
      <c r="AC38" s="709">
        <v>0</v>
      </c>
      <c r="AD38" s="709">
        <v>0</v>
      </c>
      <c r="AE38" s="709">
        <v>0</v>
      </c>
      <c r="AF38" s="709">
        <v>0</v>
      </c>
      <c r="AG38" s="709">
        <v>0</v>
      </c>
      <c r="AH38" s="709">
        <v>0</v>
      </c>
      <c r="AI38" s="709">
        <v>0</v>
      </c>
      <c r="AJ38" s="709">
        <v>0</v>
      </c>
      <c r="AK38" s="709">
        <v>0</v>
      </c>
      <c r="AL38" s="709">
        <v>0</v>
      </c>
      <c r="AM38" s="709">
        <v>0</v>
      </c>
      <c r="AN38" s="709">
        <v>0</v>
      </c>
      <c r="AO38" s="709">
        <v>0</v>
      </c>
      <c r="AP38" s="709">
        <v>0</v>
      </c>
      <c r="AQ38" s="709">
        <v>0</v>
      </c>
      <c r="AR38" s="709">
        <v>0</v>
      </c>
      <c r="AS38" s="709">
        <v>0</v>
      </c>
      <c r="AT38" s="709">
        <v>0</v>
      </c>
      <c r="AU38" s="709">
        <v>0</v>
      </c>
      <c r="AV38" s="709">
        <v>0</v>
      </c>
      <c r="AW38" s="709">
        <v>0</v>
      </c>
      <c r="AX38" s="709">
        <v>0</v>
      </c>
    </row>
    <row r="39" spans="2:50" ht="13.2" outlineLevel="2" x14ac:dyDescent="0.2">
      <c r="B39" s="290" t="str">
        <f>CHIFFRAGE_TC!B40</f>
        <v>Cable de traccion</v>
      </c>
      <c r="C39" s="16">
        <f>CHIFFRAGE_TC!D40</f>
        <v>5</v>
      </c>
      <c r="E39" s="712">
        <f>CHIFFRAGE_TC!$L40*CHIFFRAGE_TC!$T40</f>
        <v>0</v>
      </c>
      <c r="F39" s="715">
        <f>CHIFFRAGE_TC!$L40*CHIFFRAGE_TC!$U40</f>
        <v>197436.92649587197</v>
      </c>
      <c r="G39" s="715">
        <f>CHIFFRAGE_TC!$L40*CHIFFRAGE_TC!$V40</f>
        <v>592310.7794876158</v>
      </c>
      <c r="H39" s="716">
        <f>CHIFFRAGE_TC!$L40*CHIFFRAGE_TC!$W40</f>
        <v>197436.92649587197</v>
      </c>
      <c r="I39" s="709">
        <v>0</v>
      </c>
      <c r="J39" s="709">
        <v>0</v>
      </c>
      <c r="K39" s="709">
        <v>0</v>
      </c>
      <c r="L39" s="709">
        <v>0</v>
      </c>
      <c r="M39" s="709">
        <v>0</v>
      </c>
      <c r="N39" s="709">
        <v>0</v>
      </c>
      <c r="O39" s="709">
        <v>0</v>
      </c>
      <c r="P39" s="709">
        <v>0</v>
      </c>
      <c r="Q39" s="709">
        <v>0</v>
      </c>
      <c r="R39" s="709">
        <v>0</v>
      </c>
      <c r="S39" s="709">
        <v>0</v>
      </c>
      <c r="T39" s="709">
        <v>0</v>
      </c>
      <c r="U39" s="709">
        <v>0</v>
      </c>
      <c r="V39" s="709">
        <v>0</v>
      </c>
      <c r="W39" s="709">
        <v>0</v>
      </c>
      <c r="X39" s="709">
        <v>0</v>
      </c>
      <c r="Y39" s="709">
        <v>0</v>
      </c>
      <c r="Z39" s="709">
        <v>0</v>
      </c>
      <c r="AA39" s="709">
        <v>0</v>
      </c>
      <c r="AB39" s="709">
        <v>0</v>
      </c>
      <c r="AC39" s="709">
        <v>0</v>
      </c>
      <c r="AD39" s="709">
        <v>0</v>
      </c>
      <c r="AE39" s="709">
        <v>0</v>
      </c>
      <c r="AF39" s="709">
        <v>0</v>
      </c>
      <c r="AG39" s="709">
        <v>0</v>
      </c>
      <c r="AH39" s="709">
        <v>0</v>
      </c>
      <c r="AI39" s="709">
        <v>0</v>
      </c>
      <c r="AJ39" s="709">
        <v>0</v>
      </c>
      <c r="AK39" s="709">
        <v>0</v>
      </c>
      <c r="AL39" s="709">
        <v>0</v>
      </c>
      <c r="AM39" s="709">
        <v>0</v>
      </c>
      <c r="AN39" s="709">
        <v>0</v>
      </c>
      <c r="AO39" s="709">
        <v>0</v>
      </c>
      <c r="AP39" s="709">
        <v>0</v>
      </c>
      <c r="AQ39" s="709">
        <v>0</v>
      </c>
      <c r="AR39" s="709">
        <v>0</v>
      </c>
      <c r="AS39" s="709">
        <v>0</v>
      </c>
      <c r="AT39" s="709">
        <v>0</v>
      </c>
      <c r="AU39" s="709">
        <v>0</v>
      </c>
      <c r="AV39" s="709">
        <v>0</v>
      </c>
      <c r="AW39" s="709">
        <v>0</v>
      </c>
      <c r="AX39" s="709">
        <v>0</v>
      </c>
    </row>
    <row r="40" spans="2:50" ht="13.2" outlineLevel="2" x14ac:dyDescent="0.2">
      <c r="B40" s="290" t="str">
        <f>CHIFFRAGE_TC!B41</f>
        <v>Cabeza de poste (patibulo + pendulos y equipamientos)</v>
      </c>
      <c r="C40" s="16">
        <f>CHIFFRAGE_TC!D41</f>
        <v>40</v>
      </c>
      <c r="E40" s="712">
        <f>CHIFFRAGE_TC!$L41*CHIFFRAGE_TC!$T41</f>
        <v>0</v>
      </c>
      <c r="F40" s="715">
        <f>CHIFFRAGE_TC!$L41*CHIFFRAGE_TC!$U41</f>
        <v>760002.62374698697</v>
      </c>
      <c r="G40" s="715">
        <f>CHIFFRAGE_TC!$L41*CHIFFRAGE_TC!$V41</f>
        <v>2280007.8712409609</v>
      </c>
      <c r="H40" s="716">
        <f>CHIFFRAGE_TC!$L41*CHIFFRAGE_TC!$W41</f>
        <v>760002.62374698697</v>
      </c>
      <c r="I40" s="709">
        <v>0</v>
      </c>
      <c r="J40" s="709">
        <v>0</v>
      </c>
      <c r="K40" s="709">
        <v>0</v>
      </c>
      <c r="L40" s="709">
        <v>0</v>
      </c>
      <c r="M40" s="709">
        <v>0</v>
      </c>
      <c r="N40" s="709">
        <v>0</v>
      </c>
      <c r="O40" s="709">
        <v>0</v>
      </c>
      <c r="P40" s="709">
        <v>0</v>
      </c>
      <c r="Q40" s="709">
        <v>0</v>
      </c>
      <c r="R40" s="709">
        <v>0</v>
      </c>
      <c r="S40" s="709">
        <v>0</v>
      </c>
      <c r="T40" s="709">
        <v>0</v>
      </c>
      <c r="U40" s="709">
        <v>0</v>
      </c>
      <c r="V40" s="709">
        <v>0</v>
      </c>
      <c r="W40" s="709">
        <v>0</v>
      </c>
      <c r="X40" s="709">
        <v>0</v>
      </c>
      <c r="Y40" s="709">
        <v>0</v>
      </c>
      <c r="Z40" s="709">
        <v>0</v>
      </c>
      <c r="AA40" s="709">
        <v>0</v>
      </c>
      <c r="AB40" s="709">
        <v>0</v>
      </c>
      <c r="AC40" s="709">
        <v>0</v>
      </c>
      <c r="AD40" s="709">
        <v>0</v>
      </c>
      <c r="AE40" s="709">
        <v>0</v>
      </c>
      <c r="AF40" s="709">
        <v>0</v>
      </c>
      <c r="AG40" s="709">
        <v>0</v>
      </c>
      <c r="AH40" s="709">
        <v>0</v>
      </c>
      <c r="AI40" s="709">
        <v>0</v>
      </c>
      <c r="AJ40" s="709">
        <v>0</v>
      </c>
      <c r="AK40" s="709">
        <v>0</v>
      </c>
      <c r="AL40" s="709">
        <v>0</v>
      </c>
      <c r="AM40" s="709">
        <v>0</v>
      </c>
      <c r="AN40" s="709">
        <v>0</v>
      </c>
      <c r="AO40" s="709">
        <v>0</v>
      </c>
      <c r="AP40" s="709">
        <v>0</v>
      </c>
      <c r="AQ40" s="709">
        <v>0</v>
      </c>
      <c r="AR40" s="709">
        <v>0</v>
      </c>
      <c r="AS40" s="709">
        <v>0</v>
      </c>
      <c r="AT40" s="709">
        <v>0</v>
      </c>
      <c r="AU40" s="709">
        <v>0</v>
      </c>
      <c r="AV40" s="709">
        <v>0</v>
      </c>
      <c r="AW40" s="709">
        <v>0</v>
      </c>
      <c r="AX40" s="709">
        <v>0</v>
      </c>
    </row>
    <row r="41" spans="2:50" ht="13.2" outlineLevel="2" x14ac:dyDescent="0.2">
      <c r="B41" s="290" t="str">
        <f>CHIFFRAGE_TC!B42</f>
        <v>Postes y fundaciones</v>
      </c>
      <c r="C41" s="16">
        <f>CHIFFRAGE_TC!D42</f>
        <v>50</v>
      </c>
      <c r="E41" s="712">
        <f>CHIFFRAGE_TC!$L42*CHIFFRAGE_TC!$T42</f>
        <v>0</v>
      </c>
      <c r="F41" s="715">
        <f>CHIFFRAGE_TC!$L42*CHIFFRAGE_TC!$U42</f>
        <v>760000.21813425003</v>
      </c>
      <c r="G41" s="715">
        <f>CHIFFRAGE_TC!$L42*CHIFFRAGE_TC!$V42</f>
        <v>2280000.6544027496</v>
      </c>
      <c r="H41" s="716">
        <f>CHIFFRAGE_TC!$L42*CHIFFRAGE_TC!$W42</f>
        <v>760000.21813425003</v>
      </c>
      <c r="I41" s="709">
        <v>0</v>
      </c>
      <c r="J41" s="709">
        <v>0</v>
      </c>
      <c r="K41" s="709">
        <v>0</v>
      </c>
      <c r="L41" s="709">
        <v>0</v>
      </c>
      <c r="M41" s="709">
        <v>0</v>
      </c>
      <c r="N41" s="709">
        <v>0</v>
      </c>
      <c r="O41" s="709">
        <v>0</v>
      </c>
      <c r="P41" s="709">
        <v>0</v>
      </c>
      <c r="Q41" s="709">
        <v>0</v>
      </c>
      <c r="R41" s="709">
        <v>0</v>
      </c>
      <c r="S41" s="709">
        <v>0</v>
      </c>
      <c r="T41" s="709">
        <v>0</v>
      </c>
      <c r="U41" s="709">
        <v>0</v>
      </c>
      <c r="V41" s="709">
        <v>0</v>
      </c>
      <c r="W41" s="709">
        <v>0</v>
      </c>
      <c r="X41" s="709">
        <v>0</v>
      </c>
      <c r="Y41" s="709">
        <v>0</v>
      </c>
      <c r="Z41" s="709">
        <v>0</v>
      </c>
      <c r="AA41" s="709">
        <v>0</v>
      </c>
      <c r="AB41" s="709">
        <v>0</v>
      </c>
      <c r="AC41" s="709">
        <v>0</v>
      </c>
      <c r="AD41" s="709">
        <v>0</v>
      </c>
      <c r="AE41" s="709">
        <v>0</v>
      </c>
      <c r="AF41" s="709">
        <v>0</v>
      </c>
      <c r="AG41" s="709">
        <v>0</v>
      </c>
      <c r="AH41" s="709">
        <v>0</v>
      </c>
      <c r="AI41" s="709">
        <v>0</v>
      </c>
      <c r="AJ41" s="709">
        <v>0</v>
      </c>
      <c r="AK41" s="709">
        <v>0</v>
      </c>
      <c r="AL41" s="709">
        <v>0</v>
      </c>
      <c r="AM41" s="709">
        <v>0</v>
      </c>
      <c r="AN41" s="709">
        <v>0</v>
      </c>
      <c r="AO41" s="709">
        <v>0</v>
      </c>
      <c r="AP41" s="709">
        <v>0</v>
      </c>
      <c r="AQ41" s="709">
        <v>0</v>
      </c>
      <c r="AR41" s="709">
        <v>0</v>
      </c>
      <c r="AS41" s="709">
        <v>0</v>
      </c>
      <c r="AT41" s="709">
        <v>0</v>
      </c>
      <c r="AU41" s="709">
        <v>0</v>
      </c>
      <c r="AV41" s="709">
        <v>0</v>
      </c>
      <c r="AW41" s="709">
        <v>0</v>
      </c>
      <c r="AX41" s="709">
        <v>0</v>
      </c>
    </row>
    <row r="42" spans="2:50" ht="13.2" outlineLevel="2" x14ac:dyDescent="0.2">
      <c r="B42" s="289" t="str">
        <f>CHIFFRAGE_TC!B43</f>
        <v>Sobrecostos para fundaciones con pilotes</v>
      </c>
      <c r="C42" s="16">
        <f>CHIFFRAGE_TC!D43</f>
        <v>50</v>
      </c>
      <c r="E42" s="712">
        <f>CHIFFRAGE_TC!$L43*CHIFFRAGE_TC!$T43</f>
        <v>0</v>
      </c>
      <c r="F42" s="715">
        <f>CHIFFRAGE_TC!$L43*CHIFFRAGE_TC!$U43</f>
        <v>1224000</v>
      </c>
      <c r="G42" s="715">
        <f>CHIFFRAGE_TC!$L43*CHIFFRAGE_TC!$V43</f>
        <v>3672000</v>
      </c>
      <c r="H42" s="716">
        <f>CHIFFRAGE_TC!$L43*CHIFFRAGE_TC!$W43</f>
        <v>1224000</v>
      </c>
      <c r="I42" s="709">
        <v>0</v>
      </c>
      <c r="J42" s="709">
        <v>0</v>
      </c>
      <c r="K42" s="709">
        <v>0</v>
      </c>
      <c r="L42" s="709">
        <v>0</v>
      </c>
      <c r="M42" s="709">
        <v>0</v>
      </c>
      <c r="N42" s="709">
        <v>0</v>
      </c>
      <c r="O42" s="709">
        <v>0</v>
      </c>
      <c r="P42" s="709">
        <v>0</v>
      </c>
      <c r="Q42" s="709">
        <v>0</v>
      </c>
      <c r="R42" s="709">
        <v>0</v>
      </c>
      <c r="S42" s="709">
        <v>0</v>
      </c>
      <c r="T42" s="709">
        <v>0</v>
      </c>
      <c r="U42" s="709">
        <v>0</v>
      </c>
      <c r="V42" s="709">
        <v>0</v>
      </c>
      <c r="W42" s="709">
        <v>0</v>
      </c>
      <c r="X42" s="709">
        <v>0</v>
      </c>
      <c r="Y42" s="709">
        <v>0</v>
      </c>
      <c r="Z42" s="709">
        <v>0</v>
      </c>
      <c r="AA42" s="709">
        <v>0</v>
      </c>
      <c r="AB42" s="709">
        <v>0</v>
      </c>
      <c r="AC42" s="709">
        <v>0</v>
      </c>
      <c r="AD42" s="709">
        <v>0</v>
      </c>
      <c r="AE42" s="709">
        <v>0</v>
      </c>
      <c r="AF42" s="709">
        <v>0</v>
      </c>
      <c r="AG42" s="709">
        <v>0</v>
      </c>
      <c r="AH42" s="709">
        <v>0</v>
      </c>
      <c r="AI42" s="709">
        <v>0</v>
      </c>
      <c r="AJ42" s="709">
        <v>0</v>
      </c>
      <c r="AK42" s="709">
        <v>0</v>
      </c>
      <c r="AL42" s="709">
        <v>0</v>
      </c>
      <c r="AM42" s="709">
        <v>0</v>
      </c>
      <c r="AN42" s="709">
        <v>0</v>
      </c>
      <c r="AO42" s="709">
        <v>0</v>
      </c>
      <c r="AP42" s="709">
        <v>0</v>
      </c>
      <c r="AQ42" s="709">
        <v>0</v>
      </c>
      <c r="AR42" s="709">
        <v>0</v>
      </c>
      <c r="AS42" s="709">
        <v>0</v>
      </c>
      <c r="AT42" s="709">
        <v>0</v>
      </c>
      <c r="AU42" s="709">
        <v>0</v>
      </c>
      <c r="AV42" s="709">
        <v>0</v>
      </c>
      <c r="AW42" s="709">
        <v>0</v>
      </c>
      <c r="AX42" s="709">
        <v>0</v>
      </c>
    </row>
    <row r="43" spans="2:50" ht="13.8" thickBot="1" x14ac:dyDescent="0.25">
      <c r="B43" s="290"/>
      <c r="C43" s="16"/>
      <c r="E43" s="712"/>
      <c r="F43" s="715"/>
      <c r="G43" s="715"/>
      <c r="H43" s="716"/>
      <c r="I43" s="696"/>
      <c r="AO43" s="16"/>
      <c r="AP43" s="16"/>
      <c r="AQ43" s="16"/>
      <c r="AR43" s="16"/>
      <c r="AS43" s="16"/>
      <c r="AT43" s="16"/>
      <c r="AU43" s="16"/>
      <c r="AV43" s="16"/>
      <c r="AW43" s="16"/>
      <c r="AX43" s="16"/>
    </row>
    <row r="44" spans="2:50" ht="16.2" thickBot="1" x14ac:dyDescent="0.25">
      <c r="B44" s="288" t="str">
        <f>CHIFFRAGE_TC!B45</f>
        <v>Obras de via y reubicacion de redes</v>
      </c>
      <c r="C44" s="16"/>
      <c r="D44" s="725">
        <f>CHIFFRAGE_TC!J45</f>
        <v>0.25</v>
      </c>
      <c r="E44" s="209">
        <f>SUM(E45:E50)</f>
        <v>0</v>
      </c>
      <c r="F44" s="196">
        <f t="shared" ref="F44:AN44" si="15">SUM(F45:F50)</f>
        <v>837660.63502099994</v>
      </c>
      <c r="G44" s="196">
        <f t="shared" si="15"/>
        <v>458755.45711224986</v>
      </c>
      <c r="H44" s="197">
        <f t="shared" si="15"/>
        <v>0</v>
      </c>
      <c r="I44" s="698">
        <f t="shared" si="15"/>
        <v>0</v>
      </c>
      <c r="J44" s="699">
        <f t="shared" si="15"/>
        <v>0</v>
      </c>
      <c r="K44" s="699">
        <f t="shared" si="15"/>
        <v>0</v>
      </c>
      <c r="L44" s="699">
        <f t="shared" si="15"/>
        <v>0</v>
      </c>
      <c r="M44" s="699">
        <f t="shared" si="15"/>
        <v>0</v>
      </c>
      <c r="N44" s="699">
        <f t="shared" si="15"/>
        <v>0</v>
      </c>
      <c r="O44" s="699">
        <f t="shared" si="15"/>
        <v>0</v>
      </c>
      <c r="P44" s="699">
        <f t="shared" si="15"/>
        <v>0</v>
      </c>
      <c r="Q44" s="699">
        <f t="shared" si="15"/>
        <v>0</v>
      </c>
      <c r="R44" s="699">
        <f t="shared" si="15"/>
        <v>0</v>
      </c>
      <c r="S44" s="699">
        <f t="shared" si="15"/>
        <v>0</v>
      </c>
      <c r="T44" s="699">
        <f t="shared" si="15"/>
        <v>0</v>
      </c>
      <c r="U44" s="699">
        <f t="shared" si="15"/>
        <v>0</v>
      </c>
      <c r="V44" s="699">
        <f t="shared" si="15"/>
        <v>0</v>
      </c>
      <c r="W44" s="699">
        <f t="shared" si="15"/>
        <v>0</v>
      </c>
      <c r="X44" s="699">
        <f t="shared" si="15"/>
        <v>0</v>
      </c>
      <c r="Y44" s="699">
        <f t="shared" si="15"/>
        <v>0</v>
      </c>
      <c r="Z44" s="699">
        <f t="shared" si="15"/>
        <v>0</v>
      </c>
      <c r="AA44" s="699">
        <f t="shared" si="15"/>
        <v>0</v>
      </c>
      <c r="AB44" s="699">
        <f t="shared" si="15"/>
        <v>0</v>
      </c>
      <c r="AC44" s="699">
        <f t="shared" si="15"/>
        <v>0</v>
      </c>
      <c r="AD44" s="699">
        <f t="shared" si="15"/>
        <v>0</v>
      </c>
      <c r="AE44" s="699">
        <f t="shared" si="15"/>
        <v>0</v>
      </c>
      <c r="AF44" s="699">
        <f t="shared" si="15"/>
        <v>0</v>
      </c>
      <c r="AG44" s="699">
        <f t="shared" si="15"/>
        <v>0</v>
      </c>
      <c r="AH44" s="699">
        <f t="shared" si="15"/>
        <v>0</v>
      </c>
      <c r="AI44" s="699">
        <f t="shared" si="15"/>
        <v>0</v>
      </c>
      <c r="AJ44" s="699">
        <f t="shared" si="15"/>
        <v>0</v>
      </c>
      <c r="AK44" s="699">
        <f t="shared" si="15"/>
        <v>0</v>
      </c>
      <c r="AL44" s="699">
        <f t="shared" si="15"/>
        <v>0</v>
      </c>
      <c r="AM44" s="699">
        <f t="shared" si="15"/>
        <v>0</v>
      </c>
      <c r="AN44" s="700">
        <f t="shared" si="15"/>
        <v>0</v>
      </c>
      <c r="AO44" s="700">
        <f t="shared" ref="AO44:AX44" si="16">SUM(AO45:AO50)</f>
        <v>0</v>
      </c>
      <c r="AP44" s="700">
        <f t="shared" si="16"/>
        <v>0</v>
      </c>
      <c r="AQ44" s="700">
        <f t="shared" si="16"/>
        <v>0</v>
      </c>
      <c r="AR44" s="700">
        <f t="shared" si="16"/>
        <v>0</v>
      </c>
      <c r="AS44" s="700">
        <f t="shared" si="16"/>
        <v>0</v>
      </c>
      <c r="AT44" s="700">
        <f t="shared" si="16"/>
        <v>0</v>
      </c>
      <c r="AU44" s="700">
        <f t="shared" si="16"/>
        <v>0</v>
      </c>
      <c r="AV44" s="700">
        <f t="shared" si="16"/>
        <v>0</v>
      </c>
      <c r="AW44" s="700">
        <f t="shared" si="16"/>
        <v>0</v>
      </c>
      <c r="AX44" s="700">
        <f t="shared" si="16"/>
        <v>0</v>
      </c>
    </row>
    <row r="45" spans="2:50" ht="13.2" x14ac:dyDescent="0.2">
      <c r="B45" s="291" t="str">
        <f>CHIFFRAGE_TC!B46</f>
        <v>Obras de via</v>
      </c>
      <c r="C45" s="16">
        <f>CHIFFRAGE_TC!D46</f>
        <v>50</v>
      </c>
      <c r="E45" s="712">
        <f>CHIFFRAGE_TC!$L46*CHIFFRAGE_TC!$T46</f>
        <v>0</v>
      </c>
      <c r="F45" s="715">
        <f>CHIFFRAGE_TC!$L46*CHIFFRAGE_TC!$U46</f>
        <v>339138.59329349984</v>
      </c>
      <c r="G45" s="715">
        <f>CHIFFRAGE_TC!$L46*CHIFFRAGE_TC!$V46</f>
        <v>339138.59329349984</v>
      </c>
      <c r="H45" s="716">
        <f>CHIFFRAGE_TC!$L46*CHIFFRAGE_TC!$W46</f>
        <v>0</v>
      </c>
      <c r="I45" s="709">
        <v>0</v>
      </c>
      <c r="J45" s="709">
        <v>0</v>
      </c>
      <c r="K45" s="709">
        <v>0</v>
      </c>
      <c r="L45" s="709">
        <v>0</v>
      </c>
      <c r="M45" s="709">
        <v>0</v>
      </c>
      <c r="N45" s="709">
        <v>0</v>
      </c>
      <c r="O45" s="709">
        <v>0</v>
      </c>
      <c r="P45" s="709">
        <v>0</v>
      </c>
      <c r="Q45" s="709">
        <v>0</v>
      </c>
      <c r="R45" s="709">
        <v>0</v>
      </c>
      <c r="S45" s="709">
        <v>0</v>
      </c>
      <c r="T45" s="709">
        <v>0</v>
      </c>
      <c r="U45" s="709">
        <v>0</v>
      </c>
      <c r="V45" s="709">
        <v>0</v>
      </c>
      <c r="W45" s="709">
        <v>0</v>
      </c>
      <c r="X45" s="709">
        <v>0</v>
      </c>
      <c r="Y45" s="709">
        <v>0</v>
      </c>
      <c r="Z45" s="709">
        <v>0</v>
      </c>
      <c r="AA45" s="709">
        <v>0</v>
      </c>
      <c r="AB45" s="709">
        <v>0</v>
      </c>
      <c r="AC45" s="709">
        <v>0</v>
      </c>
      <c r="AD45" s="709">
        <v>0</v>
      </c>
      <c r="AE45" s="709">
        <v>0</v>
      </c>
      <c r="AF45" s="709">
        <v>0</v>
      </c>
      <c r="AG45" s="709">
        <v>0</v>
      </c>
      <c r="AH45" s="709">
        <v>0</v>
      </c>
      <c r="AI45" s="709">
        <v>0</v>
      </c>
      <c r="AJ45" s="709">
        <v>0</v>
      </c>
      <c r="AK45" s="709">
        <v>0</v>
      </c>
      <c r="AL45" s="709">
        <v>0</v>
      </c>
      <c r="AM45" s="709">
        <v>0</v>
      </c>
      <c r="AN45" s="709">
        <v>0</v>
      </c>
      <c r="AO45" s="709">
        <v>0</v>
      </c>
      <c r="AP45" s="709">
        <v>0</v>
      </c>
      <c r="AQ45" s="709">
        <v>0</v>
      </c>
      <c r="AR45" s="709">
        <v>0</v>
      </c>
      <c r="AS45" s="709">
        <v>0</v>
      </c>
      <c r="AT45" s="709">
        <v>0</v>
      </c>
      <c r="AU45" s="709">
        <v>0</v>
      </c>
      <c r="AV45" s="709">
        <v>0</v>
      </c>
      <c r="AW45" s="709">
        <v>0</v>
      </c>
      <c r="AX45" s="709">
        <v>0</v>
      </c>
    </row>
    <row r="46" spans="2:50" ht="13.2" x14ac:dyDescent="0.2">
      <c r="B46" s="290" t="str">
        <f>CHIFFRAGE_TC!B47</f>
        <v>Redes aereas de alta tension</v>
      </c>
      <c r="C46" s="16">
        <f>CHIFFRAGE_TC!D47</f>
        <v>50</v>
      </c>
      <c r="E46" s="712">
        <f>CHIFFRAGE_TC!$L47*CHIFFRAGE_TC!$T47</f>
        <v>0</v>
      </c>
      <c r="F46" s="715">
        <f>CHIFFRAGE_TC!$L47*CHIFFRAGE_TC!$U47</f>
        <v>0</v>
      </c>
      <c r="G46" s="715">
        <f>CHIFFRAGE_TC!$L47*CHIFFRAGE_TC!$V47</f>
        <v>0</v>
      </c>
      <c r="H46" s="716">
        <f>CHIFFRAGE_TC!$L47*CHIFFRAGE_TC!$W47</f>
        <v>0</v>
      </c>
      <c r="I46" s="709">
        <v>0</v>
      </c>
      <c r="J46" s="709">
        <v>0</v>
      </c>
      <c r="K46" s="709">
        <v>0</v>
      </c>
      <c r="L46" s="709">
        <v>0</v>
      </c>
      <c r="M46" s="709">
        <v>0</v>
      </c>
      <c r="N46" s="709">
        <v>0</v>
      </c>
      <c r="O46" s="709">
        <v>0</v>
      </c>
      <c r="P46" s="709">
        <v>0</v>
      </c>
      <c r="Q46" s="709">
        <v>0</v>
      </c>
      <c r="R46" s="709">
        <v>0</v>
      </c>
      <c r="S46" s="709">
        <v>0</v>
      </c>
      <c r="T46" s="709">
        <v>0</v>
      </c>
      <c r="U46" s="709">
        <v>0</v>
      </c>
      <c r="V46" s="709">
        <v>0</v>
      </c>
      <c r="W46" s="709">
        <v>0</v>
      </c>
      <c r="X46" s="709">
        <v>0</v>
      </c>
      <c r="Y46" s="709">
        <v>0</v>
      </c>
      <c r="Z46" s="709">
        <v>0</v>
      </c>
      <c r="AA46" s="709">
        <v>0</v>
      </c>
      <c r="AB46" s="709">
        <v>0</v>
      </c>
      <c r="AC46" s="709">
        <v>0</v>
      </c>
      <c r="AD46" s="709">
        <v>0</v>
      </c>
      <c r="AE46" s="709">
        <v>0</v>
      </c>
      <c r="AF46" s="709">
        <v>0</v>
      </c>
      <c r="AG46" s="709">
        <v>0</v>
      </c>
      <c r="AH46" s="709">
        <v>0</v>
      </c>
      <c r="AI46" s="709">
        <v>0</v>
      </c>
      <c r="AJ46" s="709">
        <v>0</v>
      </c>
      <c r="AK46" s="709">
        <v>0</v>
      </c>
      <c r="AL46" s="709">
        <v>0</v>
      </c>
      <c r="AM46" s="709">
        <v>0</v>
      </c>
      <c r="AN46" s="709">
        <v>0</v>
      </c>
      <c r="AO46" s="709">
        <v>0</v>
      </c>
      <c r="AP46" s="709">
        <v>0</v>
      </c>
      <c r="AQ46" s="709">
        <v>0</v>
      </c>
      <c r="AR46" s="709">
        <v>0</v>
      </c>
      <c r="AS46" s="709">
        <v>0</v>
      </c>
      <c r="AT46" s="709">
        <v>0</v>
      </c>
      <c r="AU46" s="709">
        <v>0</v>
      </c>
      <c r="AV46" s="709">
        <v>0</v>
      </c>
      <c r="AW46" s="709">
        <v>0</v>
      </c>
      <c r="AX46" s="709">
        <v>0</v>
      </c>
    </row>
    <row r="47" spans="2:50" ht="13.2" x14ac:dyDescent="0.2">
      <c r="B47" s="290" t="str">
        <f>CHIFFRAGE_TC!B48</f>
        <v>Redes aereas</v>
      </c>
      <c r="C47" s="16">
        <f>CHIFFRAGE_TC!D48</f>
        <v>50</v>
      </c>
      <c r="E47" s="712">
        <f>CHIFFRAGE_TC!$L48*CHIFFRAGE_TC!$T48</f>
        <v>0</v>
      </c>
      <c r="F47" s="715">
        <f>CHIFFRAGE_TC!$L48*CHIFFRAGE_TC!$U48</f>
        <v>225180.00000000003</v>
      </c>
      <c r="G47" s="715">
        <f>CHIFFRAGE_TC!$L48*CHIFFRAGE_TC!$V48</f>
        <v>0</v>
      </c>
      <c r="H47" s="716">
        <f>CHIFFRAGE_TC!$L48*CHIFFRAGE_TC!$W48</f>
        <v>0</v>
      </c>
      <c r="I47" s="709">
        <v>0</v>
      </c>
      <c r="J47" s="709">
        <v>0</v>
      </c>
      <c r="K47" s="709">
        <v>0</v>
      </c>
      <c r="L47" s="709">
        <v>0</v>
      </c>
      <c r="M47" s="709">
        <v>0</v>
      </c>
      <c r="N47" s="709">
        <v>0</v>
      </c>
      <c r="O47" s="709">
        <v>0</v>
      </c>
      <c r="P47" s="709">
        <v>0</v>
      </c>
      <c r="Q47" s="709">
        <v>0</v>
      </c>
      <c r="R47" s="709">
        <v>0</v>
      </c>
      <c r="S47" s="709">
        <v>0</v>
      </c>
      <c r="T47" s="709">
        <v>0</v>
      </c>
      <c r="U47" s="709">
        <v>0</v>
      </c>
      <c r="V47" s="709">
        <v>0</v>
      </c>
      <c r="W47" s="709">
        <v>0</v>
      </c>
      <c r="X47" s="709">
        <v>0</v>
      </c>
      <c r="Y47" s="709">
        <v>0</v>
      </c>
      <c r="Z47" s="709">
        <v>0</v>
      </c>
      <c r="AA47" s="709">
        <v>0</v>
      </c>
      <c r="AB47" s="709">
        <v>0</v>
      </c>
      <c r="AC47" s="709">
        <v>0</v>
      </c>
      <c r="AD47" s="709">
        <v>0</v>
      </c>
      <c r="AE47" s="709">
        <v>0</v>
      </c>
      <c r="AF47" s="709">
        <v>0</v>
      </c>
      <c r="AG47" s="709">
        <v>0</v>
      </c>
      <c r="AH47" s="709">
        <v>0</v>
      </c>
      <c r="AI47" s="709">
        <v>0</v>
      </c>
      <c r="AJ47" s="709">
        <v>0</v>
      </c>
      <c r="AK47" s="709">
        <v>0</v>
      </c>
      <c r="AL47" s="709">
        <v>0</v>
      </c>
      <c r="AM47" s="709">
        <v>0</v>
      </c>
      <c r="AN47" s="709">
        <v>0</v>
      </c>
      <c r="AO47" s="709">
        <v>0</v>
      </c>
      <c r="AP47" s="709">
        <v>0</v>
      </c>
      <c r="AQ47" s="709">
        <v>0</v>
      </c>
      <c r="AR47" s="709">
        <v>0</v>
      </c>
      <c r="AS47" s="709">
        <v>0</v>
      </c>
      <c r="AT47" s="709">
        <v>0</v>
      </c>
      <c r="AU47" s="709">
        <v>0</v>
      </c>
      <c r="AV47" s="709">
        <v>0</v>
      </c>
      <c r="AW47" s="709">
        <v>0</v>
      </c>
      <c r="AX47" s="709">
        <v>0</v>
      </c>
    </row>
    <row r="48" spans="2:50" ht="13.2" x14ac:dyDescent="0.2">
      <c r="B48" s="290" t="str">
        <f>CHIFFRAGE_TC!B49</f>
        <v>Desplazamiento de lamparas</v>
      </c>
      <c r="C48" s="16">
        <f>CHIFFRAGE_TC!D49</f>
        <v>50</v>
      </c>
      <c r="E48" s="712">
        <f>CHIFFRAGE_TC!$L49*CHIFFRAGE_TC!$T49</f>
        <v>0</v>
      </c>
      <c r="F48" s="715">
        <f>CHIFFRAGE_TC!$L49*CHIFFRAGE_TC!$U49</f>
        <v>153725.17790874996</v>
      </c>
      <c r="G48" s="715">
        <f>CHIFFRAGE_TC!$L49*CHIFFRAGE_TC!$V49</f>
        <v>0</v>
      </c>
      <c r="H48" s="716">
        <f>CHIFFRAGE_TC!$L49*CHIFFRAGE_TC!$W49</f>
        <v>0</v>
      </c>
      <c r="I48" s="709">
        <v>0</v>
      </c>
      <c r="J48" s="709">
        <v>0</v>
      </c>
      <c r="K48" s="709">
        <v>0</v>
      </c>
      <c r="L48" s="709">
        <v>0</v>
      </c>
      <c r="M48" s="709">
        <v>0</v>
      </c>
      <c r="N48" s="709">
        <v>0</v>
      </c>
      <c r="O48" s="709">
        <v>0</v>
      </c>
      <c r="P48" s="709">
        <v>0</v>
      </c>
      <c r="Q48" s="709">
        <v>0</v>
      </c>
      <c r="R48" s="709">
        <v>0</v>
      </c>
      <c r="S48" s="709">
        <v>0</v>
      </c>
      <c r="T48" s="709">
        <v>0</v>
      </c>
      <c r="U48" s="709">
        <v>0</v>
      </c>
      <c r="V48" s="709">
        <v>0</v>
      </c>
      <c r="W48" s="709">
        <v>0</v>
      </c>
      <c r="X48" s="709">
        <v>0</v>
      </c>
      <c r="Y48" s="709">
        <v>0</v>
      </c>
      <c r="Z48" s="709">
        <v>0</v>
      </c>
      <c r="AA48" s="709">
        <v>0</v>
      </c>
      <c r="AB48" s="709">
        <v>0</v>
      </c>
      <c r="AC48" s="709">
        <v>0</v>
      </c>
      <c r="AD48" s="709">
        <v>0</v>
      </c>
      <c r="AE48" s="709">
        <v>0</v>
      </c>
      <c r="AF48" s="709">
        <v>0</v>
      </c>
      <c r="AG48" s="709">
        <v>0</v>
      </c>
      <c r="AH48" s="709">
        <v>0</v>
      </c>
      <c r="AI48" s="709">
        <v>0</v>
      </c>
      <c r="AJ48" s="709">
        <v>0</v>
      </c>
      <c r="AK48" s="709">
        <v>0</v>
      </c>
      <c r="AL48" s="709">
        <v>0</v>
      </c>
      <c r="AM48" s="709">
        <v>0</v>
      </c>
      <c r="AN48" s="709">
        <v>0</v>
      </c>
      <c r="AO48" s="709">
        <v>0</v>
      </c>
      <c r="AP48" s="709">
        <v>0</v>
      </c>
      <c r="AQ48" s="709">
        <v>0</v>
      </c>
      <c r="AR48" s="709">
        <v>0</v>
      </c>
      <c r="AS48" s="709">
        <v>0</v>
      </c>
      <c r="AT48" s="709">
        <v>0</v>
      </c>
      <c r="AU48" s="709">
        <v>0</v>
      </c>
      <c r="AV48" s="709">
        <v>0</v>
      </c>
      <c r="AW48" s="709">
        <v>0</v>
      </c>
      <c r="AX48" s="709">
        <v>0</v>
      </c>
    </row>
    <row r="49" spans="1:50" ht="13.2" x14ac:dyDescent="0.2">
      <c r="B49" s="290" t="str">
        <f>CHIFFRAGE_TC!B50</f>
        <v>Redes subterraneas</v>
      </c>
      <c r="C49" s="16">
        <f>CHIFFRAGE_TC!D50</f>
        <v>50</v>
      </c>
      <c r="E49" s="712">
        <f>CHIFFRAGE_TC!$L50*CHIFFRAGE_TC!$T50</f>
        <v>0</v>
      </c>
      <c r="F49" s="715">
        <f>CHIFFRAGE_TC!$L50*CHIFFRAGE_TC!$U50</f>
        <v>88612.5</v>
      </c>
      <c r="G49" s="715">
        <f>CHIFFRAGE_TC!$L50*CHIFFRAGE_TC!$V50</f>
        <v>88612.5</v>
      </c>
      <c r="H49" s="716">
        <f>CHIFFRAGE_TC!$L50*CHIFFRAGE_TC!$W50</f>
        <v>0</v>
      </c>
      <c r="I49" s="709">
        <v>0</v>
      </c>
      <c r="J49" s="709">
        <v>0</v>
      </c>
      <c r="K49" s="709">
        <v>0</v>
      </c>
      <c r="L49" s="709">
        <v>0</v>
      </c>
      <c r="M49" s="709">
        <v>0</v>
      </c>
      <c r="N49" s="709">
        <v>0</v>
      </c>
      <c r="O49" s="709">
        <v>0</v>
      </c>
      <c r="P49" s="709">
        <v>0</v>
      </c>
      <c r="Q49" s="709">
        <v>0</v>
      </c>
      <c r="R49" s="709">
        <v>0</v>
      </c>
      <c r="S49" s="709">
        <v>0</v>
      </c>
      <c r="T49" s="709">
        <v>0</v>
      </c>
      <c r="U49" s="709">
        <v>0</v>
      </c>
      <c r="V49" s="709">
        <v>0</v>
      </c>
      <c r="W49" s="709">
        <v>0</v>
      </c>
      <c r="X49" s="709">
        <v>0</v>
      </c>
      <c r="Y49" s="709">
        <v>0</v>
      </c>
      <c r="Z49" s="709">
        <v>0</v>
      </c>
      <c r="AA49" s="709">
        <v>0</v>
      </c>
      <c r="AB49" s="709">
        <v>0</v>
      </c>
      <c r="AC49" s="709">
        <v>0</v>
      </c>
      <c r="AD49" s="709">
        <v>0</v>
      </c>
      <c r="AE49" s="709">
        <v>0</v>
      </c>
      <c r="AF49" s="709">
        <v>0</v>
      </c>
      <c r="AG49" s="709">
        <v>0</v>
      </c>
      <c r="AH49" s="709">
        <v>0</v>
      </c>
      <c r="AI49" s="709">
        <v>0</v>
      </c>
      <c r="AJ49" s="709">
        <v>0</v>
      </c>
      <c r="AK49" s="709">
        <v>0</v>
      </c>
      <c r="AL49" s="709">
        <v>0</v>
      </c>
      <c r="AM49" s="709">
        <v>0</v>
      </c>
      <c r="AN49" s="709">
        <v>0</v>
      </c>
      <c r="AO49" s="709">
        <v>0</v>
      </c>
      <c r="AP49" s="709">
        <v>0</v>
      </c>
      <c r="AQ49" s="709">
        <v>0</v>
      </c>
      <c r="AR49" s="709">
        <v>0</v>
      </c>
      <c r="AS49" s="709">
        <v>0</v>
      </c>
      <c r="AT49" s="709">
        <v>0</v>
      </c>
      <c r="AU49" s="709">
        <v>0</v>
      </c>
      <c r="AV49" s="709">
        <v>0</v>
      </c>
      <c r="AW49" s="709">
        <v>0</v>
      </c>
      <c r="AX49" s="709">
        <v>0</v>
      </c>
    </row>
    <row r="50" spans="1:50" ht="13.2" x14ac:dyDescent="0.2">
      <c r="B50" s="289" t="str">
        <f>CHIFFRAGE_TC!B51</f>
        <v>Mantenimiento de transito</v>
      </c>
      <c r="C50" s="16">
        <f>CHIFFRAGE_TC!D51</f>
        <v>50</v>
      </c>
      <c r="E50" s="712">
        <f>CHIFFRAGE_TC!$L51*CHIFFRAGE_TC!$T51</f>
        <v>0</v>
      </c>
      <c r="F50" s="715">
        <f>CHIFFRAGE_TC!$L51*CHIFFRAGE_TC!$U51</f>
        <v>31004.363818749993</v>
      </c>
      <c r="G50" s="715">
        <f>CHIFFRAGE_TC!$L51*CHIFFRAGE_TC!$V51</f>
        <v>31004.363818749993</v>
      </c>
      <c r="H50" s="716">
        <f>CHIFFRAGE_TC!$L51*CHIFFRAGE_TC!$W51</f>
        <v>0</v>
      </c>
      <c r="I50" s="709">
        <v>0</v>
      </c>
      <c r="J50" s="709">
        <v>0</v>
      </c>
      <c r="K50" s="709">
        <v>0</v>
      </c>
      <c r="L50" s="709">
        <v>0</v>
      </c>
      <c r="M50" s="709">
        <v>0</v>
      </c>
      <c r="N50" s="709">
        <v>0</v>
      </c>
      <c r="O50" s="709">
        <v>0</v>
      </c>
      <c r="P50" s="709">
        <v>0</v>
      </c>
      <c r="Q50" s="709">
        <v>0</v>
      </c>
      <c r="R50" s="709">
        <v>0</v>
      </c>
      <c r="S50" s="709">
        <v>0</v>
      </c>
      <c r="T50" s="709">
        <v>0</v>
      </c>
      <c r="U50" s="709">
        <v>0</v>
      </c>
      <c r="V50" s="709">
        <v>0</v>
      </c>
      <c r="W50" s="709">
        <v>0</v>
      </c>
      <c r="X50" s="709">
        <v>0</v>
      </c>
      <c r="Y50" s="709">
        <v>0</v>
      </c>
      <c r="Z50" s="709">
        <v>0</v>
      </c>
      <c r="AA50" s="709">
        <v>0</v>
      </c>
      <c r="AB50" s="709">
        <v>0</v>
      </c>
      <c r="AC50" s="709">
        <v>0</v>
      </c>
      <c r="AD50" s="709">
        <v>0</v>
      </c>
      <c r="AE50" s="709">
        <v>0</v>
      </c>
      <c r="AF50" s="709">
        <v>0</v>
      </c>
      <c r="AG50" s="709">
        <v>0</v>
      </c>
      <c r="AH50" s="709">
        <v>0</v>
      </c>
      <c r="AI50" s="709">
        <v>0</v>
      </c>
      <c r="AJ50" s="709">
        <v>0</v>
      </c>
      <c r="AK50" s="709">
        <v>0</v>
      </c>
      <c r="AL50" s="709">
        <v>0</v>
      </c>
      <c r="AM50" s="709">
        <v>0</v>
      </c>
      <c r="AN50" s="709">
        <v>0</v>
      </c>
      <c r="AO50" s="709">
        <v>0</v>
      </c>
      <c r="AP50" s="709">
        <v>0</v>
      </c>
      <c r="AQ50" s="709">
        <v>0</v>
      </c>
      <c r="AR50" s="709">
        <v>0</v>
      </c>
      <c r="AS50" s="709">
        <v>0</v>
      </c>
      <c r="AT50" s="709">
        <v>0</v>
      </c>
      <c r="AU50" s="709">
        <v>0</v>
      </c>
      <c r="AV50" s="709">
        <v>0</v>
      </c>
      <c r="AW50" s="709">
        <v>0</v>
      </c>
      <c r="AX50" s="709">
        <v>0</v>
      </c>
    </row>
    <row r="51" spans="1:50" ht="13.8" thickBot="1" x14ac:dyDescent="0.25">
      <c r="B51" s="290"/>
      <c r="C51" s="16"/>
      <c r="E51" s="712"/>
      <c r="F51" s="715"/>
      <c r="G51" s="715"/>
      <c r="H51" s="716"/>
      <c r="I51" s="696"/>
      <c r="AO51" s="16"/>
      <c r="AP51" s="16"/>
      <c r="AQ51" s="16"/>
      <c r="AR51" s="16"/>
      <c r="AS51" s="16"/>
      <c r="AT51" s="16"/>
      <c r="AU51" s="16"/>
      <c r="AV51" s="16"/>
      <c r="AW51" s="16"/>
      <c r="AX51" s="16"/>
    </row>
    <row r="52" spans="1:50" ht="16.2" thickBot="1" x14ac:dyDescent="0.25">
      <c r="B52" s="288" t="str">
        <f>CHIFFRAGE_TC!B53</f>
        <v>Cabinas</v>
      </c>
      <c r="C52" s="16"/>
      <c r="D52" s="725">
        <f>CHIFFRAGE_TC!J53</f>
        <v>0.15</v>
      </c>
      <c r="E52" s="209">
        <f>SUM(E53:E54)</f>
        <v>0</v>
      </c>
      <c r="F52" s="196">
        <f t="shared" ref="F52:AN52" si="17">SUM(F53:F54)</f>
        <v>1610460.7487872904</v>
      </c>
      <c r="G52" s="196">
        <f t="shared" si="17"/>
        <v>4831382.2463618703</v>
      </c>
      <c r="H52" s="197">
        <f t="shared" si="17"/>
        <v>1610460.7487872904</v>
      </c>
      <c r="I52" s="698">
        <f t="shared" si="17"/>
        <v>0</v>
      </c>
      <c r="J52" s="699">
        <f t="shared" si="17"/>
        <v>0</v>
      </c>
      <c r="K52" s="699">
        <f t="shared" si="17"/>
        <v>0</v>
      </c>
      <c r="L52" s="699">
        <f t="shared" si="17"/>
        <v>0</v>
      </c>
      <c r="M52" s="699">
        <f t="shared" si="17"/>
        <v>0</v>
      </c>
      <c r="N52" s="699">
        <f t="shared" si="17"/>
        <v>0</v>
      </c>
      <c r="O52" s="699">
        <f t="shared" si="17"/>
        <v>0</v>
      </c>
      <c r="P52" s="699">
        <f t="shared" si="17"/>
        <v>0</v>
      </c>
      <c r="Q52" s="699">
        <f t="shared" si="17"/>
        <v>0</v>
      </c>
      <c r="R52" s="699">
        <f t="shared" si="17"/>
        <v>0</v>
      </c>
      <c r="S52" s="699">
        <f t="shared" si="17"/>
        <v>0</v>
      </c>
      <c r="T52" s="699">
        <f t="shared" si="17"/>
        <v>0</v>
      </c>
      <c r="U52" s="699">
        <f t="shared" si="17"/>
        <v>0</v>
      </c>
      <c r="V52" s="699">
        <f t="shared" si="17"/>
        <v>0</v>
      </c>
      <c r="W52" s="699">
        <f t="shared" si="17"/>
        <v>333911.2813190762</v>
      </c>
      <c r="X52" s="699">
        <f t="shared" si="17"/>
        <v>1001733.8439572286</v>
      </c>
      <c r="Y52" s="699">
        <f t="shared" si="17"/>
        <v>333911.2813190762</v>
      </c>
      <c r="Z52" s="699">
        <f t="shared" si="17"/>
        <v>0</v>
      </c>
      <c r="AA52" s="699">
        <f t="shared" si="17"/>
        <v>0</v>
      </c>
      <c r="AB52" s="699">
        <f t="shared" si="17"/>
        <v>0</v>
      </c>
      <c r="AC52" s="699">
        <f t="shared" si="17"/>
        <v>0</v>
      </c>
      <c r="AD52" s="699">
        <f t="shared" si="17"/>
        <v>0</v>
      </c>
      <c r="AE52" s="699">
        <f t="shared" si="17"/>
        <v>0</v>
      </c>
      <c r="AF52" s="699">
        <f t="shared" si="17"/>
        <v>0</v>
      </c>
      <c r="AG52" s="699">
        <f t="shared" si="17"/>
        <v>0</v>
      </c>
      <c r="AH52" s="699">
        <f t="shared" si="17"/>
        <v>0</v>
      </c>
      <c r="AI52" s="699">
        <f t="shared" si="17"/>
        <v>0</v>
      </c>
      <c r="AJ52" s="699">
        <f t="shared" si="17"/>
        <v>0</v>
      </c>
      <c r="AK52" s="699">
        <f t="shared" si="17"/>
        <v>0</v>
      </c>
      <c r="AL52" s="699">
        <f t="shared" si="17"/>
        <v>0</v>
      </c>
      <c r="AM52" s="699">
        <f t="shared" si="17"/>
        <v>0</v>
      </c>
      <c r="AN52" s="700">
        <f t="shared" si="17"/>
        <v>333911.2813190762</v>
      </c>
      <c r="AO52" s="700">
        <f t="shared" ref="AO52:AX52" si="18">SUM(AO53:AO54)</f>
        <v>1001733.8439572286</v>
      </c>
      <c r="AP52" s="700">
        <f t="shared" si="18"/>
        <v>333911.2813190762</v>
      </c>
      <c r="AQ52" s="700">
        <f t="shared" si="18"/>
        <v>0</v>
      </c>
      <c r="AR52" s="700">
        <f t="shared" si="18"/>
        <v>0</v>
      </c>
      <c r="AS52" s="700">
        <f t="shared" si="18"/>
        <v>0</v>
      </c>
      <c r="AT52" s="700">
        <f t="shared" si="18"/>
        <v>0</v>
      </c>
      <c r="AU52" s="700">
        <f t="shared" si="18"/>
        <v>0</v>
      </c>
      <c r="AV52" s="700">
        <f t="shared" si="18"/>
        <v>0</v>
      </c>
      <c r="AW52" s="700">
        <f t="shared" si="18"/>
        <v>0</v>
      </c>
      <c r="AX52" s="700">
        <f t="shared" si="18"/>
        <v>0</v>
      </c>
    </row>
    <row r="53" spans="1:50" ht="13.2" x14ac:dyDescent="0.2">
      <c r="B53" s="291" t="str">
        <f>CHIFFRAGE_TC!B54</f>
        <v>Cabinas y soportes</v>
      </c>
      <c r="C53" s="16">
        <f>CHIFFRAGE_TC!D54</f>
        <v>40</v>
      </c>
      <c r="E53" s="712">
        <f>CHIFFRAGE_TC!$L54*CHIFFRAGE_TC!$T54</f>
        <v>0</v>
      </c>
      <c r="F53" s="715">
        <f>CHIFFRAGE_TC!$L54*CHIFFRAGE_TC!$U54</f>
        <v>1276549.4674682142</v>
      </c>
      <c r="G53" s="715">
        <f>CHIFFRAGE_TC!$L54*CHIFFRAGE_TC!$V54</f>
        <v>3829648.4024046417</v>
      </c>
      <c r="H53" s="716">
        <f>CHIFFRAGE_TC!$L54*CHIFFRAGE_TC!$W54</f>
        <v>1276549.4674682142</v>
      </c>
      <c r="I53" s="709">
        <v>0</v>
      </c>
      <c r="J53" s="709">
        <v>0</v>
      </c>
      <c r="K53" s="709">
        <v>0</v>
      </c>
      <c r="L53" s="709">
        <v>0</v>
      </c>
      <c r="M53" s="709">
        <v>0</v>
      </c>
      <c r="N53" s="709">
        <v>0</v>
      </c>
      <c r="O53" s="709">
        <v>0</v>
      </c>
      <c r="P53" s="709">
        <v>0</v>
      </c>
      <c r="Q53" s="709">
        <v>0</v>
      </c>
      <c r="R53" s="709">
        <v>0</v>
      </c>
      <c r="S53" s="709">
        <v>0</v>
      </c>
      <c r="T53" s="709">
        <v>0</v>
      </c>
      <c r="U53" s="709">
        <v>0</v>
      </c>
      <c r="V53" s="709">
        <v>0</v>
      </c>
      <c r="W53" s="709">
        <v>0</v>
      </c>
      <c r="X53" s="709">
        <v>0</v>
      </c>
      <c r="Y53" s="709">
        <v>0</v>
      </c>
      <c r="Z53" s="709">
        <v>0</v>
      </c>
      <c r="AA53" s="709">
        <v>0</v>
      </c>
      <c r="AB53" s="709">
        <v>0</v>
      </c>
      <c r="AC53" s="709">
        <v>0</v>
      </c>
      <c r="AD53" s="709">
        <v>0</v>
      </c>
      <c r="AE53" s="709">
        <v>0</v>
      </c>
      <c r="AF53" s="709">
        <v>0</v>
      </c>
      <c r="AG53" s="709">
        <v>0</v>
      </c>
      <c r="AH53" s="709">
        <v>0</v>
      </c>
      <c r="AI53" s="709">
        <v>0</v>
      </c>
      <c r="AJ53" s="709">
        <v>0</v>
      </c>
      <c r="AK53" s="709">
        <v>0</v>
      </c>
      <c r="AL53" s="709">
        <v>0</v>
      </c>
      <c r="AM53" s="709">
        <v>0</v>
      </c>
      <c r="AN53" s="709">
        <v>0</v>
      </c>
      <c r="AO53" s="709">
        <v>0</v>
      </c>
      <c r="AP53" s="709">
        <v>0</v>
      </c>
      <c r="AQ53" s="709">
        <v>0</v>
      </c>
      <c r="AR53" s="709">
        <v>0</v>
      </c>
      <c r="AS53" s="709">
        <v>0</v>
      </c>
      <c r="AT53" s="709">
        <v>0</v>
      </c>
      <c r="AU53" s="709">
        <v>0</v>
      </c>
      <c r="AV53" s="709">
        <v>0</v>
      </c>
      <c r="AW53" s="709">
        <v>0</v>
      </c>
      <c r="AX53" s="709">
        <v>0</v>
      </c>
    </row>
    <row r="54" spans="1:50" ht="13.2" x14ac:dyDescent="0.2">
      <c r="B54" s="289" t="str">
        <f>CHIFFRAGE_TC!B55</f>
        <v>Equipamiento de conforte en las cabinas</v>
      </c>
      <c r="C54" s="16">
        <f>CHIFFRAGE_TC!D55</f>
        <v>15</v>
      </c>
      <c r="E54" s="712">
        <f>CHIFFRAGE_TC!$L55*CHIFFRAGE_TC!$T55</f>
        <v>0</v>
      </c>
      <c r="F54" s="715">
        <f>CHIFFRAGE_TC!$L55*CHIFFRAGE_TC!$U55</f>
        <v>333911.2813190762</v>
      </c>
      <c r="G54" s="715">
        <f>CHIFFRAGE_TC!$L55*CHIFFRAGE_TC!$V55</f>
        <v>1001733.8439572286</v>
      </c>
      <c r="H54" s="716">
        <f>CHIFFRAGE_TC!$L55*CHIFFRAGE_TC!$W55</f>
        <v>333911.2813190762</v>
      </c>
      <c r="I54" s="709">
        <v>0</v>
      </c>
      <c r="J54" s="709">
        <v>0</v>
      </c>
      <c r="K54" s="709">
        <v>0</v>
      </c>
      <c r="L54" s="709">
        <v>0</v>
      </c>
      <c r="M54" s="709">
        <v>0</v>
      </c>
      <c r="N54" s="709">
        <v>0</v>
      </c>
      <c r="O54" s="709">
        <v>0</v>
      </c>
      <c r="P54" s="709">
        <v>0</v>
      </c>
      <c r="Q54" s="709">
        <v>0</v>
      </c>
      <c r="R54" s="709">
        <v>0</v>
      </c>
      <c r="S54" s="709">
        <v>0</v>
      </c>
      <c r="T54" s="709">
        <v>0</v>
      </c>
      <c r="U54" s="709">
        <v>0</v>
      </c>
      <c r="V54" s="709">
        <v>0</v>
      </c>
      <c r="W54" s="729">
        <f>F54</f>
        <v>333911.2813190762</v>
      </c>
      <c r="X54" s="729">
        <f t="shared" ref="X54:Y54" si="19">G54</f>
        <v>1001733.8439572286</v>
      </c>
      <c r="Y54" s="729">
        <f t="shared" si="19"/>
        <v>333911.2813190762</v>
      </c>
      <c r="Z54" s="709">
        <v>0</v>
      </c>
      <c r="AA54" s="709">
        <v>0</v>
      </c>
      <c r="AB54" s="709">
        <v>0</v>
      </c>
      <c r="AC54" s="709">
        <v>0</v>
      </c>
      <c r="AD54" s="709">
        <v>0</v>
      </c>
      <c r="AE54" s="709">
        <v>0</v>
      </c>
      <c r="AF54" s="709">
        <v>0</v>
      </c>
      <c r="AG54" s="709">
        <v>0</v>
      </c>
      <c r="AH54" s="709">
        <v>0</v>
      </c>
      <c r="AI54" s="709">
        <v>0</v>
      </c>
      <c r="AJ54" s="709">
        <v>0</v>
      </c>
      <c r="AK54" s="709">
        <v>0</v>
      </c>
      <c r="AL54" s="709">
        <v>0</v>
      </c>
      <c r="AM54" s="709">
        <v>0</v>
      </c>
      <c r="AN54" s="729">
        <f>F54</f>
        <v>333911.2813190762</v>
      </c>
      <c r="AO54" s="729">
        <f t="shared" ref="AO54:AP54" si="20">G54</f>
        <v>1001733.8439572286</v>
      </c>
      <c r="AP54" s="729">
        <f t="shared" si="20"/>
        <v>333911.2813190762</v>
      </c>
      <c r="AQ54" s="709">
        <v>0</v>
      </c>
      <c r="AR54" s="709">
        <v>0</v>
      </c>
      <c r="AS54" s="709">
        <v>0</v>
      </c>
      <c r="AT54" s="709">
        <v>0</v>
      </c>
      <c r="AU54" s="709">
        <v>0</v>
      </c>
      <c r="AV54" s="709">
        <v>0</v>
      </c>
      <c r="AW54" s="709">
        <v>0</v>
      </c>
      <c r="AX54" s="709">
        <v>0</v>
      </c>
    </row>
    <row r="55" spans="1:50" ht="13.8" thickBot="1" x14ac:dyDescent="0.25">
      <c r="B55" s="290"/>
      <c r="C55" s="16"/>
      <c r="E55" s="712"/>
      <c r="F55" s="715"/>
      <c r="G55" s="715"/>
      <c r="H55" s="716"/>
      <c r="I55" s="696"/>
      <c r="AO55" s="16"/>
      <c r="AP55" s="16"/>
      <c r="AQ55" s="16"/>
      <c r="AR55" s="16"/>
      <c r="AS55" s="16"/>
      <c r="AT55" s="16"/>
      <c r="AU55" s="16"/>
      <c r="AV55" s="16"/>
      <c r="AW55" s="16"/>
      <c r="AX55" s="16"/>
    </row>
    <row r="56" spans="1:50" ht="16.2" thickBot="1" x14ac:dyDescent="0.25">
      <c r="B56" s="288" t="str">
        <f>CHIFFRAGE_TC!B57</f>
        <v>Tecnologias en las estaciones</v>
      </c>
      <c r="C56" s="16"/>
      <c r="D56" s="725">
        <f>CHIFFRAGE_TC!J57</f>
        <v>0.25</v>
      </c>
      <c r="E56" s="209">
        <f>SUM(E57:E58)</f>
        <v>0</v>
      </c>
      <c r="F56" s="196">
        <f t="shared" ref="F56:AN56" si="21">SUM(F57:F58)</f>
        <v>0</v>
      </c>
      <c r="G56" s="196">
        <f t="shared" si="21"/>
        <v>19742271.021317877</v>
      </c>
      <c r="H56" s="197">
        <f t="shared" si="21"/>
        <v>8460973.2948505189</v>
      </c>
      <c r="I56" s="698">
        <f t="shared" si="21"/>
        <v>0</v>
      </c>
      <c r="J56" s="699">
        <f t="shared" si="21"/>
        <v>0</v>
      </c>
      <c r="K56" s="699">
        <f t="shared" si="21"/>
        <v>0</v>
      </c>
      <c r="L56" s="699">
        <f t="shared" si="21"/>
        <v>0</v>
      </c>
      <c r="M56" s="699">
        <f t="shared" si="21"/>
        <v>0</v>
      </c>
      <c r="N56" s="699">
        <f t="shared" si="21"/>
        <v>0</v>
      </c>
      <c r="O56" s="699">
        <f t="shared" si="21"/>
        <v>0</v>
      </c>
      <c r="P56" s="699">
        <f t="shared" si="21"/>
        <v>0</v>
      </c>
      <c r="Q56" s="699">
        <f t="shared" si="21"/>
        <v>0</v>
      </c>
      <c r="R56" s="699">
        <f t="shared" si="21"/>
        <v>0</v>
      </c>
      <c r="S56" s="699">
        <f t="shared" si="21"/>
        <v>0</v>
      </c>
      <c r="T56" s="699">
        <f t="shared" si="21"/>
        <v>0</v>
      </c>
      <c r="U56" s="699">
        <f t="shared" si="21"/>
        <v>0</v>
      </c>
      <c r="V56" s="699">
        <f t="shared" si="21"/>
        <v>0</v>
      </c>
      <c r="W56" s="699">
        <f t="shared" si="21"/>
        <v>0</v>
      </c>
      <c r="X56" s="699">
        <f t="shared" si="21"/>
        <v>0</v>
      </c>
      <c r="Y56" s="699">
        <f t="shared" si="21"/>
        <v>0</v>
      </c>
      <c r="Z56" s="699">
        <f t="shared" si="21"/>
        <v>0</v>
      </c>
      <c r="AA56" s="699">
        <f t="shared" si="21"/>
        <v>0</v>
      </c>
      <c r="AB56" s="699">
        <f t="shared" si="21"/>
        <v>0</v>
      </c>
      <c r="AC56" s="699">
        <f t="shared" si="21"/>
        <v>0</v>
      </c>
      <c r="AD56" s="699">
        <f t="shared" si="21"/>
        <v>0</v>
      </c>
      <c r="AE56" s="699">
        <f t="shared" si="21"/>
        <v>0</v>
      </c>
      <c r="AF56" s="699">
        <f t="shared" si="21"/>
        <v>0</v>
      </c>
      <c r="AG56" s="699">
        <f t="shared" si="21"/>
        <v>0</v>
      </c>
      <c r="AH56" s="699">
        <f t="shared" si="21"/>
        <v>0</v>
      </c>
      <c r="AI56" s="699">
        <f t="shared" si="21"/>
        <v>0</v>
      </c>
      <c r="AJ56" s="699">
        <f t="shared" si="21"/>
        <v>0</v>
      </c>
      <c r="AK56" s="699">
        <f t="shared" si="21"/>
        <v>0</v>
      </c>
      <c r="AL56" s="699">
        <f t="shared" si="21"/>
        <v>0</v>
      </c>
      <c r="AM56" s="699">
        <f t="shared" si="21"/>
        <v>0</v>
      </c>
      <c r="AN56" s="700">
        <f t="shared" si="21"/>
        <v>0</v>
      </c>
      <c r="AO56" s="700">
        <f t="shared" ref="AO56:AX56" si="22">SUM(AO57:AO58)</f>
        <v>0</v>
      </c>
      <c r="AP56" s="700">
        <f t="shared" si="22"/>
        <v>0</v>
      </c>
      <c r="AQ56" s="700">
        <f t="shared" si="22"/>
        <v>0</v>
      </c>
      <c r="AR56" s="700">
        <f t="shared" si="22"/>
        <v>0</v>
      </c>
      <c r="AS56" s="700">
        <f t="shared" si="22"/>
        <v>0</v>
      </c>
      <c r="AT56" s="700">
        <f t="shared" si="22"/>
        <v>0</v>
      </c>
      <c r="AU56" s="700">
        <f t="shared" si="22"/>
        <v>0</v>
      </c>
      <c r="AV56" s="700">
        <f t="shared" si="22"/>
        <v>0</v>
      </c>
      <c r="AW56" s="700">
        <f t="shared" si="22"/>
        <v>0</v>
      </c>
      <c r="AX56" s="700">
        <f t="shared" si="22"/>
        <v>0</v>
      </c>
    </row>
    <row r="57" spans="1:50" ht="13.2" x14ac:dyDescent="0.2">
      <c r="B57" s="290" t="str">
        <f>CHIFFRAGE_TC!B58</f>
        <v>Lanzador (por ramita y por media-estacion)</v>
      </c>
      <c r="C57" s="16">
        <f>CHIFFRAGE_TC!D58</f>
        <v>40</v>
      </c>
      <c r="E57" s="712">
        <f>CHIFFRAGE_TC!$L58*CHIFFRAGE_TC!$T58</f>
        <v>0</v>
      </c>
      <c r="F57" s="715">
        <f>CHIFFRAGE_TC!$L58*CHIFFRAGE_TC!$U58</f>
        <v>0</v>
      </c>
      <c r="G57" s="715">
        <f>CHIFFRAGE_TC!$L58*CHIFFRAGE_TC!$V58</f>
        <v>9930604.4756469056</v>
      </c>
      <c r="H57" s="716">
        <f>CHIFFRAGE_TC!$L58*CHIFFRAGE_TC!$W58</f>
        <v>4255973.3467058167</v>
      </c>
      <c r="I57" s="709">
        <v>0</v>
      </c>
      <c r="J57" s="709">
        <v>0</v>
      </c>
      <c r="K57" s="709">
        <v>0</v>
      </c>
      <c r="L57" s="709">
        <v>0</v>
      </c>
      <c r="M57" s="709">
        <v>0</v>
      </c>
      <c r="N57" s="709">
        <v>0</v>
      </c>
      <c r="O57" s="709">
        <v>0</v>
      </c>
      <c r="P57" s="709">
        <v>0</v>
      </c>
      <c r="Q57" s="709">
        <v>0</v>
      </c>
      <c r="R57" s="709">
        <v>0</v>
      </c>
      <c r="S57" s="709">
        <v>0</v>
      </c>
      <c r="T57" s="709">
        <v>0</v>
      </c>
      <c r="U57" s="709">
        <v>0</v>
      </c>
      <c r="V57" s="709">
        <v>0</v>
      </c>
      <c r="W57" s="709">
        <v>0</v>
      </c>
      <c r="X57" s="709">
        <v>0</v>
      </c>
      <c r="Y57" s="709">
        <v>0</v>
      </c>
      <c r="Z57" s="709">
        <v>0</v>
      </c>
      <c r="AA57" s="709">
        <v>0</v>
      </c>
      <c r="AB57" s="709">
        <v>0</v>
      </c>
      <c r="AC57" s="709">
        <v>0</v>
      </c>
      <c r="AD57" s="709">
        <v>0</v>
      </c>
      <c r="AE57" s="709">
        <v>0</v>
      </c>
      <c r="AF57" s="709">
        <v>0</v>
      </c>
      <c r="AG57" s="709">
        <v>0</v>
      </c>
      <c r="AH57" s="709">
        <v>0</v>
      </c>
      <c r="AI57" s="709">
        <v>0</v>
      </c>
      <c r="AJ57" s="709">
        <v>0</v>
      </c>
      <c r="AK57" s="709">
        <v>0</v>
      </c>
      <c r="AL57" s="709">
        <v>0</v>
      </c>
      <c r="AM57" s="709">
        <v>0</v>
      </c>
      <c r="AN57" s="709">
        <v>0</v>
      </c>
      <c r="AO57" s="709">
        <v>0</v>
      </c>
      <c r="AP57" s="709">
        <v>0</v>
      </c>
      <c r="AQ57" s="709">
        <v>0</v>
      </c>
      <c r="AR57" s="709">
        <v>0</v>
      </c>
      <c r="AS57" s="709">
        <v>0</v>
      </c>
      <c r="AT57" s="709">
        <v>0</v>
      </c>
      <c r="AU57" s="709">
        <v>0</v>
      </c>
      <c r="AV57" s="709">
        <v>0</v>
      </c>
      <c r="AW57" s="709">
        <v>0</v>
      </c>
      <c r="AX57" s="709">
        <v>0</v>
      </c>
    </row>
    <row r="58" spans="1:50" ht="13.2" x14ac:dyDescent="0.2">
      <c r="B58" s="289" t="str">
        <f>CHIFFRAGE_TC!B59</f>
        <v>Cola y andenes (por numero de andenes, y/c puertas de anden)</v>
      </c>
      <c r="C58" s="16">
        <f>CHIFFRAGE_TC!D59</f>
        <v>40</v>
      </c>
      <c r="E58" s="712">
        <f>CHIFFRAGE_TC!$L59*CHIFFRAGE_TC!$T59</f>
        <v>0</v>
      </c>
      <c r="F58" s="715">
        <f>CHIFFRAGE_TC!$L59*CHIFFRAGE_TC!$U59</f>
        <v>0</v>
      </c>
      <c r="G58" s="715">
        <f>CHIFFRAGE_TC!$L59*CHIFFRAGE_TC!$V59</f>
        <v>9811666.5456709713</v>
      </c>
      <c r="H58" s="716">
        <f>CHIFFRAGE_TC!$L59*CHIFFRAGE_TC!$W59</f>
        <v>4204999.9481447022</v>
      </c>
      <c r="I58" s="709">
        <v>0</v>
      </c>
      <c r="J58" s="709">
        <v>0</v>
      </c>
      <c r="K58" s="709">
        <v>0</v>
      </c>
      <c r="L58" s="709">
        <v>0</v>
      </c>
      <c r="M58" s="709">
        <v>0</v>
      </c>
      <c r="N58" s="709">
        <v>0</v>
      </c>
      <c r="O58" s="709">
        <v>0</v>
      </c>
      <c r="P58" s="709">
        <v>0</v>
      </c>
      <c r="Q58" s="709">
        <v>0</v>
      </c>
      <c r="R58" s="709">
        <v>0</v>
      </c>
      <c r="S58" s="709">
        <v>0</v>
      </c>
      <c r="T58" s="709">
        <v>0</v>
      </c>
      <c r="U58" s="709">
        <v>0</v>
      </c>
      <c r="V58" s="709">
        <v>0</v>
      </c>
      <c r="W58" s="709">
        <v>0</v>
      </c>
      <c r="X58" s="709">
        <v>0</v>
      </c>
      <c r="Y58" s="709">
        <v>0</v>
      </c>
      <c r="Z58" s="709">
        <v>0</v>
      </c>
      <c r="AA58" s="709">
        <v>0</v>
      </c>
      <c r="AB58" s="709">
        <v>0</v>
      </c>
      <c r="AC58" s="709">
        <v>0</v>
      </c>
      <c r="AD58" s="709">
        <v>0</v>
      </c>
      <c r="AE58" s="709">
        <v>0</v>
      </c>
      <c r="AF58" s="709">
        <v>0</v>
      </c>
      <c r="AG58" s="709">
        <v>0</v>
      </c>
      <c r="AH58" s="709">
        <v>0</v>
      </c>
      <c r="AI58" s="709">
        <v>0</v>
      </c>
      <c r="AJ58" s="709">
        <v>0</v>
      </c>
      <c r="AK58" s="709">
        <v>0</v>
      </c>
      <c r="AL58" s="709">
        <v>0</v>
      </c>
      <c r="AM58" s="709">
        <v>0</v>
      </c>
      <c r="AN58" s="709">
        <v>0</v>
      </c>
      <c r="AO58" s="709">
        <v>0</v>
      </c>
      <c r="AP58" s="709">
        <v>0</v>
      </c>
      <c r="AQ58" s="709">
        <v>0</v>
      </c>
      <c r="AR58" s="709">
        <v>0</v>
      </c>
      <c r="AS58" s="709">
        <v>0</v>
      </c>
      <c r="AT58" s="709">
        <v>0</v>
      </c>
      <c r="AU58" s="709">
        <v>0</v>
      </c>
      <c r="AV58" s="709">
        <v>0</v>
      </c>
      <c r="AW58" s="709">
        <v>0</v>
      </c>
      <c r="AX58" s="709">
        <v>0</v>
      </c>
    </row>
    <row r="59" spans="1:50" ht="13.8" thickBot="1" x14ac:dyDescent="0.25">
      <c r="B59" s="290"/>
      <c r="C59" s="16"/>
      <c r="E59" s="712"/>
      <c r="F59" s="715"/>
      <c r="G59" s="715"/>
      <c r="H59" s="716"/>
      <c r="I59" s="696"/>
      <c r="AO59" s="16"/>
      <c r="AP59" s="16"/>
      <c r="AQ59" s="16"/>
      <c r="AR59" s="16"/>
      <c r="AS59" s="16"/>
      <c r="AT59" s="16"/>
      <c r="AU59" s="16"/>
      <c r="AV59" s="16"/>
      <c r="AW59" s="16"/>
      <c r="AX59" s="16"/>
    </row>
    <row r="60" spans="1:50" ht="16.2" thickBot="1" x14ac:dyDescent="0.25">
      <c r="B60" s="288" t="str">
        <f>CHIFFRAGE_TC!B61</f>
        <v>Equipamiento electrico</v>
      </c>
      <c r="C60" s="16"/>
      <c r="D60" s="725">
        <f>CHIFFRAGE_TC!J61</f>
        <v>0.25</v>
      </c>
      <c r="E60" s="209">
        <f>SUM(E61:E67)</f>
        <v>0</v>
      </c>
      <c r="F60" s="196">
        <f t="shared" ref="F60:AN60" si="23">SUM(F61:F67)</f>
        <v>1641714.5338326178</v>
      </c>
      <c r="G60" s="196">
        <f t="shared" si="23"/>
        <v>4933826.9305674639</v>
      </c>
      <c r="H60" s="197">
        <f t="shared" si="23"/>
        <v>773025.8981787971</v>
      </c>
      <c r="I60" s="698">
        <f t="shared" si="23"/>
        <v>0</v>
      </c>
      <c r="J60" s="699">
        <f t="shared" si="23"/>
        <v>0</v>
      </c>
      <c r="K60" s="699">
        <f t="shared" si="23"/>
        <v>0</v>
      </c>
      <c r="L60" s="699">
        <f t="shared" si="23"/>
        <v>0</v>
      </c>
      <c r="M60" s="699">
        <f t="shared" si="23"/>
        <v>0</v>
      </c>
      <c r="N60" s="699">
        <f t="shared" si="23"/>
        <v>0</v>
      </c>
      <c r="O60" s="699">
        <f t="shared" si="23"/>
        <v>0</v>
      </c>
      <c r="P60" s="699">
        <f t="shared" si="23"/>
        <v>0</v>
      </c>
      <c r="Q60" s="699">
        <f t="shared" si="23"/>
        <v>0</v>
      </c>
      <c r="R60" s="699">
        <f t="shared" si="23"/>
        <v>0</v>
      </c>
      <c r="S60" s="699">
        <f t="shared" si="23"/>
        <v>0</v>
      </c>
      <c r="T60" s="699">
        <f t="shared" si="23"/>
        <v>0</v>
      </c>
      <c r="U60" s="699">
        <f t="shared" si="23"/>
        <v>0</v>
      </c>
      <c r="V60" s="699">
        <f t="shared" si="23"/>
        <v>0</v>
      </c>
      <c r="W60" s="699">
        <f t="shared" si="23"/>
        <v>1641714.5338326178</v>
      </c>
      <c r="X60" s="699">
        <f t="shared" si="23"/>
        <v>1295024.6216848907</v>
      </c>
      <c r="Y60" s="699">
        <f t="shared" si="23"/>
        <v>773025.8981787971</v>
      </c>
      <c r="Z60" s="699">
        <f t="shared" si="23"/>
        <v>0</v>
      </c>
      <c r="AA60" s="699">
        <f t="shared" si="23"/>
        <v>0</v>
      </c>
      <c r="AB60" s="699">
        <f t="shared" si="23"/>
        <v>0</v>
      </c>
      <c r="AC60" s="699">
        <f t="shared" si="23"/>
        <v>0</v>
      </c>
      <c r="AD60" s="699">
        <f t="shared" si="23"/>
        <v>0</v>
      </c>
      <c r="AE60" s="699">
        <f t="shared" si="23"/>
        <v>0</v>
      </c>
      <c r="AF60" s="699">
        <f t="shared" si="23"/>
        <v>0</v>
      </c>
      <c r="AG60" s="699">
        <f t="shared" si="23"/>
        <v>0</v>
      </c>
      <c r="AH60" s="699">
        <f t="shared" si="23"/>
        <v>0</v>
      </c>
      <c r="AI60" s="699">
        <f t="shared" si="23"/>
        <v>0</v>
      </c>
      <c r="AJ60" s="699">
        <f t="shared" si="23"/>
        <v>0</v>
      </c>
      <c r="AK60" s="699">
        <f t="shared" si="23"/>
        <v>0</v>
      </c>
      <c r="AL60" s="699">
        <f t="shared" si="23"/>
        <v>0</v>
      </c>
      <c r="AM60" s="699">
        <f t="shared" si="23"/>
        <v>0</v>
      </c>
      <c r="AN60" s="700">
        <f t="shared" si="23"/>
        <v>1641714.5338326178</v>
      </c>
      <c r="AO60" s="700">
        <f t="shared" ref="AO60:AX60" si="24">SUM(AO61:AO67)</f>
        <v>1295024.6216848907</v>
      </c>
      <c r="AP60" s="700">
        <f t="shared" si="24"/>
        <v>773025.8981787971</v>
      </c>
      <c r="AQ60" s="700">
        <f t="shared" si="24"/>
        <v>0</v>
      </c>
      <c r="AR60" s="700">
        <f t="shared" si="24"/>
        <v>0</v>
      </c>
      <c r="AS60" s="700">
        <f t="shared" si="24"/>
        <v>0</v>
      </c>
      <c r="AT60" s="700">
        <f t="shared" si="24"/>
        <v>0</v>
      </c>
      <c r="AU60" s="700">
        <f t="shared" si="24"/>
        <v>0</v>
      </c>
      <c r="AV60" s="700">
        <f t="shared" si="24"/>
        <v>0</v>
      </c>
      <c r="AW60" s="700">
        <f t="shared" si="24"/>
        <v>0</v>
      </c>
      <c r="AX60" s="700">
        <f t="shared" si="24"/>
        <v>0</v>
      </c>
    </row>
    <row r="61" spans="1:50" ht="13.2" x14ac:dyDescent="0.2">
      <c r="A61" s="43"/>
      <c r="B61" s="291" t="str">
        <f>CHIFFRAGE_TC!B62</f>
        <v>Cuarto de mandos</v>
      </c>
      <c r="C61" s="16">
        <f>CHIFFRAGE_TC!D62</f>
        <v>15</v>
      </c>
      <c r="E61" s="712">
        <f>CHIFFRAGE_TC!$L62*CHIFFRAGE_TC!$T62</f>
        <v>0</v>
      </c>
      <c r="F61" s="715">
        <f>CHIFFRAGE_TC!$L62*CHIFFRAGE_TC!$U62</f>
        <v>654984.41559886339</v>
      </c>
      <c r="G61" s="715">
        <f>CHIFFRAGE_TC!$L62*CHIFFRAGE_TC!$V62</f>
        <v>654984.41559886339</v>
      </c>
      <c r="H61" s="716">
        <f>CHIFFRAGE_TC!$L62*CHIFFRAGE_TC!$W62</f>
        <v>0</v>
      </c>
      <c r="I61" s="709">
        <v>0</v>
      </c>
      <c r="J61" s="709">
        <v>0</v>
      </c>
      <c r="K61" s="709">
        <v>0</v>
      </c>
      <c r="L61" s="709">
        <v>0</v>
      </c>
      <c r="M61" s="709">
        <v>0</v>
      </c>
      <c r="N61" s="709">
        <v>0</v>
      </c>
      <c r="O61" s="709">
        <v>0</v>
      </c>
      <c r="P61" s="709">
        <v>0</v>
      </c>
      <c r="Q61" s="709">
        <v>0</v>
      </c>
      <c r="R61" s="709">
        <v>0</v>
      </c>
      <c r="S61" s="709">
        <v>0</v>
      </c>
      <c r="T61" s="709">
        <v>0</v>
      </c>
      <c r="U61" s="709">
        <v>0</v>
      </c>
      <c r="V61" s="709">
        <v>0</v>
      </c>
      <c r="W61" s="729">
        <f t="shared" ref="W61:Y62" si="25">F61</f>
        <v>654984.41559886339</v>
      </c>
      <c r="X61" s="729">
        <f t="shared" si="25"/>
        <v>654984.41559886339</v>
      </c>
      <c r="Y61" s="729">
        <f t="shared" si="25"/>
        <v>0</v>
      </c>
      <c r="Z61" s="709">
        <v>0</v>
      </c>
      <c r="AA61" s="709">
        <v>0</v>
      </c>
      <c r="AB61" s="709">
        <v>0</v>
      </c>
      <c r="AC61" s="709">
        <v>0</v>
      </c>
      <c r="AD61" s="709">
        <v>0</v>
      </c>
      <c r="AE61" s="709">
        <v>0</v>
      </c>
      <c r="AF61" s="709">
        <v>0</v>
      </c>
      <c r="AG61" s="709">
        <v>0</v>
      </c>
      <c r="AH61" s="709">
        <v>0</v>
      </c>
      <c r="AI61" s="709">
        <v>0</v>
      </c>
      <c r="AJ61" s="709">
        <v>0</v>
      </c>
      <c r="AK61" s="709">
        <v>0</v>
      </c>
      <c r="AL61" s="709">
        <v>0</v>
      </c>
      <c r="AM61" s="709">
        <v>0</v>
      </c>
      <c r="AN61" s="729">
        <f t="shared" ref="AN61:AP62" si="26">F61</f>
        <v>654984.41559886339</v>
      </c>
      <c r="AO61" s="729">
        <f t="shared" si="26"/>
        <v>654984.41559886339</v>
      </c>
      <c r="AP61" s="729">
        <f t="shared" si="26"/>
        <v>0</v>
      </c>
      <c r="AQ61" s="709">
        <v>0</v>
      </c>
      <c r="AR61" s="709">
        <v>0</v>
      </c>
      <c r="AS61" s="709">
        <v>0</v>
      </c>
      <c r="AT61" s="709">
        <v>0</v>
      </c>
      <c r="AU61" s="709">
        <v>0</v>
      </c>
      <c r="AV61" s="709">
        <v>0</v>
      </c>
      <c r="AW61" s="709">
        <v>0</v>
      </c>
      <c r="AX61" s="709">
        <v>0</v>
      </c>
    </row>
    <row r="62" spans="1:50" ht="13.2" x14ac:dyDescent="0.2">
      <c r="A62" s="43"/>
      <c r="B62" s="290" t="str">
        <f>CHIFFRAGE_TC!B63</f>
        <v>Cuarto de electricidad (400V tres fases)</v>
      </c>
      <c r="C62" s="16">
        <f>CHIFFRAGE_TC!D63</f>
        <v>15</v>
      </c>
      <c r="E62" s="712">
        <f>CHIFFRAGE_TC!$L63*CHIFFRAGE_TC!$T63</f>
        <v>0</v>
      </c>
      <c r="F62" s="715">
        <f>CHIFFRAGE_TC!$L63*CHIFFRAGE_TC!$U63</f>
        <v>358942.72772484837</v>
      </c>
      <c r="G62" s="715">
        <f>CHIFFRAGE_TC!$L63*CHIFFRAGE_TC!$V63</f>
        <v>358942.72772484837</v>
      </c>
      <c r="H62" s="716">
        <f>CHIFFRAGE_TC!$L63*CHIFFRAGE_TC!$W63</f>
        <v>0</v>
      </c>
      <c r="I62" s="709">
        <v>0</v>
      </c>
      <c r="J62" s="709">
        <v>0</v>
      </c>
      <c r="K62" s="709">
        <v>0</v>
      </c>
      <c r="L62" s="709">
        <v>0</v>
      </c>
      <c r="M62" s="709">
        <v>0</v>
      </c>
      <c r="N62" s="709">
        <v>0</v>
      </c>
      <c r="O62" s="709">
        <v>0</v>
      </c>
      <c r="P62" s="709">
        <v>0</v>
      </c>
      <c r="Q62" s="709">
        <v>0</v>
      </c>
      <c r="R62" s="709">
        <v>0</v>
      </c>
      <c r="S62" s="709">
        <v>0</v>
      </c>
      <c r="T62" s="709">
        <v>0</v>
      </c>
      <c r="U62" s="709">
        <v>0</v>
      </c>
      <c r="V62" s="709">
        <v>0</v>
      </c>
      <c r="W62" s="729">
        <f t="shared" si="25"/>
        <v>358942.72772484837</v>
      </c>
      <c r="X62" s="729">
        <f t="shared" si="25"/>
        <v>358942.72772484837</v>
      </c>
      <c r="Y62" s="729">
        <f t="shared" si="25"/>
        <v>0</v>
      </c>
      <c r="Z62" s="709">
        <v>0</v>
      </c>
      <c r="AA62" s="709">
        <v>0</v>
      </c>
      <c r="AB62" s="709">
        <v>0</v>
      </c>
      <c r="AC62" s="709">
        <v>0</v>
      </c>
      <c r="AD62" s="709">
        <v>0</v>
      </c>
      <c r="AE62" s="709">
        <v>0</v>
      </c>
      <c r="AF62" s="709">
        <v>0</v>
      </c>
      <c r="AG62" s="709">
        <v>0</v>
      </c>
      <c r="AH62" s="709">
        <v>0</v>
      </c>
      <c r="AI62" s="709">
        <v>0</v>
      </c>
      <c r="AJ62" s="709">
        <v>0</v>
      </c>
      <c r="AK62" s="709">
        <v>0</v>
      </c>
      <c r="AL62" s="709">
        <v>0</v>
      </c>
      <c r="AM62" s="709">
        <v>0</v>
      </c>
      <c r="AN62" s="729">
        <f t="shared" si="26"/>
        <v>358942.72772484837</v>
      </c>
      <c r="AO62" s="729">
        <f t="shared" si="26"/>
        <v>358942.72772484837</v>
      </c>
      <c r="AP62" s="729">
        <f t="shared" si="26"/>
        <v>0</v>
      </c>
      <c r="AQ62" s="709">
        <v>0</v>
      </c>
      <c r="AR62" s="709">
        <v>0</v>
      </c>
      <c r="AS62" s="709">
        <v>0</v>
      </c>
      <c r="AT62" s="709">
        <v>0</v>
      </c>
      <c r="AU62" s="709">
        <v>0</v>
      </c>
      <c r="AV62" s="709">
        <v>0</v>
      </c>
      <c r="AW62" s="709">
        <v>0</v>
      </c>
      <c r="AX62" s="709">
        <v>0</v>
      </c>
    </row>
    <row r="63" spans="1:50" ht="13.2" x14ac:dyDescent="0.2">
      <c r="A63" s="43"/>
      <c r="B63" s="290" t="str">
        <f>CHIFFRAGE_TC!B64</f>
        <v>Cuarto de manejo del traslado y zona de mantenimiento</v>
      </c>
      <c r="C63" s="16">
        <f>CHIFFRAGE_TC!D64</f>
        <v>15</v>
      </c>
      <c r="E63" s="712">
        <f>CHIFFRAGE_TC!$L64*CHIFFRAGE_TC!$T64</f>
        <v>0</v>
      </c>
      <c r="F63" s="715">
        <f>CHIFFRAGE_TC!$L64*CHIFFRAGE_TC!$U64</f>
        <v>0</v>
      </c>
      <c r="G63" s="715">
        <f>CHIFFRAGE_TC!$L64*CHIFFRAGE_TC!$V64</f>
        <v>0</v>
      </c>
      <c r="H63" s="716">
        <f>CHIFFRAGE_TC!$L64*CHIFFRAGE_TC!$W64</f>
        <v>72776.0461776515</v>
      </c>
      <c r="I63" s="709">
        <v>0</v>
      </c>
      <c r="J63" s="709">
        <v>0</v>
      </c>
      <c r="K63" s="709">
        <v>0</v>
      </c>
      <c r="L63" s="709">
        <v>0</v>
      </c>
      <c r="M63" s="709">
        <v>0</v>
      </c>
      <c r="N63" s="709">
        <v>0</v>
      </c>
      <c r="O63" s="709">
        <v>0</v>
      </c>
      <c r="P63" s="709">
        <v>0</v>
      </c>
      <c r="Q63" s="709">
        <v>0</v>
      </c>
      <c r="R63" s="709">
        <v>0</v>
      </c>
      <c r="S63" s="709">
        <v>0</v>
      </c>
      <c r="T63" s="709">
        <v>0</v>
      </c>
      <c r="U63" s="709">
        <v>0</v>
      </c>
      <c r="V63" s="709">
        <v>0</v>
      </c>
      <c r="W63" s="729">
        <f t="shared" ref="W63:W65" si="27">F63</f>
        <v>0</v>
      </c>
      <c r="X63" s="729">
        <f t="shared" ref="X63:X65" si="28">G63</f>
        <v>0</v>
      </c>
      <c r="Y63" s="729">
        <f t="shared" ref="Y63:Y65" si="29">H63</f>
        <v>72776.0461776515</v>
      </c>
      <c r="Z63" s="709">
        <v>0</v>
      </c>
      <c r="AA63" s="709">
        <v>0</v>
      </c>
      <c r="AB63" s="709">
        <v>0</v>
      </c>
      <c r="AC63" s="709">
        <v>0</v>
      </c>
      <c r="AD63" s="709">
        <v>0</v>
      </c>
      <c r="AE63" s="709">
        <v>0</v>
      </c>
      <c r="AF63" s="709">
        <v>0</v>
      </c>
      <c r="AG63" s="709">
        <v>0</v>
      </c>
      <c r="AH63" s="709">
        <v>0</v>
      </c>
      <c r="AI63" s="709">
        <v>0</v>
      </c>
      <c r="AJ63" s="709">
        <v>0</v>
      </c>
      <c r="AK63" s="709">
        <v>0</v>
      </c>
      <c r="AL63" s="709">
        <v>0</v>
      </c>
      <c r="AM63" s="709">
        <v>0</v>
      </c>
      <c r="AN63" s="729">
        <f t="shared" ref="AN63:AN65" si="30">F63</f>
        <v>0</v>
      </c>
      <c r="AO63" s="729">
        <f t="shared" ref="AO63:AO65" si="31">G63</f>
        <v>0</v>
      </c>
      <c r="AP63" s="729">
        <f t="shared" ref="AP63:AP65" si="32">H63</f>
        <v>72776.0461776515</v>
      </c>
      <c r="AQ63" s="709">
        <v>0</v>
      </c>
      <c r="AR63" s="709">
        <v>0</v>
      </c>
      <c r="AS63" s="709">
        <v>0</v>
      </c>
      <c r="AT63" s="709">
        <v>0</v>
      </c>
      <c r="AU63" s="709">
        <v>0</v>
      </c>
      <c r="AV63" s="709">
        <v>0</v>
      </c>
      <c r="AW63" s="709">
        <v>0</v>
      </c>
      <c r="AX63" s="709">
        <v>0</v>
      </c>
    </row>
    <row r="64" spans="1:50" ht="13.2" x14ac:dyDescent="0.2">
      <c r="A64" s="43"/>
      <c r="B64" s="290" t="str">
        <f>CHIFFRAGE_TC!B65</f>
        <v>Alimentacion de auxilio de emergencia 
de la estacion motrice y del centro de mando</v>
      </c>
      <c r="C64" s="16">
        <f>CHIFFRAGE_TC!D65</f>
        <v>15</v>
      </c>
      <c r="E64" s="712">
        <f>CHIFFRAGE_TC!$L65*CHIFFRAGE_TC!$T65</f>
        <v>0</v>
      </c>
      <c r="F64" s="715">
        <f>CHIFFRAGE_TC!$L65*CHIFFRAGE_TC!$U65</f>
        <v>0</v>
      </c>
      <c r="G64" s="715">
        <f>CHIFFRAGE_TC!$L65*CHIFFRAGE_TC!$V65</f>
        <v>0</v>
      </c>
      <c r="H64" s="716">
        <f>CHIFFRAGE_TC!$L65*CHIFFRAGE_TC!$W65</f>
        <v>138054.89527878785</v>
      </c>
      <c r="I64" s="709">
        <v>0</v>
      </c>
      <c r="J64" s="709">
        <v>0</v>
      </c>
      <c r="K64" s="709">
        <v>0</v>
      </c>
      <c r="L64" s="709">
        <v>0</v>
      </c>
      <c r="M64" s="709">
        <v>0</v>
      </c>
      <c r="N64" s="709">
        <v>0</v>
      </c>
      <c r="O64" s="709">
        <v>0</v>
      </c>
      <c r="P64" s="709">
        <v>0</v>
      </c>
      <c r="Q64" s="709">
        <v>0</v>
      </c>
      <c r="R64" s="709">
        <v>0</v>
      </c>
      <c r="S64" s="709">
        <v>0</v>
      </c>
      <c r="T64" s="709">
        <v>0</v>
      </c>
      <c r="U64" s="709">
        <v>0</v>
      </c>
      <c r="V64" s="709">
        <v>0</v>
      </c>
      <c r="W64" s="729">
        <f t="shared" si="27"/>
        <v>0</v>
      </c>
      <c r="X64" s="729">
        <f t="shared" si="28"/>
        <v>0</v>
      </c>
      <c r="Y64" s="729">
        <f t="shared" si="29"/>
        <v>138054.89527878785</v>
      </c>
      <c r="Z64" s="709">
        <v>0</v>
      </c>
      <c r="AA64" s="709">
        <v>0</v>
      </c>
      <c r="AB64" s="709">
        <v>0</v>
      </c>
      <c r="AC64" s="709">
        <v>0</v>
      </c>
      <c r="AD64" s="709">
        <v>0</v>
      </c>
      <c r="AE64" s="709">
        <v>0</v>
      </c>
      <c r="AF64" s="709">
        <v>0</v>
      </c>
      <c r="AG64" s="709">
        <v>0</v>
      </c>
      <c r="AH64" s="709">
        <v>0</v>
      </c>
      <c r="AI64" s="709">
        <v>0</v>
      </c>
      <c r="AJ64" s="709">
        <v>0</v>
      </c>
      <c r="AK64" s="709">
        <v>0</v>
      </c>
      <c r="AL64" s="709">
        <v>0</v>
      </c>
      <c r="AM64" s="709">
        <v>0</v>
      </c>
      <c r="AN64" s="729">
        <f t="shared" si="30"/>
        <v>0</v>
      </c>
      <c r="AO64" s="729">
        <f t="shared" si="31"/>
        <v>0</v>
      </c>
      <c r="AP64" s="729">
        <f t="shared" si="32"/>
        <v>138054.89527878785</v>
      </c>
      <c r="AQ64" s="709">
        <v>0</v>
      </c>
      <c r="AR64" s="709">
        <v>0</v>
      </c>
      <c r="AS64" s="709">
        <v>0</v>
      </c>
      <c r="AT64" s="709">
        <v>0</v>
      </c>
      <c r="AU64" s="709">
        <v>0</v>
      </c>
      <c r="AV64" s="709">
        <v>0</v>
      </c>
      <c r="AW64" s="709">
        <v>0</v>
      </c>
      <c r="AX64" s="709">
        <v>0</v>
      </c>
    </row>
    <row r="65" spans="1:50" ht="39.6" x14ac:dyDescent="0.2">
      <c r="A65" s="43"/>
      <c r="B65" s="292" t="str">
        <f>CHIFFRAGE_TC!B66</f>
        <v>Alimentaciones auxiliarias y equipamientos electricos 
en las estaciones y en el taller (aire acondicionado, alumbrado, 
mando de las puertas de anden, etc.)</v>
      </c>
      <c r="C65" s="16">
        <f>CHIFFRAGE_TC!D66</f>
        <v>15</v>
      </c>
      <c r="E65" s="712">
        <f>CHIFFRAGE_TC!$L66*CHIFFRAGE_TC!$T66</f>
        <v>0</v>
      </c>
      <c r="F65" s="715">
        <f>CHIFFRAGE_TC!$L66*CHIFFRAGE_TC!$U66</f>
        <v>281097.47836117889</v>
      </c>
      <c r="G65" s="715">
        <f>CHIFFRAGE_TC!$L66*CHIFFRAGE_TC!$V66</f>
        <v>281097.47836117889</v>
      </c>
      <c r="H65" s="716">
        <f>CHIFFRAGE_TC!$L66*CHIFFRAGE_TC!$W66</f>
        <v>562194.95672235778</v>
      </c>
      <c r="I65" s="709">
        <v>0</v>
      </c>
      <c r="J65" s="709">
        <v>0</v>
      </c>
      <c r="K65" s="709">
        <v>0</v>
      </c>
      <c r="L65" s="709">
        <v>0</v>
      </c>
      <c r="M65" s="709">
        <v>0</v>
      </c>
      <c r="N65" s="709">
        <v>0</v>
      </c>
      <c r="O65" s="709">
        <v>0</v>
      </c>
      <c r="P65" s="709">
        <v>0</v>
      </c>
      <c r="Q65" s="709">
        <v>0</v>
      </c>
      <c r="R65" s="709">
        <v>0</v>
      </c>
      <c r="S65" s="709">
        <v>0</v>
      </c>
      <c r="T65" s="709">
        <v>0</v>
      </c>
      <c r="U65" s="709">
        <v>0</v>
      </c>
      <c r="V65" s="709">
        <v>0</v>
      </c>
      <c r="W65" s="729">
        <f t="shared" si="27"/>
        <v>281097.47836117889</v>
      </c>
      <c r="X65" s="729">
        <f t="shared" si="28"/>
        <v>281097.47836117889</v>
      </c>
      <c r="Y65" s="729">
        <f t="shared" si="29"/>
        <v>562194.95672235778</v>
      </c>
      <c r="Z65" s="709">
        <v>0</v>
      </c>
      <c r="AA65" s="709">
        <v>0</v>
      </c>
      <c r="AB65" s="709">
        <v>0</v>
      </c>
      <c r="AC65" s="709">
        <v>0</v>
      </c>
      <c r="AD65" s="709">
        <v>0</v>
      </c>
      <c r="AE65" s="709">
        <v>0</v>
      </c>
      <c r="AF65" s="709">
        <v>0</v>
      </c>
      <c r="AG65" s="709">
        <v>0</v>
      </c>
      <c r="AH65" s="709">
        <v>0</v>
      </c>
      <c r="AI65" s="709">
        <v>0</v>
      </c>
      <c r="AJ65" s="709">
        <v>0</v>
      </c>
      <c r="AK65" s="709">
        <v>0</v>
      </c>
      <c r="AL65" s="709">
        <v>0</v>
      </c>
      <c r="AM65" s="709">
        <v>0</v>
      </c>
      <c r="AN65" s="729">
        <f t="shared" si="30"/>
        <v>281097.47836117889</v>
      </c>
      <c r="AO65" s="729">
        <f t="shared" si="31"/>
        <v>281097.47836117889</v>
      </c>
      <c r="AP65" s="729">
        <f t="shared" si="32"/>
        <v>562194.95672235778</v>
      </c>
      <c r="AQ65" s="709">
        <v>0</v>
      </c>
      <c r="AR65" s="709">
        <v>0</v>
      </c>
      <c r="AS65" s="709">
        <v>0</v>
      </c>
      <c r="AT65" s="709">
        <v>0</v>
      </c>
      <c r="AU65" s="709">
        <v>0</v>
      </c>
      <c r="AV65" s="709">
        <v>0</v>
      </c>
      <c r="AW65" s="709">
        <v>0</v>
      </c>
      <c r="AX65" s="709">
        <v>0</v>
      </c>
    </row>
    <row r="66" spans="1:50" ht="13.2" x14ac:dyDescent="0.2">
      <c r="A66" s="43"/>
      <c r="B66" s="290" t="str">
        <f>CHIFFRAGE_TC!B67</f>
        <v>Doble motorizacion, reductores y traccion del cable</v>
      </c>
      <c r="C66" s="16">
        <f>CHIFFRAGE_TC!D67</f>
        <v>40</v>
      </c>
      <c r="E66" s="712">
        <f>CHIFFRAGE_TC!$L67*CHIFFRAGE_TC!$T67</f>
        <v>0</v>
      </c>
      <c r="F66" s="715">
        <f>CHIFFRAGE_TC!$L67*CHIFFRAGE_TC!$U67</f>
        <v>0</v>
      </c>
      <c r="G66" s="715">
        <f>CHIFFRAGE_TC!$L67*CHIFFRAGE_TC!$V67</f>
        <v>3638802.3088825736</v>
      </c>
      <c r="H66" s="716">
        <f>CHIFFRAGE_TC!$L67*CHIFFRAGE_TC!$W67</f>
        <v>0</v>
      </c>
      <c r="I66" s="709">
        <v>0</v>
      </c>
      <c r="J66" s="709">
        <v>0</v>
      </c>
      <c r="K66" s="709">
        <v>0</v>
      </c>
      <c r="L66" s="709">
        <v>0</v>
      </c>
      <c r="M66" s="709">
        <v>0</v>
      </c>
      <c r="N66" s="709">
        <v>0</v>
      </c>
      <c r="O66" s="709">
        <v>0</v>
      </c>
      <c r="P66" s="709">
        <v>0</v>
      </c>
      <c r="Q66" s="709">
        <v>0</v>
      </c>
      <c r="R66" s="709">
        <v>0</v>
      </c>
      <c r="S66" s="709">
        <v>0</v>
      </c>
      <c r="T66" s="709">
        <v>0</v>
      </c>
      <c r="U66" s="709">
        <v>0</v>
      </c>
      <c r="V66" s="709">
        <v>0</v>
      </c>
      <c r="W66" s="924"/>
      <c r="X66" s="924"/>
      <c r="Y66" s="924"/>
      <c r="Z66" s="709">
        <v>0</v>
      </c>
      <c r="AA66" s="709">
        <v>0</v>
      </c>
      <c r="AB66" s="709">
        <v>0</v>
      </c>
      <c r="AC66" s="709">
        <v>0</v>
      </c>
      <c r="AD66" s="709">
        <v>0</v>
      </c>
      <c r="AE66" s="709">
        <v>0</v>
      </c>
      <c r="AF66" s="709">
        <v>0</v>
      </c>
      <c r="AG66" s="709">
        <v>0</v>
      </c>
      <c r="AH66" s="709">
        <v>0</v>
      </c>
      <c r="AI66" s="709">
        <v>0</v>
      </c>
      <c r="AJ66" s="709">
        <v>0</v>
      </c>
      <c r="AK66" s="709">
        <v>0</v>
      </c>
      <c r="AL66" s="709">
        <v>0</v>
      </c>
      <c r="AM66" s="709">
        <v>0</v>
      </c>
      <c r="AN66" s="924"/>
      <c r="AO66" s="924"/>
      <c r="AP66" s="924"/>
      <c r="AQ66" s="709">
        <v>0</v>
      </c>
      <c r="AR66" s="709">
        <v>0</v>
      </c>
      <c r="AS66" s="709">
        <v>0</v>
      </c>
      <c r="AT66" s="709">
        <v>0</v>
      </c>
      <c r="AU66" s="709">
        <v>0</v>
      </c>
      <c r="AV66" s="709">
        <v>0</v>
      </c>
      <c r="AW66" s="709">
        <v>0</v>
      </c>
      <c r="AX66" s="709">
        <v>0</v>
      </c>
    </row>
    <row r="67" spans="1:50" ht="13.2" x14ac:dyDescent="0.2">
      <c r="A67" s="43"/>
      <c r="B67" s="289" t="str">
        <f>CHIFFRAGE_TC!B68</f>
        <v>Constitucion de una linea de reserva para la estacion motrice</v>
      </c>
      <c r="C67" s="16">
        <f>CHIFFRAGE_TC!D68</f>
        <v>15</v>
      </c>
      <c r="E67" s="712">
        <f>CHIFFRAGE_TC!$L68*CHIFFRAGE_TC!$T68</f>
        <v>0</v>
      </c>
      <c r="F67" s="715">
        <f>CHIFFRAGE_TC!$L68*CHIFFRAGE_TC!$U68</f>
        <v>346689.91214772715</v>
      </c>
      <c r="G67" s="715">
        <f>CHIFFRAGE_TC!$L68*CHIFFRAGE_TC!$V68</f>
        <v>0</v>
      </c>
      <c r="H67" s="716">
        <f>CHIFFRAGE_TC!$L68*CHIFFRAGE_TC!$W68</f>
        <v>0</v>
      </c>
      <c r="I67" s="709">
        <v>0</v>
      </c>
      <c r="J67" s="709">
        <v>0</v>
      </c>
      <c r="K67" s="709">
        <v>0</v>
      </c>
      <c r="L67" s="709">
        <v>0</v>
      </c>
      <c r="M67" s="709">
        <v>0</v>
      </c>
      <c r="N67" s="709">
        <v>0</v>
      </c>
      <c r="O67" s="709">
        <v>0</v>
      </c>
      <c r="P67" s="709">
        <v>0</v>
      </c>
      <c r="Q67" s="709">
        <v>0</v>
      </c>
      <c r="R67" s="709">
        <v>0</v>
      </c>
      <c r="S67" s="709">
        <v>0</v>
      </c>
      <c r="T67" s="709">
        <v>0</v>
      </c>
      <c r="U67" s="709">
        <v>0</v>
      </c>
      <c r="V67" s="709">
        <v>0</v>
      </c>
      <c r="W67" s="729">
        <f t="shared" ref="W67" si="33">F67</f>
        <v>346689.91214772715</v>
      </c>
      <c r="X67" s="729">
        <f t="shared" ref="X67" si="34">G67</f>
        <v>0</v>
      </c>
      <c r="Y67" s="729">
        <f t="shared" ref="Y67" si="35">H67</f>
        <v>0</v>
      </c>
      <c r="Z67" s="709">
        <v>0</v>
      </c>
      <c r="AA67" s="709">
        <v>0</v>
      </c>
      <c r="AB67" s="709">
        <v>0</v>
      </c>
      <c r="AC67" s="709">
        <v>0</v>
      </c>
      <c r="AD67" s="709">
        <v>0</v>
      </c>
      <c r="AE67" s="709">
        <v>0</v>
      </c>
      <c r="AF67" s="709">
        <v>0</v>
      </c>
      <c r="AG67" s="709">
        <v>0</v>
      </c>
      <c r="AH67" s="709">
        <v>0</v>
      </c>
      <c r="AI67" s="709">
        <v>0</v>
      </c>
      <c r="AJ67" s="709">
        <v>0</v>
      </c>
      <c r="AK67" s="709">
        <v>0</v>
      </c>
      <c r="AL67" s="709">
        <v>0</v>
      </c>
      <c r="AM67" s="709">
        <v>0</v>
      </c>
      <c r="AN67" s="729">
        <f t="shared" ref="AN67" si="36">F67</f>
        <v>346689.91214772715</v>
      </c>
      <c r="AO67" s="729">
        <f t="shared" ref="AO67" si="37">G67</f>
        <v>0</v>
      </c>
      <c r="AP67" s="729">
        <f t="shared" ref="AP67" si="38">H67</f>
        <v>0</v>
      </c>
      <c r="AQ67" s="709">
        <v>0</v>
      </c>
      <c r="AR67" s="709">
        <v>0</v>
      </c>
      <c r="AS67" s="709">
        <v>0</v>
      </c>
      <c r="AT67" s="709">
        <v>0</v>
      </c>
      <c r="AU67" s="709">
        <v>0</v>
      </c>
      <c r="AV67" s="709">
        <v>0</v>
      </c>
      <c r="AW67" s="709">
        <v>0</v>
      </c>
      <c r="AX67" s="709">
        <v>0</v>
      </c>
    </row>
    <row r="68" spans="1:50" ht="13.8" thickBot="1" x14ac:dyDescent="0.25">
      <c r="A68" s="43"/>
      <c r="B68" s="290"/>
      <c r="C68" s="16"/>
      <c r="E68" s="712"/>
      <c r="F68" s="715"/>
      <c r="G68" s="715"/>
      <c r="H68" s="716"/>
      <c r="I68" s="696"/>
      <c r="AO68" s="16"/>
      <c r="AP68" s="16"/>
      <c r="AQ68" s="16"/>
      <c r="AR68" s="16"/>
      <c r="AS68" s="16"/>
      <c r="AT68" s="16"/>
      <c r="AU68" s="16"/>
      <c r="AV68" s="16"/>
      <c r="AW68" s="16"/>
      <c r="AX68" s="16"/>
    </row>
    <row r="69" spans="1:50" ht="16.2" thickBot="1" x14ac:dyDescent="0.25">
      <c r="A69" s="43"/>
      <c r="B69" s="288" t="str">
        <f>CHIFFRAGE_TC!B70</f>
        <v>Telecomunicaciones y boleteria</v>
      </c>
      <c r="C69" s="16"/>
      <c r="D69" s="725">
        <f>CHIFFRAGE_TC!J70</f>
        <v>0.25</v>
      </c>
      <c r="E69" s="209">
        <f>SUM(E70:E82)</f>
        <v>0</v>
      </c>
      <c r="F69" s="196">
        <f t="shared" ref="F69:AN69" si="39">SUM(F70:F82)</f>
        <v>195217.69582874991</v>
      </c>
      <c r="G69" s="196">
        <f t="shared" si="39"/>
        <v>3816976.1662550489</v>
      </c>
      <c r="H69" s="197">
        <f t="shared" si="39"/>
        <v>1978288.8879245506</v>
      </c>
      <c r="I69" s="698">
        <f t="shared" si="39"/>
        <v>0</v>
      </c>
      <c r="J69" s="699">
        <f t="shared" si="39"/>
        <v>0</v>
      </c>
      <c r="K69" s="699">
        <f t="shared" si="39"/>
        <v>0</v>
      </c>
      <c r="L69" s="699">
        <f t="shared" si="39"/>
        <v>0</v>
      </c>
      <c r="M69" s="699">
        <f t="shared" si="39"/>
        <v>0</v>
      </c>
      <c r="N69" s="699">
        <f t="shared" si="39"/>
        <v>0</v>
      </c>
      <c r="O69" s="699">
        <f t="shared" si="39"/>
        <v>0</v>
      </c>
      <c r="P69" s="699">
        <f t="shared" si="39"/>
        <v>0</v>
      </c>
      <c r="Q69" s="699">
        <f t="shared" si="39"/>
        <v>0</v>
      </c>
      <c r="R69" s="699">
        <f t="shared" si="39"/>
        <v>0</v>
      </c>
      <c r="S69" s="699">
        <f t="shared" si="39"/>
        <v>0</v>
      </c>
      <c r="T69" s="699">
        <f t="shared" si="39"/>
        <v>0</v>
      </c>
      <c r="U69" s="699">
        <f t="shared" si="39"/>
        <v>0</v>
      </c>
      <c r="V69" s="699">
        <f t="shared" si="39"/>
        <v>0</v>
      </c>
      <c r="W69" s="699">
        <f t="shared" si="39"/>
        <v>195217.69582874991</v>
      </c>
      <c r="X69" s="699">
        <f t="shared" si="39"/>
        <v>3816976.1662550489</v>
      </c>
      <c r="Y69" s="699">
        <f t="shared" si="39"/>
        <v>1978288.8879245506</v>
      </c>
      <c r="Z69" s="699">
        <f t="shared" si="39"/>
        <v>0</v>
      </c>
      <c r="AA69" s="699">
        <f t="shared" si="39"/>
        <v>0</v>
      </c>
      <c r="AB69" s="699">
        <f t="shared" si="39"/>
        <v>0</v>
      </c>
      <c r="AC69" s="699">
        <f t="shared" si="39"/>
        <v>0</v>
      </c>
      <c r="AD69" s="699">
        <f t="shared" si="39"/>
        <v>0</v>
      </c>
      <c r="AE69" s="699">
        <f t="shared" si="39"/>
        <v>0</v>
      </c>
      <c r="AF69" s="699">
        <f t="shared" si="39"/>
        <v>0</v>
      </c>
      <c r="AG69" s="699">
        <f t="shared" si="39"/>
        <v>0</v>
      </c>
      <c r="AH69" s="699">
        <f t="shared" si="39"/>
        <v>0</v>
      </c>
      <c r="AI69" s="699">
        <f t="shared" si="39"/>
        <v>0</v>
      </c>
      <c r="AJ69" s="699">
        <f t="shared" si="39"/>
        <v>0</v>
      </c>
      <c r="AK69" s="699">
        <f t="shared" si="39"/>
        <v>0</v>
      </c>
      <c r="AL69" s="699">
        <f t="shared" si="39"/>
        <v>0</v>
      </c>
      <c r="AM69" s="699">
        <f t="shared" si="39"/>
        <v>0</v>
      </c>
      <c r="AN69" s="700">
        <f t="shared" si="39"/>
        <v>195217.69582874991</v>
      </c>
      <c r="AO69" s="700">
        <f t="shared" ref="AO69:AX69" si="40">SUM(AO70:AO82)</f>
        <v>3816976.1662550489</v>
      </c>
      <c r="AP69" s="700">
        <f t="shared" si="40"/>
        <v>1978288.8879245506</v>
      </c>
      <c r="AQ69" s="700">
        <f t="shared" si="40"/>
        <v>0</v>
      </c>
      <c r="AR69" s="700">
        <f t="shared" si="40"/>
        <v>0</v>
      </c>
      <c r="AS69" s="700">
        <f t="shared" si="40"/>
        <v>0</v>
      </c>
      <c r="AT69" s="700">
        <f t="shared" si="40"/>
        <v>0</v>
      </c>
      <c r="AU69" s="700">
        <f t="shared" si="40"/>
        <v>0</v>
      </c>
      <c r="AV69" s="700">
        <f t="shared" si="40"/>
        <v>0</v>
      </c>
      <c r="AW69" s="700">
        <f t="shared" si="40"/>
        <v>0</v>
      </c>
      <c r="AX69" s="700">
        <f t="shared" si="40"/>
        <v>0</v>
      </c>
    </row>
    <row r="70" spans="1:50" ht="13.2" x14ac:dyDescent="0.2">
      <c r="A70" s="43"/>
      <c r="B70" s="291" t="str">
        <f>CHIFFRAGE_TC!B71</f>
        <v>Consola de mandos y Tablero de control optico</v>
      </c>
      <c r="C70" s="16">
        <f>CHIFFRAGE_TC!D71</f>
        <v>15</v>
      </c>
      <c r="E70" s="712">
        <f>CHIFFRAGE_TC!$L71*CHIFFRAGE_TC!$T71</f>
        <v>0</v>
      </c>
      <c r="F70" s="715">
        <f>CHIFFRAGE_TC!$L71*CHIFFRAGE_TC!$U71</f>
        <v>0</v>
      </c>
      <c r="G70" s="715">
        <f>CHIFFRAGE_TC!$L71*CHIFFRAGE_TC!$V71</f>
        <v>19115.293192447545</v>
      </c>
      <c r="H70" s="716">
        <f>CHIFFRAGE_TC!$L71*CHIFFRAGE_TC!$W71</f>
        <v>63717.643974825143</v>
      </c>
      <c r="I70" s="709">
        <v>0</v>
      </c>
      <c r="J70" s="709">
        <v>0</v>
      </c>
      <c r="K70" s="709">
        <v>0</v>
      </c>
      <c r="L70" s="709">
        <v>0</v>
      </c>
      <c r="M70" s="709">
        <v>0</v>
      </c>
      <c r="N70" s="709">
        <v>0</v>
      </c>
      <c r="O70" s="709">
        <v>0</v>
      </c>
      <c r="P70" s="709">
        <v>0</v>
      </c>
      <c r="Q70" s="709">
        <v>0</v>
      </c>
      <c r="R70" s="709">
        <v>0</v>
      </c>
      <c r="S70" s="709">
        <v>0</v>
      </c>
      <c r="T70" s="709">
        <v>0</v>
      </c>
      <c r="U70" s="709">
        <v>0</v>
      </c>
      <c r="V70" s="709">
        <v>0</v>
      </c>
      <c r="W70" s="729">
        <f t="shared" ref="W70:Y71" si="41">F70</f>
        <v>0</v>
      </c>
      <c r="X70" s="729">
        <f t="shared" si="41"/>
        <v>19115.293192447545</v>
      </c>
      <c r="Y70" s="729">
        <f t="shared" si="41"/>
        <v>63717.643974825143</v>
      </c>
      <c r="Z70" s="709">
        <v>0</v>
      </c>
      <c r="AA70" s="709">
        <v>0</v>
      </c>
      <c r="AB70" s="709">
        <v>0</v>
      </c>
      <c r="AC70" s="709">
        <v>0</v>
      </c>
      <c r="AD70" s="709">
        <v>0</v>
      </c>
      <c r="AE70" s="709">
        <v>0</v>
      </c>
      <c r="AF70" s="709">
        <v>0</v>
      </c>
      <c r="AG70" s="709">
        <v>0</v>
      </c>
      <c r="AH70" s="709">
        <v>0</v>
      </c>
      <c r="AI70" s="709">
        <v>0</v>
      </c>
      <c r="AJ70" s="709">
        <v>0</v>
      </c>
      <c r="AK70" s="709">
        <v>0</v>
      </c>
      <c r="AL70" s="709">
        <v>0</v>
      </c>
      <c r="AM70" s="709">
        <v>0</v>
      </c>
      <c r="AN70" s="729">
        <f>F70</f>
        <v>0</v>
      </c>
      <c r="AO70" s="729">
        <f>G70</f>
        <v>19115.293192447545</v>
      </c>
      <c r="AP70" s="729">
        <f>H70</f>
        <v>63717.643974825143</v>
      </c>
      <c r="AQ70" s="709">
        <v>0</v>
      </c>
      <c r="AR70" s="709">
        <v>0</v>
      </c>
      <c r="AS70" s="709">
        <v>0</v>
      </c>
      <c r="AT70" s="709">
        <v>0</v>
      </c>
      <c r="AU70" s="709">
        <v>0</v>
      </c>
      <c r="AV70" s="709">
        <v>0</v>
      </c>
      <c r="AW70" s="709">
        <v>0</v>
      </c>
      <c r="AX70" s="709">
        <v>0</v>
      </c>
    </row>
    <row r="71" spans="1:50" ht="13.2" x14ac:dyDescent="0.2">
      <c r="A71" s="43"/>
      <c r="B71" s="290" t="str">
        <f>CHIFFRAGE_TC!B72</f>
        <v>Red de telefonia entre estaciones</v>
      </c>
      <c r="C71" s="16">
        <f>CHIFFRAGE_TC!D72</f>
        <v>15</v>
      </c>
      <c r="E71" s="712">
        <f>CHIFFRAGE_TC!$L72*CHIFFRAGE_TC!$T72</f>
        <v>0</v>
      </c>
      <c r="F71" s="715">
        <f>CHIFFRAGE_TC!$L72*CHIFFRAGE_TC!$U72</f>
        <v>0</v>
      </c>
      <c r="G71" s="715">
        <f>CHIFFRAGE_TC!$L72*CHIFFRAGE_TC!$V72</f>
        <v>250853.01377062488</v>
      </c>
      <c r="H71" s="716">
        <f>CHIFFRAGE_TC!$L72*CHIFFRAGE_TC!$W72</f>
        <v>83617.671256874964</v>
      </c>
      <c r="I71" s="709">
        <v>0</v>
      </c>
      <c r="J71" s="709">
        <v>0</v>
      </c>
      <c r="K71" s="709">
        <v>0</v>
      </c>
      <c r="L71" s="709">
        <v>0</v>
      </c>
      <c r="M71" s="709">
        <v>0</v>
      </c>
      <c r="N71" s="709">
        <v>0</v>
      </c>
      <c r="O71" s="709">
        <v>0</v>
      </c>
      <c r="P71" s="709">
        <v>0</v>
      </c>
      <c r="Q71" s="709">
        <v>0</v>
      </c>
      <c r="R71" s="709">
        <v>0</v>
      </c>
      <c r="S71" s="709">
        <v>0</v>
      </c>
      <c r="T71" s="709">
        <v>0</v>
      </c>
      <c r="U71" s="709">
        <v>0</v>
      </c>
      <c r="V71" s="709">
        <v>0</v>
      </c>
      <c r="W71" s="729">
        <f t="shared" si="41"/>
        <v>0</v>
      </c>
      <c r="X71" s="729">
        <f t="shared" si="41"/>
        <v>250853.01377062488</v>
      </c>
      <c r="Y71" s="729">
        <f t="shared" si="41"/>
        <v>83617.671256874964</v>
      </c>
      <c r="Z71" s="709">
        <v>0</v>
      </c>
      <c r="AA71" s="709">
        <v>0</v>
      </c>
      <c r="AB71" s="709">
        <v>0</v>
      </c>
      <c r="AC71" s="709">
        <v>0</v>
      </c>
      <c r="AD71" s="709">
        <v>0</v>
      </c>
      <c r="AE71" s="709">
        <v>0</v>
      </c>
      <c r="AF71" s="709">
        <v>0</v>
      </c>
      <c r="AG71" s="709">
        <v>0</v>
      </c>
      <c r="AH71" s="709">
        <v>0</v>
      </c>
      <c r="AI71" s="709">
        <v>0</v>
      </c>
      <c r="AJ71" s="709">
        <v>0</v>
      </c>
      <c r="AK71" s="709">
        <v>0</v>
      </c>
      <c r="AL71" s="709">
        <v>0</v>
      </c>
      <c r="AM71" s="709">
        <v>0</v>
      </c>
      <c r="AN71" s="729">
        <f>F71</f>
        <v>0</v>
      </c>
      <c r="AO71" s="729">
        <f t="shared" ref="AO71:AP71" si="42">G71</f>
        <v>250853.01377062488</v>
      </c>
      <c r="AP71" s="729">
        <f t="shared" si="42"/>
        <v>83617.671256874964</v>
      </c>
      <c r="AQ71" s="709">
        <v>0</v>
      </c>
      <c r="AR71" s="709">
        <v>0</v>
      </c>
      <c r="AS71" s="709">
        <v>0</v>
      </c>
      <c r="AT71" s="709">
        <v>0</v>
      </c>
      <c r="AU71" s="709">
        <v>0</v>
      </c>
      <c r="AV71" s="709">
        <v>0</v>
      </c>
      <c r="AW71" s="709">
        <v>0</v>
      </c>
      <c r="AX71" s="709">
        <v>0</v>
      </c>
    </row>
    <row r="72" spans="1:50" ht="13.2" x14ac:dyDescent="0.2">
      <c r="A72" s="43"/>
      <c r="B72" s="290" t="str">
        <f>CHIFFRAGE_TC!B73</f>
        <v>Sonorizacion de anuncios publicos en estaciones</v>
      </c>
      <c r="C72" s="16">
        <f>CHIFFRAGE_TC!D73</f>
        <v>15</v>
      </c>
      <c r="E72" s="712">
        <f>CHIFFRAGE_TC!$L73*CHIFFRAGE_TC!$T73</f>
        <v>0</v>
      </c>
      <c r="F72" s="715">
        <f>CHIFFRAGE_TC!$L73*CHIFFRAGE_TC!$U73</f>
        <v>0</v>
      </c>
      <c r="G72" s="715">
        <f>CHIFFRAGE_TC!$L73*CHIFFRAGE_TC!$V73</f>
        <v>159282.95847187497</v>
      </c>
      <c r="H72" s="716">
        <f>CHIFFRAGE_TC!$L73*CHIFFRAGE_TC!$W73</f>
        <v>106188.63898124998</v>
      </c>
      <c r="I72" s="709">
        <v>0</v>
      </c>
      <c r="J72" s="709">
        <v>0</v>
      </c>
      <c r="K72" s="709">
        <v>0</v>
      </c>
      <c r="L72" s="709">
        <v>0</v>
      </c>
      <c r="M72" s="709">
        <v>0</v>
      </c>
      <c r="N72" s="709">
        <v>0</v>
      </c>
      <c r="O72" s="709">
        <v>0</v>
      </c>
      <c r="P72" s="709">
        <v>0</v>
      </c>
      <c r="Q72" s="709">
        <v>0</v>
      </c>
      <c r="R72" s="709">
        <v>0</v>
      </c>
      <c r="S72" s="709">
        <v>0</v>
      </c>
      <c r="T72" s="709">
        <v>0</v>
      </c>
      <c r="U72" s="709">
        <v>0</v>
      </c>
      <c r="V72" s="709">
        <v>0</v>
      </c>
      <c r="W72" s="729">
        <f t="shared" ref="W72:W82" si="43">F72</f>
        <v>0</v>
      </c>
      <c r="X72" s="729">
        <f t="shared" ref="X72:X82" si="44">G72</f>
        <v>159282.95847187497</v>
      </c>
      <c r="Y72" s="729">
        <f t="shared" ref="Y72:Y82" si="45">H72</f>
        <v>106188.63898124998</v>
      </c>
      <c r="Z72" s="709">
        <v>0</v>
      </c>
      <c r="AA72" s="709">
        <v>0</v>
      </c>
      <c r="AB72" s="709">
        <v>0</v>
      </c>
      <c r="AC72" s="709">
        <v>0</v>
      </c>
      <c r="AD72" s="709">
        <v>0</v>
      </c>
      <c r="AE72" s="709">
        <v>0</v>
      </c>
      <c r="AF72" s="709">
        <v>0</v>
      </c>
      <c r="AG72" s="709">
        <v>0</v>
      </c>
      <c r="AH72" s="709">
        <v>0</v>
      </c>
      <c r="AI72" s="709">
        <v>0</v>
      </c>
      <c r="AJ72" s="709">
        <v>0</v>
      </c>
      <c r="AK72" s="709">
        <v>0</v>
      </c>
      <c r="AL72" s="709">
        <v>0</v>
      </c>
      <c r="AM72" s="709">
        <v>0</v>
      </c>
      <c r="AN72" s="729">
        <f t="shared" ref="AN72:AN82" si="46">F72</f>
        <v>0</v>
      </c>
      <c r="AO72" s="729">
        <f t="shared" ref="AO72:AO82" si="47">G72</f>
        <v>159282.95847187497</v>
      </c>
      <c r="AP72" s="729">
        <f t="shared" ref="AP72:AP82" si="48">H72</f>
        <v>106188.63898124998</v>
      </c>
      <c r="AQ72" s="709">
        <v>0</v>
      </c>
      <c r="AR72" s="709">
        <v>0</v>
      </c>
      <c r="AS72" s="709">
        <v>0</v>
      </c>
      <c r="AT72" s="709">
        <v>0</v>
      </c>
      <c r="AU72" s="709">
        <v>0</v>
      </c>
      <c r="AV72" s="709">
        <v>0</v>
      </c>
      <c r="AW72" s="709">
        <v>0</v>
      </c>
      <c r="AX72" s="709">
        <v>0</v>
      </c>
    </row>
    <row r="73" spans="1:50" ht="13.2" x14ac:dyDescent="0.2">
      <c r="A73" s="43"/>
      <c r="B73" s="290" t="str">
        <f>CHIFFRAGE_TC!B74</f>
        <v>Sistema de informacion a los pasajeros en las estaciones</v>
      </c>
      <c r="C73" s="16">
        <f>CHIFFRAGE_TC!D74</f>
        <v>15</v>
      </c>
      <c r="E73" s="712">
        <f>CHIFFRAGE_TC!$L74*CHIFFRAGE_TC!$T74</f>
        <v>0</v>
      </c>
      <c r="F73" s="715">
        <f>CHIFFRAGE_TC!$L74*CHIFFRAGE_TC!$U74</f>
        <v>0</v>
      </c>
      <c r="G73" s="715">
        <f>CHIFFRAGE_TC!$L74*CHIFFRAGE_TC!$V74</f>
        <v>103541.1714590909</v>
      </c>
      <c r="H73" s="716">
        <f>CHIFFRAGE_TC!$L74*CHIFFRAGE_TC!$W74</f>
        <v>103541.1714590909</v>
      </c>
      <c r="I73" s="709">
        <v>0</v>
      </c>
      <c r="J73" s="709">
        <v>0</v>
      </c>
      <c r="K73" s="709">
        <v>0</v>
      </c>
      <c r="L73" s="709">
        <v>0</v>
      </c>
      <c r="M73" s="709">
        <v>0</v>
      </c>
      <c r="N73" s="709">
        <v>0</v>
      </c>
      <c r="O73" s="709">
        <v>0</v>
      </c>
      <c r="P73" s="709">
        <v>0</v>
      </c>
      <c r="Q73" s="709">
        <v>0</v>
      </c>
      <c r="R73" s="709">
        <v>0</v>
      </c>
      <c r="S73" s="709">
        <v>0</v>
      </c>
      <c r="T73" s="709">
        <v>0</v>
      </c>
      <c r="U73" s="709">
        <v>0</v>
      </c>
      <c r="V73" s="709">
        <v>0</v>
      </c>
      <c r="W73" s="729">
        <f t="shared" si="43"/>
        <v>0</v>
      </c>
      <c r="X73" s="729">
        <f t="shared" si="44"/>
        <v>103541.1714590909</v>
      </c>
      <c r="Y73" s="729">
        <f t="shared" si="45"/>
        <v>103541.1714590909</v>
      </c>
      <c r="Z73" s="709">
        <v>0</v>
      </c>
      <c r="AA73" s="709">
        <v>0</v>
      </c>
      <c r="AB73" s="709">
        <v>0</v>
      </c>
      <c r="AC73" s="709">
        <v>0</v>
      </c>
      <c r="AD73" s="709">
        <v>0</v>
      </c>
      <c r="AE73" s="709">
        <v>0</v>
      </c>
      <c r="AF73" s="709">
        <v>0</v>
      </c>
      <c r="AG73" s="709">
        <v>0</v>
      </c>
      <c r="AH73" s="709">
        <v>0</v>
      </c>
      <c r="AI73" s="709">
        <v>0</v>
      </c>
      <c r="AJ73" s="709">
        <v>0</v>
      </c>
      <c r="AK73" s="709">
        <v>0</v>
      </c>
      <c r="AL73" s="709">
        <v>0</v>
      </c>
      <c r="AM73" s="709">
        <v>0</v>
      </c>
      <c r="AN73" s="729">
        <f t="shared" si="46"/>
        <v>0</v>
      </c>
      <c r="AO73" s="729">
        <f t="shared" si="47"/>
        <v>103541.1714590909</v>
      </c>
      <c r="AP73" s="729">
        <f t="shared" si="48"/>
        <v>103541.1714590909</v>
      </c>
      <c r="AQ73" s="709">
        <v>0</v>
      </c>
      <c r="AR73" s="709">
        <v>0</v>
      </c>
      <c r="AS73" s="709">
        <v>0</v>
      </c>
      <c r="AT73" s="709">
        <v>0</v>
      </c>
      <c r="AU73" s="709">
        <v>0</v>
      </c>
      <c r="AV73" s="709">
        <v>0</v>
      </c>
      <c r="AW73" s="709">
        <v>0</v>
      </c>
      <c r="AX73" s="709">
        <v>0</v>
      </c>
    </row>
    <row r="74" spans="1:50" ht="13.2" x14ac:dyDescent="0.2">
      <c r="A74" s="43"/>
      <c r="B74" s="290" t="str">
        <f>CHIFFRAGE_TC!B75</f>
        <v>Sistema de supervision SCADA del centro de mando</v>
      </c>
      <c r="C74" s="16">
        <f>CHIFFRAGE_TC!D75</f>
        <v>15</v>
      </c>
      <c r="E74" s="712">
        <f>CHIFFRAGE_TC!$L75*CHIFFRAGE_TC!$T75</f>
        <v>0</v>
      </c>
      <c r="F74" s="715">
        <f>CHIFFRAGE_TC!$L75*CHIFFRAGE_TC!$U75</f>
        <v>0</v>
      </c>
      <c r="G74" s="715">
        <f>CHIFFRAGE_TC!$L75*CHIFFRAGE_TC!$V75</f>
        <v>65278.849101136351</v>
      </c>
      <c r="H74" s="716">
        <f>CHIFFRAGE_TC!$L75*CHIFFRAGE_TC!$W75</f>
        <v>39167.309460681805</v>
      </c>
      <c r="I74" s="709">
        <v>0</v>
      </c>
      <c r="J74" s="709">
        <v>0</v>
      </c>
      <c r="K74" s="709">
        <v>0</v>
      </c>
      <c r="L74" s="709">
        <v>0</v>
      </c>
      <c r="M74" s="709">
        <v>0</v>
      </c>
      <c r="N74" s="709">
        <v>0</v>
      </c>
      <c r="O74" s="709">
        <v>0</v>
      </c>
      <c r="P74" s="709">
        <v>0</v>
      </c>
      <c r="Q74" s="709">
        <v>0</v>
      </c>
      <c r="R74" s="709">
        <v>0</v>
      </c>
      <c r="S74" s="709">
        <v>0</v>
      </c>
      <c r="T74" s="709">
        <v>0</v>
      </c>
      <c r="U74" s="709">
        <v>0</v>
      </c>
      <c r="V74" s="709">
        <v>0</v>
      </c>
      <c r="W74" s="729">
        <f t="shared" si="43"/>
        <v>0</v>
      </c>
      <c r="X74" s="729">
        <f t="shared" si="44"/>
        <v>65278.849101136351</v>
      </c>
      <c r="Y74" s="729">
        <f t="shared" si="45"/>
        <v>39167.309460681805</v>
      </c>
      <c r="Z74" s="709">
        <v>0</v>
      </c>
      <c r="AA74" s="709">
        <v>0</v>
      </c>
      <c r="AB74" s="709">
        <v>0</v>
      </c>
      <c r="AC74" s="709">
        <v>0</v>
      </c>
      <c r="AD74" s="709">
        <v>0</v>
      </c>
      <c r="AE74" s="709">
        <v>0</v>
      </c>
      <c r="AF74" s="709">
        <v>0</v>
      </c>
      <c r="AG74" s="709">
        <v>0</v>
      </c>
      <c r="AH74" s="709">
        <v>0</v>
      </c>
      <c r="AI74" s="709">
        <v>0</v>
      </c>
      <c r="AJ74" s="709">
        <v>0</v>
      </c>
      <c r="AK74" s="709">
        <v>0</v>
      </c>
      <c r="AL74" s="709">
        <v>0</v>
      </c>
      <c r="AM74" s="709">
        <v>0</v>
      </c>
      <c r="AN74" s="729">
        <f t="shared" si="46"/>
        <v>0</v>
      </c>
      <c r="AO74" s="729">
        <f t="shared" si="47"/>
        <v>65278.849101136351</v>
      </c>
      <c r="AP74" s="729">
        <f t="shared" si="48"/>
        <v>39167.309460681805</v>
      </c>
      <c r="AQ74" s="709">
        <v>0</v>
      </c>
      <c r="AR74" s="709">
        <v>0</v>
      </c>
      <c r="AS74" s="709">
        <v>0</v>
      </c>
      <c r="AT74" s="709">
        <v>0</v>
      </c>
      <c r="AU74" s="709">
        <v>0</v>
      </c>
      <c r="AV74" s="709">
        <v>0</v>
      </c>
      <c r="AW74" s="709">
        <v>0</v>
      </c>
      <c r="AX74" s="709">
        <v>0</v>
      </c>
    </row>
    <row r="75" spans="1:50" ht="13.2" x14ac:dyDescent="0.2">
      <c r="A75" s="43"/>
      <c r="B75" s="290" t="str">
        <f>CHIFFRAGE_TC!B76</f>
        <v>Cronometria, relojes marcadores</v>
      </c>
      <c r="C75" s="16">
        <f>CHIFFRAGE_TC!D76</f>
        <v>15</v>
      </c>
      <c r="E75" s="712">
        <f>CHIFFRAGE_TC!$L76*CHIFFRAGE_TC!$T76</f>
        <v>0</v>
      </c>
      <c r="F75" s="715">
        <f>CHIFFRAGE_TC!$L76*CHIFFRAGE_TC!$U76</f>
        <v>0</v>
      </c>
      <c r="G75" s="715">
        <f>CHIFFRAGE_TC!$L76*CHIFFRAGE_TC!$V76</f>
        <v>0</v>
      </c>
      <c r="H75" s="716">
        <f>CHIFFRAGE_TC!$L76*CHIFFRAGE_TC!$W76</f>
        <v>133637.69632499997</v>
      </c>
      <c r="I75" s="709">
        <v>0</v>
      </c>
      <c r="J75" s="709">
        <v>0</v>
      </c>
      <c r="K75" s="709">
        <v>0</v>
      </c>
      <c r="L75" s="709">
        <v>0</v>
      </c>
      <c r="M75" s="709">
        <v>0</v>
      </c>
      <c r="N75" s="709">
        <v>0</v>
      </c>
      <c r="O75" s="709">
        <v>0</v>
      </c>
      <c r="P75" s="709">
        <v>0</v>
      </c>
      <c r="Q75" s="709">
        <v>0</v>
      </c>
      <c r="R75" s="709">
        <v>0</v>
      </c>
      <c r="S75" s="709">
        <v>0</v>
      </c>
      <c r="T75" s="709">
        <v>0</v>
      </c>
      <c r="U75" s="709">
        <v>0</v>
      </c>
      <c r="V75" s="709">
        <v>0</v>
      </c>
      <c r="W75" s="729">
        <f t="shared" si="43"/>
        <v>0</v>
      </c>
      <c r="X75" s="729">
        <f t="shared" si="44"/>
        <v>0</v>
      </c>
      <c r="Y75" s="729">
        <f t="shared" si="45"/>
        <v>133637.69632499997</v>
      </c>
      <c r="Z75" s="709">
        <v>0</v>
      </c>
      <c r="AA75" s="709">
        <v>0</v>
      </c>
      <c r="AB75" s="709">
        <v>0</v>
      </c>
      <c r="AC75" s="709">
        <v>0</v>
      </c>
      <c r="AD75" s="709">
        <v>0</v>
      </c>
      <c r="AE75" s="709">
        <v>0</v>
      </c>
      <c r="AF75" s="709">
        <v>0</v>
      </c>
      <c r="AG75" s="709">
        <v>0</v>
      </c>
      <c r="AH75" s="709">
        <v>0</v>
      </c>
      <c r="AI75" s="709">
        <v>0</v>
      </c>
      <c r="AJ75" s="709">
        <v>0</v>
      </c>
      <c r="AK75" s="709">
        <v>0</v>
      </c>
      <c r="AL75" s="709">
        <v>0</v>
      </c>
      <c r="AM75" s="709">
        <v>0</v>
      </c>
      <c r="AN75" s="729">
        <f t="shared" si="46"/>
        <v>0</v>
      </c>
      <c r="AO75" s="729">
        <f t="shared" si="47"/>
        <v>0</v>
      </c>
      <c r="AP75" s="729">
        <f t="shared" si="48"/>
        <v>133637.69632499997</v>
      </c>
      <c r="AQ75" s="709">
        <v>0</v>
      </c>
      <c r="AR75" s="709">
        <v>0</v>
      </c>
      <c r="AS75" s="709">
        <v>0</v>
      </c>
      <c r="AT75" s="709">
        <v>0</v>
      </c>
      <c r="AU75" s="709">
        <v>0</v>
      </c>
      <c r="AV75" s="709">
        <v>0</v>
      </c>
      <c r="AW75" s="709">
        <v>0</v>
      </c>
      <c r="AX75" s="709">
        <v>0</v>
      </c>
    </row>
    <row r="76" spans="1:50" ht="13.2" x14ac:dyDescent="0.2">
      <c r="A76" s="43"/>
      <c r="B76" s="290" t="str">
        <f>CHIFFRAGE_TC!B77</f>
        <v>Equipamiento embarcado en la cabinas 
(videocamara/interponia/DI/LCD/WIFI)</v>
      </c>
      <c r="C76" s="16">
        <f>CHIFFRAGE_TC!D77</f>
        <v>15</v>
      </c>
      <c r="E76" s="712">
        <f>CHIFFRAGE_TC!$L77*CHIFFRAGE_TC!$T77</f>
        <v>0</v>
      </c>
      <c r="F76" s="715">
        <f>CHIFFRAGE_TC!$L77*CHIFFRAGE_TC!$U77</f>
        <v>0</v>
      </c>
      <c r="G76" s="715">
        <f>CHIFFRAGE_TC!$L77*CHIFFRAGE_TC!$V77</f>
        <v>454368.16750499984</v>
      </c>
      <c r="H76" s="716">
        <f>CHIFFRAGE_TC!$L77*CHIFFRAGE_TC!$W77</f>
        <v>302912.11166999995</v>
      </c>
      <c r="I76" s="709">
        <v>0</v>
      </c>
      <c r="J76" s="709">
        <v>0</v>
      </c>
      <c r="K76" s="709">
        <v>0</v>
      </c>
      <c r="L76" s="709">
        <v>0</v>
      </c>
      <c r="M76" s="709">
        <v>0</v>
      </c>
      <c r="N76" s="709">
        <v>0</v>
      </c>
      <c r="O76" s="709">
        <v>0</v>
      </c>
      <c r="P76" s="709">
        <v>0</v>
      </c>
      <c r="Q76" s="709">
        <v>0</v>
      </c>
      <c r="R76" s="709">
        <v>0</v>
      </c>
      <c r="S76" s="709">
        <v>0</v>
      </c>
      <c r="T76" s="709">
        <v>0</v>
      </c>
      <c r="U76" s="709">
        <v>0</v>
      </c>
      <c r="V76" s="709">
        <v>0</v>
      </c>
      <c r="W76" s="729">
        <f t="shared" si="43"/>
        <v>0</v>
      </c>
      <c r="X76" s="729">
        <f t="shared" si="44"/>
        <v>454368.16750499984</v>
      </c>
      <c r="Y76" s="729">
        <f t="shared" si="45"/>
        <v>302912.11166999995</v>
      </c>
      <c r="Z76" s="709">
        <v>0</v>
      </c>
      <c r="AA76" s="709">
        <v>0</v>
      </c>
      <c r="AB76" s="709">
        <v>0</v>
      </c>
      <c r="AC76" s="709">
        <v>0</v>
      </c>
      <c r="AD76" s="709">
        <v>0</v>
      </c>
      <c r="AE76" s="709">
        <v>0</v>
      </c>
      <c r="AF76" s="709">
        <v>0</v>
      </c>
      <c r="AG76" s="709">
        <v>0</v>
      </c>
      <c r="AH76" s="709">
        <v>0</v>
      </c>
      <c r="AI76" s="709">
        <v>0</v>
      </c>
      <c r="AJ76" s="709">
        <v>0</v>
      </c>
      <c r="AK76" s="709">
        <v>0</v>
      </c>
      <c r="AL76" s="709">
        <v>0</v>
      </c>
      <c r="AM76" s="709">
        <v>0</v>
      </c>
      <c r="AN76" s="729">
        <f t="shared" si="46"/>
        <v>0</v>
      </c>
      <c r="AO76" s="729">
        <f t="shared" si="47"/>
        <v>454368.16750499984</v>
      </c>
      <c r="AP76" s="729">
        <f t="shared" si="48"/>
        <v>302912.11166999995</v>
      </c>
      <c r="AQ76" s="709">
        <v>0</v>
      </c>
      <c r="AR76" s="709">
        <v>0</v>
      </c>
      <c r="AS76" s="709">
        <v>0</v>
      </c>
      <c r="AT76" s="709">
        <v>0</v>
      </c>
      <c r="AU76" s="709">
        <v>0</v>
      </c>
      <c r="AV76" s="709">
        <v>0</v>
      </c>
      <c r="AW76" s="709">
        <v>0</v>
      </c>
      <c r="AX76" s="709">
        <v>0</v>
      </c>
    </row>
    <row r="77" spans="1:50" ht="13.2" x14ac:dyDescent="0.2">
      <c r="A77" s="43"/>
      <c r="B77" s="290" t="str">
        <f>CHIFFRAGE_TC!B78</f>
        <v>Sistema de antenas y de mando securizado WIFI</v>
      </c>
      <c r="C77" s="16">
        <f>CHIFFRAGE_TC!D78</f>
        <v>15</v>
      </c>
      <c r="E77" s="712">
        <f>CHIFFRAGE_TC!$L78*CHIFFRAGE_TC!$T78</f>
        <v>0</v>
      </c>
      <c r="F77" s="715">
        <f>CHIFFRAGE_TC!$L78*CHIFFRAGE_TC!$U78</f>
        <v>0</v>
      </c>
      <c r="G77" s="715">
        <f>CHIFFRAGE_TC!$L78*CHIFFRAGE_TC!$V78</f>
        <v>1117074.0769730764</v>
      </c>
      <c r="H77" s="716">
        <f>CHIFFRAGE_TC!$L78*CHIFFRAGE_TC!$W78</f>
        <v>335122.22309192293</v>
      </c>
      <c r="I77" s="709">
        <v>0</v>
      </c>
      <c r="J77" s="709">
        <v>0</v>
      </c>
      <c r="K77" s="709">
        <v>0</v>
      </c>
      <c r="L77" s="709">
        <v>0</v>
      </c>
      <c r="M77" s="709">
        <v>0</v>
      </c>
      <c r="N77" s="709">
        <v>0</v>
      </c>
      <c r="O77" s="709">
        <v>0</v>
      </c>
      <c r="P77" s="709">
        <v>0</v>
      </c>
      <c r="Q77" s="709">
        <v>0</v>
      </c>
      <c r="R77" s="709">
        <v>0</v>
      </c>
      <c r="S77" s="709">
        <v>0</v>
      </c>
      <c r="T77" s="709">
        <v>0</v>
      </c>
      <c r="U77" s="709">
        <v>0</v>
      </c>
      <c r="V77" s="709">
        <v>0</v>
      </c>
      <c r="W77" s="729">
        <f t="shared" si="43"/>
        <v>0</v>
      </c>
      <c r="X77" s="729">
        <f t="shared" si="44"/>
        <v>1117074.0769730764</v>
      </c>
      <c r="Y77" s="729">
        <f t="shared" si="45"/>
        <v>335122.22309192293</v>
      </c>
      <c r="Z77" s="709">
        <v>0</v>
      </c>
      <c r="AA77" s="709">
        <v>0</v>
      </c>
      <c r="AB77" s="709">
        <v>0</v>
      </c>
      <c r="AC77" s="709">
        <v>0</v>
      </c>
      <c r="AD77" s="709">
        <v>0</v>
      </c>
      <c r="AE77" s="709">
        <v>0</v>
      </c>
      <c r="AF77" s="709">
        <v>0</v>
      </c>
      <c r="AG77" s="709">
        <v>0</v>
      </c>
      <c r="AH77" s="709">
        <v>0</v>
      </c>
      <c r="AI77" s="709">
        <v>0</v>
      </c>
      <c r="AJ77" s="709">
        <v>0</v>
      </c>
      <c r="AK77" s="709">
        <v>0</v>
      </c>
      <c r="AL77" s="709">
        <v>0</v>
      </c>
      <c r="AM77" s="709">
        <v>0</v>
      </c>
      <c r="AN77" s="729">
        <f t="shared" si="46"/>
        <v>0</v>
      </c>
      <c r="AO77" s="729">
        <f t="shared" si="47"/>
        <v>1117074.0769730764</v>
      </c>
      <c r="AP77" s="729">
        <f t="shared" si="48"/>
        <v>335122.22309192293</v>
      </c>
      <c r="AQ77" s="709">
        <v>0</v>
      </c>
      <c r="AR77" s="709">
        <v>0</v>
      </c>
      <c r="AS77" s="709">
        <v>0</v>
      </c>
      <c r="AT77" s="709">
        <v>0</v>
      </c>
      <c r="AU77" s="709">
        <v>0</v>
      </c>
      <c r="AV77" s="709">
        <v>0</v>
      </c>
      <c r="AW77" s="709">
        <v>0</v>
      </c>
      <c r="AX77" s="709">
        <v>0</v>
      </c>
    </row>
    <row r="78" spans="1:50" ht="13.2" x14ac:dyDescent="0.2">
      <c r="A78" s="43"/>
      <c r="B78" s="290" t="str">
        <f>CHIFFRAGE_TC!B79</f>
        <v>Sistema de vigilancia visio + termica por postes</v>
      </c>
      <c r="C78" s="16">
        <f>CHIFFRAGE_TC!D79</f>
        <v>15</v>
      </c>
      <c r="E78" s="712">
        <f>CHIFFRAGE_TC!$L79*CHIFFRAGE_TC!$T79</f>
        <v>0</v>
      </c>
      <c r="F78" s="715">
        <f>CHIFFRAGE_TC!$L79*CHIFFRAGE_TC!$U79</f>
        <v>0</v>
      </c>
      <c r="G78" s="715">
        <f>CHIFFRAGE_TC!$L79*CHIFFRAGE_TC!$V79</f>
        <v>994119.45992333279</v>
      </c>
      <c r="H78" s="716">
        <f>CHIFFRAGE_TC!$L79*CHIFFRAGE_TC!$W79</f>
        <v>497059.72996166639</v>
      </c>
      <c r="I78" s="709">
        <v>0</v>
      </c>
      <c r="J78" s="709">
        <v>0</v>
      </c>
      <c r="K78" s="709">
        <v>0</v>
      </c>
      <c r="L78" s="709">
        <v>0</v>
      </c>
      <c r="M78" s="709">
        <v>0</v>
      </c>
      <c r="N78" s="709">
        <v>0</v>
      </c>
      <c r="O78" s="709">
        <v>0</v>
      </c>
      <c r="P78" s="709">
        <v>0</v>
      </c>
      <c r="Q78" s="709">
        <v>0</v>
      </c>
      <c r="R78" s="709">
        <v>0</v>
      </c>
      <c r="S78" s="709">
        <v>0</v>
      </c>
      <c r="T78" s="709">
        <v>0</v>
      </c>
      <c r="U78" s="709">
        <v>0</v>
      </c>
      <c r="V78" s="709">
        <v>0</v>
      </c>
      <c r="W78" s="729">
        <f t="shared" si="43"/>
        <v>0</v>
      </c>
      <c r="X78" s="729">
        <f t="shared" si="44"/>
        <v>994119.45992333279</v>
      </c>
      <c r="Y78" s="729">
        <f t="shared" si="45"/>
        <v>497059.72996166639</v>
      </c>
      <c r="Z78" s="709">
        <v>0</v>
      </c>
      <c r="AA78" s="709">
        <v>0</v>
      </c>
      <c r="AB78" s="709">
        <v>0</v>
      </c>
      <c r="AC78" s="709">
        <v>0</v>
      </c>
      <c r="AD78" s="709">
        <v>0</v>
      </c>
      <c r="AE78" s="709">
        <v>0</v>
      </c>
      <c r="AF78" s="709">
        <v>0</v>
      </c>
      <c r="AG78" s="709">
        <v>0</v>
      </c>
      <c r="AH78" s="709">
        <v>0</v>
      </c>
      <c r="AI78" s="709">
        <v>0</v>
      </c>
      <c r="AJ78" s="709">
        <v>0</v>
      </c>
      <c r="AK78" s="709">
        <v>0</v>
      </c>
      <c r="AL78" s="709">
        <v>0</v>
      </c>
      <c r="AM78" s="709">
        <v>0</v>
      </c>
      <c r="AN78" s="729">
        <f t="shared" si="46"/>
        <v>0</v>
      </c>
      <c r="AO78" s="729">
        <f t="shared" si="47"/>
        <v>994119.45992333279</v>
      </c>
      <c r="AP78" s="729">
        <f t="shared" si="48"/>
        <v>497059.72996166639</v>
      </c>
      <c r="AQ78" s="709">
        <v>0</v>
      </c>
      <c r="AR78" s="709">
        <v>0</v>
      </c>
      <c r="AS78" s="709">
        <v>0</v>
      </c>
      <c r="AT78" s="709">
        <v>0</v>
      </c>
      <c r="AU78" s="709">
        <v>0</v>
      </c>
      <c r="AV78" s="709">
        <v>0</v>
      </c>
      <c r="AW78" s="709">
        <v>0</v>
      </c>
      <c r="AX78" s="709">
        <v>0</v>
      </c>
    </row>
    <row r="79" spans="1:50" ht="13.2" x14ac:dyDescent="0.2">
      <c r="A79" s="43"/>
      <c r="B79" s="290" t="str">
        <f>CHIFFRAGE_TC!B80</f>
        <v>Sistema de vigilancia con video en estaciones</v>
      </c>
      <c r="C79" s="16">
        <f>CHIFFRAGE_TC!D80</f>
        <v>15</v>
      </c>
      <c r="E79" s="712">
        <f>CHIFFRAGE_TC!$L80*CHIFFRAGE_TC!$T80</f>
        <v>0</v>
      </c>
      <c r="F79" s="715">
        <f>CHIFFRAGE_TC!$L80*CHIFFRAGE_TC!$U80</f>
        <v>0</v>
      </c>
      <c r="G79" s="715">
        <f>CHIFFRAGE_TC!$L80*CHIFFRAGE_TC!$V80</f>
        <v>167329.45356749994</v>
      </c>
      <c r="H79" s="716">
        <f>CHIFFRAGE_TC!$L80*CHIFFRAGE_TC!$W80</f>
        <v>111552.96904499998</v>
      </c>
      <c r="I79" s="709">
        <v>0</v>
      </c>
      <c r="J79" s="709">
        <v>0</v>
      </c>
      <c r="K79" s="709">
        <v>0</v>
      </c>
      <c r="L79" s="709">
        <v>0</v>
      </c>
      <c r="M79" s="709">
        <v>0</v>
      </c>
      <c r="N79" s="709">
        <v>0</v>
      </c>
      <c r="O79" s="709">
        <v>0</v>
      </c>
      <c r="P79" s="709">
        <v>0</v>
      </c>
      <c r="Q79" s="709">
        <v>0</v>
      </c>
      <c r="R79" s="709">
        <v>0</v>
      </c>
      <c r="S79" s="709">
        <v>0</v>
      </c>
      <c r="T79" s="709">
        <v>0</v>
      </c>
      <c r="U79" s="709">
        <v>0</v>
      </c>
      <c r="V79" s="709">
        <v>0</v>
      </c>
      <c r="W79" s="729">
        <f t="shared" si="43"/>
        <v>0</v>
      </c>
      <c r="X79" s="729">
        <f t="shared" si="44"/>
        <v>167329.45356749994</v>
      </c>
      <c r="Y79" s="729">
        <f t="shared" si="45"/>
        <v>111552.96904499998</v>
      </c>
      <c r="Z79" s="709">
        <v>0</v>
      </c>
      <c r="AA79" s="709">
        <v>0</v>
      </c>
      <c r="AB79" s="709">
        <v>0</v>
      </c>
      <c r="AC79" s="709">
        <v>0</v>
      </c>
      <c r="AD79" s="709">
        <v>0</v>
      </c>
      <c r="AE79" s="709">
        <v>0</v>
      </c>
      <c r="AF79" s="709">
        <v>0</v>
      </c>
      <c r="AG79" s="709">
        <v>0</v>
      </c>
      <c r="AH79" s="709">
        <v>0</v>
      </c>
      <c r="AI79" s="709">
        <v>0</v>
      </c>
      <c r="AJ79" s="709">
        <v>0</v>
      </c>
      <c r="AK79" s="709">
        <v>0</v>
      </c>
      <c r="AL79" s="709">
        <v>0</v>
      </c>
      <c r="AM79" s="709">
        <v>0</v>
      </c>
      <c r="AN79" s="729">
        <f t="shared" si="46"/>
        <v>0</v>
      </c>
      <c r="AO79" s="729">
        <f t="shared" si="47"/>
        <v>167329.45356749994</v>
      </c>
      <c r="AP79" s="729">
        <f t="shared" si="48"/>
        <v>111552.96904499998</v>
      </c>
      <c r="AQ79" s="709">
        <v>0</v>
      </c>
      <c r="AR79" s="709">
        <v>0</v>
      </c>
      <c r="AS79" s="709">
        <v>0</v>
      </c>
      <c r="AT79" s="709">
        <v>0</v>
      </c>
      <c r="AU79" s="709">
        <v>0</v>
      </c>
      <c r="AV79" s="709">
        <v>0</v>
      </c>
      <c r="AW79" s="709">
        <v>0</v>
      </c>
      <c r="AX79" s="709">
        <v>0</v>
      </c>
    </row>
    <row r="80" spans="1:50" ht="13.2" x14ac:dyDescent="0.2">
      <c r="A80" s="43"/>
      <c r="B80" s="290" t="str">
        <f>CHIFFRAGE_TC!B81</f>
        <v>Sistema de deteccion incendio y de control de acceso</v>
      </c>
      <c r="C80" s="16">
        <f>CHIFFRAGE_TC!D81</f>
        <v>15</v>
      </c>
      <c r="E80" s="712">
        <f>CHIFFRAGE_TC!$L81*CHIFFRAGE_TC!$T81</f>
        <v>0</v>
      </c>
      <c r="F80" s="715">
        <f>CHIFFRAGE_TC!$L81*CHIFFRAGE_TC!$U81</f>
        <v>0</v>
      </c>
      <c r="G80" s="715">
        <f>CHIFFRAGE_TC!$L81*CHIFFRAGE_TC!$V81</f>
        <v>71273.438039999979</v>
      </c>
      <c r="H80" s="716">
        <f>CHIFFRAGE_TC!$L81*CHIFFRAGE_TC!$W81</f>
        <v>35636.71901999999</v>
      </c>
      <c r="I80" s="709">
        <v>0</v>
      </c>
      <c r="J80" s="709">
        <v>0</v>
      </c>
      <c r="K80" s="709">
        <v>0</v>
      </c>
      <c r="L80" s="709">
        <v>0</v>
      </c>
      <c r="M80" s="709">
        <v>0</v>
      </c>
      <c r="N80" s="709">
        <v>0</v>
      </c>
      <c r="O80" s="709">
        <v>0</v>
      </c>
      <c r="P80" s="709">
        <v>0</v>
      </c>
      <c r="Q80" s="709">
        <v>0</v>
      </c>
      <c r="R80" s="709">
        <v>0</v>
      </c>
      <c r="S80" s="709">
        <v>0</v>
      </c>
      <c r="T80" s="709">
        <v>0</v>
      </c>
      <c r="U80" s="709">
        <v>0</v>
      </c>
      <c r="V80" s="709">
        <v>0</v>
      </c>
      <c r="W80" s="729">
        <f t="shared" si="43"/>
        <v>0</v>
      </c>
      <c r="X80" s="729">
        <f t="shared" si="44"/>
        <v>71273.438039999979</v>
      </c>
      <c r="Y80" s="729">
        <f t="shared" si="45"/>
        <v>35636.71901999999</v>
      </c>
      <c r="Z80" s="709">
        <v>0</v>
      </c>
      <c r="AA80" s="709">
        <v>0</v>
      </c>
      <c r="AB80" s="709">
        <v>0</v>
      </c>
      <c r="AC80" s="709">
        <v>0</v>
      </c>
      <c r="AD80" s="709">
        <v>0</v>
      </c>
      <c r="AE80" s="709">
        <v>0</v>
      </c>
      <c r="AF80" s="709">
        <v>0</v>
      </c>
      <c r="AG80" s="709">
        <v>0</v>
      </c>
      <c r="AH80" s="709">
        <v>0</v>
      </c>
      <c r="AI80" s="709">
        <v>0</v>
      </c>
      <c r="AJ80" s="709">
        <v>0</v>
      </c>
      <c r="AK80" s="709">
        <v>0</v>
      </c>
      <c r="AL80" s="709">
        <v>0</v>
      </c>
      <c r="AM80" s="709">
        <v>0</v>
      </c>
      <c r="AN80" s="729">
        <f t="shared" si="46"/>
        <v>0</v>
      </c>
      <c r="AO80" s="729">
        <f t="shared" si="47"/>
        <v>71273.438039999979</v>
      </c>
      <c r="AP80" s="729">
        <f t="shared" si="48"/>
        <v>35636.71901999999</v>
      </c>
      <c r="AQ80" s="709">
        <v>0</v>
      </c>
      <c r="AR80" s="709">
        <v>0</v>
      </c>
      <c r="AS80" s="709">
        <v>0</v>
      </c>
      <c r="AT80" s="709">
        <v>0</v>
      </c>
      <c r="AU80" s="709">
        <v>0</v>
      </c>
      <c r="AV80" s="709">
        <v>0</v>
      </c>
      <c r="AW80" s="709">
        <v>0</v>
      </c>
      <c r="AX80" s="709">
        <v>0</v>
      </c>
    </row>
    <row r="81" spans="1:50" ht="13.2" x14ac:dyDescent="0.2">
      <c r="A81" s="43"/>
      <c r="B81" s="290" t="str">
        <f>CHIFFRAGE_TC!B82</f>
        <v>Fibra de seguridad y equipos de transmision Ethernet</v>
      </c>
      <c r="C81" s="16">
        <f>CHIFFRAGE_TC!D82</f>
        <v>15</v>
      </c>
      <c r="E81" s="712">
        <f>CHIFFRAGE_TC!$L82*CHIFFRAGE_TC!$T82</f>
        <v>0</v>
      </c>
      <c r="F81" s="715">
        <f>CHIFFRAGE_TC!$L82*CHIFFRAGE_TC!$U82</f>
        <v>195217.69582874991</v>
      </c>
      <c r="G81" s="715">
        <f>CHIFFRAGE_TC!$L82*CHIFFRAGE_TC!$V82</f>
        <v>250994.18035124993</v>
      </c>
      <c r="H81" s="716">
        <f>CHIFFRAGE_TC!$L82*CHIFFRAGE_TC!$W82</f>
        <v>111552.96904499998</v>
      </c>
      <c r="I81" s="709">
        <v>0</v>
      </c>
      <c r="J81" s="709">
        <v>0</v>
      </c>
      <c r="K81" s="709">
        <v>0</v>
      </c>
      <c r="L81" s="709">
        <v>0</v>
      </c>
      <c r="M81" s="709">
        <v>0</v>
      </c>
      <c r="N81" s="709">
        <v>0</v>
      </c>
      <c r="O81" s="709">
        <v>0</v>
      </c>
      <c r="P81" s="709">
        <v>0</v>
      </c>
      <c r="Q81" s="709">
        <v>0</v>
      </c>
      <c r="R81" s="709">
        <v>0</v>
      </c>
      <c r="S81" s="709">
        <v>0</v>
      </c>
      <c r="T81" s="709">
        <v>0</v>
      </c>
      <c r="U81" s="709">
        <v>0</v>
      </c>
      <c r="V81" s="709">
        <v>0</v>
      </c>
      <c r="W81" s="729">
        <f t="shared" si="43"/>
        <v>195217.69582874991</v>
      </c>
      <c r="X81" s="729">
        <f t="shared" si="44"/>
        <v>250994.18035124993</v>
      </c>
      <c r="Y81" s="729">
        <f t="shared" si="45"/>
        <v>111552.96904499998</v>
      </c>
      <c r="Z81" s="709">
        <v>0</v>
      </c>
      <c r="AA81" s="709">
        <v>0</v>
      </c>
      <c r="AB81" s="709">
        <v>0</v>
      </c>
      <c r="AC81" s="709">
        <v>0</v>
      </c>
      <c r="AD81" s="709">
        <v>0</v>
      </c>
      <c r="AE81" s="709">
        <v>0</v>
      </c>
      <c r="AF81" s="709">
        <v>0</v>
      </c>
      <c r="AG81" s="709">
        <v>0</v>
      </c>
      <c r="AH81" s="709">
        <v>0</v>
      </c>
      <c r="AI81" s="709">
        <v>0</v>
      </c>
      <c r="AJ81" s="709">
        <v>0</v>
      </c>
      <c r="AK81" s="709">
        <v>0</v>
      </c>
      <c r="AL81" s="709">
        <v>0</v>
      </c>
      <c r="AM81" s="709">
        <v>0</v>
      </c>
      <c r="AN81" s="729">
        <f t="shared" si="46"/>
        <v>195217.69582874991</v>
      </c>
      <c r="AO81" s="729">
        <f t="shared" si="47"/>
        <v>250994.18035124993</v>
      </c>
      <c r="AP81" s="729">
        <f t="shared" si="48"/>
        <v>111552.96904499998</v>
      </c>
      <c r="AQ81" s="709">
        <v>0</v>
      </c>
      <c r="AR81" s="709">
        <v>0</v>
      </c>
      <c r="AS81" s="709">
        <v>0</v>
      </c>
      <c r="AT81" s="709">
        <v>0</v>
      </c>
      <c r="AU81" s="709">
        <v>0</v>
      </c>
      <c r="AV81" s="709">
        <v>0</v>
      </c>
      <c r="AW81" s="709">
        <v>0</v>
      </c>
      <c r="AX81" s="709">
        <v>0</v>
      </c>
    </row>
    <row r="82" spans="1:50" ht="13.2" x14ac:dyDescent="0.2">
      <c r="A82" s="43"/>
      <c r="B82" s="289" t="str">
        <f>CHIFFRAGE_TC!B83</f>
        <v>Sistema de boleteria</v>
      </c>
      <c r="C82" s="16">
        <f>CHIFFRAGE_TC!D83</f>
        <v>15</v>
      </c>
      <c r="E82" s="712">
        <f>CHIFFRAGE_TC!$L83*CHIFFRAGE_TC!$T83</f>
        <v>0</v>
      </c>
      <c r="F82" s="715">
        <f>CHIFFRAGE_TC!$L83*CHIFFRAGE_TC!$U83</f>
        <v>0</v>
      </c>
      <c r="G82" s="715">
        <f>CHIFFRAGE_TC!$L83*CHIFFRAGE_TC!$V83</f>
        <v>163746.10389971593</v>
      </c>
      <c r="H82" s="716">
        <f>CHIFFRAGE_TC!$L83*CHIFFRAGE_TC!$W83</f>
        <v>54582.03463323864</v>
      </c>
      <c r="I82" s="709">
        <v>0</v>
      </c>
      <c r="J82" s="709">
        <v>0</v>
      </c>
      <c r="K82" s="709">
        <v>0</v>
      </c>
      <c r="L82" s="709">
        <v>0</v>
      </c>
      <c r="M82" s="709">
        <v>0</v>
      </c>
      <c r="N82" s="709">
        <v>0</v>
      </c>
      <c r="O82" s="709">
        <v>0</v>
      </c>
      <c r="P82" s="709">
        <v>0</v>
      </c>
      <c r="Q82" s="709">
        <v>0</v>
      </c>
      <c r="R82" s="709">
        <v>0</v>
      </c>
      <c r="S82" s="709">
        <v>0</v>
      </c>
      <c r="T82" s="709">
        <v>0</v>
      </c>
      <c r="U82" s="709">
        <v>0</v>
      </c>
      <c r="V82" s="709">
        <v>0</v>
      </c>
      <c r="W82" s="729">
        <f t="shared" si="43"/>
        <v>0</v>
      </c>
      <c r="X82" s="729">
        <f t="shared" si="44"/>
        <v>163746.10389971593</v>
      </c>
      <c r="Y82" s="729">
        <f t="shared" si="45"/>
        <v>54582.03463323864</v>
      </c>
      <c r="Z82" s="709">
        <v>0</v>
      </c>
      <c r="AA82" s="709">
        <v>0</v>
      </c>
      <c r="AB82" s="709">
        <v>0</v>
      </c>
      <c r="AC82" s="709">
        <v>0</v>
      </c>
      <c r="AD82" s="709">
        <v>0</v>
      </c>
      <c r="AE82" s="709">
        <v>0</v>
      </c>
      <c r="AF82" s="709">
        <v>0</v>
      </c>
      <c r="AG82" s="709">
        <v>0</v>
      </c>
      <c r="AH82" s="709">
        <v>0</v>
      </c>
      <c r="AI82" s="709">
        <v>0</v>
      </c>
      <c r="AJ82" s="709">
        <v>0</v>
      </c>
      <c r="AK82" s="709">
        <v>0</v>
      </c>
      <c r="AL82" s="709">
        <v>0</v>
      </c>
      <c r="AM82" s="709">
        <v>0</v>
      </c>
      <c r="AN82" s="729">
        <f t="shared" si="46"/>
        <v>0</v>
      </c>
      <c r="AO82" s="729">
        <f t="shared" si="47"/>
        <v>163746.10389971593</v>
      </c>
      <c r="AP82" s="729">
        <f t="shared" si="48"/>
        <v>54582.03463323864</v>
      </c>
      <c r="AQ82" s="709">
        <v>0</v>
      </c>
      <c r="AR82" s="709">
        <v>0</v>
      </c>
      <c r="AS82" s="709">
        <v>0</v>
      </c>
      <c r="AT82" s="709">
        <v>0</v>
      </c>
      <c r="AU82" s="709">
        <v>0</v>
      </c>
      <c r="AV82" s="709">
        <v>0</v>
      </c>
      <c r="AW82" s="709">
        <v>0</v>
      </c>
      <c r="AX82" s="709">
        <v>0</v>
      </c>
    </row>
    <row r="83" spans="1:50" ht="13.8" thickBot="1" x14ac:dyDescent="0.25">
      <c r="B83" s="290"/>
      <c r="C83" s="16"/>
      <c r="E83" s="712"/>
      <c r="F83" s="715"/>
      <c r="G83" s="715"/>
      <c r="H83" s="716"/>
      <c r="I83" s="696"/>
      <c r="AO83" s="16"/>
      <c r="AP83" s="16"/>
      <c r="AQ83" s="16"/>
      <c r="AR83" s="16"/>
      <c r="AS83" s="16"/>
      <c r="AT83" s="16"/>
      <c r="AU83" s="16"/>
      <c r="AV83" s="16"/>
      <c r="AW83" s="16"/>
      <c r="AX83" s="16"/>
    </row>
    <row r="84" spans="1:50" ht="16.2" thickBot="1" x14ac:dyDescent="0.25">
      <c r="B84" s="288" t="str">
        <f>CHIFFRAGE_TC!B85</f>
        <v>Estaciones</v>
      </c>
      <c r="C84" s="16"/>
      <c r="D84" s="725">
        <f>CHIFFRAGE_TC!J85</f>
        <v>0.25000000000000006</v>
      </c>
      <c r="E84" s="209">
        <f>E85+E96+E107+E118+E129+E140+E151+E162</f>
        <v>0</v>
      </c>
      <c r="F84" s="196">
        <f>F85+F96+F107+F118+F129+F140+F151+F162</f>
        <v>8620428.6975352056</v>
      </c>
      <c r="G84" s="196">
        <f t="shared" ref="G84:AX84" si="49">G85+G96+G107+G118+G129+G140+G151+G162</f>
        <v>14512302.36541787</v>
      </c>
      <c r="H84" s="196">
        <f t="shared" si="49"/>
        <v>3930720.696800624</v>
      </c>
      <c r="I84" s="196">
        <f t="shared" si="49"/>
        <v>0</v>
      </c>
      <c r="J84" s="196">
        <f t="shared" si="49"/>
        <v>0</v>
      </c>
      <c r="K84" s="196">
        <f t="shared" si="49"/>
        <v>0</v>
      </c>
      <c r="L84" s="196">
        <f t="shared" si="49"/>
        <v>0</v>
      </c>
      <c r="M84" s="196">
        <f t="shared" si="49"/>
        <v>0</v>
      </c>
      <c r="N84" s="196">
        <f t="shared" si="49"/>
        <v>0</v>
      </c>
      <c r="O84" s="196">
        <f t="shared" si="49"/>
        <v>0</v>
      </c>
      <c r="P84" s="196">
        <f t="shared" si="49"/>
        <v>0</v>
      </c>
      <c r="Q84" s="196">
        <f t="shared" si="49"/>
        <v>0</v>
      </c>
      <c r="R84" s="196">
        <f t="shared" si="49"/>
        <v>0</v>
      </c>
      <c r="S84" s="196">
        <f t="shared" si="49"/>
        <v>0</v>
      </c>
      <c r="T84" s="196">
        <f t="shared" si="49"/>
        <v>0</v>
      </c>
      <c r="U84" s="196">
        <f t="shared" si="49"/>
        <v>0</v>
      </c>
      <c r="V84" s="196">
        <f t="shared" si="49"/>
        <v>0</v>
      </c>
      <c r="W84" s="196">
        <f t="shared" si="49"/>
        <v>186515.625</v>
      </c>
      <c r="X84" s="196">
        <f t="shared" si="49"/>
        <v>559546.875</v>
      </c>
      <c r="Y84" s="196">
        <f t="shared" si="49"/>
        <v>0</v>
      </c>
      <c r="Z84" s="196">
        <f t="shared" si="49"/>
        <v>0</v>
      </c>
      <c r="AA84" s="196">
        <f t="shared" si="49"/>
        <v>0</v>
      </c>
      <c r="AB84" s="196">
        <f t="shared" si="49"/>
        <v>0</v>
      </c>
      <c r="AC84" s="196">
        <f t="shared" si="49"/>
        <v>0</v>
      </c>
      <c r="AD84" s="196">
        <f t="shared" si="49"/>
        <v>0</v>
      </c>
      <c r="AE84" s="196">
        <f t="shared" si="49"/>
        <v>0</v>
      </c>
      <c r="AF84" s="196">
        <f t="shared" si="49"/>
        <v>0</v>
      </c>
      <c r="AG84" s="196">
        <f t="shared" si="49"/>
        <v>0</v>
      </c>
      <c r="AH84" s="196">
        <f t="shared" si="49"/>
        <v>0</v>
      </c>
      <c r="AI84" s="196">
        <f t="shared" si="49"/>
        <v>0</v>
      </c>
      <c r="AJ84" s="196">
        <f t="shared" si="49"/>
        <v>0</v>
      </c>
      <c r="AK84" s="196">
        <f t="shared" si="49"/>
        <v>0</v>
      </c>
      <c r="AL84" s="196">
        <f t="shared" si="49"/>
        <v>0</v>
      </c>
      <c r="AM84" s="196">
        <f t="shared" si="49"/>
        <v>0</v>
      </c>
      <c r="AN84" s="196">
        <f t="shared" si="49"/>
        <v>186515.625</v>
      </c>
      <c r="AO84" s="196">
        <f t="shared" si="49"/>
        <v>559546.875</v>
      </c>
      <c r="AP84" s="196">
        <f t="shared" si="49"/>
        <v>0</v>
      </c>
      <c r="AQ84" s="196">
        <f t="shared" si="49"/>
        <v>0</v>
      </c>
      <c r="AR84" s="196">
        <f t="shared" si="49"/>
        <v>0</v>
      </c>
      <c r="AS84" s="196">
        <f t="shared" si="49"/>
        <v>0</v>
      </c>
      <c r="AT84" s="196">
        <f t="shared" si="49"/>
        <v>0</v>
      </c>
      <c r="AU84" s="196">
        <f t="shared" si="49"/>
        <v>0</v>
      </c>
      <c r="AV84" s="196">
        <f t="shared" si="49"/>
        <v>0</v>
      </c>
      <c r="AW84" s="196">
        <f t="shared" si="49"/>
        <v>0</v>
      </c>
      <c r="AX84" s="196">
        <f t="shared" si="49"/>
        <v>0</v>
      </c>
    </row>
    <row r="85" spans="1:50" ht="13.2" x14ac:dyDescent="0.2">
      <c r="B85" s="293" t="str">
        <f>CHIFFRAGE_TC!B86</f>
        <v>Edificio - Estacion Duran (Terminal)</v>
      </c>
      <c r="C85" s="16"/>
      <c r="E85" s="717">
        <f>SUM(E86:E95)</f>
        <v>0</v>
      </c>
      <c r="F85" s="718">
        <f>SUM(F86:F95)</f>
        <v>1496677.5994441877</v>
      </c>
      <c r="G85" s="718">
        <f>SUM(G86:G95)</f>
        <v>2410868.6581850648</v>
      </c>
      <c r="H85" s="732">
        <f>SUM(H86:H95)</f>
        <v>1205405.7467812495</v>
      </c>
      <c r="I85" s="733">
        <f t="shared" ref="I85:AN85" si="50">SUM(I86:I95)</f>
        <v>0</v>
      </c>
      <c r="J85" s="733">
        <f t="shared" si="50"/>
        <v>0</v>
      </c>
      <c r="K85" s="733">
        <f t="shared" si="50"/>
        <v>0</v>
      </c>
      <c r="L85" s="733">
        <f t="shared" si="50"/>
        <v>0</v>
      </c>
      <c r="M85" s="733">
        <f t="shared" si="50"/>
        <v>0</v>
      </c>
      <c r="N85" s="733">
        <f t="shared" si="50"/>
        <v>0</v>
      </c>
      <c r="O85" s="733">
        <f t="shared" si="50"/>
        <v>0</v>
      </c>
      <c r="P85" s="733">
        <f t="shared" si="50"/>
        <v>0</v>
      </c>
      <c r="Q85" s="733">
        <f t="shared" si="50"/>
        <v>0</v>
      </c>
      <c r="R85" s="733">
        <f t="shared" si="50"/>
        <v>0</v>
      </c>
      <c r="S85" s="733">
        <f t="shared" si="50"/>
        <v>0</v>
      </c>
      <c r="T85" s="733">
        <f t="shared" si="50"/>
        <v>0</v>
      </c>
      <c r="U85" s="733">
        <f t="shared" si="50"/>
        <v>0</v>
      </c>
      <c r="V85" s="733">
        <f t="shared" si="50"/>
        <v>0</v>
      </c>
      <c r="W85" s="733">
        <f t="shared" si="50"/>
        <v>0</v>
      </c>
      <c r="X85" s="733">
        <f t="shared" si="50"/>
        <v>0</v>
      </c>
      <c r="Y85" s="733">
        <f t="shared" si="50"/>
        <v>0</v>
      </c>
      <c r="Z85" s="733">
        <f t="shared" si="50"/>
        <v>0</v>
      </c>
      <c r="AA85" s="733">
        <f t="shared" si="50"/>
        <v>0</v>
      </c>
      <c r="AB85" s="733">
        <f t="shared" si="50"/>
        <v>0</v>
      </c>
      <c r="AC85" s="733">
        <f t="shared" si="50"/>
        <v>0</v>
      </c>
      <c r="AD85" s="733">
        <f t="shared" si="50"/>
        <v>0</v>
      </c>
      <c r="AE85" s="733">
        <f t="shared" si="50"/>
        <v>0</v>
      </c>
      <c r="AF85" s="733">
        <f t="shared" si="50"/>
        <v>0</v>
      </c>
      <c r="AG85" s="733">
        <f t="shared" si="50"/>
        <v>0</v>
      </c>
      <c r="AH85" s="733">
        <f t="shared" si="50"/>
        <v>0</v>
      </c>
      <c r="AI85" s="733">
        <f t="shared" si="50"/>
        <v>0</v>
      </c>
      <c r="AJ85" s="733">
        <f t="shared" si="50"/>
        <v>0</v>
      </c>
      <c r="AK85" s="733">
        <f t="shared" si="50"/>
        <v>0</v>
      </c>
      <c r="AL85" s="733">
        <f t="shared" si="50"/>
        <v>0</v>
      </c>
      <c r="AM85" s="733">
        <f t="shared" si="50"/>
        <v>0</v>
      </c>
      <c r="AN85" s="733">
        <f t="shared" si="50"/>
        <v>0</v>
      </c>
      <c r="AO85" s="733">
        <f t="shared" ref="AO85" si="51">SUM(AO86:AO95)</f>
        <v>0</v>
      </c>
      <c r="AP85" s="733">
        <f t="shared" ref="AP85" si="52">SUM(AP86:AP95)</f>
        <v>0</v>
      </c>
      <c r="AQ85" s="733">
        <f t="shared" ref="AQ85" si="53">SUM(AQ86:AQ95)</f>
        <v>0</v>
      </c>
      <c r="AR85" s="733">
        <f t="shared" ref="AR85" si="54">SUM(AR86:AR95)</f>
        <v>0</v>
      </c>
      <c r="AS85" s="733">
        <f t="shared" ref="AS85" si="55">SUM(AS86:AS95)</f>
        <v>0</v>
      </c>
      <c r="AT85" s="733">
        <f t="shared" ref="AT85" si="56">SUM(AT86:AT95)</f>
        <v>0</v>
      </c>
      <c r="AU85" s="733">
        <f t="shared" ref="AU85" si="57">SUM(AU86:AU95)</f>
        <v>0</v>
      </c>
      <c r="AV85" s="733">
        <f t="shared" ref="AV85" si="58">SUM(AV86:AV95)</f>
        <v>0</v>
      </c>
      <c r="AW85" s="733">
        <f t="shared" ref="AW85" si="59">SUM(AW86:AW95)</f>
        <v>0</v>
      </c>
      <c r="AX85" s="733">
        <f t="shared" ref="AX85" si="60">SUM(AX86:AX95)</f>
        <v>0</v>
      </c>
    </row>
    <row r="86" spans="1:50" ht="13.2" x14ac:dyDescent="0.2">
      <c r="B86" s="290" t="str">
        <f>CHIFFRAGE_TC!B87</f>
        <v>Fundaciones tipicas 
(edificio con piso tierra y primer piso)</v>
      </c>
      <c r="C86" s="16">
        <f>CHIFFRAGE_TC!D87</f>
        <v>50</v>
      </c>
      <c r="E86" s="712">
        <f>CHIFFRAGE_TC!$L87*CHIFFRAGE_TC!$T87</f>
        <v>0</v>
      </c>
      <c r="F86" s="715">
        <f>CHIFFRAGE_TC!$L87*CHIFFRAGE_TC!$U87</f>
        <v>0</v>
      </c>
      <c r="G86" s="715">
        <f>CHIFFRAGE_TC!$L87*CHIFFRAGE_TC!$V87</f>
        <v>0</v>
      </c>
      <c r="H86" s="716">
        <f>CHIFFRAGE_TC!$L87*CHIFFRAGE_TC!$W87</f>
        <v>0</v>
      </c>
      <c r="I86" s="709">
        <v>0</v>
      </c>
      <c r="J86" s="709">
        <v>0</v>
      </c>
      <c r="K86" s="709">
        <v>0</v>
      </c>
      <c r="L86" s="709">
        <v>0</v>
      </c>
      <c r="M86" s="709">
        <v>0</v>
      </c>
      <c r="N86" s="709">
        <v>0</v>
      </c>
      <c r="O86" s="709">
        <v>0</v>
      </c>
      <c r="P86" s="709">
        <v>0</v>
      </c>
      <c r="Q86" s="709">
        <v>0</v>
      </c>
      <c r="R86" s="709">
        <v>0</v>
      </c>
      <c r="S86" s="709">
        <v>0</v>
      </c>
      <c r="T86" s="709">
        <v>0</v>
      </c>
      <c r="U86" s="709">
        <v>0</v>
      </c>
      <c r="V86" s="709">
        <v>0</v>
      </c>
      <c r="W86" s="709">
        <v>0</v>
      </c>
      <c r="X86" s="709">
        <v>0</v>
      </c>
      <c r="Y86" s="709">
        <v>0</v>
      </c>
      <c r="Z86" s="709">
        <v>0</v>
      </c>
      <c r="AA86" s="709">
        <v>0</v>
      </c>
      <c r="AB86" s="709">
        <v>0</v>
      </c>
      <c r="AC86" s="709">
        <v>0</v>
      </c>
      <c r="AD86" s="709">
        <v>0</v>
      </c>
      <c r="AE86" s="709">
        <v>0</v>
      </c>
      <c r="AF86" s="709">
        <v>0</v>
      </c>
      <c r="AG86" s="709">
        <v>0</v>
      </c>
      <c r="AH86" s="709">
        <v>0</v>
      </c>
      <c r="AI86" s="709">
        <v>0</v>
      </c>
      <c r="AJ86" s="709">
        <v>0</v>
      </c>
      <c r="AK86" s="709">
        <v>0</v>
      </c>
      <c r="AL86" s="709">
        <v>0</v>
      </c>
      <c r="AM86" s="709">
        <v>0</v>
      </c>
      <c r="AN86" s="709">
        <v>0</v>
      </c>
      <c r="AO86" s="709">
        <v>0</v>
      </c>
      <c r="AP86" s="709">
        <v>0</v>
      </c>
      <c r="AQ86" s="709">
        <v>0</v>
      </c>
      <c r="AR86" s="709">
        <v>0</v>
      </c>
      <c r="AS86" s="709">
        <v>0</v>
      </c>
      <c r="AT86" s="709">
        <v>0</v>
      </c>
      <c r="AU86" s="709">
        <v>0</v>
      </c>
      <c r="AV86" s="709">
        <v>0</v>
      </c>
      <c r="AW86" s="709">
        <v>0</v>
      </c>
      <c r="AX86" s="709">
        <v>0</v>
      </c>
    </row>
    <row r="87" spans="1:50" ht="13.2" x14ac:dyDescent="0.2">
      <c r="B87" s="290" t="str">
        <f>CHIFFRAGE_TC!B88</f>
        <v>Piso tierra sobrelevado y fundaciones</v>
      </c>
      <c r="C87" s="16">
        <f>CHIFFRAGE_TC!D88</f>
        <v>50</v>
      </c>
      <c r="E87" s="712">
        <f>CHIFFRAGE_TC!$L88*CHIFFRAGE_TC!$T88</f>
        <v>0</v>
      </c>
      <c r="F87" s="715">
        <f>CHIFFRAGE_TC!$L88*CHIFFRAGE_TC!$U88</f>
        <v>776071.11957374972</v>
      </c>
      <c r="G87" s="715">
        <f>CHIFFRAGE_TC!$L88*CHIFFRAGE_TC!$V88</f>
        <v>776071.11957374972</v>
      </c>
      <c r="H87" s="716">
        <f>CHIFFRAGE_TC!$L88*CHIFFRAGE_TC!$W88</f>
        <v>0</v>
      </c>
      <c r="I87" s="709">
        <v>0</v>
      </c>
      <c r="J87" s="709">
        <v>0</v>
      </c>
      <c r="K87" s="709">
        <v>0</v>
      </c>
      <c r="L87" s="709">
        <v>0</v>
      </c>
      <c r="M87" s="709">
        <v>0</v>
      </c>
      <c r="N87" s="709">
        <v>0</v>
      </c>
      <c r="O87" s="709">
        <v>0</v>
      </c>
      <c r="P87" s="709">
        <v>0</v>
      </c>
      <c r="Q87" s="709">
        <v>0</v>
      </c>
      <c r="R87" s="709">
        <v>0</v>
      </c>
      <c r="S87" s="709">
        <v>0</v>
      </c>
      <c r="T87" s="709">
        <v>0</v>
      </c>
      <c r="U87" s="709">
        <v>0</v>
      </c>
      <c r="V87" s="709">
        <v>0</v>
      </c>
      <c r="W87" s="709">
        <v>0</v>
      </c>
      <c r="X87" s="709">
        <v>0</v>
      </c>
      <c r="Y87" s="709">
        <v>0</v>
      </c>
      <c r="Z87" s="709">
        <v>0</v>
      </c>
      <c r="AA87" s="709">
        <v>0</v>
      </c>
      <c r="AB87" s="709">
        <v>0</v>
      </c>
      <c r="AC87" s="709">
        <v>0</v>
      </c>
      <c r="AD87" s="709">
        <v>0</v>
      </c>
      <c r="AE87" s="709">
        <v>0</v>
      </c>
      <c r="AF87" s="709">
        <v>0</v>
      </c>
      <c r="AG87" s="709">
        <v>0</v>
      </c>
      <c r="AH87" s="709">
        <v>0</v>
      </c>
      <c r="AI87" s="709">
        <v>0</v>
      </c>
      <c r="AJ87" s="709">
        <v>0</v>
      </c>
      <c r="AK87" s="709">
        <v>0</v>
      </c>
      <c r="AL87" s="709">
        <v>0</v>
      </c>
      <c r="AM87" s="709">
        <v>0</v>
      </c>
      <c r="AN87" s="709">
        <v>0</v>
      </c>
      <c r="AO87" s="709">
        <v>0</v>
      </c>
      <c r="AP87" s="709">
        <v>0</v>
      </c>
      <c r="AQ87" s="709">
        <v>0</v>
      </c>
      <c r="AR87" s="709">
        <v>0</v>
      </c>
      <c r="AS87" s="709">
        <v>0</v>
      </c>
      <c r="AT87" s="709">
        <v>0</v>
      </c>
      <c r="AU87" s="709">
        <v>0</v>
      </c>
      <c r="AV87" s="709">
        <v>0</v>
      </c>
      <c r="AW87" s="709">
        <v>0</v>
      </c>
      <c r="AX87" s="709">
        <v>0</v>
      </c>
    </row>
    <row r="88" spans="1:50" ht="13.2" x14ac:dyDescent="0.2">
      <c r="B88" s="290" t="str">
        <f>CHIFFRAGE_TC!B89</f>
        <v>Superficies comerciales</v>
      </c>
      <c r="C88" s="16">
        <f>CHIFFRAGE_TC!D89</f>
        <v>50</v>
      </c>
      <c r="E88" s="712">
        <f>CHIFFRAGE_TC!$L89*CHIFFRAGE_TC!$T89</f>
        <v>0</v>
      </c>
      <c r="F88" s="715">
        <f>CHIFFRAGE_TC!$L89*CHIFFRAGE_TC!$U89</f>
        <v>43789.677245179671</v>
      </c>
      <c r="G88" s="715">
        <f>CHIFFRAGE_TC!$L89*CHIFFRAGE_TC!$V89</f>
        <v>131369.03173553903</v>
      </c>
      <c r="H88" s="716">
        <f>CHIFFRAGE_TC!$L89*CHIFFRAGE_TC!$W89</f>
        <v>0</v>
      </c>
      <c r="I88" s="709">
        <v>0</v>
      </c>
      <c r="J88" s="709">
        <v>0</v>
      </c>
      <c r="K88" s="709">
        <v>0</v>
      </c>
      <c r="L88" s="709">
        <v>0</v>
      </c>
      <c r="M88" s="709">
        <v>0</v>
      </c>
      <c r="N88" s="709">
        <v>0</v>
      </c>
      <c r="O88" s="709">
        <v>0</v>
      </c>
      <c r="P88" s="709">
        <v>0</v>
      </c>
      <c r="Q88" s="709">
        <v>0</v>
      </c>
      <c r="R88" s="709">
        <v>0</v>
      </c>
      <c r="S88" s="709">
        <v>0</v>
      </c>
      <c r="T88" s="709">
        <v>0</v>
      </c>
      <c r="U88" s="709">
        <v>0</v>
      </c>
      <c r="V88" s="709">
        <v>0</v>
      </c>
      <c r="W88" s="709">
        <v>0</v>
      </c>
      <c r="X88" s="709">
        <v>0</v>
      </c>
      <c r="Y88" s="709">
        <v>0</v>
      </c>
      <c r="Z88" s="709">
        <v>0</v>
      </c>
      <c r="AA88" s="709">
        <v>0</v>
      </c>
      <c r="AB88" s="709">
        <v>0</v>
      </c>
      <c r="AC88" s="709">
        <v>0</v>
      </c>
      <c r="AD88" s="709">
        <v>0</v>
      </c>
      <c r="AE88" s="709">
        <v>0</v>
      </c>
      <c r="AF88" s="709">
        <v>0</v>
      </c>
      <c r="AG88" s="709">
        <v>0</v>
      </c>
      <c r="AH88" s="709">
        <v>0</v>
      </c>
      <c r="AI88" s="709">
        <v>0</v>
      </c>
      <c r="AJ88" s="709">
        <v>0</v>
      </c>
      <c r="AK88" s="709">
        <v>0</v>
      </c>
      <c r="AL88" s="709">
        <v>0</v>
      </c>
      <c r="AM88" s="709">
        <v>0</v>
      </c>
      <c r="AN88" s="709">
        <v>0</v>
      </c>
      <c r="AO88" s="709">
        <v>0</v>
      </c>
      <c r="AP88" s="709">
        <v>0</v>
      </c>
      <c r="AQ88" s="709">
        <v>0</v>
      </c>
      <c r="AR88" s="709">
        <v>0</v>
      </c>
      <c r="AS88" s="709">
        <v>0</v>
      </c>
      <c r="AT88" s="709">
        <v>0</v>
      </c>
      <c r="AU88" s="709">
        <v>0</v>
      </c>
      <c r="AV88" s="709">
        <v>0</v>
      </c>
      <c r="AW88" s="709">
        <v>0</v>
      </c>
      <c r="AX88" s="709">
        <v>0</v>
      </c>
    </row>
    <row r="89" spans="1:50" ht="26.4" x14ac:dyDescent="0.2">
      <c r="B89" s="292" t="str">
        <f>CHIFFRAGE_TC!B90</f>
        <v xml:space="preserve">Ingreso y circulaciones al piso tierra 
(y/c servicios, escaleras mecanicas, escaleras y ascencores) </v>
      </c>
      <c r="C89" s="16">
        <f>CHIFFRAGE_TC!D90</f>
        <v>40</v>
      </c>
      <c r="E89" s="712">
        <f>CHIFFRAGE_TC!$L90*CHIFFRAGE_TC!$T90</f>
        <v>0</v>
      </c>
      <c r="F89" s="715">
        <f>CHIFFRAGE_TC!$L90*CHIFFRAGE_TC!$U90</f>
        <v>275789.30597924988</v>
      </c>
      <c r="G89" s="715">
        <f>CHIFFRAGE_TC!$L90*CHIFFRAGE_TC!$V90</f>
        <v>827367.91793774965</v>
      </c>
      <c r="H89" s="716">
        <f>CHIFFRAGE_TC!$L90*CHIFFRAGE_TC!$W90</f>
        <v>0</v>
      </c>
      <c r="I89" s="709">
        <v>0</v>
      </c>
      <c r="J89" s="709">
        <v>0</v>
      </c>
      <c r="K89" s="709">
        <v>0</v>
      </c>
      <c r="L89" s="709">
        <v>0</v>
      </c>
      <c r="M89" s="709">
        <v>0</v>
      </c>
      <c r="N89" s="709">
        <v>0</v>
      </c>
      <c r="O89" s="709">
        <v>0</v>
      </c>
      <c r="P89" s="709">
        <v>0</v>
      </c>
      <c r="Q89" s="709">
        <v>0</v>
      </c>
      <c r="R89" s="709">
        <v>0</v>
      </c>
      <c r="S89" s="709">
        <v>0</v>
      </c>
      <c r="T89" s="709">
        <v>0</v>
      </c>
      <c r="U89" s="709">
        <v>0</v>
      </c>
      <c r="V89" s="709">
        <v>0</v>
      </c>
      <c r="W89" s="709">
        <v>0</v>
      </c>
      <c r="X89" s="709">
        <v>0</v>
      </c>
      <c r="Y89" s="709">
        <v>0</v>
      </c>
      <c r="Z89" s="709">
        <v>0</v>
      </c>
      <c r="AA89" s="709">
        <v>0</v>
      </c>
      <c r="AB89" s="709">
        <v>0</v>
      </c>
      <c r="AC89" s="709">
        <v>0</v>
      </c>
      <c r="AD89" s="709">
        <v>0</v>
      </c>
      <c r="AE89" s="709">
        <v>0</v>
      </c>
      <c r="AF89" s="709">
        <v>0</v>
      </c>
      <c r="AG89" s="709">
        <v>0</v>
      </c>
      <c r="AH89" s="709">
        <v>0</v>
      </c>
      <c r="AI89" s="709">
        <v>0</v>
      </c>
      <c r="AJ89" s="709">
        <v>0</v>
      </c>
      <c r="AK89" s="709">
        <v>0</v>
      </c>
      <c r="AL89" s="709">
        <v>0</v>
      </c>
      <c r="AM89" s="709">
        <v>0</v>
      </c>
      <c r="AN89" s="709">
        <v>0</v>
      </c>
      <c r="AO89" s="709">
        <v>0</v>
      </c>
      <c r="AP89" s="709">
        <v>0</v>
      </c>
      <c r="AQ89" s="709">
        <v>0</v>
      </c>
      <c r="AR89" s="709">
        <v>0</v>
      </c>
      <c r="AS89" s="709">
        <v>0</v>
      </c>
      <c r="AT89" s="709">
        <v>0</v>
      </c>
      <c r="AU89" s="709">
        <v>0</v>
      </c>
      <c r="AV89" s="709">
        <v>0</v>
      </c>
      <c r="AW89" s="709">
        <v>0</v>
      </c>
      <c r="AX89" s="709">
        <v>0</v>
      </c>
    </row>
    <row r="90" spans="1:50" ht="26.4" x14ac:dyDescent="0.2">
      <c r="B90" s="292" t="str">
        <f>CHIFFRAGE_TC!B91</f>
        <v>Escaleras mecanicas, escaleras y ascencores adicionales 
(piso tierra sobrelevado)</v>
      </c>
      <c r="C90" s="16">
        <f>CHIFFRAGE_TC!D91</f>
        <v>15</v>
      </c>
      <c r="E90" s="712">
        <f>CHIFFRAGE_TC!$L91*CHIFFRAGE_TC!$T91</f>
        <v>0</v>
      </c>
      <c r="F90" s="715">
        <f>CHIFFRAGE_TC!$L91*CHIFFRAGE_TC!$U91</f>
        <v>0</v>
      </c>
      <c r="G90" s="715">
        <f>CHIFFRAGE_TC!$L91*CHIFFRAGE_TC!$V91</f>
        <v>0</v>
      </c>
      <c r="H90" s="716">
        <f>CHIFFRAGE_TC!$L91*CHIFFRAGE_TC!$W91</f>
        <v>0</v>
      </c>
      <c r="I90" s="709">
        <v>0</v>
      </c>
      <c r="J90" s="709">
        <v>0</v>
      </c>
      <c r="K90" s="709">
        <v>0</v>
      </c>
      <c r="L90" s="709">
        <v>0</v>
      </c>
      <c r="M90" s="709">
        <v>0</v>
      </c>
      <c r="N90" s="709">
        <v>0</v>
      </c>
      <c r="O90" s="709">
        <v>0</v>
      </c>
      <c r="P90" s="709">
        <v>0</v>
      </c>
      <c r="Q90" s="709">
        <v>0</v>
      </c>
      <c r="R90" s="709">
        <v>0</v>
      </c>
      <c r="S90" s="709">
        <v>0</v>
      </c>
      <c r="T90" s="709">
        <v>0</v>
      </c>
      <c r="U90" s="709">
        <v>0</v>
      </c>
      <c r="V90" s="709">
        <v>0</v>
      </c>
      <c r="W90" s="729">
        <f>F90</f>
        <v>0</v>
      </c>
      <c r="X90" s="729">
        <f t="shared" ref="X90:Y90" si="61">G90</f>
        <v>0</v>
      </c>
      <c r="Y90" s="729">
        <f t="shared" si="61"/>
        <v>0</v>
      </c>
      <c r="Z90" s="709">
        <v>0</v>
      </c>
      <c r="AA90" s="709">
        <v>0</v>
      </c>
      <c r="AB90" s="709">
        <v>0</v>
      </c>
      <c r="AC90" s="709">
        <v>0</v>
      </c>
      <c r="AD90" s="709">
        <v>0</v>
      </c>
      <c r="AE90" s="709">
        <v>0</v>
      </c>
      <c r="AF90" s="709">
        <v>0</v>
      </c>
      <c r="AG90" s="709">
        <v>0</v>
      </c>
      <c r="AH90" s="709">
        <v>0</v>
      </c>
      <c r="AI90" s="709">
        <v>0</v>
      </c>
      <c r="AJ90" s="709">
        <v>0</v>
      </c>
      <c r="AK90" s="709">
        <v>0</v>
      </c>
      <c r="AL90" s="709">
        <v>0</v>
      </c>
      <c r="AM90" s="709">
        <v>0</v>
      </c>
      <c r="AN90" s="729">
        <f>F90</f>
        <v>0</v>
      </c>
      <c r="AO90" s="729">
        <f t="shared" ref="AO90:AP90" si="62">G90</f>
        <v>0</v>
      </c>
      <c r="AP90" s="729">
        <f t="shared" si="62"/>
        <v>0</v>
      </c>
      <c r="AQ90" s="709">
        <v>0</v>
      </c>
      <c r="AR90" s="709">
        <v>0</v>
      </c>
      <c r="AS90" s="709">
        <v>0</v>
      </c>
      <c r="AT90" s="709">
        <v>0</v>
      </c>
      <c r="AU90" s="709">
        <v>0</v>
      </c>
      <c r="AV90" s="709">
        <v>0</v>
      </c>
      <c r="AW90" s="709">
        <v>0</v>
      </c>
      <c r="AX90" s="709">
        <v>0</v>
      </c>
    </row>
    <row r="91" spans="1:50" ht="13.2" x14ac:dyDescent="0.2">
      <c r="B91" s="290" t="str">
        <f>CHIFFRAGE_TC!B92</f>
        <v>Anden al primer piso</v>
      </c>
      <c r="C91" s="16">
        <f>CHIFFRAGE_TC!D92</f>
        <v>50</v>
      </c>
      <c r="E91" s="712">
        <f>CHIFFRAGE_TC!$L92*CHIFFRAGE_TC!$T92</f>
        <v>0</v>
      </c>
      <c r="F91" s="715">
        <f>CHIFFRAGE_TC!$L92*CHIFFRAGE_TC!$U92</f>
        <v>65701.47546391403</v>
      </c>
      <c r="G91" s="715">
        <f>CHIFFRAGE_TC!$L92*CHIFFRAGE_TC!$V92</f>
        <v>197104.42639174208</v>
      </c>
      <c r="H91" s="716">
        <f>CHIFFRAGE_TC!$L92*CHIFFRAGE_TC!$W92</f>
        <v>0</v>
      </c>
      <c r="I91" s="709">
        <v>0</v>
      </c>
      <c r="J91" s="709">
        <v>0</v>
      </c>
      <c r="K91" s="709">
        <v>0</v>
      </c>
      <c r="L91" s="709">
        <v>0</v>
      </c>
      <c r="M91" s="709">
        <v>0</v>
      </c>
      <c r="N91" s="709">
        <v>0</v>
      </c>
      <c r="O91" s="709">
        <v>0</v>
      </c>
      <c r="P91" s="709">
        <v>0</v>
      </c>
      <c r="Q91" s="709">
        <v>0</v>
      </c>
      <c r="R91" s="709">
        <v>0</v>
      </c>
      <c r="S91" s="709">
        <v>0</v>
      </c>
      <c r="T91" s="709">
        <v>0</v>
      </c>
      <c r="U91" s="709">
        <v>0</v>
      </c>
      <c r="V91" s="709">
        <v>0</v>
      </c>
      <c r="W91" s="709">
        <v>0</v>
      </c>
      <c r="X91" s="709">
        <v>0</v>
      </c>
      <c r="Y91" s="709">
        <v>0</v>
      </c>
      <c r="Z91" s="709">
        <v>0</v>
      </c>
      <c r="AA91" s="709">
        <v>0</v>
      </c>
      <c r="AB91" s="709">
        <v>0</v>
      </c>
      <c r="AC91" s="709">
        <v>0</v>
      </c>
      <c r="AD91" s="709">
        <v>0</v>
      </c>
      <c r="AE91" s="709">
        <v>0</v>
      </c>
      <c r="AF91" s="709">
        <v>0</v>
      </c>
      <c r="AG91" s="709">
        <v>0</v>
      </c>
      <c r="AH91" s="709">
        <v>0</v>
      </c>
      <c r="AI91" s="709">
        <v>0</v>
      </c>
      <c r="AJ91" s="709">
        <v>0</v>
      </c>
      <c r="AK91" s="709">
        <v>0</v>
      </c>
      <c r="AL91" s="709">
        <v>0</v>
      </c>
      <c r="AM91" s="709">
        <v>0</v>
      </c>
      <c r="AN91" s="709">
        <v>0</v>
      </c>
      <c r="AO91" s="709">
        <v>0</v>
      </c>
      <c r="AP91" s="709">
        <v>0</v>
      </c>
      <c r="AQ91" s="709">
        <v>0</v>
      </c>
      <c r="AR91" s="709">
        <v>0</v>
      </c>
      <c r="AS91" s="709">
        <v>0</v>
      </c>
      <c r="AT91" s="709">
        <v>0</v>
      </c>
      <c r="AU91" s="709">
        <v>0</v>
      </c>
      <c r="AV91" s="709">
        <v>0</v>
      </c>
      <c r="AW91" s="709">
        <v>0</v>
      </c>
      <c r="AX91" s="709">
        <v>0</v>
      </c>
    </row>
    <row r="92" spans="1:50" ht="13.2" x14ac:dyDescent="0.2">
      <c r="B92" s="290" t="str">
        <f>CHIFFRAGE_TC!B93</f>
        <v>Centro de mando + Locales tecnicos cubiertos</v>
      </c>
      <c r="C92" s="16">
        <f>CHIFFRAGE_TC!D93</f>
        <v>50</v>
      </c>
      <c r="E92" s="712">
        <f>CHIFFRAGE_TC!$L93*CHIFFRAGE_TC!$T93</f>
        <v>0</v>
      </c>
      <c r="F92" s="715">
        <f>CHIFFRAGE_TC!$L93*CHIFFRAGE_TC!$U93</f>
        <v>28025.393436914987</v>
      </c>
      <c r="G92" s="715">
        <f>CHIFFRAGE_TC!$L93*CHIFFRAGE_TC!$V93</f>
        <v>84076.180310744967</v>
      </c>
      <c r="H92" s="716">
        <f>CHIFFRAGE_TC!$L93*CHIFFRAGE_TC!$W93</f>
        <v>0</v>
      </c>
      <c r="I92" s="709">
        <v>0</v>
      </c>
      <c r="J92" s="709">
        <v>0</v>
      </c>
      <c r="K92" s="709">
        <v>0</v>
      </c>
      <c r="L92" s="709">
        <v>0</v>
      </c>
      <c r="M92" s="709">
        <v>0</v>
      </c>
      <c r="N92" s="709">
        <v>0</v>
      </c>
      <c r="O92" s="709">
        <v>0</v>
      </c>
      <c r="P92" s="709">
        <v>0</v>
      </c>
      <c r="Q92" s="709">
        <v>0</v>
      </c>
      <c r="R92" s="709">
        <v>0</v>
      </c>
      <c r="S92" s="709">
        <v>0</v>
      </c>
      <c r="T92" s="709">
        <v>0</v>
      </c>
      <c r="U92" s="709">
        <v>0</v>
      </c>
      <c r="V92" s="709">
        <v>0</v>
      </c>
      <c r="W92" s="709">
        <v>0</v>
      </c>
      <c r="X92" s="709">
        <v>0</v>
      </c>
      <c r="Y92" s="709">
        <v>0</v>
      </c>
      <c r="Z92" s="709">
        <v>0</v>
      </c>
      <c r="AA92" s="709">
        <v>0</v>
      </c>
      <c r="AB92" s="709">
        <v>0</v>
      </c>
      <c r="AC92" s="709">
        <v>0</v>
      </c>
      <c r="AD92" s="709">
        <v>0</v>
      </c>
      <c r="AE92" s="709">
        <v>0</v>
      </c>
      <c r="AF92" s="709">
        <v>0</v>
      </c>
      <c r="AG92" s="709">
        <v>0</v>
      </c>
      <c r="AH92" s="709">
        <v>0</v>
      </c>
      <c r="AI92" s="709">
        <v>0</v>
      </c>
      <c r="AJ92" s="709">
        <v>0</v>
      </c>
      <c r="AK92" s="709">
        <v>0</v>
      </c>
      <c r="AL92" s="709">
        <v>0</v>
      </c>
      <c r="AM92" s="709">
        <v>0</v>
      </c>
      <c r="AN92" s="709">
        <v>0</v>
      </c>
      <c r="AO92" s="709">
        <v>0</v>
      </c>
      <c r="AP92" s="709">
        <v>0</v>
      </c>
      <c r="AQ92" s="709">
        <v>0</v>
      </c>
      <c r="AR92" s="709">
        <v>0</v>
      </c>
      <c r="AS92" s="709">
        <v>0</v>
      </c>
      <c r="AT92" s="709">
        <v>0</v>
      </c>
      <c r="AU92" s="709">
        <v>0</v>
      </c>
      <c r="AV92" s="709">
        <v>0</v>
      </c>
      <c r="AW92" s="709">
        <v>0</v>
      </c>
      <c r="AX92" s="709">
        <v>0</v>
      </c>
    </row>
    <row r="93" spans="1:50" ht="13.2" x14ac:dyDescent="0.2">
      <c r="B93" s="290" t="str">
        <f>CHIFFRAGE_TC!B94</f>
        <v xml:space="preserve">Locales tecnicos non cerrados </v>
      </c>
      <c r="C93" s="16">
        <f>CHIFFRAGE_TC!D94</f>
        <v>50</v>
      </c>
      <c r="E93" s="712">
        <f>CHIFFRAGE_TC!$L94*CHIFFRAGE_TC!$T94</f>
        <v>0</v>
      </c>
      <c r="F93" s="715">
        <f>CHIFFRAGE_TC!$L94*CHIFFRAGE_TC!$U94</f>
        <v>43789.677245179671</v>
      </c>
      <c r="G93" s="715">
        <f>CHIFFRAGE_TC!$L94*CHIFFRAGE_TC!$V94</f>
        <v>131369.03173553903</v>
      </c>
      <c r="H93" s="716">
        <f>CHIFFRAGE_TC!$L94*CHIFFRAGE_TC!$W94</f>
        <v>0</v>
      </c>
      <c r="I93" s="709">
        <v>0</v>
      </c>
      <c r="J93" s="709">
        <v>0</v>
      </c>
      <c r="K93" s="709">
        <v>0</v>
      </c>
      <c r="L93" s="709">
        <v>0</v>
      </c>
      <c r="M93" s="709">
        <v>0</v>
      </c>
      <c r="N93" s="709">
        <v>0</v>
      </c>
      <c r="O93" s="709">
        <v>0</v>
      </c>
      <c r="P93" s="709">
        <v>0</v>
      </c>
      <c r="Q93" s="709">
        <v>0</v>
      </c>
      <c r="R93" s="709">
        <v>0</v>
      </c>
      <c r="S93" s="709">
        <v>0</v>
      </c>
      <c r="T93" s="709">
        <v>0</v>
      </c>
      <c r="U93" s="709">
        <v>0</v>
      </c>
      <c r="V93" s="709">
        <v>0</v>
      </c>
      <c r="W93" s="709">
        <v>0</v>
      </c>
      <c r="X93" s="709">
        <v>0</v>
      </c>
      <c r="Y93" s="709">
        <v>0</v>
      </c>
      <c r="Z93" s="709">
        <v>0</v>
      </c>
      <c r="AA93" s="709">
        <v>0</v>
      </c>
      <c r="AB93" s="709">
        <v>0</v>
      </c>
      <c r="AC93" s="709">
        <v>0</v>
      </c>
      <c r="AD93" s="709">
        <v>0</v>
      </c>
      <c r="AE93" s="709">
        <v>0</v>
      </c>
      <c r="AF93" s="709">
        <v>0</v>
      </c>
      <c r="AG93" s="709">
        <v>0</v>
      </c>
      <c r="AH93" s="709">
        <v>0</v>
      </c>
      <c r="AI93" s="709">
        <v>0</v>
      </c>
      <c r="AJ93" s="709">
        <v>0</v>
      </c>
      <c r="AK93" s="709">
        <v>0</v>
      </c>
      <c r="AL93" s="709">
        <v>0</v>
      </c>
      <c r="AM93" s="709">
        <v>0</v>
      </c>
      <c r="AN93" s="709">
        <v>0</v>
      </c>
      <c r="AO93" s="709">
        <v>0</v>
      </c>
      <c r="AP93" s="709">
        <v>0</v>
      </c>
      <c r="AQ93" s="709">
        <v>0</v>
      </c>
      <c r="AR93" s="709">
        <v>0</v>
      </c>
      <c r="AS93" s="709">
        <v>0</v>
      </c>
      <c r="AT93" s="709">
        <v>0</v>
      </c>
      <c r="AU93" s="709">
        <v>0</v>
      </c>
      <c r="AV93" s="709">
        <v>0</v>
      </c>
      <c r="AW93" s="709">
        <v>0</v>
      </c>
      <c r="AX93" s="709">
        <v>0</v>
      </c>
    </row>
    <row r="94" spans="1:50" ht="13.2" x14ac:dyDescent="0.2">
      <c r="B94" s="290" t="str">
        <f>CHIFFRAGE_TC!B95</f>
        <v>Adecuacion urbana 
(demolicion, reconstruccion, mobiliario urbano, paisaje)</v>
      </c>
      <c r="C94" s="16">
        <f>CHIFFRAGE_TC!D95</f>
        <v>50</v>
      </c>
      <c r="E94" s="712">
        <f>CHIFFRAGE_TC!$L95*CHIFFRAGE_TC!$T95</f>
        <v>0</v>
      </c>
      <c r="F94" s="715">
        <f>CHIFFRAGE_TC!$L95*CHIFFRAGE_TC!$U95</f>
        <v>263510.95049999992</v>
      </c>
      <c r="G94" s="715">
        <f>CHIFFRAGE_TC!$L95*CHIFFRAGE_TC!$V95</f>
        <v>263510.95049999992</v>
      </c>
      <c r="H94" s="716">
        <f>CHIFFRAGE_TC!$L95*CHIFFRAGE_TC!$W95</f>
        <v>527021.90099999984</v>
      </c>
      <c r="I94" s="709">
        <v>0</v>
      </c>
      <c r="J94" s="709">
        <v>0</v>
      </c>
      <c r="K94" s="709">
        <v>0</v>
      </c>
      <c r="L94" s="709">
        <v>0</v>
      </c>
      <c r="M94" s="709">
        <v>0</v>
      </c>
      <c r="N94" s="709">
        <v>0</v>
      </c>
      <c r="O94" s="709">
        <v>0</v>
      </c>
      <c r="P94" s="709">
        <v>0</v>
      </c>
      <c r="Q94" s="709">
        <v>0</v>
      </c>
      <c r="R94" s="709">
        <v>0</v>
      </c>
      <c r="S94" s="709">
        <v>0</v>
      </c>
      <c r="T94" s="709">
        <v>0</v>
      </c>
      <c r="U94" s="709">
        <v>0</v>
      </c>
      <c r="V94" s="709">
        <v>0</v>
      </c>
      <c r="W94" s="709">
        <v>0</v>
      </c>
      <c r="X94" s="709">
        <v>0</v>
      </c>
      <c r="Y94" s="709">
        <v>0</v>
      </c>
      <c r="Z94" s="709">
        <v>0</v>
      </c>
      <c r="AA94" s="709">
        <v>0</v>
      </c>
      <c r="AB94" s="709">
        <v>0</v>
      </c>
      <c r="AC94" s="709">
        <v>0</v>
      </c>
      <c r="AD94" s="709">
        <v>0</v>
      </c>
      <c r="AE94" s="709">
        <v>0</v>
      </c>
      <c r="AF94" s="709">
        <v>0</v>
      </c>
      <c r="AG94" s="709">
        <v>0</v>
      </c>
      <c r="AH94" s="709">
        <v>0</v>
      </c>
      <c r="AI94" s="709">
        <v>0</v>
      </c>
      <c r="AJ94" s="709">
        <v>0</v>
      </c>
      <c r="AK94" s="709">
        <v>0</v>
      </c>
      <c r="AL94" s="709">
        <v>0</v>
      </c>
      <c r="AM94" s="709">
        <v>0</v>
      </c>
      <c r="AN94" s="709">
        <v>0</v>
      </c>
      <c r="AO94" s="709">
        <v>0</v>
      </c>
      <c r="AP94" s="709">
        <v>0</v>
      </c>
      <c r="AQ94" s="709">
        <v>0</v>
      </c>
      <c r="AR94" s="709">
        <v>0</v>
      </c>
      <c r="AS94" s="709">
        <v>0</v>
      </c>
      <c r="AT94" s="709">
        <v>0</v>
      </c>
      <c r="AU94" s="709">
        <v>0</v>
      </c>
      <c r="AV94" s="709">
        <v>0</v>
      </c>
      <c r="AW94" s="709">
        <v>0</v>
      </c>
      <c r="AX94" s="709">
        <v>0</v>
      </c>
    </row>
    <row r="95" spans="1:50" ht="13.2" x14ac:dyDescent="0.2">
      <c r="B95" s="289" t="str">
        <f>CHIFFRAGE_TC!B96</f>
        <v>Pasarela</v>
      </c>
      <c r="C95" s="16">
        <f>CHIFFRAGE_TC!D96</f>
        <v>50</v>
      </c>
      <c r="E95" s="712">
        <f>CHIFFRAGE_TC!$L96*CHIFFRAGE_TC!$T96</f>
        <v>0</v>
      </c>
      <c r="F95" s="715">
        <f>CHIFFRAGE_TC!$L96*CHIFFRAGE_TC!$U96</f>
        <v>0</v>
      </c>
      <c r="G95" s="715">
        <f>CHIFFRAGE_TC!$L96*CHIFFRAGE_TC!$V96</f>
        <v>0</v>
      </c>
      <c r="H95" s="716">
        <f>CHIFFRAGE_TC!$L96*CHIFFRAGE_TC!$W96</f>
        <v>678383.84578124981</v>
      </c>
      <c r="I95" s="709">
        <v>0</v>
      </c>
      <c r="J95" s="709">
        <v>0</v>
      </c>
      <c r="K95" s="709">
        <v>0</v>
      </c>
      <c r="L95" s="709">
        <v>0</v>
      </c>
      <c r="M95" s="709">
        <v>0</v>
      </c>
      <c r="N95" s="709">
        <v>0</v>
      </c>
      <c r="O95" s="709">
        <v>0</v>
      </c>
      <c r="P95" s="709">
        <v>0</v>
      </c>
      <c r="Q95" s="709">
        <v>0</v>
      </c>
      <c r="R95" s="709">
        <v>0</v>
      </c>
      <c r="S95" s="709">
        <v>0</v>
      </c>
      <c r="T95" s="709">
        <v>0</v>
      </c>
      <c r="U95" s="709">
        <v>0</v>
      </c>
      <c r="V95" s="709">
        <v>0</v>
      </c>
      <c r="W95" s="709">
        <v>0</v>
      </c>
      <c r="X95" s="709">
        <v>0</v>
      </c>
      <c r="Y95" s="709">
        <v>0</v>
      </c>
      <c r="Z95" s="709">
        <v>0</v>
      </c>
      <c r="AA95" s="709">
        <v>0</v>
      </c>
      <c r="AB95" s="709">
        <v>0</v>
      </c>
      <c r="AC95" s="709">
        <v>0</v>
      </c>
      <c r="AD95" s="709">
        <v>0</v>
      </c>
      <c r="AE95" s="709">
        <v>0</v>
      </c>
      <c r="AF95" s="709">
        <v>0</v>
      </c>
      <c r="AG95" s="709">
        <v>0</v>
      </c>
      <c r="AH95" s="709">
        <v>0</v>
      </c>
      <c r="AI95" s="709">
        <v>0</v>
      </c>
      <c r="AJ95" s="709">
        <v>0</v>
      </c>
      <c r="AK95" s="709">
        <v>0</v>
      </c>
      <c r="AL95" s="709">
        <v>0</v>
      </c>
      <c r="AM95" s="709">
        <v>0</v>
      </c>
      <c r="AN95" s="709">
        <v>0</v>
      </c>
      <c r="AO95" s="709">
        <v>0</v>
      </c>
      <c r="AP95" s="709">
        <v>0</v>
      </c>
      <c r="AQ95" s="709">
        <v>0</v>
      </c>
      <c r="AR95" s="709">
        <v>0</v>
      </c>
      <c r="AS95" s="709">
        <v>0</v>
      </c>
      <c r="AT95" s="709">
        <v>0</v>
      </c>
      <c r="AU95" s="709">
        <v>0</v>
      </c>
      <c r="AV95" s="709">
        <v>0</v>
      </c>
      <c r="AW95" s="709">
        <v>0</v>
      </c>
      <c r="AX95" s="709">
        <v>0</v>
      </c>
    </row>
    <row r="96" spans="1:50" ht="13.2" x14ac:dyDescent="0.2">
      <c r="B96" s="293" t="str">
        <f>CHIFFRAGE_TC!B97</f>
        <v>Edificio - Estacion Samborondon</v>
      </c>
      <c r="C96" s="16"/>
      <c r="E96" s="717">
        <f>SUM(E97:E106)</f>
        <v>0</v>
      </c>
      <c r="F96" s="718">
        <f>SUM(F97:F106)</f>
        <v>1570222.4861923223</v>
      </c>
      <c r="G96" s="718">
        <f>SUM(G97:G106)</f>
        <v>2917343.6849492174</v>
      </c>
      <c r="H96" s="719">
        <f>SUM(H97:H106)</f>
        <v>1405830.9209174996</v>
      </c>
      <c r="I96" s="733">
        <f t="shared" ref="I96:AN96" si="63">SUM(I97:I106)</f>
        <v>0</v>
      </c>
      <c r="J96" s="733">
        <f t="shared" si="63"/>
        <v>0</v>
      </c>
      <c r="K96" s="733">
        <f t="shared" si="63"/>
        <v>0</v>
      </c>
      <c r="L96" s="733">
        <f t="shared" si="63"/>
        <v>0</v>
      </c>
      <c r="M96" s="733">
        <f t="shared" si="63"/>
        <v>0</v>
      </c>
      <c r="N96" s="733">
        <f t="shared" si="63"/>
        <v>0</v>
      </c>
      <c r="O96" s="733">
        <f t="shared" si="63"/>
        <v>0</v>
      </c>
      <c r="P96" s="733">
        <f t="shared" si="63"/>
        <v>0</v>
      </c>
      <c r="Q96" s="733">
        <f t="shared" si="63"/>
        <v>0</v>
      </c>
      <c r="R96" s="733">
        <f t="shared" si="63"/>
        <v>0</v>
      </c>
      <c r="S96" s="733">
        <f t="shared" si="63"/>
        <v>0</v>
      </c>
      <c r="T96" s="733">
        <f t="shared" si="63"/>
        <v>0</v>
      </c>
      <c r="U96" s="733">
        <f t="shared" si="63"/>
        <v>0</v>
      </c>
      <c r="V96" s="733">
        <f t="shared" si="63"/>
        <v>0</v>
      </c>
      <c r="W96" s="733">
        <f t="shared" si="63"/>
        <v>0</v>
      </c>
      <c r="X96" s="733">
        <f t="shared" si="63"/>
        <v>0</v>
      </c>
      <c r="Y96" s="733">
        <f t="shared" si="63"/>
        <v>0</v>
      </c>
      <c r="Z96" s="733">
        <f t="shared" si="63"/>
        <v>0</v>
      </c>
      <c r="AA96" s="733">
        <f t="shared" si="63"/>
        <v>0</v>
      </c>
      <c r="AB96" s="733">
        <f t="shared" si="63"/>
        <v>0</v>
      </c>
      <c r="AC96" s="733">
        <f t="shared" si="63"/>
        <v>0</v>
      </c>
      <c r="AD96" s="733">
        <f t="shared" si="63"/>
        <v>0</v>
      </c>
      <c r="AE96" s="733">
        <f t="shared" si="63"/>
        <v>0</v>
      </c>
      <c r="AF96" s="733">
        <f t="shared" si="63"/>
        <v>0</v>
      </c>
      <c r="AG96" s="733">
        <f t="shared" si="63"/>
        <v>0</v>
      </c>
      <c r="AH96" s="733">
        <f t="shared" si="63"/>
        <v>0</v>
      </c>
      <c r="AI96" s="733">
        <f t="shared" si="63"/>
        <v>0</v>
      </c>
      <c r="AJ96" s="733">
        <f t="shared" si="63"/>
        <v>0</v>
      </c>
      <c r="AK96" s="733">
        <f t="shared" si="63"/>
        <v>0</v>
      </c>
      <c r="AL96" s="733">
        <f t="shared" si="63"/>
        <v>0</v>
      </c>
      <c r="AM96" s="733">
        <f t="shared" si="63"/>
        <v>0</v>
      </c>
      <c r="AN96" s="733">
        <f t="shared" si="63"/>
        <v>0</v>
      </c>
      <c r="AO96" s="733">
        <f t="shared" ref="AO96" si="64">SUM(AO97:AO106)</f>
        <v>0</v>
      </c>
      <c r="AP96" s="733">
        <f t="shared" ref="AP96" si="65">SUM(AP97:AP106)</f>
        <v>0</v>
      </c>
      <c r="AQ96" s="733">
        <f t="shared" ref="AQ96" si="66">SUM(AQ97:AQ106)</f>
        <v>0</v>
      </c>
      <c r="AR96" s="733">
        <f t="shared" ref="AR96" si="67">SUM(AR97:AR106)</f>
        <v>0</v>
      </c>
      <c r="AS96" s="733">
        <f t="shared" ref="AS96" si="68">SUM(AS97:AS106)</f>
        <v>0</v>
      </c>
      <c r="AT96" s="733">
        <f t="shared" ref="AT96" si="69">SUM(AT97:AT106)</f>
        <v>0</v>
      </c>
      <c r="AU96" s="733">
        <f t="shared" ref="AU96" si="70">SUM(AU97:AU106)</f>
        <v>0</v>
      </c>
      <c r="AV96" s="733">
        <f t="shared" ref="AV96" si="71">SUM(AV97:AV106)</f>
        <v>0</v>
      </c>
      <c r="AW96" s="733">
        <f t="shared" ref="AW96" si="72">SUM(AW97:AW106)</f>
        <v>0</v>
      </c>
      <c r="AX96" s="733">
        <f t="shared" ref="AX96" si="73">SUM(AX97:AX106)</f>
        <v>0</v>
      </c>
    </row>
    <row r="97" spans="2:50" ht="13.2" x14ac:dyDescent="0.2">
      <c r="B97" s="290" t="str">
        <f>CHIFFRAGE_TC!B98</f>
        <v>Fundaciones tipicas 
(edificio con piso tierra y primer piso)</v>
      </c>
      <c r="C97" s="16">
        <f>CHIFFRAGE_TC!D98</f>
        <v>50</v>
      </c>
      <c r="E97" s="712">
        <f>CHIFFRAGE_TC!$L98*CHIFFRAGE_TC!$T98</f>
        <v>0</v>
      </c>
      <c r="F97" s="715">
        <f>CHIFFRAGE_TC!$L98*CHIFFRAGE_TC!$U98</f>
        <v>145309.81976634369</v>
      </c>
      <c r="G97" s="715">
        <f>CHIFFRAGE_TC!$L98*CHIFFRAGE_TC!$V98</f>
        <v>48436.606588781229</v>
      </c>
      <c r="H97" s="716">
        <f>CHIFFRAGE_TC!$L98*CHIFFRAGE_TC!$W98</f>
        <v>0</v>
      </c>
      <c r="I97" s="709">
        <v>0</v>
      </c>
      <c r="J97" s="709">
        <v>0</v>
      </c>
      <c r="K97" s="709">
        <v>0</v>
      </c>
      <c r="L97" s="709">
        <v>0</v>
      </c>
      <c r="M97" s="709">
        <v>0</v>
      </c>
      <c r="N97" s="709">
        <v>0</v>
      </c>
      <c r="O97" s="709">
        <v>0</v>
      </c>
      <c r="P97" s="709">
        <v>0</v>
      </c>
      <c r="Q97" s="709">
        <v>0</v>
      </c>
      <c r="R97" s="709">
        <v>0</v>
      </c>
      <c r="S97" s="709">
        <v>0</v>
      </c>
      <c r="T97" s="709">
        <v>0</v>
      </c>
      <c r="U97" s="709">
        <v>0</v>
      </c>
      <c r="V97" s="709">
        <v>0</v>
      </c>
      <c r="W97" s="709">
        <v>0</v>
      </c>
      <c r="X97" s="709">
        <v>0</v>
      </c>
      <c r="Y97" s="709">
        <v>0</v>
      </c>
      <c r="Z97" s="709">
        <v>0</v>
      </c>
      <c r="AA97" s="709">
        <v>0</v>
      </c>
      <c r="AB97" s="709">
        <v>0</v>
      </c>
      <c r="AC97" s="709">
        <v>0</v>
      </c>
      <c r="AD97" s="709">
        <v>0</v>
      </c>
      <c r="AE97" s="709">
        <v>0</v>
      </c>
      <c r="AF97" s="709">
        <v>0</v>
      </c>
      <c r="AG97" s="709">
        <v>0</v>
      </c>
      <c r="AH97" s="709">
        <v>0</v>
      </c>
      <c r="AI97" s="709">
        <v>0</v>
      </c>
      <c r="AJ97" s="709">
        <v>0</v>
      </c>
      <c r="AK97" s="709">
        <v>0</v>
      </c>
      <c r="AL97" s="709">
        <v>0</v>
      </c>
      <c r="AM97" s="709">
        <v>0</v>
      </c>
      <c r="AN97" s="709">
        <v>0</v>
      </c>
      <c r="AO97" s="709">
        <v>0</v>
      </c>
      <c r="AP97" s="709">
        <v>0</v>
      </c>
      <c r="AQ97" s="709">
        <v>0</v>
      </c>
      <c r="AR97" s="709">
        <v>0</v>
      </c>
      <c r="AS97" s="709">
        <v>0</v>
      </c>
      <c r="AT97" s="709">
        <v>0</v>
      </c>
      <c r="AU97" s="709">
        <v>0</v>
      </c>
      <c r="AV97" s="709">
        <v>0</v>
      </c>
      <c r="AW97" s="709">
        <v>0</v>
      </c>
      <c r="AX97" s="709">
        <v>0</v>
      </c>
    </row>
    <row r="98" spans="2:50" ht="13.2" x14ac:dyDescent="0.2">
      <c r="B98" s="290" t="str">
        <f>CHIFFRAGE_TC!B99</f>
        <v>Piso tierra sobrelevado y fundaciones</v>
      </c>
      <c r="C98" s="16">
        <f>CHIFFRAGE_TC!D99</f>
        <v>50</v>
      </c>
      <c r="E98" s="712">
        <f>CHIFFRAGE_TC!$L99*CHIFFRAGE_TC!$T99</f>
        <v>0</v>
      </c>
      <c r="F98" s="715">
        <f>CHIFFRAGE_TC!$L99*CHIFFRAGE_TC!$U99</f>
        <v>0</v>
      </c>
      <c r="G98" s="715">
        <f>CHIFFRAGE_TC!$L99*CHIFFRAGE_TC!$V99</f>
        <v>0</v>
      </c>
      <c r="H98" s="716">
        <f>CHIFFRAGE_TC!$L99*CHIFFRAGE_TC!$W99</f>
        <v>0</v>
      </c>
      <c r="I98" s="709">
        <v>0</v>
      </c>
      <c r="J98" s="709">
        <v>0</v>
      </c>
      <c r="K98" s="709">
        <v>0</v>
      </c>
      <c r="L98" s="709">
        <v>0</v>
      </c>
      <c r="M98" s="709">
        <v>0</v>
      </c>
      <c r="N98" s="709">
        <v>0</v>
      </c>
      <c r="O98" s="709">
        <v>0</v>
      </c>
      <c r="P98" s="709">
        <v>0</v>
      </c>
      <c r="Q98" s="709">
        <v>0</v>
      </c>
      <c r="R98" s="709">
        <v>0</v>
      </c>
      <c r="S98" s="709">
        <v>0</v>
      </c>
      <c r="T98" s="709">
        <v>0</v>
      </c>
      <c r="U98" s="709">
        <v>0</v>
      </c>
      <c r="V98" s="709">
        <v>0</v>
      </c>
      <c r="W98" s="709">
        <v>0</v>
      </c>
      <c r="X98" s="709">
        <v>0</v>
      </c>
      <c r="Y98" s="709">
        <v>0</v>
      </c>
      <c r="Z98" s="709">
        <v>0</v>
      </c>
      <c r="AA98" s="709">
        <v>0</v>
      </c>
      <c r="AB98" s="709">
        <v>0</v>
      </c>
      <c r="AC98" s="709">
        <v>0</v>
      </c>
      <c r="AD98" s="709">
        <v>0</v>
      </c>
      <c r="AE98" s="709">
        <v>0</v>
      </c>
      <c r="AF98" s="709">
        <v>0</v>
      </c>
      <c r="AG98" s="709">
        <v>0</v>
      </c>
      <c r="AH98" s="709">
        <v>0</v>
      </c>
      <c r="AI98" s="709">
        <v>0</v>
      </c>
      <c r="AJ98" s="709">
        <v>0</v>
      </c>
      <c r="AK98" s="709">
        <v>0</v>
      </c>
      <c r="AL98" s="709">
        <v>0</v>
      </c>
      <c r="AM98" s="709">
        <v>0</v>
      </c>
      <c r="AN98" s="709">
        <v>0</v>
      </c>
      <c r="AO98" s="709">
        <v>0</v>
      </c>
      <c r="AP98" s="709">
        <v>0</v>
      </c>
      <c r="AQ98" s="709">
        <v>0</v>
      </c>
      <c r="AR98" s="709">
        <v>0</v>
      </c>
      <c r="AS98" s="709">
        <v>0</v>
      </c>
      <c r="AT98" s="709">
        <v>0</v>
      </c>
      <c r="AU98" s="709">
        <v>0</v>
      </c>
      <c r="AV98" s="709">
        <v>0</v>
      </c>
      <c r="AW98" s="709">
        <v>0</v>
      </c>
      <c r="AX98" s="709">
        <v>0</v>
      </c>
    </row>
    <row r="99" spans="2:50" ht="13.2" x14ac:dyDescent="0.2">
      <c r="B99" s="290" t="str">
        <f>CHIFFRAGE_TC!B100</f>
        <v>Superficies comerciales</v>
      </c>
      <c r="C99" s="16">
        <f>CHIFFRAGE_TC!D100</f>
        <v>50</v>
      </c>
      <c r="E99" s="712">
        <f>CHIFFRAGE_TC!$L100*CHIFFRAGE_TC!$T100</f>
        <v>0</v>
      </c>
      <c r="F99" s="715">
        <f>CHIFFRAGE_TC!$L100*CHIFFRAGE_TC!$U100</f>
        <v>87579.354490359343</v>
      </c>
      <c r="G99" s="715">
        <f>CHIFFRAGE_TC!$L100*CHIFFRAGE_TC!$V100</f>
        <v>262738.06347107806</v>
      </c>
      <c r="H99" s="716">
        <f>CHIFFRAGE_TC!$L100*CHIFFRAGE_TC!$W100</f>
        <v>0</v>
      </c>
      <c r="I99" s="709">
        <v>0</v>
      </c>
      <c r="J99" s="709">
        <v>0</v>
      </c>
      <c r="K99" s="709">
        <v>0</v>
      </c>
      <c r="L99" s="709">
        <v>0</v>
      </c>
      <c r="M99" s="709">
        <v>0</v>
      </c>
      <c r="N99" s="709">
        <v>0</v>
      </c>
      <c r="O99" s="709">
        <v>0</v>
      </c>
      <c r="P99" s="709">
        <v>0</v>
      </c>
      <c r="Q99" s="709">
        <v>0</v>
      </c>
      <c r="R99" s="709">
        <v>0</v>
      </c>
      <c r="S99" s="709">
        <v>0</v>
      </c>
      <c r="T99" s="709">
        <v>0</v>
      </c>
      <c r="U99" s="709">
        <v>0</v>
      </c>
      <c r="V99" s="709">
        <v>0</v>
      </c>
      <c r="W99" s="709">
        <v>0</v>
      </c>
      <c r="X99" s="709">
        <v>0</v>
      </c>
      <c r="Y99" s="709">
        <v>0</v>
      </c>
      <c r="Z99" s="709">
        <v>0</v>
      </c>
      <c r="AA99" s="709">
        <v>0</v>
      </c>
      <c r="AB99" s="709">
        <v>0</v>
      </c>
      <c r="AC99" s="709">
        <v>0</v>
      </c>
      <c r="AD99" s="709">
        <v>0</v>
      </c>
      <c r="AE99" s="709">
        <v>0</v>
      </c>
      <c r="AF99" s="709">
        <v>0</v>
      </c>
      <c r="AG99" s="709">
        <v>0</v>
      </c>
      <c r="AH99" s="709">
        <v>0</v>
      </c>
      <c r="AI99" s="709">
        <v>0</v>
      </c>
      <c r="AJ99" s="709">
        <v>0</v>
      </c>
      <c r="AK99" s="709">
        <v>0</v>
      </c>
      <c r="AL99" s="709">
        <v>0</v>
      </c>
      <c r="AM99" s="709">
        <v>0</v>
      </c>
      <c r="AN99" s="709">
        <v>0</v>
      </c>
      <c r="AO99" s="709">
        <v>0</v>
      </c>
      <c r="AP99" s="709">
        <v>0</v>
      </c>
      <c r="AQ99" s="709">
        <v>0</v>
      </c>
      <c r="AR99" s="709">
        <v>0</v>
      </c>
      <c r="AS99" s="709">
        <v>0</v>
      </c>
      <c r="AT99" s="709">
        <v>0</v>
      </c>
      <c r="AU99" s="709">
        <v>0</v>
      </c>
      <c r="AV99" s="709">
        <v>0</v>
      </c>
      <c r="AW99" s="709">
        <v>0</v>
      </c>
      <c r="AX99" s="709">
        <v>0</v>
      </c>
    </row>
    <row r="100" spans="2:50" ht="26.4" x14ac:dyDescent="0.2">
      <c r="B100" s="292" t="str">
        <f>CHIFFRAGE_TC!B101</f>
        <v xml:space="preserve">Ingreso y circulaciones al piso tierra 
(y/c servicios, escaleras mecanicas, escaleras y ascencores) </v>
      </c>
      <c r="C100" s="16">
        <f>CHIFFRAGE_TC!D101</f>
        <v>40</v>
      </c>
      <c r="E100" s="712">
        <f>CHIFFRAGE_TC!$L101*CHIFFRAGE_TC!$T101</f>
        <v>0</v>
      </c>
      <c r="F100" s="715">
        <f>CHIFFRAGE_TC!$L101*CHIFFRAGE_TC!$U101</f>
        <v>413683.95896887488</v>
      </c>
      <c r="G100" s="715">
        <f>CHIFFRAGE_TC!$L101*CHIFFRAGE_TC!$V101</f>
        <v>1241051.8769066245</v>
      </c>
      <c r="H100" s="716">
        <f>CHIFFRAGE_TC!$L101*CHIFFRAGE_TC!$W101</f>
        <v>0</v>
      </c>
      <c r="I100" s="709">
        <v>0</v>
      </c>
      <c r="J100" s="709">
        <v>0</v>
      </c>
      <c r="K100" s="709">
        <v>0</v>
      </c>
      <c r="L100" s="709">
        <v>0</v>
      </c>
      <c r="M100" s="709">
        <v>0</v>
      </c>
      <c r="N100" s="709">
        <v>0</v>
      </c>
      <c r="O100" s="709">
        <v>0</v>
      </c>
      <c r="P100" s="709">
        <v>0</v>
      </c>
      <c r="Q100" s="709">
        <v>0</v>
      </c>
      <c r="R100" s="709">
        <v>0</v>
      </c>
      <c r="S100" s="709">
        <v>0</v>
      </c>
      <c r="T100" s="709">
        <v>0</v>
      </c>
      <c r="U100" s="709">
        <v>0</v>
      </c>
      <c r="V100" s="709">
        <v>0</v>
      </c>
      <c r="W100" s="709">
        <v>0</v>
      </c>
      <c r="X100" s="709">
        <v>0</v>
      </c>
      <c r="Y100" s="709">
        <v>0</v>
      </c>
      <c r="Z100" s="709">
        <v>0</v>
      </c>
      <c r="AA100" s="709">
        <v>0</v>
      </c>
      <c r="AB100" s="709">
        <v>0</v>
      </c>
      <c r="AC100" s="709">
        <v>0</v>
      </c>
      <c r="AD100" s="709">
        <v>0</v>
      </c>
      <c r="AE100" s="709">
        <v>0</v>
      </c>
      <c r="AF100" s="709">
        <v>0</v>
      </c>
      <c r="AG100" s="709">
        <v>0</v>
      </c>
      <c r="AH100" s="709">
        <v>0</v>
      </c>
      <c r="AI100" s="709">
        <v>0</v>
      </c>
      <c r="AJ100" s="709">
        <v>0</v>
      </c>
      <c r="AK100" s="709">
        <v>0</v>
      </c>
      <c r="AL100" s="709">
        <v>0</v>
      </c>
      <c r="AM100" s="709">
        <v>0</v>
      </c>
      <c r="AN100" s="709">
        <v>0</v>
      </c>
      <c r="AO100" s="709">
        <v>0</v>
      </c>
      <c r="AP100" s="709">
        <v>0</v>
      </c>
      <c r="AQ100" s="709">
        <v>0</v>
      </c>
      <c r="AR100" s="709">
        <v>0</v>
      </c>
      <c r="AS100" s="709">
        <v>0</v>
      </c>
      <c r="AT100" s="709">
        <v>0</v>
      </c>
      <c r="AU100" s="709">
        <v>0</v>
      </c>
      <c r="AV100" s="709">
        <v>0</v>
      </c>
      <c r="AW100" s="709">
        <v>0</v>
      </c>
      <c r="AX100" s="709">
        <v>0</v>
      </c>
    </row>
    <row r="101" spans="2:50" ht="26.4" x14ac:dyDescent="0.2">
      <c r="B101" s="292" t="str">
        <f>CHIFFRAGE_TC!B102</f>
        <v>Escaleras mecanicas, escaleras y ascencores adicionales 
(piso tierra sobrelevado)</v>
      </c>
      <c r="C101" s="16">
        <f>CHIFFRAGE_TC!D102</f>
        <v>15</v>
      </c>
      <c r="E101" s="712">
        <f>CHIFFRAGE_TC!$L102*CHIFFRAGE_TC!$T102</f>
        <v>0</v>
      </c>
      <c r="F101" s="715">
        <f>CHIFFRAGE_TC!$L102*CHIFFRAGE_TC!$U102</f>
        <v>0</v>
      </c>
      <c r="G101" s="715">
        <f>CHIFFRAGE_TC!$L102*CHIFFRAGE_TC!$V102</f>
        <v>0</v>
      </c>
      <c r="H101" s="716">
        <f>CHIFFRAGE_TC!$L102*CHIFFRAGE_TC!$W102</f>
        <v>0</v>
      </c>
      <c r="I101" s="709">
        <v>0</v>
      </c>
      <c r="J101" s="709">
        <v>0</v>
      </c>
      <c r="K101" s="709">
        <v>0</v>
      </c>
      <c r="L101" s="709">
        <v>0</v>
      </c>
      <c r="M101" s="709">
        <v>0</v>
      </c>
      <c r="N101" s="709">
        <v>0</v>
      </c>
      <c r="O101" s="709">
        <v>0</v>
      </c>
      <c r="P101" s="709">
        <v>0</v>
      </c>
      <c r="Q101" s="709">
        <v>0</v>
      </c>
      <c r="R101" s="709">
        <v>0</v>
      </c>
      <c r="S101" s="709">
        <v>0</v>
      </c>
      <c r="T101" s="709">
        <v>0</v>
      </c>
      <c r="U101" s="709">
        <v>0</v>
      </c>
      <c r="V101" s="709">
        <v>0</v>
      </c>
      <c r="W101" s="729">
        <f>F101</f>
        <v>0</v>
      </c>
      <c r="X101" s="729">
        <f>G101</f>
        <v>0</v>
      </c>
      <c r="Y101" s="729">
        <f>H101</f>
        <v>0</v>
      </c>
      <c r="Z101" s="709">
        <v>0</v>
      </c>
      <c r="AA101" s="709">
        <v>0</v>
      </c>
      <c r="AB101" s="709">
        <v>0</v>
      </c>
      <c r="AC101" s="709">
        <v>0</v>
      </c>
      <c r="AD101" s="709">
        <v>0</v>
      </c>
      <c r="AE101" s="709">
        <v>0</v>
      </c>
      <c r="AF101" s="709">
        <v>0</v>
      </c>
      <c r="AG101" s="709">
        <v>0</v>
      </c>
      <c r="AH101" s="709">
        <v>0</v>
      </c>
      <c r="AI101" s="709">
        <v>0</v>
      </c>
      <c r="AJ101" s="709">
        <v>0</v>
      </c>
      <c r="AK101" s="709">
        <v>0</v>
      </c>
      <c r="AL101" s="709">
        <v>0</v>
      </c>
      <c r="AM101" s="709">
        <v>0</v>
      </c>
      <c r="AN101" s="729">
        <f>F101</f>
        <v>0</v>
      </c>
      <c r="AO101" s="729">
        <f t="shared" ref="AO101" si="74">G101</f>
        <v>0</v>
      </c>
      <c r="AP101" s="729">
        <f t="shared" ref="AP101" si="75">H101</f>
        <v>0</v>
      </c>
      <c r="AQ101" s="709">
        <v>0</v>
      </c>
      <c r="AR101" s="709">
        <v>0</v>
      </c>
      <c r="AS101" s="709">
        <v>0</v>
      </c>
      <c r="AT101" s="709">
        <v>0</v>
      </c>
      <c r="AU101" s="709">
        <v>0</v>
      </c>
      <c r="AV101" s="709">
        <v>0</v>
      </c>
      <c r="AW101" s="709">
        <v>0</v>
      </c>
      <c r="AX101" s="709">
        <v>0</v>
      </c>
    </row>
    <row r="102" spans="2:50" ht="13.2" x14ac:dyDescent="0.2">
      <c r="B102" s="290" t="str">
        <f>CHIFFRAGE_TC!B103</f>
        <v>Anden al primer piso</v>
      </c>
      <c r="C102" s="16">
        <f>CHIFFRAGE_TC!D103</f>
        <v>50</v>
      </c>
      <c r="E102" s="712">
        <f>CHIFFRAGE_TC!$L103*CHIFFRAGE_TC!$T103</f>
        <v>0</v>
      </c>
      <c r="F102" s="715">
        <f>CHIFFRAGE_TC!$L103*CHIFFRAGE_TC!$U103</f>
        <v>131402.95092782806</v>
      </c>
      <c r="G102" s="715">
        <f>CHIFFRAGE_TC!$L103*CHIFFRAGE_TC!$V103</f>
        <v>394208.85278348415</v>
      </c>
      <c r="H102" s="716">
        <f>CHIFFRAGE_TC!$L103*CHIFFRAGE_TC!$W103</f>
        <v>0</v>
      </c>
      <c r="I102" s="709">
        <v>0</v>
      </c>
      <c r="J102" s="709">
        <v>0</v>
      </c>
      <c r="K102" s="709">
        <v>0</v>
      </c>
      <c r="L102" s="709">
        <v>0</v>
      </c>
      <c r="M102" s="709">
        <v>0</v>
      </c>
      <c r="N102" s="709">
        <v>0</v>
      </c>
      <c r="O102" s="709">
        <v>0</v>
      </c>
      <c r="P102" s="709">
        <v>0</v>
      </c>
      <c r="Q102" s="709">
        <v>0</v>
      </c>
      <c r="R102" s="709">
        <v>0</v>
      </c>
      <c r="S102" s="709">
        <v>0</v>
      </c>
      <c r="T102" s="709">
        <v>0</v>
      </c>
      <c r="U102" s="709">
        <v>0</v>
      </c>
      <c r="V102" s="709">
        <v>0</v>
      </c>
      <c r="W102" s="709">
        <v>0</v>
      </c>
      <c r="X102" s="709">
        <v>0</v>
      </c>
      <c r="Y102" s="709">
        <v>0</v>
      </c>
      <c r="Z102" s="709">
        <v>0</v>
      </c>
      <c r="AA102" s="709">
        <v>0</v>
      </c>
      <c r="AB102" s="709">
        <v>0</v>
      </c>
      <c r="AC102" s="709">
        <v>0</v>
      </c>
      <c r="AD102" s="709">
        <v>0</v>
      </c>
      <c r="AE102" s="709">
        <v>0</v>
      </c>
      <c r="AF102" s="709">
        <v>0</v>
      </c>
      <c r="AG102" s="709">
        <v>0</v>
      </c>
      <c r="AH102" s="709">
        <v>0</v>
      </c>
      <c r="AI102" s="709">
        <v>0</v>
      </c>
      <c r="AJ102" s="709">
        <v>0</v>
      </c>
      <c r="AK102" s="709">
        <v>0</v>
      </c>
      <c r="AL102" s="709">
        <v>0</v>
      </c>
      <c r="AM102" s="709">
        <v>0</v>
      </c>
      <c r="AN102" s="709">
        <v>0</v>
      </c>
      <c r="AO102" s="709">
        <v>0</v>
      </c>
      <c r="AP102" s="709">
        <v>0</v>
      </c>
      <c r="AQ102" s="709">
        <v>0</v>
      </c>
      <c r="AR102" s="709">
        <v>0</v>
      </c>
      <c r="AS102" s="709">
        <v>0</v>
      </c>
      <c r="AT102" s="709">
        <v>0</v>
      </c>
      <c r="AU102" s="709">
        <v>0</v>
      </c>
      <c r="AV102" s="709">
        <v>0</v>
      </c>
      <c r="AW102" s="709">
        <v>0</v>
      </c>
      <c r="AX102" s="709">
        <v>0</v>
      </c>
    </row>
    <row r="103" spans="2:50" ht="13.2" x14ac:dyDescent="0.2">
      <c r="B103" s="290" t="str">
        <f>CHIFFRAGE_TC!B104</f>
        <v>Centro de mando + Locales tecnicos cubiertos</v>
      </c>
      <c r="C103" s="16">
        <f>CHIFFRAGE_TC!D104</f>
        <v>50</v>
      </c>
      <c r="E103" s="712">
        <f>CHIFFRAGE_TC!$L104*CHIFFRAGE_TC!$T104</f>
        <v>0</v>
      </c>
      <c r="F103" s="715">
        <f>CHIFFRAGE_TC!$L104*CHIFFRAGE_TC!$U104</f>
        <v>28025.393436914987</v>
      </c>
      <c r="G103" s="715">
        <f>CHIFFRAGE_TC!$L104*CHIFFRAGE_TC!$V104</f>
        <v>84076.180310744967</v>
      </c>
      <c r="H103" s="716">
        <f>CHIFFRAGE_TC!$L104*CHIFFRAGE_TC!$W104</f>
        <v>0</v>
      </c>
      <c r="I103" s="709">
        <v>0</v>
      </c>
      <c r="J103" s="709">
        <v>0</v>
      </c>
      <c r="K103" s="709">
        <v>0</v>
      </c>
      <c r="L103" s="709">
        <v>0</v>
      </c>
      <c r="M103" s="709">
        <v>0</v>
      </c>
      <c r="N103" s="709">
        <v>0</v>
      </c>
      <c r="O103" s="709">
        <v>0</v>
      </c>
      <c r="P103" s="709">
        <v>0</v>
      </c>
      <c r="Q103" s="709">
        <v>0</v>
      </c>
      <c r="R103" s="709">
        <v>0</v>
      </c>
      <c r="S103" s="709">
        <v>0</v>
      </c>
      <c r="T103" s="709">
        <v>0</v>
      </c>
      <c r="U103" s="709">
        <v>0</v>
      </c>
      <c r="V103" s="709">
        <v>0</v>
      </c>
      <c r="W103" s="709">
        <v>0</v>
      </c>
      <c r="X103" s="709">
        <v>0</v>
      </c>
      <c r="Y103" s="709">
        <v>0</v>
      </c>
      <c r="Z103" s="709">
        <v>0</v>
      </c>
      <c r="AA103" s="709">
        <v>0</v>
      </c>
      <c r="AB103" s="709">
        <v>0</v>
      </c>
      <c r="AC103" s="709">
        <v>0</v>
      </c>
      <c r="AD103" s="709">
        <v>0</v>
      </c>
      <c r="AE103" s="709">
        <v>0</v>
      </c>
      <c r="AF103" s="709">
        <v>0</v>
      </c>
      <c r="AG103" s="709">
        <v>0</v>
      </c>
      <c r="AH103" s="709">
        <v>0</v>
      </c>
      <c r="AI103" s="709">
        <v>0</v>
      </c>
      <c r="AJ103" s="709">
        <v>0</v>
      </c>
      <c r="AK103" s="709">
        <v>0</v>
      </c>
      <c r="AL103" s="709">
        <v>0</v>
      </c>
      <c r="AM103" s="709">
        <v>0</v>
      </c>
      <c r="AN103" s="709">
        <v>0</v>
      </c>
      <c r="AO103" s="709">
        <v>0</v>
      </c>
      <c r="AP103" s="709">
        <v>0</v>
      </c>
      <c r="AQ103" s="709">
        <v>0</v>
      </c>
      <c r="AR103" s="709">
        <v>0</v>
      </c>
      <c r="AS103" s="709">
        <v>0</v>
      </c>
      <c r="AT103" s="709">
        <v>0</v>
      </c>
      <c r="AU103" s="709">
        <v>0</v>
      </c>
      <c r="AV103" s="709">
        <v>0</v>
      </c>
      <c r="AW103" s="709">
        <v>0</v>
      </c>
      <c r="AX103" s="709">
        <v>0</v>
      </c>
    </row>
    <row r="104" spans="2:50" ht="13.2" x14ac:dyDescent="0.2">
      <c r="B104" s="290" t="str">
        <f>CHIFFRAGE_TC!B105</f>
        <v xml:space="preserve">Locales tecnicos non cerrados </v>
      </c>
      <c r="C104" s="16">
        <f>CHIFFRAGE_TC!D105</f>
        <v>50</v>
      </c>
      <c r="E104" s="712">
        <f>CHIFFRAGE_TC!$L105*CHIFFRAGE_TC!$T105</f>
        <v>0</v>
      </c>
      <c r="F104" s="715">
        <f>CHIFFRAGE_TC!$L105*CHIFFRAGE_TC!$U105</f>
        <v>61305.548143251537</v>
      </c>
      <c r="G104" s="715">
        <f>CHIFFRAGE_TC!$L105*CHIFFRAGE_TC!$V105</f>
        <v>183916.64442975461</v>
      </c>
      <c r="H104" s="716">
        <f>CHIFFRAGE_TC!$L105*CHIFFRAGE_TC!$W105</f>
        <v>0</v>
      </c>
      <c r="I104" s="709">
        <v>0</v>
      </c>
      <c r="J104" s="709">
        <v>0</v>
      </c>
      <c r="K104" s="709">
        <v>0</v>
      </c>
      <c r="L104" s="709">
        <v>0</v>
      </c>
      <c r="M104" s="709">
        <v>0</v>
      </c>
      <c r="N104" s="709">
        <v>0</v>
      </c>
      <c r="O104" s="709">
        <v>0</v>
      </c>
      <c r="P104" s="709">
        <v>0</v>
      </c>
      <c r="Q104" s="709">
        <v>0</v>
      </c>
      <c r="R104" s="709">
        <v>0</v>
      </c>
      <c r="S104" s="709">
        <v>0</v>
      </c>
      <c r="T104" s="709">
        <v>0</v>
      </c>
      <c r="U104" s="709">
        <v>0</v>
      </c>
      <c r="V104" s="709">
        <v>0</v>
      </c>
      <c r="W104" s="709">
        <v>0</v>
      </c>
      <c r="X104" s="709">
        <v>0</v>
      </c>
      <c r="Y104" s="709">
        <v>0</v>
      </c>
      <c r="Z104" s="709">
        <v>0</v>
      </c>
      <c r="AA104" s="709">
        <v>0</v>
      </c>
      <c r="AB104" s="709">
        <v>0</v>
      </c>
      <c r="AC104" s="709">
        <v>0</v>
      </c>
      <c r="AD104" s="709">
        <v>0</v>
      </c>
      <c r="AE104" s="709">
        <v>0</v>
      </c>
      <c r="AF104" s="709">
        <v>0</v>
      </c>
      <c r="AG104" s="709">
        <v>0</v>
      </c>
      <c r="AH104" s="709">
        <v>0</v>
      </c>
      <c r="AI104" s="709">
        <v>0</v>
      </c>
      <c r="AJ104" s="709">
        <v>0</v>
      </c>
      <c r="AK104" s="709">
        <v>0</v>
      </c>
      <c r="AL104" s="709">
        <v>0</v>
      </c>
      <c r="AM104" s="709">
        <v>0</v>
      </c>
      <c r="AN104" s="709">
        <v>0</v>
      </c>
      <c r="AO104" s="709">
        <v>0</v>
      </c>
      <c r="AP104" s="709">
        <v>0</v>
      </c>
      <c r="AQ104" s="709">
        <v>0</v>
      </c>
      <c r="AR104" s="709">
        <v>0</v>
      </c>
      <c r="AS104" s="709">
        <v>0</v>
      </c>
      <c r="AT104" s="709">
        <v>0</v>
      </c>
      <c r="AU104" s="709">
        <v>0</v>
      </c>
      <c r="AV104" s="709">
        <v>0</v>
      </c>
      <c r="AW104" s="709">
        <v>0</v>
      </c>
      <c r="AX104" s="709">
        <v>0</v>
      </c>
    </row>
    <row r="105" spans="2:50" ht="13.2" x14ac:dyDescent="0.2">
      <c r="B105" s="290" t="str">
        <f>CHIFFRAGE_TC!B106</f>
        <v>Adecuacion urbana 
(demolicion, reconstruccion, mobiliario urbano, paisaje)</v>
      </c>
      <c r="C105" s="16">
        <f>CHIFFRAGE_TC!D106</f>
        <v>50</v>
      </c>
      <c r="E105" s="712">
        <f>CHIFFRAGE_TC!$L106*CHIFFRAGE_TC!$T106</f>
        <v>0</v>
      </c>
      <c r="F105" s="715">
        <f>CHIFFRAGE_TC!$L106*CHIFFRAGE_TC!$U106</f>
        <v>702915.46045874979</v>
      </c>
      <c r="G105" s="715">
        <f>CHIFFRAGE_TC!$L106*CHIFFRAGE_TC!$V106</f>
        <v>702915.46045874979</v>
      </c>
      <c r="H105" s="716">
        <f>CHIFFRAGE_TC!$L106*CHIFFRAGE_TC!$W106</f>
        <v>1405830.9209174996</v>
      </c>
      <c r="I105" s="709">
        <v>0</v>
      </c>
      <c r="J105" s="709">
        <v>0</v>
      </c>
      <c r="K105" s="709">
        <v>0</v>
      </c>
      <c r="L105" s="709">
        <v>0</v>
      </c>
      <c r="M105" s="709">
        <v>0</v>
      </c>
      <c r="N105" s="709">
        <v>0</v>
      </c>
      <c r="O105" s="709">
        <v>0</v>
      </c>
      <c r="P105" s="709">
        <v>0</v>
      </c>
      <c r="Q105" s="709">
        <v>0</v>
      </c>
      <c r="R105" s="709">
        <v>0</v>
      </c>
      <c r="S105" s="709">
        <v>0</v>
      </c>
      <c r="T105" s="709">
        <v>0</v>
      </c>
      <c r="U105" s="709">
        <v>0</v>
      </c>
      <c r="V105" s="709">
        <v>0</v>
      </c>
      <c r="W105" s="709">
        <v>0</v>
      </c>
      <c r="X105" s="709">
        <v>0</v>
      </c>
      <c r="Y105" s="709">
        <v>0</v>
      </c>
      <c r="Z105" s="709">
        <v>0</v>
      </c>
      <c r="AA105" s="709">
        <v>0</v>
      </c>
      <c r="AB105" s="709">
        <v>0</v>
      </c>
      <c r="AC105" s="709">
        <v>0</v>
      </c>
      <c r="AD105" s="709">
        <v>0</v>
      </c>
      <c r="AE105" s="709">
        <v>0</v>
      </c>
      <c r="AF105" s="709">
        <v>0</v>
      </c>
      <c r="AG105" s="709">
        <v>0</v>
      </c>
      <c r="AH105" s="709">
        <v>0</v>
      </c>
      <c r="AI105" s="709">
        <v>0</v>
      </c>
      <c r="AJ105" s="709">
        <v>0</v>
      </c>
      <c r="AK105" s="709">
        <v>0</v>
      </c>
      <c r="AL105" s="709">
        <v>0</v>
      </c>
      <c r="AM105" s="709">
        <v>0</v>
      </c>
      <c r="AN105" s="709">
        <v>0</v>
      </c>
      <c r="AO105" s="709">
        <v>0</v>
      </c>
      <c r="AP105" s="709">
        <v>0</v>
      </c>
      <c r="AQ105" s="709">
        <v>0</v>
      </c>
      <c r="AR105" s="709">
        <v>0</v>
      </c>
      <c r="AS105" s="709">
        <v>0</v>
      </c>
      <c r="AT105" s="709">
        <v>0</v>
      </c>
      <c r="AU105" s="709">
        <v>0</v>
      </c>
      <c r="AV105" s="709">
        <v>0</v>
      </c>
      <c r="AW105" s="709">
        <v>0</v>
      </c>
      <c r="AX105" s="709">
        <v>0</v>
      </c>
    </row>
    <row r="106" spans="2:50" ht="13.2" x14ac:dyDescent="0.2">
      <c r="B106" s="289" t="str">
        <f>CHIFFRAGE_TC!B107</f>
        <v>Pasarela</v>
      </c>
      <c r="C106" s="16">
        <f>CHIFFRAGE_TC!D107</f>
        <v>50</v>
      </c>
      <c r="E106" s="712">
        <f>CHIFFRAGE_TC!$L107*CHIFFRAGE_TC!$T107</f>
        <v>0</v>
      </c>
      <c r="F106" s="715">
        <f>CHIFFRAGE_TC!$L107*CHIFFRAGE_TC!$U107</f>
        <v>0</v>
      </c>
      <c r="G106" s="715">
        <f>CHIFFRAGE_TC!$L107*CHIFFRAGE_TC!$V107</f>
        <v>0</v>
      </c>
      <c r="H106" s="716">
        <f>CHIFFRAGE_TC!$L107*CHIFFRAGE_TC!$W107</f>
        <v>0</v>
      </c>
      <c r="I106" s="709">
        <v>0</v>
      </c>
      <c r="J106" s="709">
        <v>0</v>
      </c>
      <c r="K106" s="709">
        <v>0</v>
      </c>
      <c r="L106" s="709">
        <v>0</v>
      </c>
      <c r="M106" s="709">
        <v>0</v>
      </c>
      <c r="N106" s="709">
        <v>0</v>
      </c>
      <c r="O106" s="709">
        <v>0</v>
      </c>
      <c r="P106" s="709">
        <v>0</v>
      </c>
      <c r="Q106" s="709">
        <v>0</v>
      </c>
      <c r="R106" s="709">
        <v>0</v>
      </c>
      <c r="S106" s="709">
        <v>0</v>
      </c>
      <c r="T106" s="709">
        <v>0</v>
      </c>
      <c r="U106" s="709">
        <v>0</v>
      </c>
      <c r="V106" s="709">
        <v>0</v>
      </c>
      <c r="W106" s="709">
        <v>0</v>
      </c>
      <c r="X106" s="709">
        <v>0</v>
      </c>
      <c r="Y106" s="709">
        <v>0</v>
      </c>
      <c r="Z106" s="709">
        <v>0</v>
      </c>
      <c r="AA106" s="709">
        <v>0</v>
      </c>
      <c r="AB106" s="709">
        <v>0</v>
      </c>
      <c r="AC106" s="709">
        <v>0</v>
      </c>
      <c r="AD106" s="709">
        <v>0</v>
      </c>
      <c r="AE106" s="709">
        <v>0</v>
      </c>
      <c r="AF106" s="709">
        <v>0</v>
      </c>
      <c r="AG106" s="709">
        <v>0</v>
      </c>
      <c r="AH106" s="709">
        <v>0</v>
      </c>
      <c r="AI106" s="709">
        <v>0</v>
      </c>
      <c r="AJ106" s="709">
        <v>0</v>
      </c>
      <c r="AK106" s="709">
        <v>0</v>
      </c>
      <c r="AL106" s="709">
        <v>0</v>
      </c>
      <c r="AM106" s="709">
        <v>0</v>
      </c>
      <c r="AN106" s="709">
        <v>0</v>
      </c>
      <c r="AO106" s="709">
        <v>0</v>
      </c>
      <c r="AP106" s="709">
        <v>0</v>
      </c>
      <c r="AQ106" s="709">
        <v>0</v>
      </c>
      <c r="AR106" s="709">
        <v>0</v>
      </c>
      <c r="AS106" s="709">
        <v>0</v>
      </c>
      <c r="AT106" s="709">
        <v>0</v>
      </c>
      <c r="AU106" s="709">
        <v>0</v>
      </c>
      <c r="AV106" s="709">
        <v>0</v>
      </c>
      <c r="AW106" s="709">
        <v>0</v>
      </c>
      <c r="AX106" s="709">
        <v>0</v>
      </c>
    </row>
    <row r="107" spans="2:50" ht="13.2" x14ac:dyDescent="0.2">
      <c r="B107" s="293" t="str">
        <f>CHIFFRAGE_TC!B108</f>
        <v>Edificio - Estacion Puerto Santa Ana (Norte)</v>
      </c>
      <c r="C107" s="16"/>
      <c r="E107" s="717">
        <f>SUM(E108:E117)</f>
        <v>0</v>
      </c>
      <c r="F107" s="718">
        <f>SUM(F108:F117)</f>
        <v>2211517.9822534784</v>
      </c>
      <c r="G107" s="718">
        <f>SUM(G108:G117)</f>
        <v>3842028.0191879356</v>
      </c>
      <c r="H107" s="719">
        <f>SUM(H108:H117)</f>
        <v>467026.10423437483</v>
      </c>
      <c r="I107" s="733">
        <f t="shared" ref="I107:AN107" si="76">SUM(I108:I117)</f>
        <v>0</v>
      </c>
      <c r="J107" s="733">
        <f t="shared" si="76"/>
        <v>0</v>
      </c>
      <c r="K107" s="733">
        <f t="shared" si="76"/>
        <v>0</v>
      </c>
      <c r="L107" s="733">
        <f t="shared" si="76"/>
        <v>0</v>
      </c>
      <c r="M107" s="733">
        <f t="shared" si="76"/>
        <v>0</v>
      </c>
      <c r="N107" s="733">
        <f t="shared" si="76"/>
        <v>0</v>
      </c>
      <c r="O107" s="733">
        <f t="shared" si="76"/>
        <v>0</v>
      </c>
      <c r="P107" s="733">
        <f t="shared" si="76"/>
        <v>0</v>
      </c>
      <c r="Q107" s="733">
        <f t="shared" si="76"/>
        <v>0</v>
      </c>
      <c r="R107" s="733">
        <f t="shared" si="76"/>
        <v>0</v>
      </c>
      <c r="S107" s="733">
        <f t="shared" si="76"/>
        <v>0</v>
      </c>
      <c r="T107" s="733">
        <f t="shared" si="76"/>
        <v>0</v>
      </c>
      <c r="U107" s="733">
        <f t="shared" si="76"/>
        <v>0</v>
      </c>
      <c r="V107" s="733">
        <f t="shared" si="76"/>
        <v>0</v>
      </c>
      <c r="W107" s="733">
        <f t="shared" si="76"/>
        <v>93257.8125</v>
      </c>
      <c r="X107" s="733">
        <f t="shared" si="76"/>
        <v>279773.4375</v>
      </c>
      <c r="Y107" s="733">
        <f t="shared" si="76"/>
        <v>0</v>
      </c>
      <c r="Z107" s="733">
        <f t="shared" si="76"/>
        <v>0</v>
      </c>
      <c r="AA107" s="733">
        <f t="shared" si="76"/>
        <v>0</v>
      </c>
      <c r="AB107" s="733">
        <f t="shared" si="76"/>
        <v>0</v>
      </c>
      <c r="AC107" s="733">
        <f t="shared" si="76"/>
        <v>0</v>
      </c>
      <c r="AD107" s="733">
        <f t="shared" si="76"/>
        <v>0</v>
      </c>
      <c r="AE107" s="733">
        <f t="shared" si="76"/>
        <v>0</v>
      </c>
      <c r="AF107" s="733">
        <f t="shared" si="76"/>
        <v>0</v>
      </c>
      <c r="AG107" s="733">
        <f t="shared" si="76"/>
        <v>0</v>
      </c>
      <c r="AH107" s="733">
        <f t="shared" si="76"/>
        <v>0</v>
      </c>
      <c r="AI107" s="733">
        <f t="shared" si="76"/>
        <v>0</v>
      </c>
      <c r="AJ107" s="733">
        <f t="shared" si="76"/>
        <v>0</v>
      </c>
      <c r="AK107" s="733">
        <f t="shared" si="76"/>
        <v>0</v>
      </c>
      <c r="AL107" s="733">
        <f t="shared" si="76"/>
        <v>0</v>
      </c>
      <c r="AM107" s="733">
        <f t="shared" si="76"/>
        <v>0</v>
      </c>
      <c r="AN107" s="733">
        <f t="shared" si="76"/>
        <v>93257.8125</v>
      </c>
      <c r="AO107" s="733">
        <f t="shared" ref="AO107" si="77">SUM(AO108:AO117)</f>
        <v>279773.4375</v>
      </c>
      <c r="AP107" s="733">
        <f t="shared" ref="AP107" si="78">SUM(AP108:AP117)</f>
        <v>0</v>
      </c>
      <c r="AQ107" s="733">
        <f t="shared" ref="AQ107" si="79">SUM(AQ108:AQ117)</f>
        <v>0</v>
      </c>
      <c r="AR107" s="733">
        <f t="shared" ref="AR107" si="80">SUM(AR108:AR117)</f>
        <v>0</v>
      </c>
      <c r="AS107" s="733">
        <f t="shared" ref="AS107" si="81">SUM(AS108:AS117)</f>
        <v>0</v>
      </c>
      <c r="AT107" s="733">
        <f t="shared" ref="AT107" si="82">SUM(AT108:AT117)</f>
        <v>0</v>
      </c>
      <c r="AU107" s="733">
        <f t="shared" ref="AU107" si="83">SUM(AU108:AU117)</f>
        <v>0</v>
      </c>
      <c r="AV107" s="733">
        <f t="shared" ref="AV107" si="84">SUM(AV108:AV117)</f>
        <v>0</v>
      </c>
      <c r="AW107" s="733">
        <f t="shared" ref="AW107" si="85">SUM(AW108:AW117)</f>
        <v>0</v>
      </c>
      <c r="AX107" s="733">
        <f t="shared" ref="AX107" si="86">SUM(AX108:AX117)</f>
        <v>0</v>
      </c>
    </row>
    <row r="108" spans="2:50" ht="13.2" x14ac:dyDescent="0.2">
      <c r="B108" s="290" t="str">
        <f>CHIFFRAGE_TC!B109</f>
        <v>Fundaciones tipicas 
(edificio con piso tierra y primer piso)</v>
      </c>
      <c r="C108" s="16">
        <f>CHIFFRAGE_TC!D109</f>
        <v>50</v>
      </c>
      <c r="E108" s="712">
        <f>CHIFFRAGE_TC!$L109*CHIFFRAGE_TC!$T109</f>
        <v>0</v>
      </c>
      <c r="F108" s="715">
        <f>CHIFFRAGE_TC!$L109*CHIFFRAGE_TC!$U109</f>
        <v>0</v>
      </c>
      <c r="G108" s="715">
        <f>CHIFFRAGE_TC!$L109*CHIFFRAGE_TC!$V109</f>
        <v>0</v>
      </c>
      <c r="H108" s="716">
        <f>CHIFFRAGE_TC!$L109*CHIFFRAGE_TC!$W109</f>
        <v>0</v>
      </c>
      <c r="I108" s="709">
        <v>0</v>
      </c>
      <c r="J108" s="709">
        <v>0</v>
      </c>
      <c r="K108" s="709">
        <v>0</v>
      </c>
      <c r="L108" s="709">
        <v>0</v>
      </c>
      <c r="M108" s="709">
        <v>0</v>
      </c>
      <c r="N108" s="709">
        <v>0</v>
      </c>
      <c r="O108" s="709">
        <v>0</v>
      </c>
      <c r="P108" s="709">
        <v>0</v>
      </c>
      <c r="Q108" s="709">
        <v>0</v>
      </c>
      <c r="R108" s="709">
        <v>0</v>
      </c>
      <c r="S108" s="709">
        <v>0</v>
      </c>
      <c r="T108" s="709">
        <v>0</v>
      </c>
      <c r="U108" s="709">
        <v>0</v>
      </c>
      <c r="V108" s="709">
        <v>0</v>
      </c>
      <c r="W108" s="709">
        <v>0</v>
      </c>
      <c r="X108" s="709">
        <v>0</v>
      </c>
      <c r="Y108" s="709">
        <v>0</v>
      </c>
      <c r="Z108" s="709">
        <v>0</v>
      </c>
      <c r="AA108" s="709">
        <v>0</v>
      </c>
      <c r="AB108" s="709">
        <v>0</v>
      </c>
      <c r="AC108" s="709">
        <v>0</v>
      </c>
      <c r="AD108" s="709">
        <v>0</v>
      </c>
      <c r="AE108" s="709">
        <v>0</v>
      </c>
      <c r="AF108" s="709">
        <v>0</v>
      </c>
      <c r="AG108" s="709">
        <v>0</v>
      </c>
      <c r="AH108" s="709">
        <v>0</v>
      </c>
      <c r="AI108" s="709">
        <v>0</v>
      </c>
      <c r="AJ108" s="709">
        <v>0</v>
      </c>
      <c r="AK108" s="709">
        <v>0</v>
      </c>
      <c r="AL108" s="709">
        <v>0</v>
      </c>
      <c r="AM108" s="709">
        <v>0</v>
      </c>
      <c r="AN108" s="709">
        <v>0</v>
      </c>
      <c r="AO108" s="709">
        <v>0</v>
      </c>
      <c r="AP108" s="709">
        <v>0</v>
      </c>
      <c r="AQ108" s="709">
        <v>0</v>
      </c>
      <c r="AR108" s="709">
        <v>0</v>
      </c>
      <c r="AS108" s="709">
        <v>0</v>
      </c>
      <c r="AT108" s="709">
        <v>0</v>
      </c>
      <c r="AU108" s="709">
        <v>0</v>
      </c>
      <c r="AV108" s="709">
        <v>0</v>
      </c>
      <c r="AW108" s="709">
        <v>0</v>
      </c>
      <c r="AX108" s="709">
        <v>0</v>
      </c>
    </row>
    <row r="109" spans="2:50" ht="13.2" x14ac:dyDescent="0.2">
      <c r="B109" s="290" t="str">
        <f>CHIFFRAGE_TC!B110</f>
        <v>Piso tierra sobrelevado y fundaciones</v>
      </c>
      <c r="C109" s="16">
        <f>CHIFFRAGE_TC!D110</f>
        <v>50</v>
      </c>
      <c r="E109" s="712">
        <f>CHIFFRAGE_TC!$L110*CHIFFRAGE_TC!$T110</f>
        <v>0</v>
      </c>
      <c r="F109" s="715">
        <f>CHIFFRAGE_TC!$L110*CHIFFRAGE_TC!$U110</f>
        <v>1264507.4885362496</v>
      </c>
      <c r="G109" s="715">
        <f>CHIFFRAGE_TC!$L110*CHIFFRAGE_TC!$V110</f>
        <v>1264507.4885362496</v>
      </c>
      <c r="H109" s="716">
        <f>CHIFFRAGE_TC!$L110*CHIFFRAGE_TC!$W110</f>
        <v>0</v>
      </c>
      <c r="I109" s="709">
        <v>0</v>
      </c>
      <c r="J109" s="709">
        <v>0</v>
      </c>
      <c r="K109" s="709">
        <v>0</v>
      </c>
      <c r="L109" s="709">
        <v>0</v>
      </c>
      <c r="M109" s="709">
        <v>0</v>
      </c>
      <c r="N109" s="709">
        <v>0</v>
      </c>
      <c r="O109" s="709">
        <v>0</v>
      </c>
      <c r="P109" s="709">
        <v>0</v>
      </c>
      <c r="Q109" s="709">
        <v>0</v>
      </c>
      <c r="R109" s="709">
        <v>0</v>
      </c>
      <c r="S109" s="709">
        <v>0</v>
      </c>
      <c r="T109" s="709">
        <v>0</v>
      </c>
      <c r="U109" s="709">
        <v>0</v>
      </c>
      <c r="V109" s="709">
        <v>0</v>
      </c>
      <c r="W109" s="709">
        <v>0</v>
      </c>
      <c r="X109" s="709">
        <v>0</v>
      </c>
      <c r="Y109" s="709">
        <v>0</v>
      </c>
      <c r="Z109" s="709">
        <v>0</v>
      </c>
      <c r="AA109" s="709">
        <v>0</v>
      </c>
      <c r="AB109" s="709">
        <v>0</v>
      </c>
      <c r="AC109" s="709">
        <v>0</v>
      </c>
      <c r="AD109" s="709">
        <v>0</v>
      </c>
      <c r="AE109" s="709">
        <v>0</v>
      </c>
      <c r="AF109" s="709">
        <v>0</v>
      </c>
      <c r="AG109" s="709">
        <v>0</v>
      </c>
      <c r="AH109" s="709">
        <v>0</v>
      </c>
      <c r="AI109" s="709">
        <v>0</v>
      </c>
      <c r="AJ109" s="709">
        <v>0</v>
      </c>
      <c r="AK109" s="709">
        <v>0</v>
      </c>
      <c r="AL109" s="709">
        <v>0</v>
      </c>
      <c r="AM109" s="709">
        <v>0</v>
      </c>
      <c r="AN109" s="709">
        <v>0</v>
      </c>
      <c r="AO109" s="709">
        <v>0</v>
      </c>
      <c r="AP109" s="709">
        <v>0</v>
      </c>
      <c r="AQ109" s="709">
        <v>0</v>
      </c>
      <c r="AR109" s="709">
        <v>0</v>
      </c>
      <c r="AS109" s="709">
        <v>0</v>
      </c>
      <c r="AT109" s="709">
        <v>0</v>
      </c>
      <c r="AU109" s="709">
        <v>0</v>
      </c>
      <c r="AV109" s="709">
        <v>0</v>
      </c>
      <c r="AW109" s="709">
        <v>0</v>
      </c>
      <c r="AX109" s="709">
        <v>0</v>
      </c>
    </row>
    <row r="110" spans="2:50" ht="13.2" x14ac:dyDescent="0.2">
      <c r="B110" s="290" t="str">
        <f>CHIFFRAGE_TC!B111</f>
        <v>Superficies comerciales</v>
      </c>
      <c r="C110" s="16">
        <f>CHIFFRAGE_TC!D111</f>
        <v>50</v>
      </c>
      <c r="E110" s="712">
        <f>CHIFFRAGE_TC!$L111*CHIFFRAGE_TC!$T111</f>
        <v>0</v>
      </c>
      <c r="F110" s="715">
        <f>CHIFFRAGE_TC!$L111*CHIFFRAGE_TC!$U111</f>
        <v>87579.354490359343</v>
      </c>
      <c r="G110" s="715">
        <f>CHIFFRAGE_TC!$L111*CHIFFRAGE_TC!$V111</f>
        <v>262738.06347107806</v>
      </c>
      <c r="H110" s="716">
        <f>CHIFFRAGE_TC!$L111*CHIFFRAGE_TC!$W111</f>
        <v>0</v>
      </c>
      <c r="I110" s="709">
        <v>0</v>
      </c>
      <c r="J110" s="709">
        <v>0</v>
      </c>
      <c r="K110" s="709">
        <v>0</v>
      </c>
      <c r="L110" s="709">
        <v>0</v>
      </c>
      <c r="M110" s="709">
        <v>0</v>
      </c>
      <c r="N110" s="709">
        <v>0</v>
      </c>
      <c r="O110" s="709">
        <v>0</v>
      </c>
      <c r="P110" s="709">
        <v>0</v>
      </c>
      <c r="Q110" s="709">
        <v>0</v>
      </c>
      <c r="R110" s="709">
        <v>0</v>
      </c>
      <c r="S110" s="709">
        <v>0</v>
      </c>
      <c r="T110" s="709">
        <v>0</v>
      </c>
      <c r="U110" s="709">
        <v>0</v>
      </c>
      <c r="V110" s="709">
        <v>0</v>
      </c>
      <c r="W110" s="709">
        <v>0</v>
      </c>
      <c r="X110" s="709">
        <v>0</v>
      </c>
      <c r="Y110" s="709">
        <v>0</v>
      </c>
      <c r="Z110" s="709">
        <v>0</v>
      </c>
      <c r="AA110" s="709">
        <v>0</v>
      </c>
      <c r="AB110" s="709">
        <v>0</v>
      </c>
      <c r="AC110" s="709">
        <v>0</v>
      </c>
      <c r="AD110" s="709">
        <v>0</v>
      </c>
      <c r="AE110" s="709">
        <v>0</v>
      </c>
      <c r="AF110" s="709">
        <v>0</v>
      </c>
      <c r="AG110" s="709">
        <v>0</v>
      </c>
      <c r="AH110" s="709">
        <v>0</v>
      </c>
      <c r="AI110" s="709">
        <v>0</v>
      </c>
      <c r="AJ110" s="709">
        <v>0</v>
      </c>
      <c r="AK110" s="709">
        <v>0</v>
      </c>
      <c r="AL110" s="709">
        <v>0</v>
      </c>
      <c r="AM110" s="709">
        <v>0</v>
      </c>
      <c r="AN110" s="709">
        <v>0</v>
      </c>
      <c r="AO110" s="709">
        <v>0</v>
      </c>
      <c r="AP110" s="709">
        <v>0</v>
      </c>
      <c r="AQ110" s="709">
        <v>0</v>
      </c>
      <c r="AR110" s="709">
        <v>0</v>
      </c>
      <c r="AS110" s="709">
        <v>0</v>
      </c>
      <c r="AT110" s="709">
        <v>0</v>
      </c>
      <c r="AU110" s="709">
        <v>0</v>
      </c>
      <c r="AV110" s="709">
        <v>0</v>
      </c>
      <c r="AW110" s="709">
        <v>0</v>
      </c>
      <c r="AX110" s="709">
        <v>0</v>
      </c>
    </row>
    <row r="111" spans="2:50" ht="26.4" x14ac:dyDescent="0.2">
      <c r="B111" s="292" t="str">
        <f>CHIFFRAGE_TC!B112</f>
        <v xml:space="preserve">Ingreso y circulaciones al piso tierra 
(y/c servicios, escaleras mecanicas, escaleras y ascencores) </v>
      </c>
      <c r="C111" s="16">
        <f>CHIFFRAGE_TC!D112</f>
        <v>40</v>
      </c>
      <c r="E111" s="712">
        <f>CHIFFRAGE_TC!$L112*CHIFFRAGE_TC!$T112</f>
        <v>0</v>
      </c>
      <c r="F111" s="715">
        <f>CHIFFRAGE_TC!$L112*CHIFFRAGE_TC!$U112</f>
        <v>413683.95896887488</v>
      </c>
      <c r="G111" s="715">
        <f>CHIFFRAGE_TC!$L112*CHIFFRAGE_TC!$V112</f>
        <v>1241051.8769066245</v>
      </c>
      <c r="H111" s="716">
        <f>CHIFFRAGE_TC!$L112*CHIFFRAGE_TC!$W112</f>
        <v>0</v>
      </c>
      <c r="I111" s="709">
        <v>0</v>
      </c>
      <c r="J111" s="709">
        <v>0</v>
      </c>
      <c r="K111" s="709">
        <v>0</v>
      </c>
      <c r="L111" s="709">
        <v>0</v>
      </c>
      <c r="M111" s="709">
        <v>0</v>
      </c>
      <c r="N111" s="709">
        <v>0</v>
      </c>
      <c r="O111" s="709">
        <v>0</v>
      </c>
      <c r="P111" s="709">
        <v>0</v>
      </c>
      <c r="Q111" s="709">
        <v>0</v>
      </c>
      <c r="R111" s="709">
        <v>0</v>
      </c>
      <c r="S111" s="709">
        <v>0</v>
      </c>
      <c r="T111" s="709">
        <v>0</v>
      </c>
      <c r="U111" s="709">
        <v>0</v>
      </c>
      <c r="V111" s="709">
        <v>0</v>
      </c>
      <c r="W111" s="709">
        <v>0</v>
      </c>
      <c r="X111" s="709">
        <v>0</v>
      </c>
      <c r="Y111" s="709">
        <v>0</v>
      </c>
      <c r="Z111" s="709">
        <v>0</v>
      </c>
      <c r="AA111" s="709">
        <v>0</v>
      </c>
      <c r="AB111" s="709">
        <v>0</v>
      </c>
      <c r="AC111" s="709">
        <v>0</v>
      </c>
      <c r="AD111" s="709">
        <v>0</v>
      </c>
      <c r="AE111" s="709">
        <v>0</v>
      </c>
      <c r="AF111" s="709">
        <v>0</v>
      </c>
      <c r="AG111" s="709">
        <v>0</v>
      </c>
      <c r="AH111" s="709">
        <v>0</v>
      </c>
      <c r="AI111" s="709">
        <v>0</v>
      </c>
      <c r="AJ111" s="709">
        <v>0</v>
      </c>
      <c r="AK111" s="709">
        <v>0</v>
      </c>
      <c r="AL111" s="709">
        <v>0</v>
      </c>
      <c r="AM111" s="709">
        <v>0</v>
      </c>
      <c r="AN111" s="709">
        <v>0</v>
      </c>
      <c r="AO111" s="709">
        <v>0</v>
      </c>
      <c r="AP111" s="709">
        <v>0</v>
      </c>
      <c r="AQ111" s="709">
        <v>0</v>
      </c>
      <c r="AR111" s="709">
        <v>0</v>
      </c>
      <c r="AS111" s="709">
        <v>0</v>
      </c>
      <c r="AT111" s="709">
        <v>0</v>
      </c>
      <c r="AU111" s="709">
        <v>0</v>
      </c>
      <c r="AV111" s="709">
        <v>0</v>
      </c>
      <c r="AW111" s="709">
        <v>0</v>
      </c>
      <c r="AX111" s="709">
        <v>0</v>
      </c>
    </row>
    <row r="112" spans="2:50" ht="26.4" x14ac:dyDescent="0.2">
      <c r="B112" s="292" t="str">
        <f>CHIFFRAGE_TC!B113</f>
        <v>Escaleras mecanicas, escaleras y ascencores adicionales 
(piso tierra sobrelevado)</v>
      </c>
      <c r="C112" s="16">
        <f>CHIFFRAGE_TC!D113</f>
        <v>15</v>
      </c>
      <c r="E112" s="712">
        <f>CHIFFRAGE_TC!$L113*CHIFFRAGE_TC!$T113</f>
        <v>0</v>
      </c>
      <c r="F112" s="715">
        <f>CHIFFRAGE_TC!$L113*CHIFFRAGE_TC!$U113</f>
        <v>93257.8125</v>
      </c>
      <c r="G112" s="715">
        <f>CHIFFRAGE_TC!$L113*CHIFFRAGE_TC!$V113</f>
        <v>279773.4375</v>
      </c>
      <c r="H112" s="716">
        <f>CHIFFRAGE_TC!$L113*CHIFFRAGE_TC!$W113</f>
        <v>0</v>
      </c>
      <c r="I112" s="709">
        <v>0</v>
      </c>
      <c r="J112" s="709">
        <v>0</v>
      </c>
      <c r="K112" s="709">
        <v>0</v>
      </c>
      <c r="L112" s="709">
        <v>0</v>
      </c>
      <c r="M112" s="709">
        <v>0</v>
      </c>
      <c r="N112" s="709">
        <v>0</v>
      </c>
      <c r="O112" s="709">
        <v>0</v>
      </c>
      <c r="P112" s="709">
        <v>0</v>
      </c>
      <c r="Q112" s="709">
        <v>0</v>
      </c>
      <c r="R112" s="709">
        <v>0</v>
      </c>
      <c r="S112" s="709">
        <v>0</v>
      </c>
      <c r="T112" s="709">
        <v>0</v>
      </c>
      <c r="U112" s="709">
        <v>0</v>
      </c>
      <c r="V112" s="709">
        <v>0</v>
      </c>
      <c r="W112" s="729">
        <f>F112</f>
        <v>93257.8125</v>
      </c>
      <c r="X112" s="729">
        <f>G112</f>
        <v>279773.4375</v>
      </c>
      <c r="Y112" s="729">
        <f>H112</f>
        <v>0</v>
      </c>
      <c r="Z112" s="709">
        <v>0</v>
      </c>
      <c r="AA112" s="709">
        <v>0</v>
      </c>
      <c r="AB112" s="709">
        <v>0</v>
      </c>
      <c r="AC112" s="709">
        <v>0</v>
      </c>
      <c r="AD112" s="709">
        <v>0</v>
      </c>
      <c r="AE112" s="709">
        <v>0</v>
      </c>
      <c r="AF112" s="709">
        <v>0</v>
      </c>
      <c r="AG112" s="709">
        <v>0</v>
      </c>
      <c r="AH112" s="709">
        <v>0</v>
      </c>
      <c r="AI112" s="709">
        <v>0</v>
      </c>
      <c r="AJ112" s="709">
        <v>0</v>
      </c>
      <c r="AK112" s="709">
        <v>0</v>
      </c>
      <c r="AL112" s="709">
        <v>0</v>
      </c>
      <c r="AM112" s="709">
        <v>0</v>
      </c>
      <c r="AN112" s="729">
        <f>F112</f>
        <v>93257.8125</v>
      </c>
      <c r="AO112" s="729">
        <f t="shared" ref="AO112" si="87">G112</f>
        <v>279773.4375</v>
      </c>
      <c r="AP112" s="729">
        <f t="shared" ref="AP112" si="88">H112</f>
        <v>0</v>
      </c>
      <c r="AQ112" s="709">
        <v>0</v>
      </c>
      <c r="AR112" s="709">
        <v>0</v>
      </c>
      <c r="AS112" s="709">
        <v>0</v>
      </c>
      <c r="AT112" s="709">
        <v>0</v>
      </c>
      <c r="AU112" s="709">
        <v>0</v>
      </c>
      <c r="AV112" s="709">
        <v>0</v>
      </c>
      <c r="AW112" s="709">
        <v>0</v>
      </c>
      <c r="AX112" s="709">
        <v>0</v>
      </c>
    </row>
    <row r="113" spans="2:50" ht="13.2" x14ac:dyDescent="0.2">
      <c r="B113" s="290" t="str">
        <f>CHIFFRAGE_TC!B114</f>
        <v>Anden al primer piso</v>
      </c>
      <c r="C113" s="16">
        <f>CHIFFRAGE_TC!D114</f>
        <v>50</v>
      </c>
      <c r="E113" s="712">
        <f>CHIFFRAGE_TC!$L114*CHIFFRAGE_TC!$T114</f>
        <v>0</v>
      </c>
      <c r="F113" s="715">
        <f>CHIFFRAGE_TC!$L114*CHIFFRAGE_TC!$U114</f>
        <v>131402.95092782806</v>
      </c>
      <c r="G113" s="715">
        <f>CHIFFRAGE_TC!$L114*CHIFFRAGE_TC!$V114</f>
        <v>394208.85278348415</v>
      </c>
      <c r="H113" s="716">
        <f>CHIFFRAGE_TC!$L114*CHIFFRAGE_TC!$W114</f>
        <v>0</v>
      </c>
      <c r="I113" s="709">
        <v>0</v>
      </c>
      <c r="J113" s="709">
        <v>0</v>
      </c>
      <c r="K113" s="709">
        <v>0</v>
      </c>
      <c r="L113" s="709">
        <v>0</v>
      </c>
      <c r="M113" s="709">
        <v>0</v>
      </c>
      <c r="N113" s="709">
        <v>0</v>
      </c>
      <c r="O113" s="709">
        <v>0</v>
      </c>
      <c r="P113" s="709">
        <v>0</v>
      </c>
      <c r="Q113" s="709">
        <v>0</v>
      </c>
      <c r="R113" s="709">
        <v>0</v>
      </c>
      <c r="S113" s="709">
        <v>0</v>
      </c>
      <c r="T113" s="709">
        <v>0</v>
      </c>
      <c r="U113" s="709">
        <v>0</v>
      </c>
      <c r="V113" s="709">
        <v>0</v>
      </c>
      <c r="W113" s="709">
        <v>0</v>
      </c>
      <c r="X113" s="709">
        <v>0</v>
      </c>
      <c r="Y113" s="709">
        <v>0</v>
      </c>
      <c r="Z113" s="709">
        <v>0</v>
      </c>
      <c r="AA113" s="709">
        <v>0</v>
      </c>
      <c r="AB113" s="709">
        <v>0</v>
      </c>
      <c r="AC113" s="709">
        <v>0</v>
      </c>
      <c r="AD113" s="709">
        <v>0</v>
      </c>
      <c r="AE113" s="709">
        <v>0</v>
      </c>
      <c r="AF113" s="709">
        <v>0</v>
      </c>
      <c r="AG113" s="709">
        <v>0</v>
      </c>
      <c r="AH113" s="709">
        <v>0</v>
      </c>
      <c r="AI113" s="709">
        <v>0</v>
      </c>
      <c r="AJ113" s="709">
        <v>0</v>
      </c>
      <c r="AK113" s="709">
        <v>0</v>
      </c>
      <c r="AL113" s="709">
        <v>0</v>
      </c>
      <c r="AM113" s="709">
        <v>0</v>
      </c>
      <c r="AN113" s="709">
        <v>0</v>
      </c>
      <c r="AO113" s="709">
        <v>0</v>
      </c>
      <c r="AP113" s="709">
        <v>0</v>
      </c>
      <c r="AQ113" s="709">
        <v>0</v>
      </c>
      <c r="AR113" s="709">
        <v>0</v>
      </c>
      <c r="AS113" s="709">
        <v>0</v>
      </c>
      <c r="AT113" s="709">
        <v>0</v>
      </c>
      <c r="AU113" s="709">
        <v>0</v>
      </c>
      <c r="AV113" s="709">
        <v>0</v>
      </c>
      <c r="AW113" s="709">
        <v>0</v>
      </c>
      <c r="AX113" s="709">
        <v>0</v>
      </c>
    </row>
    <row r="114" spans="2:50" ht="13.2" x14ac:dyDescent="0.2">
      <c r="B114" s="290" t="str">
        <f>CHIFFRAGE_TC!B115</f>
        <v>Centro de mando + Locales tecnicos cubiertos</v>
      </c>
      <c r="C114" s="16">
        <f>CHIFFRAGE_TC!D115</f>
        <v>50</v>
      </c>
      <c r="E114" s="712">
        <f>CHIFFRAGE_TC!$L115*CHIFFRAGE_TC!$T115</f>
        <v>0</v>
      </c>
      <c r="F114" s="715">
        <f>CHIFFRAGE_TC!$L115*CHIFFRAGE_TC!$U115</f>
        <v>28025.393436914987</v>
      </c>
      <c r="G114" s="715">
        <f>CHIFFRAGE_TC!$L115*CHIFFRAGE_TC!$V115</f>
        <v>84076.180310744967</v>
      </c>
      <c r="H114" s="716">
        <f>CHIFFRAGE_TC!$L115*CHIFFRAGE_TC!$W115</f>
        <v>0</v>
      </c>
      <c r="I114" s="709">
        <v>0</v>
      </c>
      <c r="J114" s="709">
        <v>0</v>
      </c>
      <c r="K114" s="709">
        <v>0</v>
      </c>
      <c r="L114" s="709">
        <v>0</v>
      </c>
      <c r="M114" s="709">
        <v>0</v>
      </c>
      <c r="N114" s="709">
        <v>0</v>
      </c>
      <c r="O114" s="709">
        <v>0</v>
      </c>
      <c r="P114" s="709">
        <v>0</v>
      </c>
      <c r="Q114" s="709">
        <v>0</v>
      </c>
      <c r="R114" s="709">
        <v>0</v>
      </c>
      <c r="S114" s="709">
        <v>0</v>
      </c>
      <c r="T114" s="709">
        <v>0</v>
      </c>
      <c r="U114" s="709">
        <v>0</v>
      </c>
      <c r="V114" s="709">
        <v>0</v>
      </c>
      <c r="W114" s="709">
        <v>0</v>
      </c>
      <c r="X114" s="709">
        <v>0</v>
      </c>
      <c r="Y114" s="709">
        <v>0</v>
      </c>
      <c r="Z114" s="709">
        <v>0</v>
      </c>
      <c r="AA114" s="709">
        <v>0</v>
      </c>
      <c r="AB114" s="709">
        <v>0</v>
      </c>
      <c r="AC114" s="709">
        <v>0</v>
      </c>
      <c r="AD114" s="709">
        <v>0</v>
      </c>
      <c r="AE114" s="709">
        <v>0</v>
      </c>
      <c r="AF114" s="709">
        <v>0</v>
      </c>
      <c r="AG114" s="709">
        <v>0</v>
      </c>
      <c r="AH114" s="709">
        <v>0</v>
      </c>
      <c r="AI114" s="709">
        <v>0</v>
      </c>
      <c r="AJ114" s="709">
        <v>0</v>
      </c>
      <c r="AK114" s="709">
        <v>0</v>
      </c>
      <c r="AL114" s="709">
        <v>0</v>
      </c>
      <c r="AM114" s="709">
        <v>0</v>
      </c>
      <c r="AN114" s="709">
        <v>0</v>
      </c>
      <c r="AO114" s="709">
        <v>0</v>
      </c>
      <c r="AP114" s="709">
        <v>0</v>
      </c>
      <c r="AQ114" s="709">
        <v>0</v>
      </c>
      <c r="AR114" s="709">
        <v>0</v>
      </c>
      <c r="AS114" s="709">
        <v>0</v>
      </c>
      <c r="AT114" s="709">
        <v>0</v>
      </c>
      <c r="AU114" s="709">
        <v>0</v>
      </c>
      <c r="AV114" s="709">
        <v>0</v>
      </c>
      <c r="AW114" s="709">
        <v>0</v>
      </c>
      <c r="AX114" s="709">
        <v>0</v>
      </c>
    </row>
    <row r="115" spans="2:50" ht="13.2" x14ac:dyDescent="0.2">
      <c r="B115" s="290" t="str">
        <f>CHIFFRAGE_TC!B116</f>
        <v xml:space="preserve">Locales tecnicos non cerrados </v>
      </c>
      <c r="C115" s="16">
        <f>CHIFFRAGE_TC!D116</f>
        <v>50</v>
      </c>
      <c r="E115" s="712">
        <f>CHIFFRAGE_TC!$L116*CHIFFRAGE_TC!$T116</f>
        <v>0</v>
      </c>
      <c r="F115" s="715">
        <f>CHIFFRAGE_TC!$L116*CHIFFRAGE_TC!$U116</f>
        <v>61305.548143251537</v>
      </c>
      <c r="G115" s="715">
        <f>CHIFFRAGE_TC!$L116*CHIFFRAGE_TC!$V116</f>
        <v>183916.64442975461</v>
      </c>
      <c r="H115" s="716">
        <f>CHIFFRAGE_TC!$L116*CHIFFRAGE_TC!$W116</f>
        <v>0</v>
      </c>
      <c r="I115" s="709">
        <v>0</v>
      </c>
      <c r="J115" s="709">
        <v>0</v>
      </c>
      <c r="K115" s="709">
        <v>0</v>
      </c>
      <c r="L115" s="709">
        <v>0</v>
      </c>
      <c r="M115" s="709">
        <v>0</v>
      </c>
      <c r="N115" s="709">
        <v>0</v>
      </c>
      <c r="O115" s="709">
        <v>0</v>
      </c>
      <c r="P115" s="709">
        <v>0</v>
      </c>
      <c r="Q115" s="709">
        <v>0</v>
      </c>
      <c r="R115" s="709">
        <v>0</v>
      </c>
      <c r="S115" s="709">
        <v>0</v>
      </c>
      <c r="T115" s="709">
        <v>0</v>
      </c>
      <c r="U115" s="709">
        <v>0</v>
      </c>
      <c r="V115" s="709">
        <v>0</v>
      </c>
      <c r="W115" s="709">
        <v>0</v>
      </c>
      <c r="X115" s="709">
        <v>0</v>
      </c>
      <c r="Y115" s="709">
        <v>0</v>
      </c>
      <c r="Z115" s="709">
        <v>0</v>
      </c>
      <c r="AA115" s="709">
        <v>0</v>
      </c>
      <c r="AB115" s="709">
        <v>0</v>
      </c>
      <c r="AC115" s="709">
        <v>0</v>
      </c>
      <c r="AD115" s="709">
        <v>0</v>
      </c>
      <c r="AE115" s="709">
        <v>0</v>
      </c>
      <c r="AF115" s="709">
        <v>0</v>
      </c>
      <c r="AG115" s="709">
        <v>0</v>
      </c>
      <c r="AH115" s="709">
        <v>0</v>
      </c>
      <c r="AI115" s="709">
        <v>0</v>
      </c>
      <c r="AJ115" s="709">
        <v>0</v>
      </c>
      <c r="AK115" s="709">
        <v>0</v>
      </c>
      <c r="AL115" s="709">
        <v>0</v>
      </c>
      <c r="AM115" s="709">
        <v>0</v>
      </c>
      <c r="AN115" s="709">
        <v>0</v>
      </c>
      <c r="AO115" s="709">
        <v>0</v>
      </c>
      <c r="AP115" s="709">
        <v>0</v>
      </c>
      <c r="AQ115" s="709">
        <v>0</v>
      </c>
      <c r="AR115" s="709">
        <v>0</v>
      </c>
      <c r="AS115" s="709">
        <v>0</v>
      </c>
      <c r="AT115" s="709">
        <v>0</v>
      </c>
      <c r="AU115" s="709">
        <v>0</v>
      </c>
      <c r="AV115" s="709">
        <v>0</v>
      </c>
      <c r="AW115" s="709">
        <v>0</v>
      </c>
      <c r="AX115" s="709">
        <v>0</v>
      </c>
    </row>
    <row r="116" spans="2:50" ht="13.2" x14ac:dyDescent="0.2">
      <c r="B116" s="290" t="str">
        <f>CHIFFRAGE_TC!B117</f>
        <v>Adecuacion urbana 
(demolicion, reconstruccion, mobiliario urbano, paisaje)</v>
      </c>
      <c r="C116" s="16">
        <f>CHIFFRAGE_TC!D117</f>
        <v>50</v>
      </c>
      <c r="E116" s="712">
        <f>CHIFFRAGE_TC!$L117*CHIFFRAGE_TC!$T117</f>
        <v>0</v>
      </c>
      <c r="F116" s="715">
        <f>CHIFFRAGE_TC!$L117*CHIFFRAGE_TC!$U117</f>
        <v>131755.47524999996</v>
      </c>
      <c r="G116" s="715">
        <f>CHIFFRAGE_TC!$L117*CHIFFRAGE_TC!$V117</f>
        <v>131755.47524999996</v>
      </c>
      <c r="H116" s="716">
        <f>CHIFFRAGE_TC!$L117*CHIFFRAGE_TC!$W117</f>
        <v>263510.95049999992</v>
      </c>
      <c r="I116" s="709">
        <v>0</v>
      </c>
      <c r="J116" s="709">
        <v>0</v>
      </c>
      <c r="K116" s="709">
        <v>0</v>
      </c>
      <c r="L116" s="709">
        <v>0</v>
      </c>
      <c r="M116" s="709">
        <v>0</v>
      </c>
      <c r="N116" s="709">
        <v>0</v>
      </c>
      <c r="O116" s="709">
        <v>0</v>
      </c>
      <c r="P116" s="709">
        <v>0</v>
      </c>
      <c r="Q116" s="709">
        <v>0</v>
      </c>
      <c r="R116" s="709">
        <v>0</v>
      </c>
      <c r="S116" s="709">
        <v>0</v>
      </c>
      <c r="T116" s="709">
        <v>0</v>
      </c>
      <c r="U116" s="709">
        <v>0</v>
      </c>
      <c r="V116" s="709">
        <v>0</v>
      </c>
      <c r="W116" s="709">
        <v>0</v>
      </c>
      <c r="X116" s="709">
        <v>0</v>
      </c>
      <c r="Y116" s="709">
        <v>0</v>
      </c>
      <c r="Z116" s="709">
        <v>0</v>
      </c>
      <c r="AA116" s="709">
        <v>0</v>
      </c>
      <c r="AB116" s="709">
        <v>0</v>
      </c>
      <c r="AC116" s="709">
        <v>0</v>
      </c>
      <c r="AD116" s="709">
        <v>0</v>
      </c>
      <c r="AE116" s="709">
        <v>0</v>
      </c>
      <c r="AF116" s="709">
        <v>0</v>
      </c>
      <c r="AG116" s="709">
        <v>0</v>
      </c>
      <c r="AH116" s="709">
        <v>0</v>
      </c>
      <c r="AI116" s="709">
        <v>0</v>
      </c>
      <c r="AJ116" s="709">
        <v>0</v>
      </c>
      <c r="AK116" s="709">
        <v>0</v>
      </c>
      <c r="AL116" s="709">
        <v>0</v>
      </c>
      <c r="AM116" s="709">
        <v>0</v>
      </c>
      <c r="AN116" s="709">
        <v>0</v>
      </c>
      <c r="AO116" s="709">
        <v>0</v>
      </c>
      <c r="AP116" s="709">
        <v>0</v>
      </c>
      <c r="AQ116" s="709">
        <v>0</v>
      </c>
      <c r="AR116" s="709">
        <v>0</v>
      </c>
      <c r="AS116" s="709">
        <v>0</v>
      </c>
      <c r="AT116" s="709">
        <v>0</v>
      </c>
      <c r="AU116" s="709">
        <v>0</v>
      </c>
      <c r="AV116" s="709">
        <v>0</v>
      </c>
      <c r="AW116" s="709">
        <v>0</v>
      </c>
      <c r="AX116" s="709">
        <v>0</v>
      </c>
    </row>
    <row r="117" spans="2:50" ht="13.2" x14ac:dyDescent="0.2">
      <c r="B117" s="289" t="str">
        <f>CHIFFRAGE_TC!B118</f>
        <v>Pasarela</v>
      </c>
      <c r="C117" s="16">
        <f>CHIFFRAGE_TC!D118</f>
        <v>50</v>
      </c>
      <c r="E117" s="712">
        <f>CHIFFRAGE_TC!$L118*CHIFFRAGE_TC!$T118</f>
        <v>0</v>
      </c>
      <c r="F117" s="715">
        <f>CHIFFRAGE_TC!$L118*CHIFFRAGE_TC!$U118</f>
        <v>0</v>
      </c>
      <c r="G117" s="715">
        <f>CHIFFRAGE_TC!$L118*CHIFFRAGE_TC!$V118</f>
        <v>0</v>
      </c>
      <c r="H117" s="716">
        <f>CHIFFRAGE_TC!$L118*CHIFFRAGE_TC!$W118</f>
        <v>203515.15373437494</v>
      </c>
      <c r="I117" s="709">
        <v>0</v>
      </c>
      <c r="J117" s="709">
        <v>0</v>
      </c>
      <c r="K117" s="709">
        <v>0</v>
      </c>
      <c r="L117" s="709">
        <v>0</v>
      </c>
      <c r="M117" s="709">
        <v>0</v>
      </c>
      <c r="N117" s="709">
        <v>0</v>
      </c>
      <c r="O117" s="709">
        <v>0</v>
      </c>
      <c r="P117" s="709">
        <v>0</v>
      </c>
      <c r="Q117" s="709">
        <v>0</v>
      </c>
      <c r="R117" s="709">
        <v>0</v>
      </c>
      <c r="S117" s="709">
        <v>0</v>
      </c>
      <c r="T117" s="709">
        <v>0</v>
      </c>
      <c r="U117" s="709">
        <v>0</v>
      </c>
      <c r="V117" s="709">
        <v>0</v>
      </c>
      <c r="W117" s="709">
        <v>0</v>
      </c>
      <c r="X117" s="709">
        <v>0</v>
      </c>
      <c r="Y117" s="709">
        <v>0</v>
      </c>
      <c r="Z117" s="709">
        <v>0</v>
      </c>
      <c r="AA117" s="709">
        <v>0</v>
      </c>
      <c r="AB117" s="709">
        <v>0</v>
      </c>
      <c r="AC117" s="709">
        <v>0</v>
      </c>
      <c r="AD117" s="709">
        <v>0</v>
      </c>
      <c r="AE117" s="709">
        <v>0</v>
      </c>
      <c r="AF117" s="709">
        <v>0</v>
      </c>
      <c r="AG117" s="709">
        <v>0</v>
      </c>
      <c r="AH117" s="709">
        <v>0</v>
      </c>
      <c r="AI117" s="709">
        <v>0</v>
      </c>
      <c r="AJ117" s="709">
        <v>0</v>
      </c>
      <c r="AK117" s="709">
        <v>0</v>
      </c>
      <c r="AL117" s="709">
        <v>0</v>
      </c>
      <c r="AM117" s="709">
        <v>0</v>
      </c>
      <c r="AN117" s="709">
        <v>0</v>
      </c>
      <c r="AO117" s="709">
        <v>0</v>
      </c>
      <c r="AP117" s="709">
        <v>0</v>
      </c>
      <c r="AQ117" s="709">
        <v>0</v>
      </c>
      <c r="AR117" s="709">
        <v>0</v>
      </c>
      <c r="AS117" s="709">
        <v>0</v>
      </c>
      <c r="AT117" s="709">
        <v>0</v>
      </c>
      <c r="AU117" s="709">
        <v>0</v>
      </c>
      <c r="AV117" s="709">
        <v>0</v>
      </c>
      <c r="AW117" s="709">
        <v>0</v>
      </c>
      <c r="AX117" s="709">
        <v>0</v>
      </c>
    </row>
    <row r="118" spans="2:50" ht="13.2" x14ac:dyDescent="0.2">
      <c r="B118" s="293" t="str">
        <f>CHIFFRAGE_TC!B119</f>
        <v>Edificio - Estacion Puerto Santa Ana (Sur)</v>
      </c>
      <c r="C118" s="16"/>
      <c r="E118" s="717">
        <f>SUM(E119:E128)</f>
        <v>0</v>
      </c>
      <c r="F118" s="718">
        <f>SUM(F119:F128)</f>
        <v>0</v>
      </c>
      <c r="G118" s="718">
        <f>SUM(G119:G128)</f>
        <v>0</v>
      </c>
      <c r="H118" s="719">
        <f>SUM(H119:H128)</f>
        <v>0</v>
      </c>
      <c r="I118" s="733">
        <f t="shared" ref="I118:AN118" si="89">SUM(I119:I128)</f>
        <v>0</v>
      </c>
      <c r="J118" s="733">
        <f t="shared" si="89"/>
        <v>0</v>
      </c>
      <c r="K118" s="733">
        <f t="shared" si="89"/>
        <v>0</v>
      </c>
      <c r="L118" s="733">
        <f t="shared" si="89"/>
        <v>0</v>
      </c>
      <c r="M118" s="733">
        <f t="shared" si="89"/>
        <v>0</v>
      </c>
      <c r="N118" s="733">
        <f t="shared" si="89"/>
        <v>0</v>
      </c>
      <c r="O118" s="733">
        <f t="shared" si="89"/>
        <v>0</v>
      </c>
      <c r="P118" s="733">
        <f t="shared" si="89"/>
        <v>0</v>
      </c>
      <c r="Q118" s="733">
        <f t="shared" si="89"/>
        <v>0</v>
      </c>
      <c r="R118" s="733">
        <f t="shared" si="89"/>
        <v>0</v>
      </c>
      <c r="S118" s="733">
        <f t="shared" si="89"/>
        <v>0</v>
      </c>
      <c r="T118" s="733">
        <f t="shared" si="89"/>
        <v>0</v>
      </c>
      <c r="U118" s="733">
        <f t="shared" si="89"/>
        <v>0</v>
      </c>
      <c r="V118" s="733">
        <f t="shared" si="89"/>
        <v>0</v>
      </c>
      <c r="W118" s="733">
        <f t="shared" si="89"/>
        <v>0</v>
      </c>
      <c r="X118" s="733">
        <f t="shared" si="89"/>
        <v>0</v>
      </c>
      <c r="Y118" s="733">
        <f t="shared" si="89"/>
        <v>0</v>
      </c>
      <c r="Z118" s="733">
        <f t="shared" si="89"/>
        <v>0</v>
      </c>
      <c r="AA118" s="733">
        <f t="shared" si="89"/>
        <v>0</v>
      </c>
      <c r="AB118" s="733">
        <f t="shared" si="89"/>
        <v>0</v>
      </c>
      <c r="AC118" s="733">
        <f t="shared" si="89"/>
        <v>0</v>
      </c>
      <c r="AD118" s="733">
        <f t="shared" si="89"/>
        <v>0</v>
      </c>
      <c r="AE118" s="733">
        <f t="shared" si="89"/>
        <v>0</v>
      </c>
      <c r="AF118" s="733">
        <f t="shared" si="89"/>
        <v>0</v>
      </c>
      <c r="AG118" s="733">
        <f t="shared" si="89"/>
        <v>0</v>
      </c>
      <c r="AH118" s="733">
        <f t="shared" si="89"/>
        <v>0</v>
      </c>
      <c r="AI118" s="733">
        <f t="shared" si="89"/>
        <v>0</v>
      </c>
      <c r="AJ118" s="733">
        <f t="shared" si="89"/>
        <v>0</v>
      </c>
      <c r="AK118" s="733">
        <f t="shared" si="89"/>
        <v>0</v>
      </c>
      <c r="AL118" s="733">
        <f t="shared" si="89"/>
        <v>0</v>
      </c>
      <c r="AM118" s="733">
        <f t="shared" si="89"/>
        <v>0</v>
      </c>
      <c r="AN118" s="733">
        <f t="shared" si="89"/>
        <v>0</v>
      </c>
      <c r="AO118" s="733">
        <f t="shared" ref="AO118" si="90">SUM(AO119:AO128)</f>
        <v>0</v>
      </c>
      <c r="AP118" s="733">
        <f t="shared" ref="AP118" si="91">SUM(AP119:AP128)</f>
        <v>0</v>
      </c>
      <c r="AQ118" s="733">
        <f t="shared" ref="AQ118" si="92">SUM(AQ119:AQ128)</f>
        <v>0</v>
      </c>
      <c r="AR118" s="733">
        <f t="shared" ref="AR118" si="93">SUM(AR119:AR128)</f>
        <v>0</v>
      </c>
      <c r="AS118" s="733">
        <f t="shared" ref="AS118" si="94">SUM(AS119:AS128)</f>
        <v>0</v>
      </c>
      <c r="AT118" s="733">
        <f t="shared" ref="AT118" si="95">SUM(AT119:AT128)</f>
        <v>0</v>
      </c>
      <c r="AU118" s="733">
        <f t="shared" ref="AU118" si="96">SUM(AU119:AU128)</f>
        <v>0</v>
      </c>
      <c r="AV118" s="733">
        <f t="shared" ref="AV118" si="97">SUM(AV119:AV128)</f>
        <v>0</v>
      </c>
      <c r="AW118" s="733">
        <f t="shared" ref="AW118" si="98">SUM(AW119:AW128)</f>
        <v>0</v>
      </c>
      <c r="AX118" s="733">
        <f t="shared" ref="AX118" si="99">SUM(AX119:AX128)</f>
        <v>0</v>
      </c>
    </row>
    <row r="119" spans="2:50" ht="13.2" x14ac:dyDescent="0.2">
      <c r="B119" s="290" t="str">
        <f>CHIFFRAGE_TC!B120</f>
        <v>Fundaciones tipicas 
(edificio con piso tierra y primer piso)</v>
      </c>
      <c r="C119" s="16">
        <f>CHIFFRAGE_TC!D120</f>
        <v>50</v>
      </c>
      <c r="E119" s="712">
        <f>CHIFFRAGE_TC!$L120*CHIFFRAGE_TC!$T120</f>
        <v>0</v>
      </c>
      <c r="F119" s="715">
        <f>CHIFFRAGE_TC!$L120*CHIFFRAGE_TC!$U120</f>
        <v>0</v>
      </c>
      <c r="G119" s="715">
        <f>CHIFFRAGE_TC!$L120*CHIFFRAGE_TC!$V120</f>
        <v>0</v>
      </c>
      <c r="H119" s="716">
        <f>CHIFFRAGE_TC!$L120*CHIFFRAGE_TC!$W120</f>
        <v>0</v>
      </c>
      <c r="I119" s="709">
        <v>0</v>
      </c>
      <c r="J119" s="709">
        <v>0</v>
      </c>
      <c r="K119" s="709">
        <v>0</v>
      </c>
      <c r="L119" s="709">
        <v>0</v>
      </c>
      <c r="M119" s="709">
        <v>0</v>
      </c>
      <c r="N119" s="709">
        <v>0</v>
      </c>
      <c r="O119" s="709">
        <v>0</v>
      </c>
      <c r="P119" s="709">
        <v>0</v>
      </c>
      <c r="Q119" s="709">
        <v>0</v>
      </c>
      <c r="R119" s="709">
        <v>0</v>
      </c>
      <c r="S119" s="709">
        <v>0</v>
      </c>
      <c r="T119" s="709">
        <v>0</v>
      </c>
      <c r="U119" s="709">
        <v>0</v>
      </c>
      <c r="V119" s="709">
        <v>0</v>
      </c>
      <c r="W119" s="709">
        <v>0</v>
      </c>
      <c r="X119" s="709">
        <v>0</v>
      </c>
      <c r="Y119" s="709">
        <v>0</v>
      </c>
      <c r="Z119" s="709">
        <v>0</v>
      </c>
      <c r="AA119" s="709">
        <v>0</v>
      </c>
      <c r="AB119" s="709">
        <v>0</v>
      </c>
      <c r="AC119" s="709">
        <v>0</v>
      </c>
      <c r="AD119" s="709">
        <v>0</v>
      </c>
      <c r="AE119" s="709">
        <v>0</v>
      </c>
      <c r="AF119" s="709">
        <v>0</v>
      </c>
      <c r="AG119" s="709">
        <v>0</v>
      </c>
      <c r="AH119" s="709">
        <v>0</v>
      </c>
      <c r="AI119" s="709">
        <v>0</v>
      </c>
      <c r="AJ119" s="709">
        <v>0</v>
      </c>
      <c r="AK119" s="709">
        <v>0</v>
      </c>
      <c r="AL119" s="709">
        <v>0</v>
      </c>
      <c r="AM119" s="709">
        <v>0</v>
      </c>
      <c r="AN119" s="709">
        <v>0</v>
      </c>
      <c r="AO119" s="709">
        <v>0</v>
      </c>
      <c r="AP119" s="709">
        <v>0</v>
      </c>
      <c r="AQ119" s="709">
        <v>0</v>
      </c>
      <c r="AR119" s="709">
        <v>0</v>
      </c>
      <c r="AS119" s="709">
        <v>0</v>
      </c>
      <c r="AT119" s="709">
        <v>0</v>
      </c>
      <c r="AU119" s="709">
        <v>0</v>
      </c>
      <c r="AV119" s="709">
        <v>0</v>
      </c>
      <c r="AW119" s="709">
        <v>0</v>
      </c>
      <c r="AX119" s="709">
        <v>0</v>
      </c>
    </row>
    <row r="120" spans="2:50" ht="13.2" x14ac:dyDescent="0.2">
      <c r="B120" s="290" t="str">
        <f>CHIFFRAGE_TC!B121</f>
        <v>Piso tierra sobrelevado y fundaciones</v>
      </c>
      <c r="C120" s="16">
        <f>CHIFFRAGE_TC!D121</f>
        <v>50</v>
      </c>
      <c r="E120" s="712">
        <f>CHIFFRAGE_TC!$L121*CHIFFRAGE_TC!$T121</f>
        <v>0</v>
      </c>
      <c r="F120" s="715">
        <f>CHIFFRAGE_TC!$L121*CHIFFRAGE_TC!$U121</f>
        <v>0</v>
      </c>
      <c r="G120" s="715">
        <f>CHIFFRAGE_TC!$L121*CHIFFRAGE_TC!$V121</f>
        <v>0</v>
      </c>
      <c r="H120" s="716">
        <f>CHIFFRAGE_TC!$L121*CHIFFRAGE_TC!$W121</f>
        <v>0</v>
      </c>
      <c r="I120" s="709">
        <v>0</v>
      </c>
      <c r="J120" s="709">
        <v>0</v>
      </c>
      <c r="K120" s="709">
        <v>0</v>
      </c>
      <c r="L120" s="709">
        <v>0</v>
      </c>
      <c r="M120" s="709">
        <v>0</v>
      </c>
      <c r="N120" s="709">
        <v>0</v>
      </c>
      <c r="O120" s="709">
        <v>0</v>
      </c>
      <c r="P120" s="709">
        <v>0</v>
      </c>
      <c r="Q120" s="709">
        <v>0</v>
      </c>
      <c r="R120" s="709">
        <v>0</v>
      </c>
      <c r="S120" s="709">
        <v>0</v>
      </c>
      <c r="T120" s="709">
        <v>0</v>
      </c>
      <c r="U120" s="709">
        <v>0</v>
      </c>
      <c r="V120" s="709">
        <v>0</v>
      </c>
      <c r="W120" s="709">
        <v>0</v>
      </c>
      <c r="X120" s="709">
        <v>0</v>
      </c>
      <c r="Y120" s="709">
        <v>0</v>
      </c>
      <c r="Z120" s="709">
        <v>0</v>
      </c>
      <c r="AA120" s="709">
        <v>0</v>
      </c>
      <c r="AB120" s="709">
        <v>0</v>
      </c>
      <c r="AC120" s="709">
        <v>0</v>
      </c>
      <c r="AD120" s="709">
        <v>0</v>
      </c>
      <c r="AE120" s="709">
        <v>0</v>
      </c>
      <c r="AF120" s="709">
        <v>0</v>
      </c>
      <c r="AG120" s="709">
        <v>0</v>
      </c>
      <c r="AH120" s="709">
        <v>0</v>
      </c>
      <c r="AI120" s="709">
        <v>0</v>
      </c>
      <c r="AJ120" s="709">
        <v>0</v>
      </c>
      <c r="AK120" s="709">
        <v>0</v>
      </c>
      <c r="AL120" s="709">
        <v>0</v>
      </c>
      <c r="AM120" s="709">
        <v>0</v>
      </c>
      <c r="AN120" s="709">
        <v>0</v>
      </c>
      <c r="AO120" s="709">
        <v>0</v>
      </c>
      <c r="AP120" s="709">
        <v>0</v>
      </c>
      <c r="AQ120" s="709">
        <v>0</v>
      </c>
      <c r="AR120" s="709">
        <v>0</v>
      </c>
      <c r="AS120" s="709">
        <v>0</v>
      </c>
      <c r="AT120" s="709">
        <v>0</v>
      </c>
      <c r="AU120" s="709">
        <v>0</v>
      </c>
      <c r="AV120" s="709">
        <v>0</v>
      </c>
      <c r="AW120" s="709">
        <v>0</v>
      </c>
      <c r="AX120" s="709">
        <v>0</v>
      </c>
    </row>
    <row r="121" spans="2:50" ht="13.2" x14ac:dyDescent="0.2">
      <c r="B121" s="290" t="str">
        <f>CHIFFRAGE_TC!B122</f>
        <v>Superficies comerciales</v>
      </c>
      <c r="C121" s="16">
        <f>CHIFFRAGE_TC!D122</f>
        <v>50</v>
      </c>
      <c r="E121" s="712">
        <f>CHIFFRAGE_TC!$L122*CHIFFRAGE_TC!$T122</f>
        <v>0</v>
      </c>
      <c r="F121" s="715">
        <f>CHIFFRAGE_TC!$L122*CHIFFRAGE_TC!$U122</f>
        <v>0</v>
      </c>
      <c r="G121" s="715">
        <f>CHIFFRAGE_TC!$L122*CHIFFRAGE_TC!$V122</f>
        <v>0</v>
      </c>
      <c r="H121" s="716">
        <f>CHIFFRAGE_TC!$L122*CHIFFRAGE_TC!$W122</f>
        <v>0</v>
      </c>
      <c r="I121" s="709">
        <v>0</v>
      </c>
      <c r="J121" s="709">
        <v>0</v>
      </c>
      <c r="K121" s="709">
        <v>0</v>
      </c>
      <c r="L121" s="709">
        <v>0</v>
      </c>
      <c r="M121" s="709">
        <v>0</v>
      </c>
      <c r="N121" s="709">
        <v>0</v>
      </c>
      <c r="O121" s="709">
        <v>0</v>
      </c>
      <c r="P121" s="709">
        <v>0</v>
      </c>
      <c r="Q121" s="709">
        <v>0</v>
      </c>
      <c r="R121" s="709">
        <v>0</v>
      </c>
      <c r="S121" s="709">
        <v>0</v>
      </c>
      <c r="T121" s="709">
        <v>0</v>
      </c>
      <c r="U121" s="709">
        <v>0</v>
      </c>
      <c r="V121" s="709">
        <v>0</v>
      </c>
      <c r="W121" s="709">
        <v>0</v>
      </c>
      <c r="X121" s="709">
        <v>0</v>
      </c>
      <c r="Y121" s="709">
        <v>0</v>
      </c>
      <c r="Z121" s="709">
        <v>0</v>
      </c>
      <c r="AA121" s="709">
        <v>0</v>
      </c>
      <c r="AB121" s="709">
        <v>0</v>
      </c>
      <c r="AC121" s="709">
        <v>0</v>
      </c>
      <c r="AD121" s="709">
        <v>0</v>
      </c>
      <c r="AE121" s="709">
        <v>0</v>
      </c>
      <c r="AF121" s="709">
        <v>0</v>
      </c>
      <c r="AG121" s="709">
        <v>0</v>
      </c>
      <c r="AH121" s="709">
        <v>0</v>
      </c>
      <c r="AI121" s="709">
        <v>0</v>
      </c>
      <c r="AJ121" s="709">
        <v>0</v>
      </c>
      <c r="AK121" s="709">
        <v>0</v>
      </c>
      <c r="AL121" s="709">
        <v>0</v>
      </c>
      <c r="AM121" s="709">
        <v>0</v>
      </c>
      <c r="AN121" s="709">
        <v>0</v>
      </c>
      <c r="AO121" s="709">
        <v>0</v>
      </c>
      <c r="AP121" s="709">
        <v>0</v>
      </c>
      <c r="AQ121" s="709">
        <v>0</v>
      </c>
      <c r="AR121" s="709">
        <v>0</v>
      </c>
      <c r="AS121" s="709">
        <v>0</v>
      </c>
      <c r="AT121" s="709">
        <v>0</v>
      </c>
      <c r="AU121" s="709">
        <v>0</v>
      </c>
      <c r="AV121" s="709">
        <v>0</v>
      </c>
      <c r="AW121" s="709">
        <v>0</v>
      </c>
      <c r="AX121" s="709">
        <v>0</v>
      </c>
    </row>
    <row r="122" spans="2:50" ht="26.4" x14ac:dyDescent="0.2">
      <c r="B122" s="292" t="str">
        <f>CHIFFRAGE_TC!B123</f>
        <v xml:space="preserve">Ingreso y circulaciones al piso tierra 
(y/c servicios, escaleras mecanicas, escaleras y ascencores) </v>
      </c>
      <c r="C122" s="16">
        <f>CHIFFRAGE_TC!D123</f>
        <v>40</v>
      </c>
      <c r="E122" s="712">
        <f>CHIFFRAGE_TC!$L123*CHIFFRAGE_TC!$T123</f>
        <v>0</v>
      </c>
      <c r="F122" s="715">
        <f>CHIFFRAGE_TC!$L123*CHIFFRAGE_TC!$U123</f>
        <v>0</v>
      </c>
      <c r="G122" s="715">
        <f>CHIFFRAGE_TC!$L123*CHIFFRAGE_TC!$V123</f>
        <v>0</v>
      </c>
      <c r="H122" s="716">
        <f>CHIFFRAGE_TC!$L123*CHIFFRAGE_TC!$W123</f>
        <v>0</v>
      </c>
      <c r="I122" s="709">
        <v>0</v>
      </c>
      <c r="J122" s="709">
        <v>0</v>
      </c>
      <c r="K122" s="709">
        <v>0</v>
      </c>
      <c r="L122" s="709">
        <v>0</v>
      </c>
      <c r="M122" s="709">
        <v>0</v>
      </c>
      <c r="N122" s="709">
        <v>0</v>
      </c>
      <c r="O122" s="709">
        <v>0</v>
      </c>
      <c r="P122" s="709">
        <v>0</v>
      </c>
      <c r="Q122" s="709">
        <v>0</v>
      </c>
      <c r="R122" s="709">
        <v>0</v>
      </c>
      <c r="S122" s="709">
        <v>0</v>
      </c>
      <c r="T122" s="709">
        <v>0</v>
      </c>
      <c r="U122" s="709">
        <v>0</v>
      </c>
      <c r="V122" s="709">
        <v>0</v>
      </c>
      <c r="W122" s="709">
        <v>0</v>
      </c>
      <c r="X122" s="709">
        <v>0</v>
      </c>
      <c r="Y122" s="709">
        <v>0</v>
      </c>
      <c r="Z122" s="709">
        <v>0</v>
      </c>
      <c r="AA122" s="709">
        <v>0</v>
      </c>
      <c r="AB122" s="709">
        <v>0</v>
      </c>
      <c r="AC122" s="709">
        <v>0</v>
      </c>
      <c r="AD122" s="709">
        <v>0</v>
      </c>
      <c r="AE122" s="709">
        <v>0</v>
      </c>
      <c r="AF122" s="709">
        <v>0</v>
      </c>
      <c r="AG122" s="709">
        <v>0</v>
      </c>
      <c r="AH122" s="709">
        <v>0</v>
      </c>
      <c r="AI122" s="709">
        <v>0</v>
      </c>
      <c r="AJ122" s="709">
        <v>0</v>
      </c>
      <c r="AK122" s="709">
        <v>0</v>
      </c>
      <c r="AL122" s="709">
        <v>0</v>
      </c>
      <c r="AM122" s="709">
        <v>0</v>
      </c>
      <c r="AN122" s="709">
        <v>0</v>
      </c>
      <c r="AO122" s="709">
        <v>0</v>
      </c>
      <c r="AP122" s="709">
        <v>0</v>
      </c>
      <c r="AQ122" s="709">
        <v>0</v>
      </c>
      <c r="AR122" s="709">
        <v>0</v>
      </c>
      <c r="AS122" s="709">
        <v>0</v>
      </c>
      <c r="AT122" s="709">
        <v>0</v>
      </c>
      <c r="AU122" s="709">
        <v>0</v>
      </c>
      <c r="AV122" s="709">
        <v>0</v>
      </c>
      <c r="AW122" s="709">
        <v>0</v>
      </c>
      <c r="AX122" s="709">
        <v>0</v>
      </c>
    </row>
    <row r="123" spans="2:50" ht="26.4" x14ac:dyDescent="0.2">
      <c r="B123" s="292" t="str">
        <f>CHIFFRAGE_TC!B124</f>
        <v>Escaleras mecanicas, escaleras y ascencores adicionales 
(piso tierra sobrelevado)</v>
      </c>
      <c r="C123" s="16">
        <f>CHIFFRAGE_TC!D124</f>
        <v>15</v>
      </c>
      <c r="E123" s="712">
        <f>CHIFFRAGE_TC!$L124*CHIFFRAGE_TC!$T124</f>
        <v>0</v>
      </c>
      <c r="F123" s="715">
        <f>CHIFFRAGE_TC!$L124*CHIFFRAGE_TC!$U124</f>
        <v>0</v>
      </c>
      <c r="G123" s="715">
        <f>CHIFFRAGE_TC!$L124*CHIFFRAGE_TC!$V124</f>
        <v>0</v>
      </c>
      <c r="H123" s="716">
        <f>CHIFFRAGE_TC!$L124*CHIFFRAGE_TC!$W124</f>
        <v>0</v>
      </c>
      <c r="I123" s="709">
        <v>0</v>
      </c>
      <c r="J123" s="709">
        <v>0</v>
      </c>
      <c r="K123" s="709">
        <v>0</v>
      </c>
      <c r="L123" s="709">
        <v>0</v>
      </c>
      <c r="M123" s="709">
        <v>0</v>
      </c>
      <c r="N123" s="709">
        <v>0</v>
      </c>
      <c r="O123" s="709">
        <v>0</v>
      </c>
      <c r="P123" s="709">
        <v>0</v>
      </c>
      <c r="Q123" s="709">
        <v>0</v>
      </c>
      <c r="R123" s="709">
        <v>0</v>
      </c>
      <c r="S123" s="709">
        <v>0</v>
      </c>
      <c r="T123" s="709">
        <v>0</v>
      </c>
      <c r="U123" s="709">
        <v>0</v>
      </c>
      <c r="V123" s="709">
        <v>0</v>
      </c>
      <c r="W123" s="729">
        <f>F123</f>
        <v>0</v>
      </c>
      <c r="X123" s="729">
        <f>G123</f>
        <v>0</v>
      </c>
      <c r="Y123" s="729">
        <f>H123</f>
        <v>0</v>
      </c>
      <c r="Z123" s="709">
        <v>0</v>
      </c>
      <c r="AA123" s="709">
        <v>0</v>
      </c>
      <c r="AB123" s="709">
        <v>0</v>
      </c>
      <c r="AC123" s="709">
        <v>0</v>
      </c>
      <c r="AD123" s="709">
        <v>0</v>
      </c>
      <c r="AE123" s="709">
        <v>0</v>
      </c>
      <c r="AF123" s="709">
        <v>0</v>
      </c>
      <c r="AG123" s="709">
        <v>0</v>
      </c>
      <c r="AH123" s="709">
        <v>0</v>
      </c>
      <c r="AI123" s="709">
        <v>0</v>
      </c>
      <c r="AJ123" s="709">
        <v>0</v>
      </c>
      <c r="AK123" s="709">
        <v>0</v>
      </c>
      <c r="AL123" s="709">
        <v>0</v>
      </c>
      <c r="AM123" s="709">
        <v>0</v>
      </c>
      <c r="AN123" s="729">
        <f>F123</f>
        <v>0</v>
      </c>
      <c r="AO123" s="729">
        <f t="shared" ref="AO123" si="100">G123</f>
        <v>0</v>
      </c>
      <c r="AP123" s="729">
        <f t="shared" ref="AP123" si="101">H123</f>
        <v>0</v>
      </c>
      <c r="AQ123" s="709">
        <v>0</v>
      </c>
      <c r="AR123" s="709">
        <v>0</v>
      </c>
      <c r="AS123" s="709">
        <v>0</v>
      </c>
      <c r="AT123" s="709">
        <v>0</v>
      </c>
      <c r="AU123" s="709">
        <v>0</v>
      </c>
      <c r="AV123" s="709">
        <v>0</v>
      </c>
      <c r="AW123" s="709">
        <v>0</v>
      </c>
      <c r="AX123" s="709">
        <v>0</v>
      </c>
    </row>
    <row r="124" spans="2:50" ht="13.2" x14ac:dyDescent="0.2">
      <c r="B124" s="290" t="str">
        <f>CHIFFRAGE_TC!B125</f>
        <v>Anden al primer piso</v>
      </c>
      <c r="C124" s="16">
        <f>CHIFFRAGE_TC!D125</f>
        <v>50</v>
      </c>
      <c r="E124" s="712">
        <f>CHIFFRAGE_TC!$L125*CHIFFRAGE_TC!$T125</f>
        <v>0</v>
      </c>
      <c r="F124" s="715">
        <f>CHIFFRAGE_TC!$L125*CHIFFRAGE_TC!$U125</f>
        <v>0</v>
      </c>
      <c r="G124" s="715">
        <f>CHIFFRAGE_TC!$L125*CHIFFRAGE_TC!$V125</f>
        <v>0</v>
      </c>
      <c r="H124" s="716">
        <f>CHIFFRAGE_TC!$L125*CHIFFRAGE_TC!$W125</f>
        <v>0</v>
      </c>
      <c r="I124" s="709">
        <v>0</v>
      </c>
      <c r="J124" s="709">
        <v>0</v>
      </c>
      <c r="K124" s="709">
        <v>0</v>
      </c>
      <c r="L124" s="709">
        <v>0</v>
      </c>
      <c r="M124" s="709">
        <v>0</v>
      </c>
      <c r="N124" s="709">
        <v>0</v>
      </c>
      <c r="O124" s="709">
        <v>0</v>
      </c>
      <c r="P124" s="709">
        <v>0</v>
      </c>
      <c r="Q124" s="709">
        <v>0</v>
      </c>
      <c r="R124" s="709">
        <v>0</v>
      </c>
      <c r="S124" s="709">
        <v>0</v>
      </c>
      <c r="T124" s="709">
        <v>0</v>
      </c>
      <c r="U124" s="709">
        <v>0</v>
      </c>
      <c r="V124" s="709">
        <v>0</v>
      </c>
      <c r="W124" s="709">
        <v>0</v>
      </c>
      <c r="X124" s="709">
        <v>0</v>
      </c>
      <c r="Y124" s="709">
        <v>0</v>
      </c>
      <c r="Z124" s="709">
        <v>0</v>
      </c>
      <c r="AA124" s="709">
        <v>0</v>
      </c>
      <c r="AB124" s="709">
        <v>0</v>
      </c>
      <c r="AC124" s="709">
        <v>0</v>
      </c>
      <c r="AD124" s="709">
        <v>0</v>
      </c>
      <c r="AE124" s="709">
        <v>0</v>
      </c>
      <c r="AF124" s="709">
        <v>0</v>
      </c>
      <c r="AG124" s="709">
        <v>0</v>
      </c>
      <c r="AH124" s="709">
        <v>0</v>
      </c>
      <c r="AI124" s="709">
        <v>0</v>
      </c>
      <c r="AJ124" s="709">
        <v>0</v>
      </c>
      <c r="AK124" s="709">
        <v>0</v>
      </c>
      <c r="AL124" s="709">
        <v>0</v>
      </c>
      <c r="AM124" s="709">
        <v>0</v>
      </c>
      <c r="AN124" s="709">
        <v>0</v>
      </c>
      <c r="AO124" s="709">
        <v>0</v>
      </c>
      <c r="AP124" s="709">
        <v>0</v>
      </c>
      <c r="AQ124" s="709">
        <v>0</v>
      </c>
      <c r="AR124" s="709">
        <v>0</v>
      </c>
      <c r="AS124" s="709">
        <v>0</v>
      </c>
      <c r="AT124" s="709">
        <v>0</v>
      </c>
      <c r="AU124" s="709">
        <v>0</v>
      </c>
      <c r="AV124" s="709">
        <v>0</v>
      </c>
      <c r="AW124" s="709">
        <v>0</v>
      </c>
      <c r="AX124" s="709">
        <v>0</v>
      </c>
    </row>
    <row r="125" spans="2:50" ht="13.2" x14ac:dyDescent="0.2">
      <c r="B125" s="290" t="str">
        <f>CHIFFRAGE_TC!B126</f>
        <v>Centro de mando + Locales tecnicos cubiertos</v>
      </c>
      <c r="C125" s="16">
        <f>CHIFFRAGE_TC!D126</f>
        <v>50</v>
      </c>
      <c r="E125" s="712">
        <f>CHIFFRAGE_TC!$L126*CHIFFRAGE_TC!$T126</f>
        <v>0</v>
      </c>
      <c r="F125" s="715">
        <f>CHIFFRAGE_TC!$L126*CHIFFRAGE_TC!$U126</f>
        <v>0</v>
      </c>
      <c r="G125" s="715">
        <f>CHIFFRAGE_TC!$L126*CHIFFRAGE_TC!$V126</f>
        <v>0</v>
      </c>
      <c r="H125" s="716">
        <f>CHIFFRAGE_TC!$L126*CHIFFRAGE_TC!$W126</f>
        <v>0</v>
      </c>
      <c r="I125" s="709">
        <v>0</v>
      </c>
      <c r="J125" s="709">
        <v>0</v>
      </c>
      <c r="K125" s="709">
        <v>0</v>
      </c>
      <c r="L125" s="709">
        <v>0</v>
      </c>
      <c r="M125" s="709">
        <v>0</v>
      </c>
      <c r="N125" s="709">
        <v>0</v>
      </c>
      <c r="O125" s="709">
        <v>0</v>
      </c>
      <c r="P125" s="709">
        <v>0</v>
      </c>
      <c r="Q125" s="709">
        <v>0</v>
      </c>
      <c r="R125" s="709">
        <v>0</v>
      </c>
      <c r="S125" s="709">
        <v>0</v>
      </c>
      <c r="T125" s="709">
        <v>0</v>
      </c>
      <c r="U125" s="709">
        <v>0</v>
      </c>
      <c r="V125" s="709">
        <v>0</v>
      </c>
      <c r="W125" s="709">
        <v>0</v>
      </c>
      <c r="X125" s="709">
        <v>0</v>
      </c>
      <c r="Y125" s="709">
        <v>0</v>
      </c>
      <c r="Z125" s="709">
        <v>0</v>
      </c>
      <c r="AA125" s="709">
        <v>0</v>
      </c>
      <c r="AB125" s="709">
        <v>0</v>
      </c>
      <c r="AC125" s="709">
        <v>0</v>
      </c>
      <c r="AD125" s="709">
        <v>0</v>
      </c>
      <c r="AE125" s="709">
        <v>0</v>
      </c>
      <c r="AF125" s="709">
        <v>0</v>
      </c>
      <c r="AG125" s="709">
        <v>0</v>
      </c>
      <c r="AH125" s="709">
        <v>0</v>
      </c>
      <c r="AI125" s="709">
        <v>0</v>
      </c>
      <c r="AJ125" s="709">
        <v>0</v>
      </c>
      <c r="AK125" s="709">
        <v>0</v>
      </c>
      <c r="AL125" s="709">
        <v>0</v>
      </c>
      <c r="AM125" s="709">
        <v>0</v>
      </c>
      <c r="AN125" s="709">
        <v>0</v>
      </c>
      <c r="AO125" s="709">
        <v>0</v>
      </c>
      <c r="AP125" s="709">
        <v>0</v>
      </c>
      <c r="AQ125" s="709">
        <v>0</v>
      </c>
      <c r="AR125" s="709">
        <v>0</v>
      </c>
      <c r="AS125" s="709">
        <v>0</v>
      </c>
      <c r="AT125" s="709">
        <v>0</v>
      </c>
      <c r="AU125" s="709">
        <v>0</v>
      </c>
      <c r="AV125" s="709">
        <v>0</v>
      </c>
      <c r="AW125" s="709">
        <v>0</v>
      </c>
      <c r="AX125" s="709">
        <v>0</v>
      </c>
    </row>
    <row r="126" spans="2:50" ht="13.2" x14ac:dyDescent="0.2">
      <c r="B126" s="290" t="str">
        <f>CHIFFRAGE_TC!B127</f>
        <v xml:space="preserve">Locales tecnicos non cerrados </v>
      </c>
      <c r="C126" s="16">
        <f>CHIFFRAGE_TC!D127</f>
        <v>50</v>
      </c>
      <c r="E126" s="712">
        <f>CHIFFRAGE_TC!$L127*CHIFFRAGE_TC!$T127</f>
        <v>0</v>
      </c>
      <c r="F126" s="715">
        <f>CHIFFRAGE_TC!$L127*CHIFFRAGE_TC!$U127</f>
        <v>0</v>
      </c>
      <c r="G126" s="715">
        <f>CHIFFRAGE_TC!$L127*CHIFFRAGE_TC!$V127</f>
        <v>0</v>
      </c>
      <c r="H126" s="716">
        <f>CHIFFRAGE_TC!$L127*CHIFFRAGE_TC!$W127</f>
        <v>0</v>
      </c>
      <c r="I126" s="709">
        <v>0</v>
      </c>
      <c r="J126" s="709">
        <v>0</v>
      </c>
      <c r="K126" s="709">
        <v>0</v>
      </c>
      <c r="L126" s="709">
        <v>0</v>
      </c>
      <c r="M126" s="709">
        <v>0</v>
      </c>
      <c r="N126" s="709">
        <v>0</v>
      </c>
      <c r="O126" s="709">
        <v>0</v>
      </c>
      <c r="P126" s="709">
        <v>0</v>
      </c>
      <c r="Q126" s="709">
        <v>0</v>
      </c>
      <c r="R126" s="709">
        <v>0</v>
      </c>
      <c r="S126" s="709">
        <v>0</v>
      </c>
      <c r="T126" s="709">
        <v>0</v>
      </c>
      <c r="U126" s="709">
        <v>0</v>
      </c>
      <c r="V126" s="709">
        <v>0</v>
      </c>
      <c r="W126" s="709">
        <v>0</v>
      </c>
      <c r="X126" s="709">
        <v>0</v>
      </c>
      <c r="Y126" s="709">
        <v>0</v>
      </c>
      <c r="Z126" s="709">
        <v>0</v>
      </c>
      <c r="AA126" s="709">
        <v>0</v>
      </c>
      <c r="AB126" s="709">
        <v>0</v>
      </c>
      <c r="AC126" s="709">
        <v>0</v>
      </c>
      <c r="AD126" s="709">
        <v>0</v>
      </c>
      <c r="AE126" s="709">
        <v>0</v>
      </c>
      <c r="AF126" s="709">
        <v>0</v>
      </c>
      <c r="AG126" s="709">
        <v>0</v>
      </c>
      <c r="AH126" s="709">
        <v>0</v>
      </c>
      <c r="AI126" s="709">
        <v>0</v>
      </c>
      <c r="AJ126" s="709">
        <v>0</v>
      </c>
      <c r="AK126" s="709">
        <v>0</v>
      </c>
      <c r="AL126" s="709">
        <v>0</v>
      </c>
      <c r="AM126" s="709">
        <v>0</v>
      </c>
      <c r="AN126" s="709">
        <v>0</v>
      </c>
      <c r="AO126" s="709">
        <v>0</v>
      </c>
      <c r="AP126" s="709">
        <v>0</v>
      </c>
      <c r="AQ126" s="709">
        <v>0</v>
      </c>
      <c r="AR126" s="709">
        <v>0</v>
      </c>
      <c r="AS126" s="709">
        <v>0</v>
      </c>
      <c r="AT126" s="709">
        <v>0</v>
      </c>
      <c r="AU126" s="709">
        <v>0</v>
      </c>
      <c r="AV126" s="709">
        <v>0</v>
      </c>
      <c r="AW126" s="709">
        <v>0</v>
      </c>
      <c r="AX126" s="709">
        <v>0</v>
      </c>
    </row>
    <row r="127" spans="2:50" ht="13.2" x14ac:dyDescent="0.2">
      <c r="B127" s="290" t="str">
        <f>CHIFFRAGE_TC!B128</f>
        <v>Adecuacion urbana 
(demolicion, reconstruccion, mobiliario urbano, paisaje)</v>
      </c>
      <c r="C127" s="16">
        <f>CHIFFRAGE_TC!D128</f>
        <v>50</v>
      </c>
      <c r="E127" s="712">
        <f>CHIFFRAGE_TC!$L128*CHIFFRAGE_TC!$T128</f>
        <v>0</v>
      </c>
      <c r="F127" s="715">
        <f>CHIFFRAGE_TC!$L128*CHIFFRAGE_TC!$U128</f>
        <v>0</v>
      </c>
      <c r="G127" s="715">
        <f>CHIFFRAGE_TC!$L128*CHIFFRAGE_TC!$V128</f>
        <v>0</v>
      </c>
      <c r="H127" s="716">
        <f>CHIFFRAGE_TC!$L128*CHIFFRAGE_TC!$W128</f>
        <v>0</v>
      </c>
      <c r="I127" s="709">
        <v>0</v>
      </c>
      <c r="J127" s="709">
        <v>0</v>
      </c>
      <c r="K127" s="709">
        <v>0</v>
      </c>
      <c r="L127" s="709">
        <v>0</v>
      </c>
      <c r="M127" s="709">
        <v>0</v>
      </c>
      <c r="N127" s="709">
        <v>0</v>
      </c>
      <c r="O127" s="709">
        <v>0</v>
      </c>
      <c r="P127" s="709">
        <v>0</v>
      </c>
      <c r="Q127" s="709">
        <v>0</v>
      </c>
      <c r="R127" s="709">
        <v>0</v>
      </c>
      <c r="S127" s="709">
        <v>0</v>
      </c>
      <c r="T127" s="709">
        <v>0</v>
      </c>
      <c r="U127" s="709">
        <v>0</v>
      </c>
      <c r="V127" s="709">
        <v>0</v>
      </c>
      <c r="W127" s="709">
        <v>0</v>
      </c>
      <c r="X127" s="709">
        <v>0</v>
      </c>
      <c r="Y127" s="709">
        <v>0</v>
      </c>
      <c r="Z127" s="709">
        <v>0</v>
      </c>
      <c r="AA127" s="709">
        <v>0</v>
      </c>
      <c r="AB127" s="709">
        <v>0</v>
      </c>
      <c r="AC127" s="709">
        <v>0</v>
      </c>
      <c r="AD127" s="709">
        <v>0</v>
      </c>
      <c r="AE127" s="709">
        <v>0</v>
      </c>
      <c r="AF127" s="709">
        <v>0</v>
      </c>
      <c r="AG127" s="709">
        <v>0</v>
      </c>
      <c r="AH127" s="709">
        <v>0</v>
      </c>
      <c r="AI127" s="709">
        <v>0</v>
      </c>
      <c r="AJ127" s="709">
        <v>0</v>
      </c>
      <c r="AK127" s="709">
        <v>0</v>
      </c>
      <c r="AL127" s="709">
        <v>0</v>
      </c>
      <c r="AM127" s="709">
        <v>0</v>
      </c>
      <c r="AN127" s="709">
        <v>0</v>
      </c>
      <c r="AO127" s="709">
        <v>0</v>
      </c>
      <c r="AP127" s="709">
        <v>0</v>
      </c>
      <c r="AQ127" s="709">
        <v>0</v>
      </c>
      <c r="AR127" s="709">
        <v>0</v>
      </c>
      <c r="AS127" s="709">
        <v>0</v>
      </c>
      <c r="AT127" s="709">
        <v>0</v>
      </c>
      <c r="AU127" s="709">
        <v>0</v>
      </c>
      <c r="AV127" s="709">
        <v>0</v>
      </c>
      <c r="AW127" s="709">
        <v>0</v>
      </c>
      <c r="AX127" s="709">
        <v>0</v>
      </c>
    </row>
    <row r="128" spans="2:50" ht="13.2" x14ac:dyDescent="0.2">
      <c r="B128" s="289" t="str">
        <f>CHIFFRAGE_TC!B129</f>
        <v>Pasarela</v>
      </c>
      <c r="C128" s="16">
        <f>CHIFFRAGE_TC!D129</f>
        <v>50</v>
      </c>
      <c r="E128" s="712">
        <f>CHIFFRAGE_TC!$L129*CHIFFRAGE_TC!$T129</f>
        <v>0</v>
      </c>
      <c r="F128" s="715">
        <f>CHIFFRAGE_TC!$L129*CHIFFRAGE_TC!$U129</f>
        <v>0</v>
      </c>
      <c r="G128" s="715">
        <f>CHIFFRAGE_TC!$L129*CHIFFRAGE_TC!$V129</f>
        <v>0</v>
      </c>
      <c r="H128" s="716">
        <f>CHIFFRAGE_TC!$L129*CHIFFRAGE_TC!$W129</f>
        <v>0</v>
      </c>
      <c r="I128" s="709">
        <v>0</v>
      </c>
      <c r="J128" s="709">
        <v>0</v>
      </c>
      <c r="K128" s="709">
        <v>0</v>
      </c>
      <c r="L128" s="709">
        <v>0</v>
      </c>
      <c r="M128" s="709">
        <v>0</v>
      </c>
      <c r="N128" s="709">
        <v>0</v>
      </c>
      <c r="O128" s="709">
        <v>0</v>
      </c>
      <c r="P128" s="709">
        <v>0</v>
      </c>
      <c r="Q128" s="709">
        <v>0</v>
      </c>
      <c r="R128" s="709">
        <v>0</v>
      </c>
      <c r="S128" s="709">
        <v>0</v>
      </c>
      <c r="T128" s="709">
        <v>0</v>
      </c>
      <c r="U128" s="709">
        <v>0</v>
      </c>
      <c r="V128" s="709">
        <v>0</v>
      </c>
      <c r="W128" s="709">
        <v>0</v>
      </c>
      <c r="X128" s="709">
        <v>0</v>
      </c>
      <c r="Y128" s="709">
        <v>0</v>
      </c>
      <c r="Z128" s="709">
        <v>0</v>
      </c>
      <c r="AA128" s="709">
        <v>0</v>
      </c>
      <c r="AB128" s="709">
        <v>0</v>
      </c>
      <c r="AC128" s="709">
        <v>0</v>
      </c>
      <c r="AD128" s="709">
        <v>0</v>
      </c>
      <c r="AE128" s="709">
        <v>0</v>
      </c>
      <c r="AF128" s="709">
        <v>0</v>
      </c>
      <c r="AG128" s="709">
        <v>0</v>
      </c>
      <c r="AH128" s="709">
        <v>0</v>
      </c>
      <c r="AI128" s="709">
        <v>0</v>
      </c>
      <c r="AJ128" s="709">
        <v>0</v>
      </c>
      <c r="AK128" s="709">
        <v>0</v>
      </c>
      <c r="AL128" s="709">
        <v>0</v>
      </c>
      <c r="AM128" s="709">
        <v>0</v>
      </c>
      <c r="AN128" s="709">
        <v>0</v>
      </c>
      <c r="AO128" s="709">
        <v>0</v>
      </c>
      <c r="AP128" s="709">
        <v>0</v>
      </c>
      <c r="AQ128" s="709">
        <v>0</v>
      </c>
      <c r="AR128" s="709">
        <v>0</v>
      </c>
      <c r="AS128" s="709">
        <v>0</v>
      </c>
      <c r="AT128" s="709">
        <v>0</v>
      </c>
      <c r="AU128" s="709">
        <v>0</v>
      </c>
      <c r="AV128" s="709">
        <v>0</v>
      </c>
      <c r="AW128" s="709">
        <v>0</v>
      </c>
      <c r="AX128" s="709">
        <v>0</v>
      </c>
    </row>
    <row r="129" spans="2:50" ht="13.2" x14ac:dyDescent="0.2">
      <c r="B129" s="293" t="str">
        <f>CHIFFRAGE_TC!B130</f>
        <v>Edificio - Estacion Malecon Centro Cultural</v>
      </c>
      <c r="C129" s="16"/>
      <c r="E129" s="717">
        <f>SUM(E130:E139)</f>
        <v>0</v>
      </c>
      <c r="F129" s="718">
        <f>SUM(F130:F139)</f>
        <v>0</v>
      </c>
      <c r="G129" s="718">
        <f>SUM(G130:G139)</f>
        <v>0</v>
      </c>
      <c r="H129" s="719">
        <f>SUM(H130:H139)</f>
        <v>0</v>
      </c>
      <c r="I129" s="733">
        <f t="shared" ref="I129:AN129" si="102">SUM(I130:I139)</f>
        <v>0</v>
      </c>
      <c r="J129" s="733">
        <f t="shared" si="102"/>
        <v>0</v>
      </c>
      <c r="K129" s="733">
        <f t="shared" si="102"/>
        <v>0</v>
      </c>
      <c r="L129" s="733">
        <f t="shared" si="102"/>
        <v>0</v>
      </c>
      <c r="M129" s="733">
        <f t="shared" si="102"/>
        <v>0</v>
      </c>
      <c r="N129" s="733">
        <f t="shared" si="102"/>
        <v>0</v>
      </c>
      <c r="O129" s="733">
        <f t="shared" si="102"/>
        <v>0</v>
      </c>
      <c r="P129" s="733">
        <f t="shared" si="102"/>
        <v>0</v>
      </c>
      <c r="Q129" s="733">
        <f t="shared" si="102"/>
        <v>0</v>
      </c>
      <c r="R129" s="733">
        <f t="shared" si="102"/>
        <v>0</v>
      </c>
      <c r="S129" s="733">
        <f t="shared" si="102"/>
        <v>0</v>
      </c>
      <c r="T129" s="733">
        <f t="shared" si="102"/>
        <v>0</v>
      </c>
      <c r="U129" s="733">
        <f t="shared" si="102"/>
        <v>0</v>
      </c>
      <c r="V129" s="733">
        <f t="shared" si="102"/>
        <v>0</v>
      </c>
      <c r="W129" s="733">
        <f t="shared" si="102"/>
        <v>0</v>
      </c>
      <c r="X129" s="733">
        <f t="shared" si="102"/>
        <v>0</v>
      </c>
      <c r="Y129" s="733">
        <f t="shared" si="102"/>
        <v>0</v>
      </c>
      <c r="Z129" s="733">
        <f t="shared" si="102"/>
        <v>0</v>
      </c>
      <c r="AA129" s="733">
        <f t="shared" si="102"/>
        <v>0</v>
      </c>
      <c r="AB129" s="733">
        <f t="shared" si="102"/>
        <v>0</v>
      </c>
      <c r="AC129" s="733">
        <f t="shared" si="102"/>
        <v>0</v>
      </c>
      <c r="AD129" s="733">
        <f t="shared" si="102"/>
        <v>0</v>
      </c>
      <c r="AE129" s="733">
        <f t="shared" si="102"/>
        <v>0</v>
      </c>
      <c r="AF129" s="733">
        <f t="shared" si="102"/>
        <v>0</v>
      </c>
      <c r="AG129" s="733">
        <f t="shared" si="102"/>
        <v>0</v>
      </c>
      <c r="AH129" s="733">
        <f t="shared" si="102"/>
        <v>0</v>
      </c>
      <c r="AI129" s="733">
        <f t="shared" si="102"/>
        <v>0</v>
      </c>
      <c r="AJ129" s="733">
        <f t="shared" si="102"/>
        <v>0</v>
      </c>
      <c r="AK129" s="733">
        <f t="shared" si="102"/>
        <v>0</v>
      </c>
      <c r="AL129" s="733">
        <f t="shared" si="102"/>
        <v>0</v>
      </c>
      <c r="AM129" s="733">
        <f t="shared" si="102"/>
        <v>0</v>
      </c>
      <c r="AN129" s="733">
        <f t="shared" si="102"/>
        <v>0</v>
      </c>
      <c r="AO129" s="733">
        <f t="shared" ref="AO129" si="103">SUM(AO130:AO139)</f>
        <v>0</v>
      </c>
      <c r="AP129" s="733">
        <f t="shared" ref="AP129" si="104">SUM(AP130:AP139)</f>
        <v>0</v>
      </c>
      <c r="AQ129" s="733">
        <f t="shared" ref="AQ129" si="105">SUM(AQ130:AQ139)</f>
        <v>0</v>
      </c>
      <c r="AR129" s="733">
        <f t="shared" ref="AR129" si="106">SUM(AR130:AR139)</f>
        <v>0</v>
      </c>
      <c r="AS129" s="733">
        <f t="shared" ref="AS129" si="107">SUM(AS130:AS139)</f>
        <v>0</v>
      </c>
      <c r="AT129" s="733">
        <f t="shared" ref="AT129" si="108">SUM(AT130:AT139)</f>
        <v>0</v>
      </c>
      <c r="AU129" s="733">
        <f t="shared" ref="AU129" si="109">SUM(AU130:AU139)</f>
        <v>0</v>
      </c>
      <c r="AV129" s="733">
        <f t="shared" ref="AV129" si="110">SUM(AV130:AV139)</f>
        <v>0</v>
      </c>
      <c r="AW129" s="733">
        <f t="shared" ref="AW129" si="111">SUM(AW130:AW139)</f>
        <v>0</v>
      </c>
      <c r="AX129" s="733">
        <f t="shared" ref="AX129" si="112">SUM(AX130:AX139)</f>
        <v>0</v>
      </c>
    </row>
    <row r="130" spans="2:50" ht="13.2" x14ac:dyDescent="0.2">
      <c r="B130" s="290" t="str">
        <f>CHIFFRAGE_TC!B131</f>
        <v>Fundaciones tipicas 
(edificio con piso tierra y primer piso)</v>
      </c>
      <c r="C130" s="16">
        <f>CHIFFRAGE_TC!D131</f>
        <v>50</v>
      </c>
      <c r="E130" s="712">
        <f>CHIFFRAGE_TC!$L131*CHIFFRAGE_TC!$T131</f>
        <v>0</v>
      </c>
      <c r="F130" s="715">
        <f>CHIFFRAGE_TC!$L131*CHIFFRAGE_TC!$U131</f>
        <v>0</v>
      </c>
      <c r="G130" s="715">
        <f>CHIFFRAGE_TC!$L131*CHIFFRAGE_TC!$V131</f>
        <v>0</v>
      </c>
      <c r="H130" s="716">
        <f>CHIFFRAGE_TC!$L131*CHIFFRAGE_TC!$W131</f>
        <v>0</v>
      </c>
      <c r="I130" s="709">
        <v>0</v>
      </c>
      <c r="J130" s="709">
        <v>0</v>
      </c>
      <c r="K130" s="709">
        <v>0</v>
      </c>
      <c r="L130" s="709">
        <v>0</v>
      </c>
      <c r="M130" s="709">
        <v>0</v>
      </c>
      <c r="N130" s="709">
        <v>0</v>
      </c>
      <c r="O130" s="709">
        <v>0</v>
      </c>
      <c r="P130" s="709">
        <v>0</v>
      </c>
      <c r="Q130" s="709">
        <v>0</v>
      </c>
      <c r="R130" s="709">
        <v>0</v>
      </c>
      <c r="S130" s="709">
        <v>0</v>
      </c>
      <c r="T130" s="709">
        <v>0</v>
      </c>
      <c r="U130" s="709">
        <v>0</v>
      </c>
      <c r="V130" s="709">
        <v>0</v>
      </c>
      <c r="W130" s="709">
        <v>0</v>
      </c>
      <c r="X130" s="709">
        <v>0</v>
      </c>
      <c r="Y130" s="709">
        <v>0</v>
      </c>
      <c r="Z130" s="709">
        <v>0</v>
      </c>
      <c r="AA130" s="709">
        <v>0</v>
      </c>
      <c r="AB130" s="709">
        <v>0</v>
      </c>
      <c r="AC130" s="709">
        <v>0</v>
      </c>
      <c r="AD130" s="709">
        <v>0</v>
      </c>
      <c r="AE130" s="709">
        <v>0</v>
      </c>
      <c r="AF130" s="709">
        <v>0</v>
      </c>
      <c r="AG130" s="709">
        <v>0</v>
      </c>
      <c r="AH130" s="709">
        <v>0</v>
      </c>
      <c r="AI130" s="709">
        <v>0</v>
      </c>
      <c r="AJ130" s="709">
        <v>0</v>
      </c>
      <c r="AK130" s="709">
        <v>0</v>
      </c>
      <c r="AL130" s="709">
        <v>0</v>
      </c>
      <c r="AM130" s="709">
        <v>0</v>
      </c>
      <c r="AN130" s="709">
        <v>0</v>
      </c>
      <c r="AO130" s="709">
        <v>0</v>
      </c>
      <c r="AP130" s="709">
        <v>0</v>
      </c>
      <c r="AQ130" s="709">
        <v>0</v>
      </c>
      <c r="AR130" s="709">
        <v>0</v>
      </c>
      <c r="AS130" s="709">
        <v>0</v>
      </c>
      <c r="AT130" s="709">
        <v>0</v>
      </c>
      <c r="AU130" s="709">
        <v>0</v>
      </c>
      <c r="AV130" s="709">
        <v>0</v>
      </c>
      <c r="AW130" s="709">
        <v>0</v>
      </c>
      <c r="AX130" s="709">
        <v>0</v>
      </c>
    </row>
    <row r="131" spans="2:50" ht="13.2" x14ac:dyDescent="0.2">
      <c r="B131" s="290" t="str">
        <f>CHIFFRAGE_TC!B132</f>
        <v>Piso tierra sobrelevado y fundaciones</v>
      </c>
      <c r="C131" s="16">
        <f>CHIFFRAGE_TC!D132</f>
        <v>50</v>
      </c>
      <c r="E131" s="712">
        <f>CHIFFRAGE_TC!$L132*CHIFFRAGE_TC!$T132</f>
        <v>0</v>
      </c>
      <c r="F131" s="715">
        <f>CHIFFRAGE_TC!$L132*CHIFFRAGE_TC!$U132</f>
        <v>0</v>
      </c>
      <c r="G131" s="715">
        <f>CHIFFRAGE_TC!$L132*CHIFFRAGE_TC!$V132</f>
        <v>0</v>
      </c>
      <c r="H131" s="716">
        <f>CHIFFRAGE_TC!$L132*CHIFFRAGE_TC!$W132</f>
        <v>0</v>
      </c>
      <c r="I131" s="709">
        <v>0</v>
      </c>
      <c r="J131" s="709">
        <v>0</v>
      </c>
      <c r="K131" s="709">
        <v>0</v>
      </c>
      <c r="L131" s="709">
        <v>0</v>
      </c>
      <c r="M131" s="709">
        <v>0</v>
      </c>
      <c r="N131" s="709">
        <v>0</v>
      </c>
      <c r="O131" s="709">
        <v>0</v>
      </c>
      <c r="P131" s="709">
        <v>0</v>
      </c>
      <c r="Q131" s="709">
        <v>0</v>
      </c>
      <c r="R131" s="709">
        <v>0</v>
      </c>
      <c r="S131" s="709">
        <v>0</v>
      </c>
      <c r="T131" s="709">
        <v>0</v>
      </c>
      <c r="U131" s="709">
        <v>0</v>
      </c>
      <c r="V131" s="709">
        <v>0</v>
      </c>
      <c r="W131" s="709">
        <v>0</v>
      </c>
      <c r="X131" s="709">
        <v>0</v>
      </c>
      <c r="Y131" s="709">
        <v>0</v>
      </c>
      <c r="Z131" s="709">
        <v>0</v>
      </c>
      <c r="AA131" s="709">
        <v>0</v>
      </c>
      <c r="AB131" s="709">
        <v>0</v>
      </c>
      <c r="AC131" s="709">
        <v>0</v>
      </c>
      <c r="AD131" s="709">
        <v>0</v>
      </c>
      <c r="AE131" s="709">
        <v>0</v>
      </c>
      <c r="AF131" s="709">
        <v>0</v>
      </c>
      <c r="AG131" s="709">
        <v>0</v>
      </c>
      <c r="AH131" s="709">
        <v>0</v>
      </c>
      <c r="AI131" s="709">
        <v>0</v>
      </c>
      <c r="AJ131" s="709">
        <v>0</v>
      </c>
      <c r="AK131" s="709">
        <v>0</v>
      </c>
      <c r="AL131" s="709">
        <v>0</v>
      </c>
      <c r="AM131" s="709">
        <v>0</v>
      </c>
      <c r="AN131" s="709">
        <v>0</v>
      </c>
      <c r="AO131" s="709">
        <v>0</v>
      </c>
      <c r="AP131" s="709">
        <v>0</v>
      </c>
      <c r="AQ131" s="709">
        <v>0</v>
      </c>
      <c r="AR131" s="709">
        <v>0</v>
      </c>
      <c r="AS131" s="709">
        <v>0</v>
      </c>
      <c r="AT131" s="709">
        <v>0</v>
      </c>
      <c r="AU131" s="709">
        <v>0</v>
      </c>
      <c r="AV131" s="709">
        <v>0</v>
      </c>
      <c r="AW131" s="709">
        <v>0</v>
      </c>
      <c r="AX131" s="709">
        <v>0</v>
      </c>
    </row>
    <row r="132" spans="2:50" ht="13.2" x14ac:dyDescent="0.2">
      <c r="B132" s="290" t="str">
        <f>CHIFFRAGE_TC!B133</f>
        <v>Superficies comerciales</v>
      </c>
      <c r="C132" s="16">
        <f>CHIFFRAGE_TC!D133</f>
        <v>50</v>
      </c>
      <c r="E132" s="712">
        <f>CHIFFRAGE_TC!$L133*CHIFFRAGE_TC!$T133</f>
        <v>0</v>
      </c>
      <c r="F132" s="715">
        <f>CHIFFRAGE_TC!$L133*CHIFFRAGE_TC!$U133</f>
        <v>0</v>
      </c>
      <c r="G132" s="715">
        <f>CHIFFRAGE_TC!$L133*CHIFFRAGE_TC!$V133</f>
        <v>0</v>
      </c>
      <c r="H132" s="716">
        <f>CHIFFRAGE_TC!$L133*CHIFFRAGE_TC!$W133</f>
        <v>0</v>
      </c>
      <c r="I132" s="709">
        <v>0</v>
      </c>
      <c r="J132" s="709">
        <v>0</v>
      </c>
      <c r="K132" s="709">
        <v>0</v>
      </c>
      <c r="L132" s="709">
        <v>0</v>
      </c>
      <c r="M132" s="709">
        <v>0</v>
      </c>
      <c r="N132" s="709">
        <v>0</v>
      </c>
      <c r="O132" s="709">
        <v>0</v>
      </c>
      <c r="P132" s="709">
        <v>0</v>
      </c>
      <c r="Q132" s="709">
        <v>0</v>
      </c>
      <c r="R132" s="709">
        <v>0</v>
      </c>
      <c r="S132" s="709">
        <v>0</v>
      </c>
      <c r="T132" s="709">
        <v>0</v>
      </c>
      <c r="U132" s="709">
        <v>0</v>
      </c>
      <c r="V132" s="709">
        <v>0</v>
      </c>
      <c r="W132" s="709">
        <v>0</v>
      </c>
      <c r="X132" s="709">
        <v>0</v>
      </c>
      <c r="Y132" s="709">
        <v>0</v>
      </c>
      <c r="Z132" s="709">
        <v>0</v>
      </c>
      <c r="AA132" s="709">
        <v>0</v>
      </c>
      <c r="AB132" s="709">
        <v>0</v>
      </c>
      <c r="AC132" s="709">
        <v>0</v>
      </c>
      <c r="AD132" s="709">
        <v>0</v>
      </c>
      <c r="AE132" s="709">
        <v>0</v>
      </c>
      <c r="AF132" s="709">
        <v>0</v>
      </c>
      <c r="AG132" s="709">
        <v>0</v>
      </c>
      <c r="AH132" s="709">
        <v>0</v>
      </c>
      <c r="AI132" s="709">
        <v>0</v>
      </c>
      <c r="AJ132" s="709">
        <v>0</v>
      </c>
      <c r="AK132" s="709">
        <v>0</v>
      </c>
      <c r="AL132" s="709">
        <v>0</v>
      </c>
      <c r="AM132" s="709">
        <v>0</v>
      </c>
      <c r="AN132" s="709">
        <v>0</v>
      </c>
      <c r="AO132" s="709">
        <v>0</v>
      </c>
      <c r="AP132" s="709">
        <v>0</v>
      </c>
      <c r="AQ132" s="709">
        <v>0</v>
      </c>
      <c r="AR132" s="709">
        <v>0</v>
      </c>
      <c r="AS132" s="709">
        <v>0</v>
      </c>
      <c r="AT132" s="709">
        <v>0</v>
      </c>
      <c r="AU132" s="709">
        <v>0</v>
      </c>
      <c r="AV132" s="709">
        <v>0</v>
      </c>
      <c r="AW132" s="709">
        <v>0</v>
      </c>
      <c r="AX132" s="709">
        <v>0</v>
      </c>
    </row>
    <row r="133" spans="2:50" ht="26.4" x14ac:dyDescent="0.2">
      <c r="B133" s="292" t="str">
        <f>CHIFFRAGE_TC!B134</f>
        <v xml:space="preserve">Ingreso y circulaciones al piso tierra 
(y/c servicios, escaleras mecanicas, escaleras y ascencores) </v>
      </c>
      <c r="C133" s="16">
        <f>CHIFFRAGE_TC!D134</f>
        <v>40</v>
      </c>
      <c r="E133" s="712">
        <f>CHIFFRAGE_TC!$L134*CHIFFRAGE_TC!$T134</f>
        <v>0</v>
      </c>
      <c r="F133" s="715">
        <f>CHIFFRAGE_TC!$L134*CHIFFRAGE_TC!$U134</f>
        <v>0</v>
      </c>
      <c r="G133" s="715">
        <f>CHIFFRAGE_TC!$L134*CHIFFRAGE_TC!$V134</f>
        <v>0</v>
      </c>
      <c r="H133" s="716">
        <f>CHIFFRAGE_TC!$L134*CHIFFRAGE_TC!$W134</f>
        <v>0</v>
      </c>
      <c r="I133" s="709">
        <v>0</v>
      </c>
      <c r="J133" s="709">
        <v>0</v>
      </c>
      <c r="K133" s="709">
        <v>0</v>
      </c>
      <c r="L133" s="709">
        <v>0</v>
      </c>
      <c r="M133" s="709">
        <v>0</v>
      </c>
      <c r="N133" s="709">
        <v>0</v>
      </c>
      <c r="O133" s="709">
        <v>0</v>
      </c>
      <c r="P133" s="709">
        <v>0</v>
      </c>
      <c r="Q133" s="709">
        <v>0</v>
      </c>
      <c r="R133" s="709">
        <v>0</v>
      </c>
      <c r="S133" s="709">
        <v>0</v>
      </c>
      <c r="T133" s="709">
        <v>0</v>
      </c>
      <c r="U133" s="709">
        <v>0</v>
      </c>
      <c r="V133" s="709">
        <v>0</v>
      </c>
      <c r="W133" s="709">
        <v>0</v>
      </c>
      <c r="X133" s="709">
        <v>0</v>
      </c>
      <c r="Y133" s="709">
        <v>0</v>
      </c>
      <c r="Z133" s="709">
        <v>0</v>
      </c>
      <c r="AA133" s="709">
        <v>0</v>
      </c>
      <c r="AB133" s="709">
        <v>0</v>
      </c>
      <c r="AC133" s="709">
        <v>0</v>
      </c>
      <c r="AD133" s="709">
        <v>0</v>
      </c>
      <c r="AE133" s="709">
        <v>0</v>
      </c>
      <c r="AF133" s="709">
        <v>0</v>
      </c>
      <c r="AG133" s="709">
        <v>0</v>
      </c>
      <c r="AH133" s="709">
        <v>0</v>
      </c>
      <c r="AI133" s="709">
        <v>0</v>
      </c>
      <c r="AJ133" s="709">
        <v>0</v>
      </c>
      <c r="AK133" s="709">
        <v>0</v>
      </c>
      <c r="AL133" s="709">
        <v>0</v>
      </c>
      <c r="AM133" s="709">
        <v>0</v>
      </c>
      <c r="AN133" s="709">
        <v>0</v>
      </c>
      <c r="AO133" s="709">
        <v>0</v>
      </c>
      <c r="AP133" s="709">
        <v>0</v>
      </c>
      <c r="AQ133" s="709">
        <v>0</v>
      </c>
      <c r="AR133" s="709">
        <v>0</v>
      </c>
      <c r="AS133" s="709">
        <v>0</v>
      </c>
      <c r="AT133" s="709">
        <v>0</v>
      </c>
      <c r="AU133" s="709">
        <v>0</v>
      </c>
      <c r="AV133" s="709">
        <v>0</v>
      </c>
      <c r="AW133" s="709">
        <v>0</v>
      </c>
      <c r="AX133" s="709">
        <v>0</v>
      </c>
    </row>
    <row r="134" spans="2:50" ht="26.4" x14ac:dyDescent="0.2">
      <c r="B134" s="292" t="str">
        <f>CHIFFRAGE_TC!B135</f>
        <v>Escaleras mecanicas, escaleras y ascencores adicionales 
(piso tierra sobrelevado)</v>
      </c>
      <c r="C134" s="16">
        <f>CHIFFRAGE_TC!D135</f>
        <v>15</v>
      </c>
      <c r="E134" s="712">
        <f>CHIFFRAGE_TC!$L135*CHIFFRAGE_TC!$T135</f>
        <v>0</v>
      </c>
      <c r="F134" s="715">
        <f>CHIFFRAGE_TC!$L135*CHIFFRAGE_TC!$U135</f>
        <v>0</v>
      </c>
      <c r="G134" s="715">
        <f>CHIFFRAGE_TC!$L135*CHIFFRAGE_TC!$V135</f>
        <v>0</v>
      </c>
      <c r="H134" s="716">
        <f>CHIFFRAGE_TC!$L135*CHIFFRAGE_TC!$W135</f>
        <v>0</v>
      </c>
      <c r="I134" s="709">
        <v>0</v>
      </c>
      <c r="J134" s="709">
        <v>0</v>
      </c>
      <c r="K134" s="709">
        <v>0</v>
      </c>
      <c r="L134" s="709">
        <v>0</v>
      </c>
      <c r="M134" s="709">
        <v>0</v>
      </c>
      <c r="N134" s="709">
        <v>0</v>
      </c>
      <c r="O134" s="709">
        <v>0</v>
      </c>
      <c r="P134" s="709">
        <v>0</v>
      </c>
      <c r="Q134" s="709">
        <v>0</v>
      </c>
      <c r="R134" s="709">
        <v>0</v>
      </c>
      <c r="S134" s="709">
        <v>0</v>
      </c>
      <c r="T134" s="709">
        <v>0</v>
      </c>
      <c r="U134" s="709">
        <v>0</v>
      </c>
      <c r="V134" s="709">
        <v>0</v>
      </c>
      <c r="W134" s="729">
        <f>F134</f>
        <v>0</v>
      </c>
      <c r="X134" s="729">
        <f>G134</f>
        <v>0</v>
      </c>
      <c r="Y134" s="729">
        <f>H134</f>
        <v>0</v>
      </c>
      <c r="Z134" s="709">
        <v>0</v>
      </c>
      <c r="AA134" s="709">
        <v>0</v>
      </c>
      <c r="AB134" s="709">
        <v>0</v>
      </c>
      <c r="AC134" s="709">
        <v>0</v>
      </c>
      <c r="AD134" s="709">
        <v>0</v>
      </c>
      <c r="AE134" s="709">
        <v>0</v>
      </c>
      <c r="AF134" s="709">
        <v>0</v>
      </c>
      <c r="AG134" s="709">
        <v>0</v>
      </c>
      <c r="AH134" s="709">
        <v>0</v>
      </c>
      <c r="AI134" s="709">
        <v>0</v>
      </c>
      <c r="AJ134" s="709">
        <v>0</v>
      </c>
      <c r="AK134" s="709">
        <v>0</v>
      </c>
      <c r="AL134" s="709">
        <v>0</v>
      </c>
      <c r="AM134" s="709">
        <v>0</v>
      </c>
      <c r="AN134" s="729">
        <f>F134</f>
        <v>0</v>
      </c>
      <c r="AO134" s="729">
        <f t="shared" ref="AO134" si="113">G134</f>
        <v>0</v>
      </c>
      <c r="AP134" s="729">
        <f t="shared" ref="AP134" si="114">H134</f>
        <v>0</v>
      </c>
      <c r="AQ134" s="709">
        <v>0</v>
      </c>
      <c r="AR134" s="709">
        <v>0</v>
      </c>
      <c r="AS134" s="709">
        <v>0</v>
      </c>
      <c r="AT134" s="709">
        <v>0</v>
      </c>
      <c r="AU134" s="709">
        <v>0</v>
      </c>
      <c r="AV134" s="709">
        <v>0</v>
      </c>
      <c r="AW134" s="709">
        <v>0</v>
      </c>
      <c r="AX134" s="709">
        <v>0</v>
      </c>
    </row>
    <row r="135" spans="2:50" ht="13.2" x14ac:dyDescent="0.2">
      <c r="B135" s="290" t="str">
        <f>CHIFFRAGE_TC!B136</f>
        <v>Anden al primer piso</v>
      </c>
      <c r="C135" s="16">
        <f>CHIFFRAGE_TC!D136</f>
        <v>50</v>
      </c>
      <c r="E135" s="712">
        <f>CHIFFRAGE_TC!$L136*CHIFFRAGE_TC!$T136</f>
        <v>0</v>
      </c>
      <c r="F135" s="715">
        <f>CHIFFRAGE_TC!$L136*CHIFFRAGE_TC!$U136</f>
        <v>0</v>
      </c>
      <c r="G135" s="715">
        <f>CHIFFRAGE_TC!$L136*CHIFFRAGE_TC!$V136</f>
        <v>0</v>
      </c>
      <c r="H135" s="716">
        <f>CHIFFRAGE_TC!$L136*CHIFFRAGE_TC!$W136</f>
        <v>0</v>
      </c>
      <c r="I135" s="709">
        <v>0</v>
      </c>
      <c r="J135" s="709">
        <v>0</v>
      </c>
      <c r="K135" s="709">
        <v>0</v>
      </c>
      <c r="L135" s="709">
        <v>0</v>
      </c>
      <c r="M135" s="709">
        <v>0</v>
      </c>
      <c r="N135" s="709">
        <v>0</v>
      </c>
      <c r="O135" s="709">
        <v>0</v>
      </c>
      <c r="P135" s="709">
        <v>0</v>
      </c>
      <c r="Q135" s="709">
        <v>0</v>
      </c>
      <c r="R135" s="709">
        <v>0</v>
      </c>
      <c r="S135" s="709">
        <v>0</v>
      </c>
      <c r="T135" s="709">
        <v>0</v>
      </c>
      <c r="U135" s="709">
        <v>0</v>
      </c>
      <c r="V135" s="709">
        <v>0</v>
      </c>
      <c r="W135" s="709">
        <v>0</v>
      </c>
      <c r="X135" s="709">
        <v>0</v>
      </c>
      <c r="Y135" s="709">
        <v>0</v>
      </c>
      <c r="Z135" s="709">
        <v>0</v>
      </c>
      <c r="AA135" s="709">
        <v>0</v>
      </c>
      <c r="AB135" s="709">
        <v>0</v>
      </c>
      <c r="AC135" s="709">
        <v>0</v>
      </c>
      <c r="AD135" s="709">
        <v>0</v>
      </c>
      <c r="AE135" s="709">
        <v>0</v>
      </c>
      <c r="AF135" s="709">
        <v>0</v>
      </c>
      <c r="AG135" s="709">
        <v>0</v>
      </c>
      <c r="AH135" s="709">
        <v>0</v>
      </c>
      <c r="AI135" s="709">
        <v>0</v>
      </c>
      <c r="AJ135" s="709">
        <v>0</v>
      </c>
      <c r="AK135" s="709">
        <v>0</v>
      </c>
      <c r="AL135" s="709">
        <v>0</v>
      </c>
      <c r="AM135" s="709">
        <v>0</v>
      </c>
      <c r="AN135" s="709">
        <v>0</v>
      </c>
      <c r="AO135" s="709">
        <v>0</v>
      </c>
      <c r="AP135" s="709">
        <v>0</v>
      </c>
      <c r="AQ135" s="709">
        <v>0</v>
      </c>
      <c r="AR135" s="709">
        <v>0</v>
      </c>
      <c r="AS135" s="709">
        <v>0</v>
      </c>
      <c r="AT135" s="709">
        <v>0</v>
      </c>
      <c r="AU135" s="709">
        <v>0</v>
      </c>
      <c r="AV135" s="709">
        <v>0</v>
      </c>
      <c r="AW135" s="709">
        <v>0</v>
      </c>
      <c r="AX135" s="709">
        <v>0</v>
      </c>
    </row>
    <row r="136" spans="2:50" ht="13.2" x14ac:dyDescent="0.2">
      <c r="B136" s="290" t="str">
        <f>CHIFFRAGE_TC!B137</f>
        <v>Centro de mando + Locales tecnicos cubiertos</v>
      </c>
      <c r="C136" s="16">
        <f>CHIFFRAGE_TC!D137</f>
        <v>50</v>
      </c>
      <c r="E136" s="712">
        <f>CHIFFRAGE_TC!$L137*CHIFFRAGE_TC!$T137</f>
        <v>0</v>
      </c>
      <c r="F136" s="715">
        <f>CHIFFRAGE_TC!$L137*CHIFFRAGE_TC!$U137</f>
        <v>0</v>
      </c>
      <c r="G136" s="715">
        <f>CHIFFRAGE_TC!$L137*CHIFFRAGE_TC!$V137</f>
        <v>0</v>
      </c>
      <c r="H136" s="716">
        <f>CHIFFRAGE_TC!$L137*CHIFFRAGE_TC!$W137</f>
        <v>0</v>
      </c>
      <c r="I136" s="709">
        <v>0</v>
      </c>
      <c r="J136" s="709">
        <v>0</v>
      </c>
      <c r="K136" s="709">
        <v>0</v>
      </c>
      <c r="L136" s="709">
        <v>0</v>
      </c>
      <c r="M136" s="709">
        <v>0</v>
      </c>
      <c r="N136" s="709">
        <v>0</v>
      </c>
      <c r="O136" s="709">
        <v>0</v>
      </c>
      <c r="P136" s="709">
        <v>0</v>
      </c>
      <c r="Q136" s="709">
        <v>0</v>
      </c>
      <c r="R136" s="709">
        <v>0</v>
      </c>
      <c r="S136" s="709">
        <v>0</v>
      </c>
      <c r="T136" s="709">
        <v>0</v>
      </c>
      <c r="U136" s="709">
        <v>0</v>
      </c>
      <c r="V136" s="709">
        <v>0</v>
      </c>
      <c r="W136" s="709">
        <v>0</v>
      </c>
      <c r="X136" s="709">
        <v>0</v>
      </c>
      <c r="Y136" s="709">
        <v>0</v>
      </c>
      <c r="Z136" s="709">
        <v>0</v>
      </c>
      <c r="AA136" s="709">
        <v>0</v>
      </c>
      <c r="AB136" s="709">
        <v>0</v>
      </c>
      <c r="AC136" s="709">
        <v>0</v>
      </c>
      <c r="AD136" s="709">
        <v>0</v>
      </c>
      <c r="AE136" s="709">
        <v>0</v>
      </c>
      <c r="AF136" s="709">
        <v>0</v>
      </c>
      <c r="AG136" s="709">
        <v>0</v>
      </c>
      <c r="AH136" s="709">
        <v>0</v>
      </c>
      <c r="AI136" s="709">
        <v>0</v>
      </c>
      <c r="AJ136" s="709">
        <v>0</v>
      </c>
      <c r="AK136" s="709">
        <v>0</v>
      </c>
      <c r="AL136" s="709">
        <v>0</v>
      </c>
      <c r="AM136" s="709">
        <v>0</v>
      </c>
      <c r="AN136" s="709">
        <v>0</v>
      </c>
      <c r="AO136" s="709">
        <v>0</v>
      </c>
      <c r="AP136" s="709">
        <v>0</v>
      </c>
      <c r="AQ136" s="709">
        <v>0</v>
      </c>
      <c r="AR136" s="709">
        <v>0</v>
      </c>
      <c r="AS136" s="709">
        <v>0</v>
      </c>
      <c r="AT136" s="709">
        <v>0</v>
      </c>
      <c r="AU136" s="709">
        <v>0</v>
      </c>
      <c r="AV136" s="709">
        <v>0</v>
      </c>
      <c r="AW136" s="709">
        <v>0</v>
      </c>
      <c r="AX136" s="709">
        <v>0</v>
      </c>
    </row>
    <row r="137" spans="2:50" ht="13.2" x14ac:dyDescent="0.2">
      <c r="B137" s="290" t="str">
        <f>CHIFFRAGE_TC!B138</f>
        <v xml:space="preserve">Locales tecnicos non cerrados </v>
      </c>
      <c r="C137" s="16">
        <f>CHIFFRAGE_TC!D138</f>
        <v>50</v>
      </c>
      <c r="E137" s="712">
        <f>CHIFFRAGE_TC!$L138*CHIFFRAGE_TC!$T138</f>
        <v>0</v>
      </c>
      <c r="F137" s="715">
        <f>CHIFFRAGE_TC!$L138*CHIFFRAGE_TC!$U138</f>
        <v>0</v>
      </c>
      <c r="G137" s="715">
        <f>CHIFFRAGE_TC!$L138*CHIFFRAGE_TC!$V138</f>
        <v>0</v>
      </c>
      <c r="H137" s="716">
        <f>CHIFFRAGE_TC!$L138*CHIFFRAGE_TC!$W138</f>
        <v>0</v>
      </c>
      <c r="I137" s="709">
        <v>0</v>
      </c>
      <c r="J137" s="709">
        <v>0</v>
      </c>
      <c r="K137" s="709">
        <v>0</v>
      </c>
      <c r="L137" s="709">
        <v>0</v>
      </c>
      <c r="M137" s="709">
        <v>0</v>
      </c>
      <c r="N137" s="709">
        <v>0</v>
      </c>
      <c r="O137" s="709">
        <v>0</v>
      </c>
      <c r="P137" s="709">
        <v>0</v>
      </c>
      <c r="Q137" s="709">
        <v>0</v>
      </c>
      <c r="R137" s="709">
        <v>0</v>
      </c>
      <c r="S137" s="709">
        <v>0</v>
      </c>
      <c r="T137" s="709">
        <v>0</v>
      </c>
      <c r="U137" s="709">
        <v>0</v>
      </c>
      <c r="V137" s="709">
        <v>0</v>
      </c>
      <c r="W137" s="709">
        <v>0</v>
      </c>
      <c r="X137" s="709">
        <v>0</v>
      </c>
      <c r="Y137" s="709">
        <v>0</v>
      </c>
      <c r="Z137" s="709">
        <v>0</v>
      </c>
      <c r="AA137" s="709">
        <v>0</v>
      </c>
      <c r="AB137" s="709">
        <v>0</v>
      </c>
      <c r="AC137" s="709">
        <v>0</v>
      </c>
      <c r="AD137" s="709">
        <v>0</v>
      </c>
      <c r="AE137" s="709">
        <v>0</v>
      </c>
      <c r="AF137" s="709">
        <v>0</v>
      </c>
      <c r="AG137" s="709">
        <v>0</v>
      </c>
      <c r="AH137" s="709">
        <v>0</v>
      </c>
      <c r="AI137" s="709">
        <v>0</v>
      </c>
      <c r="AJ137" s="709">
        <v>0</v>
      </c>
      <c r="AK137" s="709">
        <v>0</v>
      </c>
      <c r="AL137" s="709">
        <v>0</v>
      </c>
      <c r="AM137" s="709">
        <v>0</v>
      </c>
      <c r="AN137" s="709">
        <v>0</v>
      </c>
      <c r="AO137" s="709">
        <v>0</v>
      </c>
      <c r="AP137" s="709">
        <v>0</v>
      </c>
      <c r="AQ137" s="709">
        <v>0</v>
      </c>
      <c r="AR137" s="709">
        <v>0</v>
      </c>
      <c r="AS137" s="709">
        <v>0</v>
      </c>
      <c r="AT137" s="709">
        <v>0</v>
      </c>
      <c r="AU137" s="709">
        <v>0</v>
      </c>
      <c r="AV137" s="709">
        <v>0</v>
      </c>
      <c r="AW137" s="709">
        <v>0</v>
      </c>
      <c r="AX137" s="709">
        <v>0</v>
      </c>
    </row>
    <row r="138" spans="2:50" ht="13.2" x14ac:dyDescent="0.2">
      <c r="B138" s="290" t="str">
        <f>CHIFFRAGE_TC!B139</f>
        <v>Adecuacion urbana 
(demolicion, reconstruccion, mobiliario urbano, paisaje)</v>
      </c>
      <c r="C138" s="16">
        <f>CHIFFRAGE_TC!D139</f>
        <v>50</v>
      </c>
      <c r="E138" s="712">
        <f>CHIFFRAGE_TC!$L139*CHIFFRAGE_TC!$T139</f>
        <v>0</v>
      </c>
      <c r="F138" s="715">
        <f>CHIFFRAGE_TC!$L139*CHIFFRAGE_TC!$U139</f>
        <v>0</v>
      </c>
      <c r="G138" s="715">
        <f>CHIFFRAGE_TC!$L139*CHIFFRAGE_TC!$V139</f>
        <v>0</v>
      </c>
      <c r="H138" s="716">
        <f>CHIFFRAGE_TC!$L139*CHIFFRAGE_TC!$W139</f>
        <v>0</v>
      </c>
      <c r="I138" s="709">
        <v>0</v>
      </c>
      <c r="J138" s="709">
        <v>0</v>
      </c>
      <c r="K138" s="709">
        <v>0</v>
      </c>
      <c r="L138" s="709">
        <v>0</v>
      </c>
      <c r="M138" s="709">
        <v>0</v>
      </c>
      <c r="N138" s="709">
        <v>0</v>
      </c>
      <c r="O138" s="709">
        <v>0</v>
      </c>
      <c r="P138" s="709">
        <v>0</v>
      </c>
      <c r="Q138" s="709">
        <v>0</v>
      </c>
      <c r="R138" s="709">
        <v>0</v>
      </c>
      <c r="S138" s="709">
        <v>0</v>
      </c>
      <c r="T138" s="709">
        <v>0</v>
      </c>
      <c r="U138" s="709">
        <v>0</v>
      </c>
      <c r="V138" s="709">
        <v>0</v>
      </c>
      <c r="W138" s="709">
        <v>0</v>
      </c>
      <c r="X138" s="709">
        <v>0</v>
      </c>
      <c r="Y138" s="709">
        <v>0</v>
      </c>
      <c r="Z138" s="709">
        <v>0</v>
      </c>
      <c r="AA138" s="709">
        <v>0</v>
      </c>
      <c r="AB138" s="709">
        <v>0</v>
      </c>
      <c r="AC138" s="709">
        <v>0</v>
      </c>
      <c r="AD138" s="709">
        <v>0</v>
      </c>
      <c r="AE138" s="709">
        <v>0</v>
      </c>
      <c r="AF138" s="709">
        <v>0</v>
      </c>
      <c r="AG138" s="709">
        <v>0</v>
      </c>
      <c r="AH138" s="709">
        <v>0</v>
      </c>
      <c r="AI138" s="709">
        <v>0</v>
      </c>
      <c r="AJ138" s="709">
        <v>0</v>
      </c>
      <c r="AK138" s="709">
        <v>0</v>
      </c>
      <c r="AL138" s="709">
        <v>0</v>
      </c>
      <c r="AM138" s="709">
        <v>0</v>
      </c>
      <c r="AN138" s="709">
        <v>0</v>
      </c>
      <c r="AO138" s="709">
        <v>0</v>
      </c>
      <c r="AP138" s="709">
        <v>0</v>
      </c>
      <c r="AQ138" s="709">
        <v>0</v>
      </c>
      <c r="AR138" s="709">
        <v>0</v>
      </c>
      <c r="AS138" s="709">
        <v>0</v>
      </c>
      <c r="AT138" s="709">
        <v>0</v>
      </c>
      <c r="AU138" s="709">
        <v>0</v>
      </c>
      <c r="AV138" s="709">
        <v>0</v>
      </c>
      <c r="AW138" s="709">
        <v>0</v>
      </c>
      <c r="AX138" s="709">
        <v>0</v>
      </c>
    </row>
    <row r="139" spans="2:50" ht="13.2" x14ac:dyDescent="0.2">
      <c r="B139" s="289" t="str">
        <f>CHIFFRAGE_TC!B140</f>
        <v>Pasarela</v>
      </c>
      <c r="C139" s="16">
        <f>CHIFFRAGE_TC!D140</f>
        <v>50</v>
      </c>
      <c r="E139" s="712">
        <f>CHIFFRAGE_TC!$L140*CHIFFRAGE_TC!$T140</f>
        <v>0</v>
      </c>
      <c r="F139" s="715">
        <f>CHIFFRAGE_TC!$L140*CHIFFRAGE_TC!$U140</f>
        <v>0</v>
      </c>
      <c r="G139" s="715">
        <f>CHIFFRAGE_TC!$L140*CHIFFRAGE_TC!$V140</f>
        <v>0</v>
      </c>
      <c r="H139" s="716">
        <f>CHIFFRAGE_TC!$L140*CHIFFRAGE_TC!$W140</f>
        <v>0</v>
      </c>
      <c r="I139" s="709">
        <v>0</v>
      </c>
      <c r="J139" s="709">
        <v>0</v>
      </c>
      <c r="K139" s="709">
        <v>0</v>
      </c>
      <c r="L139" s="709">
        <v>0</v>
      </c>
      <c r="M139" s="709">
        <v>0</v>
      </c>
      <c r="N139" s="709">
        <v>0</v>
      </c>
      <c r="O139" s="709">
        <v>0</v>
      </c>
      <c r="P139" s="709">
        <v>0</v>
      </c>
      <c r="Q139" s="709">
        <v>0</v>
      </c>
      <c r="R139" s="709">
        <v>0</v>
      </c>
      <c r="S139" s="709">
        <v>0</v>
      </c>
      <c r="T139" s="709">
        <v>0</v>
      </c>
      <c r="U139" s="709">
        <v>0</v>
      </c>
      <c r="V139" s="709">
        <v>0</v>
      </c>
      <c r="W139" s="709">
        <v>0</v>
      </c>
      <c r="X139" s="709">
        <v>0</v>
      </c>
      <c r="Y139" s="709">
        <v>0</v>
      </c>
      <c r="Z139" s="709">
        <v>0</v>
      </c>
      <c r="AA139" s="709">
        <v>0</v>
      </c>
      <c r="AB139" s="709">
        <v>0</v>
      </c>
      <c r="AC139" s="709">
        <v>0</v>
      </c>
      <c r="AD139" s="709">
        <v>0</v>
      </c>
      <c r="AE139" s="709">
        <v>0</v>
      </c>
      <c r="AF139" s="709">
        <v>0</v>
      </c>
      <c r="AG139" s="709">
        <v>0</v>
      </c>
      <c r="AH139" s="709">
        <v>0</v>
      </c>
      <c r="AI139" s="709">
        <v>0</v>
      </c>
      <c r="AJ139" s="709">
        <v>0</v>
      </c>
      <c r="AK139" s="709">
        <v>0</v>
      </c>
      <c r="AL139" s="709">
        <v>0</v>
      </c>
      <c r="AM139" s="709">
        <v>0</v>
      </c>
      <c r="AN139" s="709">
        <v>0</v>
      </c>
      <c r="AO139" s="709">
        <v>0</v>
      </c>
      <c r="AP139" s="709">
        <v>0</v>
      </c>
      <c r="AQ139" s="709">
        <v>0</v>
      </c>
      <c r="AR139" s="709">
        <v>0</v>
      </c>
      <c r="AS139" s="709">
        <v>0</v>
      </c>
      <c r="AT139" s="709">
        <v>0</v>
      </c>
      <c r="AU139" s="709">
        <v>0</v>
      </c>
      <c r="AV139" s="709">
        <v>0</v>
      </c>
      <c r="AW139" s="709">
        <v>0</v>
      </c>
      <c r="AX139" s="709">
        <v>0</v>
      </c>
    </row>
    <row r="140" spans="2:50" ht="13.2" x14ac:dyDescent="0.2">
      <c r="B140" s="293" t="str">
        <f>CHIFFRAGE_TC!B141</f>
        <v>Edificio - Estacion Cimentero (Tecnica)</v>
      </c>
      <c r="C140" s="16"/>
      <c r="E140" s="717">
        <f>SUM(E141:E150)</f>
        <v>0</v>
      </c>
      <c r="F140" s="718">
        <f>SUM(F141:F150)</f>
        <v>0</v>
      </c>
      <c r="G140" s="718">
        <f>SUM(G141:G150)</f>
        <v>0</v>
      </c>
      <c r="H140" s="719">
        <f>SUM(H141:H150)</f>
        <v>0</v>
      </c>
      <c r="I140" s="733">
        <f t="shared" ref="I140:AN140" si="115">SUM(I141:I150)</f>
        <v>0</v>
      </c>
      <c r="J140" s="733">
        <f t="shared" si="115"/>
        <v>0</v>
      </c>
      <c r="K140" s="733">
        <f t="shared" si="115"/>
        <v>0</v>
      </c>
      <c r="L140" s="733">
        <f t="shared" si="115"/>
        <v>0</v>
      </c>
      <c r="M140" s="733">
        <f t="shared" si="115"/>
        <v>0</v>
      </c>
      <c r="N140" s="733">
        <f t="shared" si="115"/>
        <v>0</v>
      </c>
      <c r="O140" s="733">
        <f t="shared" si="115"/>
        <v>0</v>
      </c>
      <c r="P140" s="733">
        <f t="shared" si="115"/>
        <v>0</v>
      </c>
      <c r="Q140" s="733">
        <f t="shared" si="115"/>
        <v>0</v>
      </c>
      <c r="R140" s="733">
        <f t="shared" si="115"/>
        <v>0</v>
      </c>
      <c r="S140" s="733">
        <f t="shared" si="115"/>
        <v>0</v>
      </c>
      <c r="T140" s="733">
        <f t="shared" si="115"/>
        <v>0</v>
      </c>
      <c r="U140" s="733">
        <f t="shared" si="115"/>
        <v>0</v>
      </c>
      <c r="V140" s="733">
        <f t="shared" si="115"/>
        <v>0</v>
      </c>
      <c r="W140" s="733">
        <f t="shared" si="115"/>
        <v>0</v>
      </c>
      <c r="X140" s="733">
        <f t="shared" si="115"/>
        <v>0</v>
      </c>
      <c r="Y140" s="733">
        <f t="shared" si="115"/>
        <v>0</v>
      </c>
      <c r="Z140" s="733">
        <f t="shared" si="115"/>
        <v>0</v>
      </c>
      <c r="AA140" s="733">
        <f t="shared" si="115"/>
        <v>0</v>
      </c>
      <c r="AB140" s="733">
        <f t="shared" si="115"/>
        <v>0</v>
      </c>
      <c r="AC140" s="733">
        <f t="shared" si="115"/>
        <v>0</v>
      </c>
      <c r="AD140" s="733">
        <f t="shared" si="115"/>
        <v>0</v>
      </c>
      <c r="AE140" s="733">
        <f t="shared" si="115"/>
        <v>0</v>
      </c>
      <c r="AF140" s="733">
        <f t="shared" si="115"/>
        <v>0</v>
      </c>
      <c r="AG140" s="733">
        <f t="shared" si="115"/>
        <v>0</v>
      </c>
      <c r="AH140" s="733">
        <f t="shared" si="115"/>
        <v>0</v>
      </c>
      <c r="AI140" s="733">
        <f t="shared" si="115"/>
        <v>0</v>
      </c>
      <c r="AJ140" s="733">
        <f t="shared" si="115"/>
        <v>0</v>
      </c>
      <c r="AK140" s="733">
        <f t="shared" si="115"/>
        <v>0</v>
      </c>
      <c r="AL140" s="733">
        <f t="shared" si="115"/>
        <v>0</v>
      </c>
      <c r="AM140" s="733">
        <f t="shared" si="115"/>
        <v>0</v>
      </c>
      <c r="AN140" s="733">
        <f t="shared" si="115"/>
        <v>0</v>
      </c>
      <c r="AO140" s="733">
        <f t="shared" ref="AO140" si="116">SUM(AO141:AO150)</f>
        <v>0</v>
      </c>
      <c r="AP140" s="733">
        <f t="shared" ref="AP140" si="117">SUM(AP141:AP150)</f>
        <v>0</v>
      </c>
      <c r="AQ140" s="733">
        <f t="shared" ref="AQ140" si="118">SUM(AQ141:AQ150)</f>
        <v>0</v>
      </c>
      <c r="AR140" s="733">
        <f t="shared" ref="AR140" si="119">SUM(AR141:AR150)</f>
        <v>0</v>
      </c>
      <c r="AS140" s="733">
        <f t="shared" ref="AS140" si="120">SUM(AS141:AS150)</f>
        <v>0</v>
      </c>
      <c r="AT140" s="733">
        <f t="shared" ref="AT140" si="121">SUM(AT141:AT150)</f>
        <v>0</v>
      </c>
      <c r="AU140" s="733">
        <f t="shared" ref="AU140" si="122">SUM(AU141:AU150)</f>
        <v>0</v>
      </c>
      <c r="AV140" s="733">
        <f t="shared" ref="AV140" si="123">SUM(AV141:AV150)</f>
        <v>0</v>
      </c>
      <c r="AW140" s="733">
        <f t="shared" ref="AW140" si="124">SUM(AW141:AW150)</f>
        <v>0</v>
      </c>
      <c r="AX140" s="733">
        <f t="shared" ref="AX140" si="125">SUM(AX141:AX150)</f>
        <v>0</v>
      </c>
    </row>
    <row r="141" spans="2:50" ht="13.2" x14ac:dyDescent="0.2">
      <c r="B141" s="290" t="str">
        <f>CHIFFRAGE_TC!B142</f>
        <v>Fundaciones tipicas 
(edificio con piso tierra y primer piso)</v>
      </c>
      <c r="C141" s="16">
        <f>CHIFFRAGE_TC!D142</f>
        <v>50</v>
      </c>
      <c r="E141" s="712">
        <f>CHIFFRAGE_TC!$L142*CHIFFRAGE_TC!$T142</f>
        <v>0</v>
      </c>
      <c r="F141" s="715">
        <f>CHIFFRAGE_TC!$L142*CHIFFRAGE_TC!$U142</f>
        <v>0</v>
      </c>
      <c r="G141" s="715">
        <f>CHIFFRAGE_TC!$L142*CHIFFRAGE_TC!$V142</f>
        <v>0</v>
      </c>
      <c r="H141" s="716">
        <f>CHIFFRAGE_TC!$L142*CHIFFRAGE_TC!$W142</f>
        <v>0</v>
      </c>
      <c r="I141" s="709">
        <v>0</v>
      </c>
      <c r="J141" s="709">
        <v>0</v>
      </c>
      <c r="K141" s="709">
        <v>0</v>
      </c>
      <c r="L141" s="709">
        <v>0</v>
      </c>
      <c r="M141" s="709">
        <v>0</v>
      </c>
      <c r="N141" s="709">
        <v>0</v>
      </c>
      <c r="O141" s="709">
        <v>0</v>
      </c>
      <c r="P141" s="709">
        <v>0</v>
      </c>
      <c r="Q141" s="709">
        <v>0</v>
      </c>
      <c r="R141" s="709">
        <v>0</v>
      </c>
      <c r="S141" s="709">
        <v>0</v>
      </c>
      <c r="T141" s="709">
        <v>0</v>
      </c>
      <c r="U141" s="709">
        <v>0</v>
      </c>
      <c r="V141" s="709">
        <v>0</v>
      </c>
      <c r="W141" s="709">
        <v>0</v>
      </c>
      <c r="X141" s="709">
        <v>0</v>
      </c>
      <c r="Y141" s="709">
        <v>0</v>
      </c>
      <c r="Z141" s="709">
        <v>0</v>
      </c>
      <c r="AA141" s="709">
        <v>0</v>
      </c>
      <c r="AB141" s="709">
        <v>0</v>
      </c>
      <c r="AC141" s="709">
        <v>0</v>
      </c>
      <c r="AD141" s="709">
        <v>0</v>
      </c>
      <c r="AE141" s="709">
        <v>0</v>
      </c>
      <c r="AF141" s="709">
        <v>0</v>
      </c>
      <c r="AG141" s="709">
        <v>0</v>
      </c>
      <c r="AH141" s="709">
        <v>0</v>
      </c>
      <c r="AI141" s="709">
        <v>0</v>
      </c>
      <c r="AJ141" s="709">
        <v>0</v>
      </c>
      <c r="AK141" s="709">
        <v>0</v>
      </c>
      <c r="AL141" s="709">
        <v>0</v>
      </c>
      <c r="AM141" s="709">
        <v>0</v>
      </c>
      <c r="AN141" s="709">
        <v>0</v>
      </c>
      <c r="AO141" s="709">
        <v>0</v>
      </c>
      <c r="AP141" s="709">
        <v>0</v>
      </c>
      <c r="AQ141" s="709">
        <v>0</v>
      </c>
      <c r="AR141" s="709">
        <v>0</v>
      </c>
      <c r="AS141" s="709">
        <v>0</v>
      </c>
      <c r="AT141" s="709">
        <v>0</v>
      </c>
      <c r="AU141" s="709">
        <v>0</v>
      </c>
      <c r="AV141" s="709">
        <v>0</v>
      </c>
      <c r="AW141" s="709">
        <v>0</v>
      </c>
      <c r="AX141" s="709">
        <v>0</v>
      </c>
    </row>
    <row r="142" spans="2:50" ht="13.2" x14ac:dyDescent="0.2">
      <c r="B142" s="290" t="str">
        <f>CHIFFRAGE_TC!B143</f>
        <v>Piso tierra sobrelevado y fundaciones</v>
      </c>
      <c r="C142" s="16">
        <f>CHIFFRAGE_TC!D143</f>
        <v>50</v>
      </c>
      <c r="E142" s="712">
        <f>CHIFFRAGE_TC!$L143*CHIFFRAGE_TC!$T143</f>
        <v>0</v>
      </c>
      <c r="F142" s="715">
        <f>CHIFFRAGE_TC!$L143*CHIFFRAGE_TC!$U143</f>
        <v>0</v>
      </c>
      <c r="G142" s="715">
        <f>CHIFFRAGE_TC!$L143*CHIFFRAGE_TC!$V143</f>
        <v>0</v>
      </c>
      <c r="H142" s="716">
        <f>CHIFFRAGE_TC!$L143*CHIFFRAGE_TC!$W143</f>
        <v>0</v>
      </c>
      <c r="I142" s="709">
        <v>0</v>
      </c>
      <c r="J142" s="709">
        <v>0</v>
      </c>
      <c r="K142" s="709">
        <v>0</v>
      </c>
      <c r="L142" s="709">
        <v>0</v>
      </c>
      <c r="M142" s="709">
        <v>0</v>
      </c>
      <c r="N142" s="709">
        <v>0</v>
      </c>
      <c r="O142" s="709">
        <v>0</v>
      </c>
      <c r="P142" s="709">
        <v>0</v>
      </c>
      <c r="Q142" s="709">
        <v>0</v>
      </c>
      <c r="R142" s="709">
        <v>0</v>
      </c>
      <c r="S142" s="709">
        <v>0</v>
      </c>
      <c r="T142" s="709">
        <v>0</v>
      </c>
      <c r="U142" s="709">
        <v>0</v>
      </c>
      <c r="V142" s="709">
        <v>0</v>
      </c>
      <c r="W142" s="709">
        <v>0</v>
      </c>
      <c r="X142" s="709">
        <v>0</v>
      </c>
      <c r="Y142" s="709">
        <v>0</v>
      </c>
      <c r="Z142" s="709">
        <v>0</v>
      </c>
      <c r="AA142" s="709">
        <v>0</v>
      </c>
      <c r="AB142" s="709">
        <v>0</v>
      </c>
      <c r="AC142" s="709">
        <v>0</v>
      </c>
      <c r="AD142" s="709">
        <v>0</v>
      </c>
      <c r="AE142" s="709">
        <v>0</v>
      </c>
      <c r="AF142" s="709">
        <v>0</v>
      </c>
      <c r="AG142" s="709">
        <v>0</v>
      </c>
      <c r="AH142" s="709">
        <v>0</v>
      </c>
      <c r="AI142" s="709">
        <v>0</v>
      </c>
      <c r="AJ142" s="709">
        <v>0</v>
      </c>
      <c r="AK142" s="709">
        <v>0</v>
      </c>
      <c r="AL142" s="709">
        <v>0</v>
      </c>
      <c r="AM142" s="709">
        <v>0</v>
      </c>
      <c r="AN142" s="709">
        <v>0</v>
      </c>
      <c r="AO142" s="709">
        <v>0</v>
      </c>
      <c r="AP142" s="709">
        <v>0</v>
      </c>
      <c r="AQ142" s="709">
        <v>0</v>
      </c>
      <c r="AR142" s="709">
        <v>0</v>
      </c>
      <c r="AS142" s="709">
        <v>0</v>
      </c>
      <c r="AT142" s="709">
        <v>0</v>
      </c>
      <c r="AU142" s="709">
        <v>0</v>
      </c>
      <c r="AV142" s="709">
        <v>0</v>
      </c>
      <c r="AW142" s="709">
        <v>0</v>
      </c>
      <c r="AX142" s="709">
        <v>0</v>
      </c>
    </row>
    <row r="143" spans="2:50" ht="13.2" x14ac:dyDescent="0.2">
      <c r="B143" s="290" t="str">
        <f>CHIFFRAGE_TC!B144</f>
        <v>Superficies comerciales</v>
      </c>
      <c r="C143" s="16">
        <f>CHIFFRAGE_TC!D144</f>
        <v>50</v>
      </c>
      <c r="E143" s="712">
        <f>CHIFFRAGE_TC!$L144*CHIFFRAGE_TC!$T144</f>
        <v>0</v>
      </c>
      <c r="F143" s="715">
        <f>CHIFFRAGE_TC!$L144*CHIFFRAGE_TC!$U144</f>
        <v>0</v>
      </c>
      <c r="G143" s="715">
        <f>CHIFFRAGE_TC!$L144*CHIFFRAGE_TC!$V144</f>
        <v>0</v>
      </c>
      <c r="H143" s="716">
        <f>CHIFFRAGE_TC!$L144*CHIFFRAGE_TC!$W144</f>
        <v>0</v>
      </c>
      <c r="I143" s="709">
        <v>0</v>
      </c>
      <c r="J143" s="709">
        <v>0</v>
      </c>
      <c r="K143" s="709">
        <v>0</v>
      </c>
      <c r="L143" s="709">
        <v>0</v>
      </c>
      <c r="M143" s="709">
        <v>0</v>
      </c>
      <c r="N143" s="709">
        <v>0</v>
      </c>
      <c r="O143" s="709">
        <v>0</v>
      </c>
      <c r="P143" s="709">
        <v>0</v>
      </c>
      <c r="Q143" s="709">
        <v>0</v>
      </c>
      <c r="R143" s="709">
        <v>0</v>
      </c>
      <c r="S143" s="709">
        <v>0</v>
      </c>
      <c r="T143" s="709">
        <v>0</v>
      </c>
      <c r="U143" s="709">
        <v>0</v>
      </c>
      <c r="V143" s="709">
        <v>0</v>
      </c>
      <c r="W143" s="709">
        <v>0</v>
      </c>
      <c r="X143" s="709">
        <v>0</v>
      </c>
      <c r="Y143" s="709">
        <v>0</v>
      </c>
      <c r="Z143" s="709">
        <v>0</v>
      </c>
      <c r="AA143" s="709">
        <v>0</v>
      </c>
      <c r="AB143" s="709">
        <v>0</v>
      </c>
      <c r="AC143" s="709">
        <v>0</v>
      </c>
      <c r="AD143" s="709">
        <v>0</v>
      </c>
      <c r="AE143" s="709">
        <v>0</v>
      </c>
      <c r="AF143" s="709">
        <v>0</v>
      </c>
      <c r="AG143" s="709">
        <v>0</v>
      </c>
      <c r="AH143" s="709">
        <v>0</v>
      </c>
      <c r="AI143" s="709">
        <v>0</v>
      </c>
      <c r="AJ143" s="709">
        <v>0</v>
      </c>
      <c r="AK143" s="709">
        <v>0</v>
      </c>
      <c r="AL143" s="709">
        <v>0</v>
      </c>
      <c r="AM143" s="709">
        <v>0</v>
      </c>
      <c r="AN143" s="709">
        <v>0</v>
      </c>
      <c r="AO143" s="709">
        <v>0</v>
      </c>
      <c r="AP143" s="709">
        <v>0</v>
      </c>
      <c r="AQ143" s="709">
        <v>0</v>
      </c>
      <c r="AR143" s="709">
        <v>0</v>
      </c>
      <c r="AS143" s="709">
        <v>0</v>
      </c>
      <c r="AT143" s="709">
        <v>0</v>
      </c>
      <c r="AU143" s="709">
        <v>0</v>
      </c>
      <c r="AV143" s="709">
        <v>0</v>
      </c>
      <c r="AW143" s="709">
        <v>0</v>
      </c>
      <c r="AX143" s="709">
        <v>0</v>
      </c>
    </row>
    <row r="144" spans="2:50" ht="26.4" x14ac:dyDescent="0.2">
      <c r="B144" s="292" t="str">
        <f>CHIFFRAGE_TC!B145</f>
        <v xml:space="preserve">Ingreso y circulaciones al piso tierra 
(y/c servicios, escaleras mecanicas, escaleras y ascencores) </v>
      </c>
      <c r="C144" s="16">
        <f>CHIFFRAGE_TC!D145</f>
        <v>40</v>
      </c>
      <c r="E144" s="712">
        <f>CHIFFRAGE_TC!$L145*CHIFFRAGE_TC!$T145</f>
        <v>0</v>
      </c>
      <c r="F144" s="715">
        <f>CHIFFRAGE_TC!$L145*CHIFFRAGE_TC!$U145</f>
        <v>0</v>
      </c>
      <c r="G144" s="715">
        <f>CHIFFRAGE_TC!$L145*CHIFFRAGE_TC!$V145</f>
        <v>0</v>
      </c>
      <c r="H144" s="716">
        <f>CHIFFRAGE_TC!$L145*CHIFFRAGE_TC!$W145</f>
        <v>0</v>
      </c>
      <c r="I144" s="709">
        <v>0</v>
      </c>
      <c r="J144" s="709">
        <v>0</v>
      </c>
      <c r="K144" s="709">
        <v>0</v>
      </c>
      <c r="L144" s="709">
        <v>0</v>
      </c>
      <c r="M144" s="709">
        <v>0</v>
      </c>
      <c r="N144" s="709">
        <v>0</v>
      </c>
      <c r="O144" s="709">
        <v>0</v>
      </c>
      <c r="P144" s="709">
        <v>0</v>
      </c>
      <c r="Q144" s="709">
        <v>0</v>
      </c>
      <c r="R144" s="709">
        <v>0</v>
      </c>
      <c r="S144" s="709">
        <v>0</v>
      </c>
      <c r="T144" s="709">
        <v>0</v>
      </c>
      <c r="U144" s="709">
        <v>0</v>
      </c>
      <c r="V144" s="709">
        <v>0</v>
      </c>
      <c r="W144" s="709">
        <v>0</v>
      </c>
      <c r="X144" s="709">
        <v>0</v>
      </c>
      <c r="Y144" s="709">
        <v>0</v>
      </c>
      <c r="Z144" s="709">
        <v>0</v>
      </c>
      <c r="AA144" s="709">
        <v>0</v>
      </c>
      <c r="AB144" s="709">
        <v>0</v>
      </c>
      <c r="AC144" s="709">
        <v>0</v>
      </c>
      <c r="AD144" s="709">
        <v>0</v>
      </c>
      <c r="AE144" s="709">
        <v>0</v>
      </c>
      <c r="AF144" s="709">
        <v>0</v>
      </c>
      <c r="AG144" s="709">
        <v>0</v>
      </c>
      <c r="AH144" s="709">
        <v>0</v>
      </c>
      <c r="AI144" s="709">
        <v>0</v>
      </c>
      <c r="AJ144" s="709">
        <v>0</v>
      </c>
      <c r="AK144" s="709">
        <v>0</v>
      </c>
      <c r="AL144" s="709">
        <v>0</v>
      </c>
      <c r="AM144" s="709">
        <v>0</v>
      </c>
      <c r="AN144" s="709">
        <v>0</v>
      </c>
      <c r="AO144" s="709">
        <v>0</v>
      </c>
      <c r="AP144" s="709">
        <v>0</v>
      </c>
      <c r="AQ144" s="709">
        <v>0</v>
      </c>
      <c r="AR144" s="709">
        <v>0</v>
      </c>
      <c r="AS144" s="709">
        <v>0</v>
      </c>
      <c r="AT144" s="709">
        <v>0</v>
      </c>
      <c r="AU144" s="709">
        <v>0</v>
      </c>
      <c r="AV144" s="709">
        <v>0</v>
      </c>
      <c r="AW144" s="709">
        <v>0</v>
      </c>
      <c r="AX144" s="709">
        <v>0</v>
      </c>
    </row>
    <row r="145" spans="2:50" ht="26.4" x14ac:dyDescent="0.2">
      <c r="B145" s="292" t="str">
        <f>CHIFFRAGE_TC!B146</f>
        <v>Escaleras mecanicas, escaleras y ascencores adicionales 
(piso tierra sobrelevado)</v>
      </c>
      <c r="C145" s="16">
        <f>CHIFFRAGE_TC!D146</f>
        <v>15</v>
      </c>
      <c r="E145" s="712">
        <f>CHIFFRAGE_TC!$L146*CHIFFRAGE_TC!$T146</f>
        <v>0</v>
      </c>
      <c r="F145" s="715">
        <f>CHIFFRAGE_TC!$L146*CHIFFRAGE_TC!$U146</f>
        <v>0</v>
      </c>
      <c r="G145" s="715">
        <f>CHIFFRAGE_TC!$L146*CHIFFRAGE_TC!$V146</f>
        <v>0</v>
      </c>
      <c r="H145" s="716">
        <f>CHIFFRAGE_TC!$L146*CHIFFRAGE_TC!$W146</f>
        <v>0</v>
      </c>
      <c r="I145" s="709">
        <v>0</v>
      </c>
      <c r="J145" s="709">
        <v>0</v>
      </c>
      <c r="K145" s="709">
        <v>0</v>
      </c>
      <c r="L145" s="709">
        <v>0</v>
      </c>
      <c r="M145" s="709">
        <v>0</v>
      </c>
      <c r="N145" s="709">
        <v>0</v>
      </c>
      <c r="O145" s="709">
        <v>0</v>
      </c>
      <c r="P145" s="709">
        <v>0</v>
      </c>
      <c r="Q145" s="709">
        <v>0</v>
      </c>
      <c r="R145" s="709">
        <v>0</v>
      </c>
      <c r="S145" s="709">
        <v>0</v>
      </c>
      <c r="T145" s="709">
        <v>0</v>
      </c>
      <c r="U145" s="709">
        <v>0</v>
      </c>
      <c r="V145" s="709">
        <v>0</v>
      </c>
      <c r="W145" s="729">
        <f>F145</f>
        <v>0</v>
      </c>
      <c r="X145" s="729">
        <f>G145</f>
        <v>0</v>
      </c>
      <c r="Y145" s="729">
        <f>H145</f>
        <v>0</v>
      </c>
      <c r="Z145" s="709">
        <v>0</v>
      </c>
      <c r="AA145" s="709">
        <v>0</v>
      </c>
      <c r="AB145" s="709">
        <v>0</v>
      </c>
      <c r="AC145" s="709">
        <v>0</v>
      </c>
      <c r="AD145" s="709">
        <v>0</v>
      </c>
      <c r="AE145" s="709">
        <v>0</v>
      </c>
      <c r="AF145" s="709">
        <v>0</v>
      </c>
      <c r="AG145" s="709">
        <v>0</v>
      </c>
      <c r="AH145" s="709">
        <v>0</v>
      </c>
      <c r="AI145" s="709">
        <v>0</v>
      </c>
      <c r="AJ145" s="709">
        <v>0</v>
      </c>
      <c r="AK145" s="709">
        <v>0</v>
      </c>
      <c r="AL145" s="709">
        <v>0</v>
      </c>
      <c r="AM145" s="709">
        <v>0</v>
      </c>
      <c r="AN145" s="729">
        <f>F145</f>
        <v>0</v>
      </c>
      <c r="AO145" s="729">
        <f t="shared" ref="AO145" si="126">G145</f>
        <v>0</v>
      </c>
      <c r="AP145" s="729">
        <f t="shared" ref="AP145" si="127">H145</f>
        <v>0</v>
      </c>
      <c r="AQ145" s="709">
        <v>0</v>
      </c>
      <c r="AR145" s="709">
        <v>0</v>
      </c>
      <c r="AS145" s="709">
        <v>0</v>
      </c>
      <c r="AT145" s="709">
        <v>0</v>
      </c>
      <c r="AU145" s="709">
        <v>0</v>
      </c>
      <c r="AV145" s="709">
        <v>0</v>
      </c>
      <c r="AW145" s="709">
        <v>0</v>
      </c>
      <c r="AX145" s="709">
        <v>0</v>
      </c>
    </row>
    <row r="146" spans="2:50" ht="13.2" x14ac:dyDescent="0.2">
      <c r="B146" s="290" t="str">
        <f>CHIFFRAGE_TC!B147</f>
        <v>Anden al primer piso</v>
      </c>
      <c r="C146" s="16">
        <f>CHIFFRAGE_TC!D147</f>
        <v>50</v>
      </c>
      <c r="E146" s="712">
        <f>CHIFFRAGE_TC!$L147*CHIFFRAGE_TC!$T147</f>
        <v>0</v>
      </c>
      <c r="F146" s="715">
        <f>CHIFFRAGE_TC!$L147*CHIFFRAGE_TC!$U147</f>
        <v>0</v>
      </c>
      <c r="G146" s="715">
        <f>CHIFFRAGE_TC!$L147*CHIFFRAGE_TC!$V147</f>
        <v>0</v>
      </c>
      <c r="H146" s="716">
        <f>CHIFFRAGE_TC!$L147*CHIFFRAGE_TC!$W147</f>
        <v>0</v>
      </c>
      <c r="I146" s="709">
        <v>0</v>
      </c>
      <c r="J146" s="709">
        <v>0</v>
      </c>
      <c r="K146" s="709">
        <v>0</v>
      </c>
      <c r="L146" s="709">
        <v>0</v>
      </c>
      <c r="M146" s="709">
        <v>0</v>
      </c>
      <c r="N146" s="709">
        <v>0</v>
      </c>
      <c r="O146" s="709">
        <v>0</v>
      </c>
      <c r="P146" s="709">
        <v>0</v>
      </c>
      <c r="Q146" s="709">
        <v>0</v>
      </c>
      <c r="R146" s="709">
        <v>0</v>
      </c>
      <c r="S146" s="709">
        <v>0</v>
      </c>
      <c r="T146" s="709">
        <v>0</v>
      </c>
      <c r="U146" s="709">
        <v>0</v>
      </c>
      <c r="V146" s="709">
        <v>0</v>
      </c>
      <c r="W146" s="709">
        <v>0</v>
      </c>
      <c r="X146" s="709">
        <v>0</v>
      </c>
      <c r="Y146" s="709">
        <v>0</v>
      </c>
      <c r="Z146" s="709">
        <v>0</v>
      </c>
      <c r="AA146" s="709">
        <v>0</v>
      </c>
      <c r="AB146" s="709">
        <v>0</v>
      </c>
      <c r="AC146" s="709">
        <v>0</v>
      </c>
      <c r="AD146" s="709">
        <v>0</v>
      </c>
      <c r="AE146" s="709">
        <v>0</v>
      </c>
      <c r="AF146" s="709">
        <v>0</v>
      </c>
      <c r="AG146" s="709">
        <v>0</v>
      </c>
      <c r="AH146" s="709">
        <v>0</v>
      </c>
      <c r="AI146" s="709">
        <v>0</v>
      </c>
      <c r="AJ146" s="709">
        <v>0</v>
      </c>
      <c r="AK146" s="709">
        <v>0</v>
      </c>
      <c r="AL146" s="709">
        <v>0</v>
      </c>
      <c r="AM146" s="709">
        <v>0</v>
      </c>
      <c r="AN146" s="709">
        <v>0</v>
      </c>
      <c r="AO146" s="709">
        <v>0</v>
      </c>
      <c r="AP146" s="709">
        <v>0</v>
      </c>
      <c r="AQ146" s="709">
        <v>0</v>
      </c>
      <c r="AR146" s="709">
        <v>0</v>
      </c>
      <c r="AS146" s="709">
        <v>0</v>
      </c>
      <c r="AT146" s="709">
        <v>0</v>
      </c>
      <c r="AU146" s="709">
        <v>0</v>
      </c>
      <c r="AV146" s="709">
        <v>0</v>
      </c>
      <c r="AW146" s="709">
        <v>0</v>
      </c>
      <c r="AX146" s="709">
        <v>0</v>
      </c>
    </row>
    <row r="147" spans="2:50" ht="13.2" x14ac:dyDescent="0.2">
      <c r="B147" s="290" t="str">
        <f>CHIFFRAGE_TC!B148</f>
        <v>Centro de mando + Locales tecnicos cubiertos</v>
      </c>
      <c r="C147" s="16">
        <f>CHIFFRAGE_TC!D148</f>
        <v>50</v>
      </c>
      <c r="E147" s="712">
        <f>CHIFFRAGE_TC!$L148*CHIFFRAGE_TC!$T148</f>
        <v>0</v>
      </c>
      <c r="F147" s="715">
        <f>CHIFFRAGE_TC!$L148*CHIFFRAGE_TC!$U148</f>
        <v>0</v>
      </c>
      <c r="G147" s="715">
        <f>CHIFFRAGE_TC!$L148*CHIFFRAGE_TC!$V148</f>
        <v>0</v>
      </c>
      <c r="H147" s="716">
        <f>CHIFFRAGE_TC!$L148*CHIFFRAGE_TC!$W148</f>
        <v>0</v>
      </c>
      <c r="I147" s="709">
        <v>0</v>
      </c>
      <c r="J147" s="709">
        <v>0</v>
      </c>
      <c r="K147" s="709">
        <v>0</v>
      </c>
      <c r="L147" s="709">
        <v>0</v>
      </c>
      <c r="M147" s="709">
        <v>0</v>
      </c>
      <c r="N147" s="709">
        <v>0</v>
      </c>
      <c r="O147" s="709">
        <v>0</v>
      </c>
      <c r="P147" s="709">
        <v>0</v>
      </c>
      <c r="Q147" s="709">
        <v>0</v>
      </c>
      <c r="R147" s="709">
        <v>0</v>
      </c>
      <c r="S147" s="709">
        <v>0</v>
      </c>
      <c r="T147" s="709">
        <v>0</v>
      </c>
      <c r="U147" s="709">
        <v>0</v>
      </c>
      <c r="V147" s="709">
        <v>0</v>
      </c>
      <c r="W147" s="709">
        <v>0</v>
      </c>
      <c r="X147" s="709">
        <v>0</v>
      </c>
      <c r="Y147" s="709">
        <v>0</v>
      </c>
      <c r="Z147" s="709">
        <v>0</v>
      </c>
      <c r="AA147" s="709">
        <v>0</v>
      </c>
      <c r="AB147" s="709">
        <v>0</v>
      </c>
      <c r="AC147" s="709">
        <v>0</v>
      </c>
      <c r="AD147" s="709">
        <v>0</v>
      </c>
      <c r="AE147" s="709">
        <v>0</v>
      </c>
      <c r="AF147" s="709">
        <v>0</v>
      </c>
      <c r="AG147" s="709">
        <v>0</v>
      </c>
      <c r="AH147" s="709">
        <v>0</v>
      </c>
      <c r="AI147" s="709">
        <v>0</v>
      </c>
      <c r="AJ147" s="709">
        <v>0</v>
      </c>
      <c r="AK147" s="709">
        <v>0</v>
      </c>
      <c r="AL147" s="709">
        <v>0</v>
      </c>
      <c r="AM147" s="709">
        <v>0</v>
      </c>
      <c r="AN147" s="709">
        <v>0</v>
      </c>
      <c r="AO147" s="709">
        <v>0</v>
      </c>
      <c r="AP147" s="709">
        <v>0</v>
      </c>
      <c r="AQ147" s="709">
        <v>0</v>
      </c>
      <c r="AR147" s="709">
        <v>0</v>
      </c>
      <c r="AS147" s="709">
        <v>0</v>
      </c>
      <c r="AT147" s="709">
        <v>0</v>
      </c>
      <c r="AU147" s="709">
        <v>0</v>
      </c>
      <c r="AV147" s="709">
        <v>0</v>
      </c>
      <c r="AW147" s="709">
        <v>0</v>
      </c>
      <c r="AX147" s="709">
        <v>0</v>
      </c>
    </row>
    <row r="148" spans="2:50" ht="13.2" x14ac:dyDescent="0.2">
      <c r="B148" s="290" t="str">
        <f>CHIFFRAGE_TC!B149</f>
        <v xml:space="preserve">Locales tecnicos non cerrados </v>
      </c>
      <c r="C148" s="16">
        <f>CHIFFRAGE_TC!D149</f>
        <v>50</v>
      </c>
      <c r="E148" s="712">
        <f>CHIFFRAGE_TC!$L149*CHIFFRAGE_TC!$T149</f>
        <v>0</v>
      </c>
      <c r="F148" s="715">
        <f>CHIFFRAGE_TC!$L149*CHIFFRAGE_TC!$U149</f>
        <v>0</v>
      </c>
      <c r="G148" s="715">
        <f>CHIFFRAGE_TC!$L149*CHIFFRAGE_TC!$V149</f>
        <v>0</v>
      </c>
      <c r="H148" s="716">
        <f>CHIFFRAGE_TC!$L149*CHIFFRAGE_TC!$W149</f>
        <v>0</v>
      </c>
      <c r="I148" s="709">
        <v>0</v>
      </c>
      <c r="J148" s="709">
        <v>0</v>
      </c>
      <c r="K148" s="709">
        <v>0</v>
      </c>
      <c r="L148" s="709">
        <v>0</v>
      </c>
      <c r="M148" s="709">
        <v>0</v>
      </c>
      <c r="N148" s="709">
        <v>0</v>
      </c>
      <c r="O148" s="709">
        <v>0</v>
      </c>
      <c r="P148" s="709">
        <v>0</v>
      </c>
      <c r="Q148" s="709">
        <v>0</v>
      </c>
      <c r="R148" s="709">
        <v>0</v>
      </c>
      <c r="S148" s="709">
        <v>0</v>
      </c>
      <c r="T148" s="709">
        <v>0</v>
      </c>
      <c r="U148" s="709">
        <v>0</v>
      </c>
      <c r="V148" s="709">
        <v>0</v>
      </c>
      <c r="W148" s="709">
        <v>0</v>
      </c>
      <c r="X148" s="709">
        <v>0</v>
      </c>
      <c r="Y148" s="709">
        <v>0</v>
      </c>
      <c r="Z148" s="709">
        <v>0</v>
      </c>
      <c r="AA148" s="709">
        <v>0</v>
      </c>
      <c r="AB148" s="709">
        <v>0</v>
      </c>
      <c r="AC148" s="709">
        <v>0</v>
      </c>
      <c r="AD148" s="709">
        <v>0</v>
      </c>
      <c r="AE148" s="709">
        <v>0</v>
      </c>
      <c r="AF148" s="709">
        <v>0</v>
      </c>
      <c r="AG148" s="709">
        <v>0</v>
      </c>
      <c r="AH148" s="709">
        <v>0</v>
      </c>
      <c r="AI148" s="709">
        <v>0</v>
      </c>
      <c r="AJ148" s="709">
        <v>0</v>
      </c>
      <c r="AK148" s="709">
        <v>0</v>
      </c>
      <c r="AL148" s="709">
        <v>0</v>
      </c>
      <c r="AM148" s="709">
        <v>0</v>
      </c>
      <c r="AN148" s="709">
        <v>0</v>
      </c>
      <c r="AO148" s="709">
        <v>0</v>
      </c>
      <c r="AP148" s="709">
        <v>0</v>
      </c>
      <c r="AQ148" s="709">
        <v>0</v>
      </c>
      <c r="AR148" s="709">
        <v>0</v>
      </c>
      <c r="AS148" s="709">
        <v>0</v>
      </c>
      <c r="AT148" s="709">
        <v>0</v>
      </c>
      <c r="AU148" s="709">
        <v>0</v>
      </c>
      <c r="AV148" s="709">
        <v>0</v>
      </c>
      <c r="AW148" s="709">
        <v>0</v>
      </c>
      <c r="AX148" s="709">
        <v>0</v>
      </c>
    </row>
    <row r="149" spans="2:50" ht="13.2" x14ac:dyDescent="0.2">
      <c r="B149" s="290" t="str">
        <f>CHIFFRAGE_TC!B150</f>
        <v>Adecuacion urbana 
(demolicion, reconstruccion, mobiliario urbano, paisaje)</v>
      </c>
      <c r="C149" s="16">
        <f>CHIFFRAGE_TC!D150</f>
        <v>50</v>
      </c>
      <c r="E149" s="712">
        <f>CHIFFRAGE_TC!$L150*CHIFFRAGE_TC!$T150</f>
        <v>0</v>
      </c>
      <c r="F149" s="715">
        <f>CHIFFRAGE_TC!$L150*CHIFFRAGE_TC!$U150</f>
        <v>0</v>
      </c>
      <c r="G149" s="715">
        <f>CHIFFRAGE_TC!$L150*CHIFFRAGE_TC!$V150</f>
        <v>0</v>
      </c>
      <c r="H149" s="716">
        <f>CHIFFRAGE_TC!$L150*CHIFFRAGE_TC!$W150</f>
        <v>0</v>
      </c>
      <c r="I149" s="709">
        <v>0</v>
      </c>
      <c r="J149" s="709">
        <v>0</v>
      </c>
      <c r="K149" s="709">
        <v>0</v>
      </c>
      <c r="L149" s="709">
        <v>0</v>
      </c>
      <c r="M149" s="709">
        <v>0</v>
      </c>
      <c r="N149" s="709">
        <v>0</v>
      </c>
      <c r="O149" s="709">
        <v>0</v>
      </c>
      <c r="P149" s="709">
        <v>0</v>
      </c>
      <c r="Q149" s="709">
        <v>0</v>
      </c>
      <c r="R149" s="709">
        <v>0</v>
      </c>
      <c r="S149" s="709">
        <v>0</v>
      </c>
      <c r="T149" s="709">
        <v>0</v>
      </c>
      <c r="U149" s="709">
        <v>0</v>
      </c>
      <c r="V149" s="709">
        <v>0</v>
      </c>
      <c r="W149" s="709">
        <v>0</v>
      </c>
      <c r="X149" s="709">
        <v>0</v>
      </c>
      <c r="Y149" s="709">
        <v>0</v>
      </c>
      <c r="Z149" s="709">
        <v>0</v>
      </c>
      <c r="AA149" s="709">
        <v>0</v>
      </c>
      <c r="AB149" s="709">
        <v>0</v>
      </c>
      <c r="AC149" s="709">
        <v>0</v>
      </c>
      <c r="AD149" s="709">
        <v>0</v>
      </c>
      <c r="AE149" s="709">
        <v>0</v>
      </c>
      <c r="AF149" s="709">
        <v>0</v>
      </c>
      <c r="AG149" s="709">
        <v>0</v>
      </c>
      <c r="AH149" s="709">
        <v>0</v>
      </c>
      <c r="AI149" s="709">
        <v>0</v>
      </c>
      <c r="AJ149" s="709">
        <v>0</v>
      </c>
      <c r="AK149" s="709">
        <v>0</v>
      </c>
      <c r="AL149" s="709">
        <v>0</v>
      </c>
      <c r="AM149" s="709">
        <v>0</v>
      </c>
      <c r="AN149" s="709">
        <v>0</v>
      </c>
      <c r="AO149" s="709">
        <v>0</v>
      </c>
      <c r="AP149" s="709">
        <v>0</v>
      </c>
      <c r="AQ149" s="709">
        <v>0</v>
      </c>
      <c r="AR149" s="709">
        <v>0</v>
      </c>
      <c r="AS149" s="709">
        <v>0</v>
      </c>
      <c r="AT149" s="709">
        <v>0</v>
      </c>
      <c r="AU149" s="709">
        <v>0</v>
      </c>
      <c r="AV149" s="709">
        <v>0</v>
      </c>
      <c r="AW149" s="709">
        <v>0</v>
      </c>
      <c r="AX149" s="709">
        <v>0</v>
      </c>
    </row>
    <row r="150" spans="2:50" ht="13.2" x14ac:dyDescent="0.2">
      <c r="B150" s="289" t="str">
        <f>CHIFFRAGE_TC!B151</f>
        <v>Pasarela</v>
      </c>
      <c r="C150" s="16">
        <f>CHIFFRAGE_TC!D151</f>
        <v>50</v>
      </c>
      <c r="E150" s="712">
        <f>CHIFFRAGE_TC!$L151*CHIFFRAGE_TC!$T151</f>
        <v>0</v>
      </c>
      <c r="F150" s="715">
        <f>CHIFFRAGE_TC!$L151*CHIFFRAGE_TC!$U151</f>
        <v>0</v>
      </c>
      <c r="G150" s="715">
        <f>CHIFFRAGE_TC!$L151*CHIFFRAGE_TC!$V151</f>
        <v>0</v>
      </c>
      <c r="H150" s="716">
        <f>CHIFFRAGE_TC!$L151*CHIFFRAGE_TC!$W151</f>
        <v>0</v>
      </c>
      <c r="I150" s="709">
        <v>0</v>
      </c>
      <c r="J150" s="709">
        <v>0</v>
      </c>
      <c r="K150" s="709">
        <v>0</v>
      </c>
      <c r="L150" s="709">
        <v>0</v>
      </c>
      <c r="M150" s="709">
        <v>0</v>
      </c>
      <c r="N150" s="709">
        <v>0</v>
      </c>
      <c r="O150" s="709">
        <v>0</v>
      </c>
      <c r="P150" s="709">
        <v>0</v>
      </c>
      <c r="Q150" s="709">
        <v>0</v>
      </c>
      <c r="R150" s="709">
        <v>0</v>
      </c>
      <c r="S150" s="709">
        <v>0</v>
      </c>
      <c r="T150" s="709">
        <v>0</v>
      </c>
      <c r="U150" s="709">
        <v>0</v>
      </c>
      <c r="V150" s="709">
        <v>0</v>
      </c>
      <c r="W150" s="709">
        <v>0</v>
      </c>
      <c r="X150" s="709">
        <v>0</v>
      </c>
      <c r="Y150" s="709">
        <v>0</v>
      </c>
      <c r="Z150" s="709">
        <v>0</v>
      </c>
      <c r="AA150" s="709">
        <v>0</v>
      </c>
      <c r="AB150" s="709">
        <v>0</v>
      </c>
      <c r="AC150" s="709">
        <v>0</v>
      </c>
      <c r="AD150" s="709">
        <v>0</v>
      </c>
      <c r="AE150" s="709">
        <v>0</v>
      </c>
      <c r="AF150" s="709">
        <v>0</v>
      </c>
      <c r="AG150" s="709">
        <v>0</v>
      </c>
      <c r="AH150" s="709">
        <v>0</v>
      </c>
      <c r="AI150" s="709">
        <v>0</v>
      </c>
      <c r="AJ150" s="709">
        <v>0</v>
      </c>
      <c r="AK150" s="709">
        <v>0</v>
      </c>
      <c r="AL150" s="709">
        <v>0</v>
      </c>
      <c r="AM150" s="709">
        <v>0</v>
      </c>
      <c r="AN150" s="709">
        <v>0</v>
      </c>
      <c r="AO150" s="709">
        <v>0</v>
      </c>
      <c r="AP150" s="709">
        <v>0</v>
      </c>
      <c r="AQ150" s="709">
        <v>0</v>
      </c>
      <c r="AR150" s="709">
        <v>0</v>
      </c>
      <c r="AS150" s="709">
        <v>0</v>
      </c>
      <c r="AT150" s="709">
        <v>0</v>
      </c>
      <c r="AU150" s="709">
        <v>0</v>
      </c>
      <c r="AV150" s="709">
        <v>0</v>
      </c>
      <c r="AW150" s="709">
        <v>0</v>
      </c>
      <c r="AX150" s="709">
        <v>0</v>
      </c>
    </row>
    <row r="151" spans="2:50" ht="13.2" x14ac:dyDescent="0.2">
      <c r="B151" s="293" t="str">
        <f>CHIFFRAGE_TC!B152</f>
        <v>Edificio - Avenida Quito</v>
      </c>
      <c r="C151" s="16"/>
      <c r="E151" s="717">
        <f>SUM(E152:E161)</f>
        <v>0</v>
      </c>
      <c r="F151" s="718">
        <f>SUM(F152:F161)</f>
        <v>2453289.2793372283</v>
      </c>
      <c r="G151" s="718">
        <f>SUM(G152:G161)</f>
        <v>4083799.3162716855</v>
      </c>
      <c r="H151" s="719">
        <f>SUM(H152:H161)</f>
        <v>747053.54466749972</v>
      </c>
      <c r="I151" s="733">
        <f t="shared" ref="I151:AN151" si="128">SUM(I152:I161)</f>
        <v>0</v>
      </c>
      <c r="J151" s="733">
        <f t="shared" si="128"/>
        <v>0</v>
      </c>
      <c r="K151" s="733">
        <f t="shared" si="128"/>
        <v>0</v>
      </c>
      <c r="L151" s="733">
        <f t="shared" si="128"/>
        <v>0</v>
      </c>
      <c r="M151" s="733">
        <f t="shared" si="128"/>
        <v>0</v>
      </c>
      <c r="N151" s="733">
        <f t="shared" si="128"/>
        <v>0</v>
      </c>
      <c r="O151" s="733">
        <f t="shared" si="128"/>
        <v>0</v>
      </c>
      <c r="P151" s="733">
        <f t="shared" si="128"/>
        <v>0</v>
      </c>
      <c r="Q151" s="733">
        <f t="shared" si="128"/>
        <v>0</v>
      </c>
      <c r="R151" s="733">
        <f t="shared" si="128"/>
        <v>0</v>
      </c>
      <c r="S151" s="733">
        <f t="shared" si="128"/>
        <v>0</v>
      </c>
      <c r="T151" s="733">
        <f t="shared" si="128"/>
        <v>0</v>
      </c>
      <c r="U151" s="733">
        <f t="shared" si="128"/>
        <v>0</v>
      </c>
      <c r="V151" s="733">
        <f t="shared" si="128"/>
        <v>0</v>
      </c>
      <c r="W151" s="733">
        <f t="shared" si="128"/>
        <v>93257.8125</v>
      </c>
      <c r="X151" s="733">
        <f t="shared" si="128"/>
        <v>279773.4375</v>
      </c>
      <c r="Y151" s="733">
        <f t="shared" si="128"/>
        <v>0</v>
      </c>
      <c r="Z151" s="733">
        <f t="shared" si="128"/>
        <v>0</v>
      </c>
      <c r="AA151" s="733">
        <f t="shared" si="128"/>
        <v>0</v>
      </c>
      <c r="AB151" s="733">
        <f t="shared" si="128"/>
        <v>0</v>
      </c>
      <c r="AC151" s="733">
        <f t="shared" si="128"/>
        <v>0</v>
      </c>
      <c r="AD151" s="733">
        <f t="shared" si="128"/>
        <v>0</v>
      </c>
      <c r="AE151" s="733">
        <f t="shared" si="128"/>
        <v>0</v>
      </c>
      <c r="AF151" s="733">
        <f t="shared" si="128"/>
        <v>0</v>
      </c>
      <c r="AG151" s="733">
        <f t="shared" si="128"/>
        <v>0</v>
      </c>
      <c r="AH151" s="733">
        <f t="shared" si="128"/>
        <v>0</v>
      </c>
      <c r="AI151" s="733">
        <f t="shared" si="128"/>
        <v>0</v>
      </c>
      <c r="AJ151" s="733">
        <f t="shared" si="128"/>
        <v>0</v>
      </c>
      <c r="AK151" s="733">
        <f t="shared" si="128"/>
        <v>0</v>
      </c>
      <c r="AL151" s="733">
        <f t="shared" si="128"/>
        <v>0</v>
      </c>
      <c r="AM151" s="733">
        <f t="shared" si="128"/>
        <v>0</v>
      </c>
      <c r="AN151" s="733">
        <f t="shared" si="128"/>
        <v>93257.8125</v>
      </c>
      <c r="AO151" s="733">
        <f t="shared" ref="AO151" si="129">SUM(AO152:AO161)</f>
        <v>279773.4375</v>
      </c>
      <c r="AP151" s="733">
        <f t="shared" ref="AP151" si="130">SUM(AP152:AP161)</f>
        <v>0</v>
      </c>
      <c r="AQ151" s="733">
        <f t="shared" ref="AQ151" si="131">SUM(AQ152:AQ161)</f>
        <v>0</v>
      </c>
      <c r="AR151" s="733">
        <f t="shared" ref="AR151" si="132">SUM(AR152:AR161)</f>
        <v>0</v>
      </c>
      <c r="AS151" s="733">
        <f t="shared" ref="AS151" si="133">SUM(AS152:AS161)</f>
        <v>0</v>
      </c>
      <c r="AT151" s="733">
        <f t="shared" ref="AT151" si="134">SUM(AT152:AT161)</f>
        <v>0</v>
      </c>
      <c r="AU151" s="733">
        <f t="shared" ref="AU151" si="135">SUM(AU152:AU161)</f>
        <v>0</v>
      </c>
      <c r="AV151" s="733">
        <f t="shared" ref="AV151" si="136">SUM(AV152:AV161)</f>
        <v>0</v>
      </c>
      <c r="AW151" s="733">
        <f t="shared" ref="AW151" si="137">SUM(AW152:AW161)</f>
        <v>0</v>
      </c>
      <c r="AX151" s="733">
        <f t="shared" ref="AX151" si="138">SUM(AX152:AX161)</f>
        <v>0</v>
      </c>
    </row>
    <row r="152" spans="2:50" ht="13.2" x14ac:dyDescent="0.2">
      <c r="B152" s="290" t="str">
        <f>CHIFFRAGE_TC!B153</f>
        <v>Fundaciones tipicas 
(edificio con piso tierra y primer piso)</v>
      </c>
      <c r="C152" s="16">
        <f>CHIFFRAGE_TC!D153</f>
        <v>50</v>
      </c>
      <c r="E152" s="712">
        <f>CHIFFRAGE_TC!$L153*CHIFFRAGE_TC!$T153</f>
        <v>0</v>
      </c>
      <c r="F152" s="715">
        <f>CHIFFRAGE_TC!$L153*CHIFFRAGE_TC!$U153</f>
        <v>0</v>
      </c>
      <c r="G152" s="715">
        <f>CHIFFRAGE_TC!$L153*CHIFFRAGE_TC!$V153</f>
        <v>0</v>
      </c>
      <c r="H152" s="716">
        <f>CHIFFRAGE_TC!$L153*CHIFFRAGE_TC!$W153</f>
        <v>0</v>
      </c>
      <c r="I152" s="709">
        <v>0</v>
      </c>
      <c r="J152" s="709">
        <v>0</v>
      </c>
      <c r="K152" s="709">
        <v>0</v>
      </c>
      <c r="L152" s="709">
        <v>0</v>
      </c>
      <c r="M152" s="709">
        <v>0</v>
      </c>
      <c r="N152" s="709">
        <v>0</v>
      </c>
      <c r="O152" s="709">
        <v>0</v>
      </c>
      <c r="P152" s="709">
        <v>0</v>
      </c>
      <c r="Q152" s="709">
        <v>0</v>
      </c>
      <c r="R152" s="709">
        <v>0</v>
      </c>
      <c r="S152" s="709">
        <v>0</v>
      </c>
      <c r="T152" s="709">
        <v>0</v>
      </c>
      <c r="U152" s="709">
        <v>0</v>
      </c>
      <c r="V152" s="709">
        <v>0</v>
      </c>
      <c r="W152" s="709">
        <v>0</v>
      </c>
      <c r="X152" s="709">
        <v>0</v>
      </c>
      <c r="Y152" s="709">
        <v>0</v>
      </c>
      <c r="Z152" s="709">
        <v>0</v>
      </c>
      <c r="AA152" s="709">
        <v>0</v>
      </c>
      <c r="AB152" s="709">
        <v>0</v>
      </c>
      <c r="AC152" s="709">
        <v>0</v>
      </c>
      <c r="AD152" s="709">
        <v>0</v>
      </c>
      <c r="AE152" s="709">
        <v>0</v>
      </c>
      <c r="AF152" s="709">
        <v>0</v>
      </c>
      <c r="AG152" s="709">
        <v>0</v>
      </c>
      <c r="AH152" s="709">
        <v>0</v>
      </c>
      <c r="AI152" s="709">
        <v>0</v>
      </c>
      <c r="AJ152" s="709">
        <v>0</v>
      </c>
      <c r="AK152" s="709">
        <v>0</v>
      </c>
      <c r="AL152" s="709">
        <v>0</v>
      </c>
      <c r="AM152" s="709">
        <v>0</v>
      </c>
      <c r="AN152" s="709">
        <v>0</v>
      </c>
      <c r="AO152" s="709">
        <v>0</v>
      </c>
      <c r="AP152" s="709">
        <v>0</v>
      </c>
      <c r="AQ152" s="709">
        <v>0</v>
      </c>
      <c r="AR152" s="709">
        <v>0</v>
      </c>
      <c r="AS152" s="709">
        <v>0</v>
      </c>
      <c r="AT152" s="709">
        <v>0</v>
      </c>
      <c r="AU152" s="709">
        <v>0</v>
      </c>
      <c r="AV152" s="709">
        <v>0</v>
      </c>
      <c r="AW152" s="709">
        <v>0</v>
      </c>
      <c r="AX152" s="709">
        <v>0</v>
      </c>
    </row>
    <row r="153" spans="2:50" ht="13.2" x14ac:dyDescent="0.2">
      <c r="B153" s="290" t="str">
        <f>CHIFFRAGE_TC!B154</f>
        <v>Piso tierra sobrelevado y fundaciones</v>
      </c>
      <c r="C153" s="16">
        <f>CHIFFRAGE_TC!D154</f>
        <v>50</v>
      </c>
      <c r="E153" s="712">
        <f>CHIFFRAGE_TC!$L154*CHIFFRAGE_TC!$T154</f>
        <v>0</v>
      </c>
      <c r="F153" s="715">
        <f>CHIFFRAGE_TC!$L154*CHIFFRAGE_TC!$U154</f>
        <v>1264507.4885362496</v>
      </c>
      <c r="G153" s="715">
        <f>CHIFFRAGE_TC!$L154*CHIFFRAGE_TC!$V154</f>
        <v>1264507.4885362496</v>
      </c>
      <c r="H153" s="716">
        <f>CHIFFRAGE_TC!$L154*CHIFFRAGE_TC!$W154</f>
        <v>0</v>
      </c>
      <c r="I153" s="709">
        <v>0</v>
      </c>
      <c r="J153" s="709">
        <v>0</v>
      </c>
      <c r="K153" s="709">
        <v>0</v>
      </c>
      <c r="L153" s="709">
        <v>0</v>
      </c>
      <c r="M153" s="709">
        <v>0</v>
      </c>
      <c r="N153" s="709">
        <v>0</v>
      </c>
      <c r="O153" s="709">
        <v>0</v>
      </c>
      <c r="P153" s="709">
        <v>0</v>
      </c>
      <c r="Q153" s="709">
        <v>0</v>
      </c>
      <c r="R153" s="709">
        <v>0</v>
      </c>
      <c r="S153" s="709">
        <v>0</v>
      </c>
      <c r="T153" s="709">
        <v>0</v>
      </c>
      <c r="U153" s="709">
        <v>0</v>
      </c>
      <c r="V153" s="709">
        <v>0</v>
      </c>
      <c r="W153" s="709">
        <v>0</v>
      </c>
      <c r="X153" s="709">
        <v>0</v>
      </c>
      <c r="Y153" s="709">
        <v>0</v>
      </c>
      <c r="Z153" s="709">
        <v>0</v>
      </c>
      <c r="AA153" s="709">
        <v>0</v>
      </c>
      <c r="AB153" s="709">
        <v>0</v>
      </c>
      <c r="AC153" s="709">
        <v>0</v>
      </c>
      <c r="AD153" s="709">
        <v>0</v>
      </c>
      <c r="AE153" s="709">
        <v>0</v>
      </c>
      <c r="AF153" s="709">
        <v>0</v>
      </c>
      <c r="AG153" s="709">
        <v>0</v>
      </c>
      <c r="AH153" s="709">
        <v>0</v>
      </c>
      <c r="AI153" s="709">
        <v>0</v>
      </c>
      <c r="AJ153" s="709">
        <v>0</v>
      </c>
      <c r="AK153" s="709">
        <v>0</v>
      </c>
      <c r="AL153" s="709">
        <v>0</v>
      </c>
      <c r="AM153" s="709">
        <v>0</v>
      </c>
      <c r="AN153" s="709">
        <v>0</v>
      </c>
      <c r="AO153" s="709">
        <v>0</v>
      </c>
      <c r="AP153" s="709">
        <v>0</v>
      </c>
      <c r="AQ153" s="709">
        <v>0</v>
      </c>
      <c r="AR153" s="709">
        <v>0</v>
      </c>
      <c r="AS153" s="709">
        <v>0</v>
      </c>
      <c r="AT153" s="709">
        <v>0</v>
      </c>
      <c r="AU153" s="709">
        <v>0</v>
      </c>
      <c r="AV153" s="709">
        <v>0</v>
      </c>
      <c r="AW153" s="709">
        <v>0</v>
      </c>
      <c r="AX153" s="709">
        <v>0</v>
      </c>
    </row>
    <row r="154" spans="2:50" ht="13.2" x14ac:dyDescent="0.2">
      <c r="B154" s="290" t="str">
        <f>CHIFFRAGE_TC!B155</f>
        <v>Superficies comerciales</v>
      </c>
      <c r="C154" s="16">
        <f>CHIFFRAGE_TC!D155</f>
        <v>50</v>
      </c>
      <c r="E154" s="712">
        <f>CHIFFRAGE_TC!$L155*CHIFFRAGE_TC!$T155</f>
        <v>0</v>
      </c>
      <c r="F154" s="715">
        <f>CHIFFRAGE_TC!$L155*CHIFFRAGE_TC!$U155</f>
        <v>87579.354490359343</v>
      </c>
      <c r="G154" s="715">
        <f>CHIFFRAGE_TC!$L155*CHIFFRAGE_TC!$V155</f>
        <v>262738.06347107806</v>
      </c>
      <c r="H154" s="716">
        <f>CHIFFRAGE_TC!$L155*CHIFFRAGE_TC!$W155</f>
        <v>0</v>
      </c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09">
        <v>0</v>
      </c>
      <c r="Y154" s="709">
        <v>0</v>
      </c>
      <c r="Z154" s="709">
        <v>0</v>
      </c>
      <c r="AA154" s="709">
        <v>0</v>
      </c>
      <c r="AB154" s="709">
        <v>0</v>
      </c>
      <c r="AC154" s="709">
        <v>0</v>
      </c>
      <c r="AD154" s="709">
        <v>0</v>
      </c>
      <c r="AE154" s="709">
        <v>0</v>
      </c>
      <c r="AF154" s="709">
        <v>0</v>
      </c>
      <c r="AG154" s="709">
        <v>0</v>
      </c>
      <c r="AH154" s="709">
        <v>0</v>
      </c>
      <c r="AI154" s="709">
        <v>0</v>
      </c>
      <c r="AJ154" s="709">
        <v>0</v>
      </c>
      <c r="AK154" s="709">
        <v>0</v>
      </c>
      <c r="AL154" s="709">
        <v>0</v>
      </c>
      <c r="AM154" s="709">
        <v>0</v>
      </c>
      <c r="AN154" s="709">
        <v>0</v>
      </c>
      <c r="AO154" s="709">
        <v>0</v>
      </c>
      <c r="AP154" s="709">
        <v>0</v>
      </c>
      <c r="AQ154" s="709">
        <v>0</v>
      </c>
      <c r="AR154" s="709">
        <v>0</v>
      </c>
      <c r="AS154" s="709">
        <v>0</v>
      </c>
      <c r="AT154" s="709">
        <v>0</v>
      </c>
      <c r="AU154" s="709">
        <v>0</v>
      </c>
      <c r="AV154" s="709">
        <v>0</v>
      </c>
      <c r="AW154" s="709">
        <v>0</v>
      </c>
      <c r="AX154" s="709">
        <v>0</v>
      </c>
    </row>
    <row r="155" spans="2:50" ht="26.4" x14ac:dyDescent="0.2">
      <c r="B155" s="292" t="str">
        <f>CHIFFRAGE_TC!B156</f>
        <v xml:space="preserve">Ingreso y circulaciones al piso tierra 
(y/c servicios, escaleras mecanicas, escaleras y ascencores) </v>
      </c>
      <c r="C155" s="16">
        <f>CHIFFRAGE_TC!D156</f>
        <v>40</v>
      </c>
      <c r="E155" s="712">
        <f>CHIFFRAGE_TC!$L156*CHIFFRAGE_TC!$T156</f>
        <v>0</v>
      </c>
      <c r="F155" s="715">
        <f>CHIFFRAGE_TC!$L156*CHIFFRAGE_TC!$U156</f>
        <v>413683.95896887488</v>
      </c>
      <c r="G155" s="715">
        <f>CHIFFRAGE_TC!$L156*CHIFFRAGE_TC!$V156</f>
        <v>1241051.8769066245</v>
      </c>
      <c r="H155" s="716">
        <f>CHIFFRAGE_TC!$L156*CHIFFRAGE_TC!$W156</f>
        <v>0</v>
      </c>
      <c r="I155" s="709">
        <v>0</v>
      </c>
      <c r="J155" s="709">
        <v>0</v>
      </c>
      <c r="K155" s="709">
        <v>0</v>
      </c>
      <c r="L155" s="709">
        <v>0</v>
      </c>
      <c r="M155" s="709">
        <v>0</v>
      </c>
      <c r="N155" s="709">
        <v>0</v>
      </c>
      <c r="O155" s="709">
        <v>0</v>
      </c>
      <c r="P155" s="709">
        <v>0</v>
      </c>
      <c r="Q155" s="709">
        <v>0</v>
      </c>
      <c r="R155" s="709">
        <v>0</v>
      </c>
      <c r="S155" s="709">
        <v>0</v>
      </c>
      <c r="T155" s="709">
        <v>0</v>
      </c>
      <c r="U155" s="709">
        <v>0</v>
      </c>
      <c r="V155" s="709">
        <v>0</v>
      </c>
      <c r="W155" s="709">
        <v>0</v>
      </c>
      <c r="X155" s="709">
        <v>0</v>
      </c>
      <c r="Y155" s="709">
        <v>0</v>
      </c>
      <c r="Z155" s="709">
        <v>0</v>
      </c>
      <c r="AA155" s="709">
        <v>0</v>
      </c>
      <c r="AB155" s="709">
        <v>0</v>
      </c>
      <c r="AC155" s="709">
        <v>0</v>
      </c>
      <c r="AD155" s="709">
        <v>0</v>
      </c>
      <c r="AE155" s="709">
        <v>0</v>
      </c>
      <c r="AF155" s="709">
        <v>0</v>
      </c>
      <c r="AG155" s="709">
        <v>0</v>
      </c>
      <c r="AH155" s="709">
        <v>0</v>
      </c>
      <c r="AI155" s="709">
        <v>0</v>
      </c>
      <c r="AJ155" s="709">
        <v>0</v>
      </c>
      <c r="AK155" s="709">
        <v>0</v>
      </c>
      <c r="AL155" s="709">
        <v>0</v>
      </c>
      <c r="AM155" s="709">
        <v>0</v>
      </c>
      <c r="AN155" s="709">
        <v>0</v>
      </c>
      <c r="AO155" s="709">
        <v>0</v>
      </c>
      <c r="AP155" s="709">
        <v>0</v>
      </c>
      <c r="AQ155" s="709">
        <v>0</v>
      </c>
      <c r="AR155" s="709">
        <v>0</v>
      </c>
      <c r="AS155" s="709">
        <v>0</v>
      </c>
      <c r="AT155" s="709">
        <v>0</v>
      </c>
      <c r="AU155" s="709">
        <v>0</v>
      </c>
      <c r="AV155" s="709">
        <v>0</v>
      </c>
      <c r="AW155" s="709">
        <v>0</v>
      </c>
      <c r="AX155" s="709">
        <v>0</v>
      </c>
    </row>
    <row r="156" spans="2:50" ht="26.4" x14ac:dyDescent="0.2">
      <c r="B156" s="292" t="str">
        <f>CHIFFRAGE_TC!B157</f>
        <v>Escaleras mecanicas, escaleras y ascencores adicionales 
(piso tierra sobrelevado)</v>
      </c>
      <c r="C156" s="16">
        <f>CHIFFRAGE_TC!D157</f>
        <v>15</v>
      </c>
      <c r="E156" s="712">
        <f>CHIFFRAGE_TC!$L157*CHIFFRAGE_TC!$T157</f>
        <v>0</v>
      </c>
      <c r="F156" s="715">
        <f>CHIFFRAGE_TC!$L157*CHIFFRAGE_TC!$U157</f>
        <v>93257.8125</v>
      </c>
      <c r="G156" s="715">
        <f>CHIFFRAGE_TC!$L157*CHIFFRAGE_TC!$V157</f>
        <v>279773.4375</v>
      </c>
      <c r="H156" s="716">
        <f>CHIFFRAGE_TC!$L157*CHIFFRAGE_TC!$W157</f>
        <v>0</v>
      </c>
      <c r="I156" s="709">
        <v>0</v>
      </c>
      <c r="J156" s="709">
        <v>0</v>
      </c>
      <c r="K156" s="709">
        <v>0</v>
      </c>
      <c r="L156" s="709">
        <v>0</v>
      </c>
      <c r="M156" s="709">
        <v>0</v>
      </c>
      <c r="N156" s="709">
        <v>0</v>
      </c>
      <c r="O156" s="709">
        <v>0</v>
      </c>
      <c r="P156" s="709">
        <v>0</v>
      </c>
      <c r="Q156" s="709">
        <v>0</v>
      </c>
      <c r="R156" s="709">
        <v>0</v>
      </c>
      <c r="S156" s="709">
        <v>0</v>
      </c>
      <c r="T156" s="709">
        <v>0</v>
      </c>
      <c r="U156" s="709">
        <v>0</v>
      </c>
      <c r="V156" s="709">
        <v>0</v>
      </c>
      <c r="W156" s="729">
        <f>F156</f>
        <v>93257.8125</v>
      </c>
      <c r="X156" s="729">
        <f>G156</f>
        <v>279773.4375</v>
      </c>
      <c r="Y156" s="729">
        <f>H156</f>
        <v>0</v>
      </c>
      <c r="Z156" s="709">
        <v>0</v>
      </c>
      <c r="AA156" s="709">
        <v>0</v>
      </c>
      <c r="AB156" s="709">
        <v>0</v>
      </c>
      <c r="AC156" s="709">
        <v>0</v>
      </c>
      <c r="AD156" s="709">
        <v>0</v>
      </c>
      <c r="AE156" s="709">
        <v>0</v>
      </c>
      <c r="AF156" s="709">
        <v>0</v>
      </c>
      <c r="AG156" s="709">
        <v>0</v>
      </c>
      <c r="AH156" s="709">
        <v>0</v>
      </c>
      <c r="AI156" s="709">
        <v>0</v>
      </c>
      <c r="AJ156" s="709">
        <v>0</v>
      </c>
      <c r="AK156" s="709">
        <v>0</v>
      </c>
      <c r="AL156" s="709">
        <v>0</v>
      </c>
      <c r="AM156" s="709">
        <v>0</v>
      </c>
      <c r="AN156" s="729">
        <f>F156</f>
        <v>93257.8125</v>
      </c>
      <c r="AO156" s="729">
        <f t="shared" ref="AO156" si="139">G156</f>
        <v>279773.4375</v>
      </c>
      <c r="AP156" s="729">
        <f t="shared" ref="AP156" si="140">H156</f>
        <v>0</v>
      </c>
      <c r="AQ156" s="709">
        <v>0</v>
      </c>
      <c r="AR156" s="709">
        <v>0</v>
      </c>
      <c r="AS156" s="709">
        <v>0</v>
      </c>
      <c r="AT156" s="709">
        <v>0</v>
      </c>
      <c r="AU156" s="709">
        <v>0</v>
      </c>
      <c r="AV156" s="709">
        <v>0</v>
      </c>
      <c r="AW156" s="709">
        <v>0</v>
      </c>
      <c r="AX156" s="709">
        <v>0</v>
      </c>
    </row>
    <row r="157" spans="2:50" ht="13.2" x14ac:dyDescent="0.2">
      <c r="B157" s="290" t="str">
        <f>CHIFFRAGE_TC!B158</f>
        <v>Anden al primer piso</v>
      </c>
      <c r="C157" s="16">
        <f>CHIFFRAGE_TC!D158</f>
        <v>50</v>
      </c>
      <c r="E157" s="712">
        <f>CHIFFRAGE_TC!$L158*CHIFFRAGE_TC!$T158</f>
        <v>0</v>
      </c>
      <c r="F157" s="715">
        <f>CHIFFRAGE_TC!$L158*CHIFFRAGE_TC!$U158</f>
        <v>131402.95092782806</v>
      </c>
      <c r="G157" s="715">
        <f>CHIFFRAGE_TC!$L158*CHIFFRAGE_TC!$V158</f>
        <v>394208.85278348415</v>
      </c>
      <c r="H157" s="716">
        <f>CHIFFRAGE_TC!$L158*CHIFFRAGE_TC!$W158</f>
        <v>0</v>
      </c>
      <c r="I157" s="709">
        <v>0</v>
      </c>
      <c r="J157" s="709">
        <v>0</v>
      </c>
      <c r="K157" s="709">
        <v>0</v>
      </c>
      <c r="L157" s="709">
        <v>0</v>
      </c>
      <c r="M157" s="709">
        <v>0</v>
      </c>
      <c r="N157" s="709">
        <v>0</v>
      </c>
      <c r="O157" s="709">
        <v>0</v>
      </c>
      <c r="P157" s="709">
        <v>0</v>
      </c>
      <c r="Q157" s="709">
        <v>0</v>
      </c>
      <c r="R157" s="709">
        <v>0</v>
      </c>
      <c r="S157" s="709">
        <v>0</v>
      </c>
      <c r="T157" s="709">
        <v>0</v>
      </c>
      <c r="U157" s="709">
        <v>0</v>
      </c>
      <c r="V157" s="709">
        <v>0</v>
      </c>
      <c r="W157" s="709">
        <v>0</v>
      </c>
      <c r="X157" s="709">
        <v>0</v>
      </c>
      <c r="Y157" s="709">
        <v>0</v>
      </c>
      <c r="Z157" s="709">
        <v>0</v>
      </c>
      <c r="AA157" s="709">
        <v>0</v>
      </c>
      <c r="AB157" s="709">
        <v>0</v>
      </c>
      <c r="AC157" s="709">
        <v>0</v>
      </c>
      <c r="AD157" s="709">
        <v>0</v>
      </c>
      <c r="AE157" s="709">
        <v>0</v>
      </c>
      <c r="AF157" s="709">
        <v>0</v>
      </c>
      <c r="AG157" s="709">
        <v>0</v>
      </c>
      <c r="AH157" s="709">
        <v>0</v>
      </c>
      <c r="AI157" s="709">
        <v>0</v>
      </c>
      <c r="AJ157" s="709">
        <v>0</v>
      </c>
      <c r="AK157" s="709">
        <v>0</v>
      </c>
      <c r="AL157" s="709">
        <v>0</v>
      </c>
      <c r="AM157" s="709">
        <v>0</v>
      </c>
      <c r="AN157" s="709">
        <v>0</v>
      </c>
      <c r="AO157" s="709">
        <v>0</v>
      </c>
      <c r="AP157" s="709">
        <v>0</v>
      </c>
      <c r="AQ157" s="709">
        <v>0</v>
      </c>
      <c r="AR157" s="709">
        <v>0</v>
      </c>
      <c r="AS157" s="709">
        <v>0</v>
      </c>
      <c r="AT157" s="709">
        <v>0</v>
      </c>
      <c r="AU157" s="709">
        <v>0</v>
      </c>
      <c r="AV157" s="709">
        <v>0</v>
      </c>
      <c r="AW157" s="709">
        <v>0</v>
      </c>
      <c r="AX157" s="709">
        <v>0</v>
      </c>
    </row>
    <row r="158" spans="2:50" ht="13.2" x14ac:dyDescent="0.2">
      <c r="B158" s="290" t="str">
        <f>CHIFFRAGE_TC!B159</f>
        <v>Centro de mando + Locales tecnicos cubiertos</v>
      </c>
      <c r="C158" s="16">
        <f>CHIFFRAGE_TC!D159</f>
        <v>50</v>
      </c>
      <c r="E158" s="712">
        <f>CHIFFRAGE_TC!$L159*CHIFFRAGE_TC!$T159</f>
        <v>0</v>
      </c>
      <c r="F158" s="715">
        <f>CHIFFRAGE_TC!$L159*CHIFFRAGE_TC!$U159</f>
        <v>28025.393436914987</v>
      </c>
      <c r="G158" s="715">
        <f>CHIFFRAGE_TC!$L159*CHIFFRAGE_TC!$V159</f>
        <v>84076.180310744967</v>
      </c>
      <c r="H158" s="716">
        <f>CHIFFRAGE_TC!$L159*CHIFFRAGE_TC!$W159</f>
        <v>0</v>
      </c>
      <c r="I158" s="709">
        <v>0</v>
      </c>
      <c r="J158" s="709">
        <v>0</v>
      </c>
      <c r="K158" s="709">
        <v>0</v>
      </c>
      <c r="L158" s="709">
        <v>0</v>
      </c>
      <c r="M158" s="709">
        <v>0</v>
      </c>
      <c r="N158" s="709">
        <v>0</v>
      </c>
      <c r="O158" s="709">
        <v>0</v>
      </c>
      <c r="P158" s="709">
        <v>0</v>
      </c>
      <c r="Q158" s="709">
        <v>0</v>
      </c>
      <c r="R158" s="709">
        <v>0</v>
      </c>
      <c r="S158" s="709">
        <v>0</v>
      </c>
      <c r="T158" s="709">
        <v>0</v>
      </c>
      <c r="U158" s="709">
        <v>0</v>
      </c>
      <c r="V158" s="709">
        <v>0</v>
      </c>
      <c r="W158" s="709">
        <v>0</v>
      </c>
      <c r="X158" s="709">
        <v>0</v>
      </c>
      <c r="Y158" s="709">
        <v>0</v>
      </c>
      <c r="Z158" s="709">
        <v>0</v>
      </c>
      <c r="AA158" s="709">
        <v>0</v>
      </c>
      <c r="AB158" s="709">
        <v>0</v>
      </c>
      <c r="AC158" s="709">
        <v>0</v>
      </c>
      <c r="AD158" s="709">
        <v>0</v>
      </c>
      <c r="AE158" s="709">
        <v>0</v>
      </c>
      <c r="AF158" s="709">
        <v>0</v>
      </c>
      <c r="AG158" s="709">
        <v>0</v>
      </c>
      <c r="AH158" s="709">
        <v>0</v>
      </c>
      <c r="AI158" s="709">
        <v>0</v>
      </c>
      <c r="AJ158" s="709">
        <v>0</v>
      </c>
      <c r="AK158" s="709">
        <v>0</v>
      </c>
      <c r="AL158" s="709">
        <v>0</v>
      </c>
      <c r="AM158" s="709">
        <v>0</v>
      </c>
      <c r="AN158" s="709">
        <v>0</v>
      </c>
      <c r="AO158" s="709">
        <v>0</v>
      </c>
      <c r="AP158" s="709">
        <v>0</v>
      </c>
      <c r="AQ158" s="709">
        <v>0</v>
      </c>
      <c r="AR158" s="709">
        <v>0</v>
      </c>
      <c r="AS158" s="709">
        <v>0</v>
      </c>
      <c r="AT158" s="709">
        <v>0</v>
      </c>
      <c r="AU158" s="709">
        <v>0</v>
      </c>
      <c r="AV158" s="709">
        <v>0</v>
      </c>
      <c r="AW158" s="709">
        <v>0</v>
      </c>
      <c r="AX158" s="709">
        <v>0</v>
      </c>
    </row>
    <row r="159" spans="2:50" ht="13.2" x14ac:dyDescent="0.2">
      <c r="B159" s="290" t="str">
        <f>CHIFFRAGE_TC!B160</f>
        <v xml:space="preserve">Locales tecnicos non cerrados </v>
      </c>
      <c r="C159" s="16">
        <f>CHIFFRAGE_TC!D160</f>
        <v>50</v>
      </c>
      <c r="E159" s="712">
        <f>CHIFFRAGE_TC!$L160*CHIFFRAGE_TC!$T160</f>
        <v>0</v>
      </c>
      <c r="F159" s="715">
        <f>CHIFFRAGE_TC!$L160*CHIFFRAGE_TC!$U160</f>
        <v>61305.548143251537</v>
      </c>
      <c r="G159" s="715">
        <f>CHIFFRAGE_TC!$L160*CHIFFRAGE_TC!$V160</f>
        <v>183916.64442975461</v>
      </c>
      <c r="H159" s="716">
        <f>CHIFFRAGE_TC!$L160*CHIFFRAGE_TC!$W160</f>
        <v>0</v>
      </c>
      <c r="I159" s="709">
        <v>0</v>
      </c>
      <c r="J159" s="709">
        <v>0</v>
      </c>
      <c r="K159" s="709">
        <v>0</v>
      </c>
      <c r="L159" s="709">
        <v>0</v>
      </c>
      <c r="M159" s="709">
        <v>0</v>
      </c>
      <c r="N159" s="709">
        <v>0</v>
      </c>
      <c r="O159" s="709">
        <v>0</v>
      </c>
      <c r="P159" s="709">
        <v>0</v>
      </c>
      <c r="Q159" s="709">
        <v>0</v>
      </c>
      <c r="R159" s="709">
        <v>0</v>
      </c>
      <c r="S159" s="709">
        <v>0</v>
      </c>
      <c r="T159" s="709">
        <v>0</v>
      </c>
      <c r="U159" s="709">
        <v>0</v>
      </c>
      <c r="V159" s="709">
        <v>0</v>
      </c>
      <c r="W159" s="709">
        <v>0</v>
      </c>
      <c r="X159" s="709">
        <v>0</v>
      </c>
      <c r="Y159" s="709">
        <v>0</v>
      </c>
      <c r="Z159" s="709">
        <v>0</v>
      </c>
      <c r="AA159" s="709">
        <v>0</v>
      </c>
      <c r="AB159" s="709">
        <v>0</v>
      </c>
      <c r="AC159" s="709">
        <v>0</v>
      </c>
      <c r="AD159" s="709">
        <v>0</v>
      </c>
      <c r="AE159" s="709">
        <v>0</v>
      </c>
      <c r="AF159" s="709">
        <v>0</v>
      </c>
      <c r="AG159" s="709">
        <v>0</v>
      </c>
      <c r="AH159" s="709">
        <v>0</v>
      </c>
      <c r="AI159" s="709">
        <v>0</v>
      </c>
      <c r="AJ159" s="709">
        <v>0</v>
      </c>
      <c r="AK159" s="709">
        <v>0</v>
      </c>
      <c r="AL159" s="709">
        <v>0</v>
      </c>
      <c r="AM159" s="709">
        <v>0</v>
      </c>
      <c r="AN159" s="709">
        <v>0</v>
      </c>
      <c r="AO159" s="709">
        <v>0</v>
      </c>
      <c r="AP159" s="709">
        <v>0</v>
      </c>
      <c r="AQ159" s="709">
        <v>0</v>
      </c>
      <c r="AR159" s="709">
        <v>0</v>
      </c>
      <c r="AS159" s="709">
        <v>0</v>
      </c>
      <c r="AT159" s="709">
        <v>0</v>
      </c>
      <c r="AU159" s="709">
        <v>0</v>
      </c>
      <c r="AV159" s="709">
        <v>0</v>
      </c>
      <c r="AW159" s="709">
        <v>0</v>
      </c>
      <c r="AX159" s="709">
        <v>0</v>
      </c>
    </row>
    <row r="160" spans="2:50" ht="13.2" x14ac:dyDescent="0.2">
      <c r="B160" s="290" t="str">
        <f>CHIFFRAGE_TC!B161</f>
        <v>Adecuacion urbana 
(demolicion, reconstruccion, mobiliario urbano, paisaje)</v>
      </c>
      <c r="C160" s="16">
        <f>CHIFFRAGE_TC!D161</f>
        <v>50</v>
      </c>
      <c r="E160" s="712">
        <f>CHIFFRAGE_TC!$L161*CHIFFRAGE_TC!$T161</f>
        <v>0</v>
      </c>
      <c r="F160" s="715">
        <f>CHIFFRAGE_TC!$L161*CHIFFRAGE_TC!$U161</f>
        <v>373526.77233374986</v>
      </c>
      <c r="G160" s="715">
        <f>CHIFFRAGE_TC!$L161*CHIFFRAGE_TC!$V161</f>
        <v>373526.77233374986</v>
      </c>
      <c r="H160" s="716">
        <f>CHIFFRAGE_TC!$L161*CHIFFRAGE_TC!$W161</f>
        <v>747053.54466749972</v>
      </c>
      <c r="I160" s="709">
        <v>0</v>
      </c>
      <c r="J160" s="709">
        <v>0</v>
      </c>
      <c r="K160" s="709">
        <v>0</v>
      </c>
      <c r="L160" s="709">
        <v>0</v>
      </c>
      <c r="M160" s="709">
        <v>0</v>
      </c>
      <c r="N160" s="709">
        <v>0</v>
      </c>
      <c r="O160" s="709">
        <v>0</v>
      </c>
      <c r="P160" s="709">
        <v>0</v>
      </c>
      <c r="Q160" s="709">
        <v>0</v>
      </c>
      <c r="R160" s="709">
        <v>0</v>
      </c>
      <c r="S160" s="709">
        <v>0</v>
      </c>
      <c r="T160" s="709">
        <v>0</v>
      </c>
      <c r="U160" s="709">
        <v>0</v>
      </c>
      <c r="V160" s="709">
        <v>0</v>
      </c>
      <c r="W160" s="709">
        <v>0</v>
      </c>
      <c r="X160" s="709">
        <v>0</v>
      </c>
      <c r="Y160" s="709">
        <v>0</v>
      </c>
      <c r="Z160" s="709">
        <v>0</v>
      </c>
      <c r="AA160" s="709">
        <v>0</v>
      </c>
      <c r="AB160" s="709">
        <v>0</v>
      </c>
      <c r="AC160" s="709">
        <v>0</v>
      </c>
      <c r="AD160" s="709">
        <v>0</v>
      </c>
      <c r="AE160" s="709">
        <v>0</v>
      </c>
      <c r="AF160" s="709">
        <v>0</v>
      </c>
      <c r="AG160" s="709">
        <v>0</v>
      </c>
      <c r="AH160" s="709">
        <v>0</v>
      </c>
      <c r="AI160" s="709">
        <v>0</v>
      </c>
      <c r="AJ160" s="709">
        <v>0</v>
      </c>
      <c r="AK160" s="709">
        <v>0</v>
      </c>
      <c r="AL160" s="709">
        <v>0</v>
      </c>
      <c r="AM160" s="709">
        <v>0</v>
      </c>
      <c r="AN160" s="709">
        <v>0</v>
      </c>
      <c r="AO160" s="709">
        <v>0</v>
      </c>
      <c r="AP160" s="709">
        <v>0</v>
      </c>
      <c r="AQ160" s="709">
        <v>0</v>
      </c>
      <c r="AR160" s="709">
        <v>0</v>
      </c>
      <c r="AS160" s="709">
        <v>0</v>
      </c>
      <c r="AT160" s="709">
        <v>0</v>
      </c>
      <c r="AU160" s="709">
        <v>0</v>
      </c>
      <c r="AV160" s="709">
        <v>0</v>
      </c>
      <c r="AW160" s="709">
        <v>0</v>
      </c>
      <c r="AX160" s="709">
        <v>0</v>
      </c>
    </row>
    <row r="161" spans="2:50" ht="13.2" x14ac:dyDescent="0.2">
      <c r="B161" s="289" t="str">
        <f>CHIFFRAGE_TC!B162</f>
        <v>Pasarela</v>
      </c>
      <c r="C161" s="16">
        <f>CHIFFRAGE_TC!D162</f>
        <v>50</v>
      </c>
      <c r="E161" s="712">
        <f>CHIFFRAGE_TC!$L162*CHIFFRAGE_TC!$T162</f>
        <v>0</v>
      </c>
      <c r="F161" s="715">
        <f>CHIFFRAGE_TC!$L162*CHIFFRAGE_TC!$U162</f>
        <v>0</v>
      </c>
      <c r="G161" s="715">
        <f>CHIFFRAGE_TC!$L162*CHIFFRAGE_TC!$V162</f>
        <v>0</v>
      </c>
      <c r="H161" s="716">
        <f>CHIFFRAGE_TC!$L162*CHIFFRAGE_TC!$W162</f>
        <v>0</v>
      </c>
      <c r="I161" s="709">
        <v>0</v>
      </c>
      <c r="J161" s="709">
        <v>0</v>
      </c>
      <c r="K161" s="709">
        <v>0</v>
      </c>
      <c r="L161" s="709">
        <v>0</v>
      </c>
      <c r="M161" s="709">
        <v>0</v>
      </c>
      <c r="N161" s="709">
        <v>0</v>
      </c>
      <c r="O161" s="709">
        <v>0</v>
      </c>
      <c r="P161" s="709">
        <v>0</v>
      </c>
      <c r="Q161" s="709">
        <v>0</v>
      </c>
      <c r="R161" s="709">
        <v>0</v>
      </c>
      <c r="S161" s="709">
        <v>0</v>
      </c>
      <c r="T161" s="709">
        <v>0</v>
      </c>
      <c r="U161" s="709">
        <v>0</v>
      </c>
      <c r="V161" s="709">
        <v>0</v>
      </c>
      <c r="W161" s="709">
        <v>0</v>
      </c>
      <c r="X161" s="709">
        <v>0</v>
      </c>
      <c r="Y161" s="709">
        <v>0</v>
      </c>
      <c r="Z161" s="709">
        <v>0</v>
      </c>
      <c r="AA161" s="709">
        <v>0</v>
      </c>
      <c r="AB161" s="709">
        <v>0</v>
      </c>
      <c r="AC161" s="709">
        <v>0</v>
      </c>
      <c r="AD161" s="709">
        <v>0</v>
      </c>
      <c r="AE161" s="709">
        <v>0</v>
      </c>
      <c r="AF161" s="709">
        <v>0</v>
      </c>
      <c r="AG161" s="709">
        <v>0</v>
      </c>
      <c r="AH161" s="709">
        <v>0</v>
      </c>
      <c r="AI161" s="709">
        <v>0</v>
      </c>
      <c r="AJ161" s="709">
        <v>0</v>
      </c>
      <c r="AK161" s="709">
        <v>0</v>
      </c>
      <c r="AL161" s="709">
        <v>0</v>
      </c>
      <c r="AM161" s="709">
        <v>0</v>
      </c>
      <c r="AN161" s="709">
        <v>0</v>
      </c>
      <c r="AO161" s="709">
        <v>0</v>
      </c>
      <c r="AP161" s="709">
        <v>0</v>
      </c>
      <c r="AQ161" s="709">
        <v>0</v>
      </c>
      <c r="AR161" s="709">
        <v>0</v>
      </c>
      <c r="AS161" s="709">
        <v>0</v>
      </c>
      <c r="AT161" s="709">
        <v>0</v>
      </c>
      <c r="AU161" s="709">
        <v>0</v>
      </c>
      <c r="AV161" s="709">
        <v>0</v>
      </c>
      <c r="AW161" s="709">
        <v>0</v>
      </c>
      <c r="AX161" s="709">
        <v>0</v>
      </c>
    </row>
    <row r="162" spans="2:50" ht="13.2" x14ac:dyDescent="0.2">
      <c r="B162" s="293" t="str">
        <f>CHIFFRAGE_TC!B163</f>
        <v>Edificio - Estacion Centenario (Terminal)</v>
      </c>
      <c r="C162" s="16"/>
      <c r="E162" s="717">
        <f>SUM(E163:E172)</f>
        <v>0</v>
      </c>
      <c r="F162" s="718">
        <f>SUM(F163:F172)</f>
        <v>888721.35030798847</v>
      </c>
      <c r="G162" s="718">
        <f>SUM(G163:G172)</f>
        <v>1258262.6868239657</v>
      </c>
      <c r="H162" s="719">
        <f>SUM(H163:H172)</f>
        <v>105404.38019999997</v>
      </c>
      <c r="I162" s="733">
        <f t="shared" ref="I162:AN162" si="141">SUM(I163:I172)</f>
        <v>0</v>
      </c>
      <c r="J162" s="733">
        <f t="shared" si="141"/>
        <v>0</v>
      </c>
      <c r="K162" s="733">
        <f t="shared" si="141"/>
        <v>0</v>
      </c>
      <c r="L162" s="733">
        <f t="shared" si="141"/>
        <v>0</v>
      </c>
      <c r="M162" s="733">
        <f t="shared" si="141"/>
        <v>0</v>
      </c>
      <c r="N162" s="733">
        <f t="shared" si="141"/>
        <v>0</v>
      </c>
      <c r="O162" s="733">
        <f t="shared" si="141"/>
        <v>0</v>
      </c>
      <c r="P162" s="733">
        <f t="shared" si="141"/>
        <v>0</v>
      </c>
      <c r="Q162" s="733">
        <f t="shared" si="141"/>
        <v>0</v>
      </c>
      <c r="R162" s="733">
        <f t="shared" si="141"/>
        <v>0</v>
      </c>
      <c r="S162" s="733">
        <f t="shared" si="141"/>
        <v>0</v>
      </c>
      <c r="T162" s="733">
        <f t="shared" si="141"/>
        <v>0</v>
      </c>
      <c r="U162" s="733">
        <f t="shared" si="141"/>
        <v>0</v>
      </c>
      <c r="V162" s="733">
        <f t="shared" si="141"/>
        <v>0</v>
      </c>
      <c r="W162" s="733">
        <f t="shared" si="141"/>
        <v>0</v>
      </c>
      <c r="X162" s="733">
        <f t="shared" si="141"/>
        <v>0</v>
      </c>
      <c r="Y162" s="733">
        <f t="shared" si="141"/>
        <v>0</v>
      </c>
      <c r="Z162" s="733">
        <f t="shared" si="141"/>
        <v>0</v>
      </c>
      <c r="AA162" s="733">
        <f t="shared" si="141"/>
        <v>0</v>
      </c>
      <c r="AB162" s="733">
        <f t="shared" si="141"/>
        <v>0</v>
      </c>
      <c r="AC162" s="733">
        <f t="shared" si="141"/>
        <v>0</v>
      </c>
      <c r="AD162" s="733">
        <f t="shared" si="141"/>
        <v>0</v>
      </c>
      <c r="AE162" s="733">
        <f t="shared" si="141"/>
        <v>0</v>
      </c>
      <c r="AF162" s="733">
        <f t="shared" si="141"/>
        <v>0</v>
      </c>
      <c r="AG162" s="733">
        <f t="shared" si="141"/>
        <v>0</v>
      </c>
      <c r="AH162" s="733">
        <f t="shared" si="141"/>
        <v>0</v>
      </c>
      <c r="AI162" s="733">
        <f t="shared" si="141"/>
        <v>0</v>
      </c>
      <c r="AJ162" s="733">
        <f t="shared" si="141"/>
        <v>0</v>
      </c>
      <c r="AK162" s="733">
        <f t="shared" si="141"/>
        <v>0</v>
      </c>
      <c r="AL162" s="733">
        <f t="shared" si="141"/>
        <v>0</v>
      </c>
      <c r="AM162" s="733">
        <f t="shared" si="141"/>
        <v>0</v>
      </c>
      <c r="AN162" s="733">
        <f t="shared" si="141"/>
        <v>0</v>
      </c>
      <c r="AO162" s="733">
        <f t="shared" ref="AO162" si="142">SUM(AO163:AO172)</f>
        <v>0</v>
      </c>
      <c r="AP162" s="733">
        <f t="shared" ref="AP162" si="143">SUM(AP163:AP172)</f>
        <v>0</v>
      </c>
      <c r="AQ162" s="733">
        <f t="shared" ref="AQ162" si="144">SUM(AQ163:AQ172)</f>
        <v>0</v>
      </c>
      <c r="AR162" s="733">
        <f t="shared" ref="AR162" si="145">SUM(AR163:AR172)</f>
        <v>0</v>
      </c>
      <c r="AS162" s="733">
        <f t="shared" ref="AS162" si="146">SUM(AS163:AS172)</f>
        <v>0</v>
      </c>
      <c r="AT162" s="733">
        <f t="shared" ref="AT162" si="147">SUM(AT163:AT172)</f>
        <v>0</v>
      </c>
      <c r="AU162" s="733">
        <f t="shared" ref="AU162" si="148">SUM(AU163:AU172)</f>
        <v>0</v>
      </c>
      <c r="AV162" s="733">
        <f t="shared" ref="AV162" si="149">SUM(AV163:AV172)</f>
        <v>0</v>
      </c>
      <c r="AW162" s="733">
        <f t="shared" ref="AW162" si="150">SUM(AW163:AW172)</f>
        <v>0</v>
      </c>
      <c r="AX162" s="733">
        <f t="shared" ref="AX162" si="151">SUM(AX163:AX172)</f>
        <v>0</v>
      </c>
    </row>
    <row r="163" spans="2:50" ht="13.2" x14ac:dyDescent="0.2">
      <c r="B163" s="290" t="str">
        <f>CHIFFRAGE_TC!B164</f>
        <v>Fundaciones tipicas 
(edificio con piso tierra y primer piso)</v>
      </c>
      <c r="C163" s="16">
        <f>CHIFFRAGE_TC!D164</f>
        <v>50</v>
      </c>
      <c r="E163" s="712">
        <f>CHIFFRAGE_TC!$L164*CHIFFRAGE_TC!$T164</f>
        <v>0</v>
      </c>
      <c r="F163" s="715">
        <f>CHIFFRAGE_TC!$L164*CHIFFRAGE_TC!$U164</f>
        <v>0</v>
      </c>
      <c r="G163" s="715">
        <f>CHIFFRAGE_TC!$L164*CHIFFRAGE_TC!$V164</f>
        <v>0</v>
      </c>
      <c r="H163" s="716">
        <f>CHIFFRAGE_TC!$L164*CHIFFRAGE_TC!$W164</f>
        <v>0</v>
      </c>
      <c r="I163" s="709">
        <v>0</v>
      </c>
      <c r="J163" s="709">
        <v>0</v>
      </c>
      <c r="K163" s="709">
        <v>0</v>
      </c>
      <c r="L163" s="709">
        <v>0</v>
      </c>
      <c r="M163" s="709">
        <v>0</v>
      </c>
      <c r="N163" s="709">
        <v>0</v>
      </c>
      <c r="O163" s="709">
        <v>0</v>
      </c>
      <c r="P163" s="709">
        <v>0</v>
      </c>
      <c r="Q163" s="709">
        <v>0</v>
      </c>
      <c r="R163" s="709">
        <v>0</v>
      </c>
      <c r="S163" s="709">
        <v>0</v>
      </c>
      <c r="T163" s="709">
        <v>0</v>
      </c>
      <c r="U163" s="709">
        <v>0</v>
      </c>
      <c r="V163" s="709">
        <v>0</v>
      </c>
      <c r="W163" s="709">
        <v>0</v>
      </c>
      <c r="X163" s="709">
        <v>0</v>
      </c>
      <c r="Y163" s="709">
        <v>0</v>
      </c>
      <c r="Z163" s="709">
        <v>0</v>
      </c>
      <c r="AA163" s="709">
        <v>0</v>
      </c>
      <c r="AB163" s="709">
        <v>0</v>
      </c>
      <c r="AC163" s="709">
        <v>0</v>
      </c>
      <c r="AD163" s="709">
        <v>0</v>
      </c>
      <c r="AE163" s="709">
        <v>0</v>
      </c>
      <c r="AF163" s="709">
        <v>0</v>
      </c>
      <c r="AG163" s="709">
        <v>0</v>
      </c>
      <c r="AH163" s="709">
        <v>0</v>
      </c>
      <c r="AI163" s="709">
        <v>0</v>
      </c>
      <c r="AJ163" s="709">
        <v>0</v>
      </c>
      <c r="AK163" s="709">
        <v>0</v>
      </c>
      <c r="AL163" s="709">
        <v>0</v>
      </c>
      <c r="AM163" s="709">
        <v>0</v>
      </c>
      <c r="AN163" s="709">
        <v>0</v>
      </c>
      <c r="AO163" s="709">
        <v>0</v>
      </c>
      <c r="AP163" s="709">
        <v>0</v>
      </c>
      <c r="AQ163" s="709">
        <v>0</v>
      </c>
      <c r="AR163" s="709">
        <v>0</v>
      </c>
      <c r="AS163" s="709">
        <v>0</v>
      </c>
      <c r="AT163" s="709">
        <v>0</v>
      </c>
      <c r="AU163" s="709">
        <v>0</v>
      </c>
      <c r="AV163" s="709">
        <v>0</v>
      </c>
      <c r="AW163" s="709">
        <v>0</v>
      </c>
      <c r="AX163" s="709">
        <v>0</v>
      </c>
    </row>
    <row r="164" spans="2:50" ht="13.2" x14ac:dyDescent="0.2">
      <c r="B164" s="290" t="str">
        <f>CHIFFRAGE_TC!B165</f>
        <v>Piso tierra sobrelevado y fundaciones</v>
      </c>
      <c r="C164" s="16">
        <f>CHIFFRAGE_TC!D165</f>
        <v>50</v>
      </c>
      <c r="E164" s="712">
        <f>CHIFFRAGE_TC!$L165*CHIFFRAGE_TC!$T165</f>
        <v>0</v>
      </c>
      <c r="F164" s="715">
        <f>CHIFFRAGE_TC!$L165*CHIFFRAGE_TC!$U165</f>
        <v>651248.4919499997</v>
      </c>
      <c r="G164" s="715">
        <f>CHIFFRAGE_TC!$L165*CHIFFRAGE_TC!$V165</f>
        <v>651248.4919499997</v>
      </c>
      <c r="H164" s="716">
        <f>CHIFFRAGE_TC!$L165*CHIFFRAGE_TC!$W165</f>
        <v>0</v>
      </c>
      <c r="I164" s="709">
        <v>0</v>
      </c>
      <c r="J164" s="709">
        <v>0</v>
      </c>
      <c r="K164" s="709">
        <v>0</v>
      </c>
      <c r="L164" s="709">
        <v>0</v>
      </c>
      <c r="M164" s="709">
        <v>0</v>
      </c>
      <c r="N164" s="709">
        <v>0</v>
      </c>
      <c r="O164" s="709">
        <v>0</v>
      </c>
      <c r="P164" s="709">
        <v>0</v>
      </c>
      <c r="Q164" s="709">
        <v>0</v>
      </c>
      <c r="R164" s="709">
        <v>0</v>
      </c>
      <c r="S164" s="709">
        <v>0</v>
      </c>
      <c r="T164" s="709">
        <v>0</v>
      </c>
      <c r="U164" s="709">
        <v>0</v>
      </c>
      <c r="V164" s="709">
        <v>0</v>
      </c>
      <c r="W164" s="709">
        <v>0</v>
      </c>
      <c r="X164" s="709">
        <v>0</v>
      </c>
      <c r="Y164" s="709">
        <v>0</v>
      </c>
      <c r="Z164" s="709">
        <v>0</v>
      </c>
      <c r="AA164" s="709">
        <v>0</v>
      </c>
      <c r="AB164" s="709">
        <v>0</v>
      </c>
      <c r="AC164" s="709">
        <v>0</v>
      </c>
      <c r="AD164" s="709">
        <v>0</v>
      </c>
      <c r="AE164" s="709">
        <v>0</v>
      </c>
      <c r="AF164" s="709">
        <v>0</v>
      </c>
      <c r="AG164" s="709">
        <v>0</v>
      </c>
      <c r="AH164" s="709">
        <v>0</v>
      </c>
      <c r="AI164" s="709">
        <v>0</v>
      </c>
      <c r="AJ164" s="709">
        <v>0</v>
      </c>
      <c r="AK164" s="709">
        <v>0</v>
      </c>
      <c r="AL164" s="709">
        <v>0</v>
      </c>
      <c r="AM164" s="709">
        <v>0</v>
      </c>
      <c r="AN164" s="709">
        <v>0</v>
      </c>
      <c r="AO164" s="709">
        <v>0</v>
      </c>
      <c r="AP164" s="709">
        <v>0</v>
      </c>
      <c r="AQ164" s="709">
        <v>0</v>
      </c>
      <c r="AR164" s="709">
        <v>0</v>
      </c>
      <c r="AS164" s="709">
        <v>0</v>
      </c>
      <c r="AT164" s="709">
        <v>0</v>
      </c>
      <c r="AU164" s="709">
        <v>0</v>
      </c>
      <c r="AV164" s="709">
        <v>0</v>
      </c>
      <c r="AW164" s="709">
        <v>0</v>
      </c>
      <c r="AX164" s="709">
        <v>0</v>
      </c>
    </row>
    <row r="165" spans="2:50" ht="13.2" x14ac:dyDescent="0.2">
      <c r="B165" s="290" t="str">
        <f>CHIFFRAGE_TC!B166</f>
        <v>Superficies comerciales</v>
      </c>
      <c r="C165" s="16">
        <f>CHIFFRAGE_TC!D166</f>
        <v>50</v>
      </c>
      <c r="E165" s="712">
        <f>CHIFFRAGE_TC!$L166*CHIFFRAGE_TC!$T166</f>
        <v>0</v>
      </c>
      <c r="F165" s="715">
        <f>CHIFFRAGE_TC!$L166*CHIFFRAGE_TC!$U166</f>
        <v>0</v>
      </c>
      <c r="G165" s="715">
        <f>CHIFFRAGE_TC!$L166*CHIFFRAGE_TC!$V166</f>
        <v>0</v>
      </c>
      <c r="H165" s="716">
        <f>CHIFFRAGE_TC!$L166*CHIFFRAGE_TC!$W166</f>
        <v>0</v>
      </c>
      <c r="I165" s="709">
        <v>0</v>
      </c>
      <c r="J165" s="709">
        <v>0</v>
      </c>
      <c r="K165" s="709">
        <v>0</v>
      </c>
      <c r="L165" s="709">
        <v>0</v>
      </c>
      <c r="M165" s="709">
        <v>0</v>
      </c>
      <c r="N165" s="709">
        <v>0</v>
      </c>
      <c r="O165" s="709">
        <v>0</v>
      </c>
      <c r="P165" s="709">
        <v>0</v>
      </c>
      <c r="Q165" s="709">
        <v>0</v>
      </c>
      <c r="R165" s="709">
        <v>0</v>
      </c>
      <c r="S165" s="709">
        <v>0</v>
      </c>
      <c r="T165" s="709">
        <v>0</v>
      </c>
      <c r="U165" s="709">
        <v>0</v>
      </c>
      <c r="V165" s="709">
        <v>0</v>
      </c>
      <c r="W165" s="709">
        <v>0</v>
      </c>
      <c r="X165" s="709">
        <v>0</v>
      </c>
      <c r="Y165" s="709">
        <v>0</v>
      </c>
      <c r="Z165" s="709">
        <v>0</v>
      </c>
      <c r="AA165" s="709">
        <v>0</v>
      </c>
      <c r="AB165" s="709">
        <v>0</v>
      </c>
      <c r="AC165" s="709">
        <v>0</v>
      </c>
      <c r="AD165" s="709">
        <v>0</v>
      </c>
      <c r="AE165" s="709">
        <v>0</v>
      </c>
      <c r="AF165" s="709">
        <v>0</v>
      </c>
      <c r="AG165" s="709">
        <v>0</v>
      </c>
      <c r="AH165" s="709">
        <v>0</v>
      </c>
      <c r="AI165" s="709">
        <v>0</v>
      </c>
      <c r="AJ165" s="709">
        <v>0</v>
      </c>
      <c r="AK165" s="709">
        <v>0</v>
      </c>
      <c r="AL165" s="709">
        <v>0</v>
      </c>
      <c r="AM165" s="709">
        <v>0</v>
      </c>
      <c r="AN165" s="709">
        <v>0</v>
      </c>
      <c r="AO165" s="709">
        <v>0</v>
      </c>
      <c r="AP165" s="709">
        <v>0</v>
      </c>
      <c r="AQ165" s="709">
        <v>0</v>
      </c>
      <c r="AR165" s="709">
        <v>0</v>
      </c>
      <c r="AS165" s="709">
        <v>0</v>
      </c>
      <c r="AT165" s="709">
        <v>0</v>
      </c>
      <c r="AU165" s="709">
        <v>0</v>
      </c>
      <c r="AV165" s="709">
        <v>0</v>
      </c>
      <c r="AW165" s="709">
        <v>0</v>
      </c>
      <c r="AX165" s="709">
        <v>0</v>
      </c>
    </row>
    <row r="166" spans="2:50" ht="26.4" x14ac:dyDescent="0.2">
      <c r="B166" s="292" t="str">
        <f>CHIFFRAGE_TC!B167</f>
        <v xml:space="preserve">Ingreso y circulaciones al piso tierra 
(y/c servicios, escaleras mecanicas, escaleras y ascencores) </v>
      </c>
      <c r="C166" s="16">
        <f>CHIFFRAGE_TC!D167</f>
        <v>40</v>
      </c>
      <c r="E166" s="712">
        <f>CHIFFRAGE_TC!$L167*CHIFFRAGE_TC!$T167</f>
        <v>0</v>
      </c>
      <c r="F166" s="715">
        <f>CHIFFRAGE_TC!$L167*CHIFFRAGE_TC!$U167</f>
        <v>91929.768659749971</v>
      </c>
      <c r="G166" s="715">
        <f>CHIFFRAGE_TC!$L167*CHIFFRAGE_TC!$V167</f>
        <v>275789.30597924988</v>
      </c>
      <c r="H166" s="716">
        <f>CHIFFRAGE_TC!$L167*CHIFFRAGE_TC!$W167</f>
        <v>0</v>
      </c>
      <c r="I166" s="709">
        <v>0</v>
      </c>
      <c r="J166" s="709">
        <v>0</v>
      </c>
      <c r="K166" s="709">
        <v>0</v>
      </c>
      <c r="L166" s="709">
        <v>0</v>
      </c>
      <c r="M166" s="709">
        <v>0</v>
      </c>
      <c r="N166" s="709">
        <v>0</v>
      </c>
      <c r="O166" s="709">
        <v>0</v>
      </c>
      <c r="P166" s="709">
        <v>0</v>
      </c>
      <c r="Q166" s="709">
        <v>0</v>
      </c>
      <c r="R166" s="709">
        <v>0</v>
      </c>
      <c r="S166" s="709">
        <v>0</v>
      </c>
      <c r="T166" s="709">
        <v>0</v>
      </c>
      <c r="U166" s="709">
        <v>0</v>
      </c>
      <c r="V166" s="709">
        <v>0</v>
      </c>
      <c r="W166" s="709">
        <v>0</v>
      </c>
      <c r="X166" s="709">
        <v>0</v>
      </c>
      <c r="Y166" s="709">
        <v>0</v>
      </c>
      <c r="Z166" s="709">
        <v>0</v>
      </c>
      <c r="AA166" s="709">
        <v>0</v>
      </c>
      <c r="AB166" s="709">
        <v>0</v>
      </c>
      <c r="AC166" s="709">
        <v>0</v>
      </c>
      <c r="AD166" s="709">
        <v>0</v>
      </c>
      <c r="AE166" s="709">
        <v>0</v>
      </c>
      <c r="AF166" s="709">
        <v>0</v>
      </c>
      <c r="AG166" s="709">
        <v>0</v>
      </c>
      <c r="AH166" s="709">
        <v>0</v>
      </c>
      <c r="AI166" s="709">
        <v>0</v>
      </c>
      <c r="AJ166" s="709">
        <v>0</v>
      </c>
      <c r="AK166" s="709">
        <v>0</v>
      </c>
      <c r="AL166" s="709">
        <v>0</v>
      </c>
      <c r="AM166" s="709">
        <v>0</v>
      </c>
      <c r="AN166" s="709">
        <v>0</v>
      </c>
      <c r="AO166" s="709">
        <v>0</v>
      </c>
      <c r="AP166" s="709">
        <v>0</v>
      </c>
      <c r="AQ166" s="709">
        <v>0</v>
      </c>
      <c r="AR166" s="709">
        <v>0</v>
      </c>
      <c r="AS166" s="709">
        <v>0</v>
      </c>
      <c r="AT166" s="709">
        <v>0</v>
      </c>
      <c r="AU166" s="709">
        <v>0</v>
      </c>
      <c r="AV166" s="709">
        <v>0</v>
      </c>
      <c r="AW166" s="709">
        <v>0</v>
      </c>
      <c r="AX166" s="709">
        <v>0</v>
      </c>
    </row>
    <row r="167" spans="2:50" ht="26.4" x14ac:dyDescent="0.2">
      <c r="B167" s="292" t="str">
        <f>CHIFFRAGE_TC!B168</f>
        <v>Escaleras mecanicas, escaleras y ascencores adicionales 
(piso tierra sobrelevado)</v>
      </c>
      <c r="C167" s="16">
        <f>CHIFFRAGE_TC!D168</f>
        <v>15</v>
      </c>
      <c r="E167" s="712">
        <f>CHIFFRAGE_TC!$L168*CHIFFRAGE_TC!$T168</f>
        <v>0</v>
      </c>
      <c r="F167" s="715">
        <f>CHIFFRAGE_TC!$L168*CHIFFRAGE_TC!$U168</f>
        <v>0</v>
      </c>
      <c r="G167" s="715">
        <f>CHIFFRAGE_TC!$L168*CHIFFRAGE_TC!$V168</f>
        <v>0</v>
      </c>
      <c r="H167" s="716">
        <f>CHIFFRAGE_TC!$L168*CHIFFRAGE_TC!$W168</f>
        <v>0</v>
      </c>
      <c r="I167" s="709">
        <v>0</v>
      </c>
      <c r="J167" s="709">
        <v>0</v>
      </c>
      <c r="K167" s="709">
        <v>0</v>
      </c>
      <c r="L167" s="709">
        <v>0</v>
      </c>
      <c r="M167" s="709">
        <v>0</v>
      </c>
      <c r="N167" s="709">
        <v>0</v>
      </c>
      <c r="O167" s="709">
        <v>0</v>
      </c>
      <c r="P167" s="709">
        <v>0</v>
      </c>
      <c r="Q167" s="709">
        <v>0</v>
      </c>
      <c r="R167" s="709">
        <v>0</v>
      </c>
      <c r="S167" s="709">
        <v>0</v>
      </c>
      <c r="T167" s="709">
        <v>0</v>
      </c>
      <c r="U167" s="709">
        <v>0</v>
      </c>
      <c r="V167" s="709">
        <v>0</v>
      </c>
      <c r="W167" s="729">
        <f>F167</f>
        <v>0</v>
      </c>
      <c r="X167" s="729">
        <f>G167</f>
        <v>0</v>
      </c>
      <c r="Y167" s="729">
        <f>H167</f>
        <v>0</v>
      </c>
      <c r="Z167" s="709">
        <v>0</v>
      </c>
      <c r="AA167" s="709">
        <v>0</v>
      </c>
      <c r="AB167" s="709">
        <v>0</v>
      </c>
      <c r="AC167" s="709">
        <v>0</v>
      </c>
      <c r="AD167" s="709">
        <v>0</v>
      </c>
      <c r="AE167" s="709">
        <v>0</v>
      </c>
      <c r="AF167" s="709">
        <v>0</v>
      </c>
      <c r="AG167" s="709">
        <v>0</v>
      </c>
      <c r="AH167" s="709">
        <v>0</v>
      </c>
      <c r="AI167" s="709">
        <v>0</v>
      </c>
      <c r="AJ167" s="709">
        <v>0</v>
      </c>
      <c r="AK167" s="709">
        <v>0</v>
      </c>
      <c r="AL167" s="709">
        <v>0</v>
      </c>
      <c r="AM167" s="709">
        <v>0</v>
      </c>
      <c r="AN167" s="729">
        <f>F167</f>
        <v>0</v>
      </c>
      <c r="AO167" s="729">
        <f t="shared" ref="AO167" si="152">G167</f>
        <v>0</v>
      </c>
      <c r="AP167" s="729">
        <f t="shared" ref="AP167" si="153">H167</f>
        <v>0</v>
      </c>
      <c r="AQ167" s="709">
        <v>0</v>
      </c>
      <c r="AR167" s="709">
        <v>0</v>
      </c>
      <c r="AS167" s="709">
        <v>0</v>
      </c>
      <c r="AT167" s="709">
        <v>0</v>
      </c>
      <c r="AU167" s="709">
        <v>0</v>
      </c>
      <c r="AV167" s="709">
        <v>0</v>
      </c>
      <c r="AW167" s="709">
        <v>0</v>
      </c>
      <c r="AX167" s="709">
        <v>0</v>
      </c>
    </row>
    <row r="168" spans="2:50" ht="13.2" x14ac:dyDescent="0.2">
      <c r="B168" s="290" t="str">
        <f>CHIFFRAGE_TC!B169</f>
        <v>Anden al primer piso</v>
      </c>
      <c r="C168" s="16">
        <f>CHIFFRAGE_TC!D169</f>
        <v>50</v>
      </c>
      <c r="E168" s="712">
        <f>CHIFFRAGE_TC!$L169*CHIFFRAGE_TC!$T169</f>
        <v>0</v>
      </c>
      <c r="F168" s="715">
        <f>CHIFFRAGE_TC!$L169*CHIFFRAGE_TC!$U169</f>
        <v>26280.590185565616</v>
      </c>
      <c r="G168" s="715">
        <f>CHIFFRAGE_TC!$L169*CHIFFRAGE_TC!$V169</f>
        <v>78841.770556696851</v>
      </c>
      <c r="H168" s="716">
        <f>CHIFFRAGE_TC!$L169*CHIFFRAGE_TC!$W169</f>
        <v>0</v>
      </c>
      <c r="I168" s="709">
        <v>0</v>
      </c>
      <c r="J168" s="709">
        <v>0</v>
      </c>
      <c r="K168" s="709">
        <v>0</v>
      </c>
      <c r="L168" s="709">
        <v>0</v>
      </c>
      <c r="M168" s="709">
        <v>0</v>
      </c>
      <c r="N168" s="709">
        <v>0</v>
      </c>
      <c r="O168" s="709">
        <v>0</v>
      </c>
      <c r="P168" s="709">
        <v>0</v>
      </c>
      <c r="Q168" s="709">
        <v>0</v>
      </c>
      <c r="R168" s="709">
        <v>0</v>
      </c>
      <c r="S168" s="709">
        <v>0</v>
      </c>
      <c r="T168" s="709">
        <v>0</v>
      </c>
      <c r="U168" s="709">
        <v>0</v>
      </c>
      <c r="V168" s="709">
        <v>0</v>
      </c>
      <c r="W168" s="709">
        <v>0</v>
      </c>
      <c r="X168" s="709">
        <v>0</v>
      </c>
      <c r="Y168" s="709">
        <v>0</v>
      </c>
      <c r="Z168" s="709">
        <v>0</v>
      </c>
      <c r="AA168" s="709">
        <v>0</v>
      </c>
      <c r="AB168" s="709">
        <v>0</v>
      </c>
      <c r="AC168" s="709">
        <v>0</v>
      </c>
      <c r="AD168" s="709">
        <v>0</v>
      </c>
      <c r="AE168" s="709">
        <v>0</v>
      </c>
      <c r="AF168" s="709">
        <v>0</v>
      </c>
      <c r="AG168" s="709">
        <v>0</v>
      </c>
      <c r="AH168" s="709">
        <v>0</v>
      </c>
      <c r="AI168" s="709">
        <v>0</v>
      </c>
      <c r="AJ168" s="709">
        <v>0</v>
      </c>
      <c r="AK168" s="709">
        <v>0</v>
      </c>
      <c r="AL168" s="709">
        <v>0</v>
      </c>
      <c r="AM168" s="709">
        <v>0</v>
      </c>
      <c r="AN168" s="709">
        <v>0</v>
      </c>
      <c r="AO168" s="709">
        <v>0</v>
      </c>
      <c r="AP168" s="709">
        <v>0</v>
      </c>
      <c r="AQ168" s="709">
        <v>0</v>
      </c>
      <c r="AR168" s="709">
        <v>0</v>
      </c>
      <c r="AS168" s="709">
        <v>0</v>
      </c>
      <c r="AT168" s="709">
        <v>0</v>
      </c>
      <c r="AU168" s="709">
        <v>0</v>
      </c>
      <c r="AV168" s="709">
        <v>0</v>
      </c>
      <c r="AW168" s="709">
        <v>0</v>
      </c>
      <c r="AX168" s="709">
        <v>0</v>
      </c>
    </row>
    <row r="169" spans="2:50" ht="13.2" x14ac:dyDescent="0.2">
      <c r="B169" s="290" t="str">
        <f>CHIFFRAGE_TC!B170</f>
        <v>Centro de mando + Locales tecnicos cubiertos</v>
      </c>
      <c r="C169" s="16">
        <f>CHIFFRAGE_TC!D170</f>
        <v>50</v>
      </c>
      <c r="E169" s="712">
        <f>CHIFFRAGE_TC!$L170*CHIFFRAGE_TC!$T170</f>
        <v>0</v>
      </c>
      <c r="F169" s="715">
        <f>CHIFFRAGE_TC!$L170*CHIFFRAGE_TC!$U170</f>
        <v>28025.393436914987</v>
      </c>
      <c r="G169" s="715">
        <f>CHIFFRAGE_TC!$L170*CHIFFRAGE_TC!$V170</f>
        <v>84076.180310744967</v>
      </c>
      <c r="H169" s="716">
        <f>CHIFFRAGE_TC!$L170*CHIFFRAGE_TC!$W170</f>
        <v>0</v>
      </c>
      <c r="I169" s="709">
        <v>0</v>
      </c>
      <c r="J169" s="709">
        <v>0</v>
      </c>
      <c r="K169" s="709">
        <v>0</v>
      </c>
      <c r="L169" s="709">
        <v>0</v>
      </c>
      <c r="M169" s="709">
        <v>0</v>
      </c>
      <c r="N169" s="709">
        <v>0</v>
      </c>
      <c r="O169" s="709">
        <v>0</v>
      </c>
      <c r="P169" s="709">
        <v>0</v>
      </c>
      <c r="Q169" s="709">
        <v>0</v>
      </c>
      <c r="R169" s="709">
        <v>0</v>
      </c>
      <c r="S169" s="709">
        <v>0</v>
      </c>
      <c r="T169" s="709">
        <v>0</v>
      </c>
      <c r="U169" s="709">
        <v>0</v>
      </c>
      <c r="V169" s="709">
        <v>0</v>
      </c>
      <c r="W169" s="709">
        <v>0</v>
      </c>
      <c r="X169" s="709">
        <v>0</v>
      </c>
      <c r="Y169" s="709">
        <v>0</v>
      </c>
      <c r="Z169" s="709">
        <v>0</v>
      </c>
      <c r="AA169" s="709">
        <v>0</v>
      </c>
      <c r="AB169" s="709">
        <v>0</v>
      </c>
      <c r="AC169" s="709">
        <v>0</v>
      </c>
      <c r="AD169" s="709">
        <v>0</v>
      </c>
      <c r="AE169" s="709">
        <v>0</v>
      </c>
      <c r="AF169" s="709">
        <v>0</v>
      </c>
      <c r="AG169" s="709">
        <v>0</v>
      </c>
      <c r="AH169" s="709">
        <v>0</v>
      </c>
      <c r="AI169" s="709">
        <v>0</v>
      </c>
      <c r="AJ169" s="709">
        <v>0</v>
      </c>
      <c r="AK169" s="709">
        <v>0</v>
      </c>
      <c r="AL169" s="709">
        <v>0</v>
      </c>
      <c r="AM169" s="709">
        <v>0</v>
      </c>
      <c r="AN169" s="709">
        <v>0</v>
      </c>
      <c r="AO169" s="709">
        <v>0</v>
      </c>
      <c r="AP169" s="709">
        <v>0</v>
      </c>
      <c r="AQ169" s="709">
        <v>0</v>
      </c>
      <c r="AR169" s="709">
        <v>0</v>
      </c>
      <c r="AS169" s="709">
        <v>0</v>
      </c>
      <c r="AT169" s="709">
        <v>0</v>
      </c>
      <c r="AU169" s="709">
        <v>0</v>
      </c>
      <c r="AV169" s="709">
        <v>0</v>
      </c>
      <c r="AW169" s="709">
        <v>0</v>
      </c>
      <c r="AX169" s="709">
        <v>0</v>
      </c>
    </row>
    <row r="170" spans="2:50" ht="13.2" x14ac:dyDescent="0.2">
      <c r="B170" s="290" t="str">
        <f>CHIFFRAGE_TC!B171</f>
        <v xml:space="preserve">Locales tecnicos non cerrados </v>
      </c>
      <c r="C170" s="16">
        <f>CHIFFRAGE_TC!D171</f>
        <v>50</v>
      </c>
      <c r="E170" s="712">
        <f>CHIFFRAGE_TC!$L171*CHIFFRAGE_TC!$T171</f>
        <v>0</v>
      </c>
      <c r="F170" s="715">
        <f>CHIFFRAGE_TC!$L171*CHIFFRAGE_TC!$U171</f>
        <v>38534.915975758107</v>
      </c>
      <c r="G170" s="715">
        <f>CHIFFRAGE_TC!$L171*CHIFFRAGE_TC!$V171</f>
        <v>115604.74792727432</v>
      </c>
      <c r="H170" s="716">
        <f>CHIFFRAGE_TC!$L171*CHIFFRAGE_TC!$W171</f>
        <v>0</v>
      </c>
      <c r="I170" s="709">
        <v>0</v>
      </c>
      <c r="J170" s="709">
        <v>0</v>
      </c>
      <c r="K170" s="709">
        <v>0</v>
      </c>
      <c r="L170" s="709">
        <v>0</v>
      </c>
      <c r="M170" s="709">
        <v>0</v>
      </c>
      <c r="N170" s="709">
        <v>0</v>
      </c>
      <c r="O170" s="709">
        <v>0</v>
      </c>
      <c r="P170" s="709">
        <v>0</v>
      </c>
      <c r="Q170" s="709">
        <v>0</v>
      </c>
      <c r="R170" s="709">
        <v>0</v>
      </c>
      <c r="S170" s="709">
        <v>0</v>
      </c>
      <c r="T170" s="709">
        <v>0</v>
      </c>
      <c r="U170" s="709">
        <v>0</v>
      </c>
      <c r="V170" s="709">
        <v>0</v>
      </c>
      <c r="W170" s="709">
        <v>0</v>
      </c>
      <c r="X170" s="709">
        <v>0</v>
      </c>
      <c r="Y170" s="709">
        <v>0</v>
      </c>
      <c r="Z170" s="709">
        <v>0</v>
      </c>
      <c r="AA170" s="709">
        <v>0</v>
      </c>
      <c r="AB170" s="709">
        <v>0</v>
      </c>
      <c r="AC170" s="709">
        <v>0</v>
      </c>
      <c r="AD170" s="709">
        <v>0</v>
      </c>
      <c r="AE170" s="709">
        <v>0</v>
      </c>
      <c r="AF170" s="709">
        <v>0</v>
      </c>
      <c r="AG170" s="709">
        <v>0</v>
      </c>
      <c r="AH170" s="709">
        <v>0</v>
      </c>
      <c r="AI170" s="709">
        <v>0</v>
      </c>
      <c r="AJ170" s="709">
        <v>0</v>
      </c>
      <c r="AK170" s="709">
        <v>0</v>
      </c>
      <c r="AL170" s="709">
        <v>0</v>
      </c>
      <c r="AM170" s="709">
        <v>0</v>
      </c>
      <c r="AN170" s="709">
        <v>0</v>
      </c>
      <c r="AO170" s="709">
        <v>0</v>
      </c>
      <c r="AP170" s="709">
        <v>0</v>
      </c>
      <c r="AQ170" s="709">
        <v>0</v>
      </c>
      <c r="AR170" s="709">
        <v>0</v>
      </c>
      <c r="AS170" s="709">
        <v>0</v>
      </c>
      <c r="AT170" s="709">
        <v>0</v>
      </c>
      <c r="AU170" s="709">
        <v>0</v>
      </c>
      <c r="AV170" s="709">
        <v>0</v>
      </c>
      <c r="AW170" s="709">
        <v>0</v>
      </c>
      <c r="AX170" s="709">
        <v>0</v>
      </c>
    </row>
    <row r="171" spans="2:50" ht="13.2" x14ac:dyDescent="0.2">
      <c r="B171" s="290" t="str">
        <f>CHIFFRAGE_TC!B172</f>
        <v>Adecuacion urbana 
(demolicion, reconstruccion, mobiliario urbano, paisaje)</v>
      </c>
      <c r="C171" s="16">
        <f>CHIFFRAGE_TC!D172</f>
        <v>50</v>
      </c>
      <c r="E171" s="712">
        <f>CHIFFRAGE_TC!$L172*CHIFFRAGE_TC!$T172</f>
        <v>0</v>
      </c>
      <c r="F171" s="715">
        <f>CHIFFRAGE_TC!$L172*CHIFFRAGE_TC!$U172</f>
        <v>52702.190099999985</v>
      </c>
      <c r="G171" s="715">
        <f>CHIFFRAGE_TC!$L172*CHIFFRAGE_TC!$V172</f>
        <v>52702.190099999985</v>
      </c>
      <c r="H171" s="716">
        <f>CHIFFRAGE_TC!$L172*CHIFFRAGE_TC!$W172</f>
        <v>105404.38019999997</v>
      </c>
      <c r="I171" s="709">
        <v>0</v>
      </c>
      <c r="J171" s="709">
        <v>0</v>
      </c>
      <c r="K171" s="709">
        <v>0</v>
      </c>
      <c r="L171" s="709">
        <v>0</v>
      </c>
      <c r="M171" s="709">
        <v>0</v>
      </c>
      <c r="N171" s="709">
        <v>0</v>
      </c>
      <c r="O171" s="709">
        <v>0</v>
      </c>
      <c r="P171" s="709">
        <v>0</v>
      </c>
      <c r="Q171" s="709">
        <v>0</v>
      </c>
      <c r="R171" s="709">
        <v>0</v>
      </c>
      <c r="S171" s="709">
        <v>0</v>
      </c>
      <c r="T171" s="709">
        <v>0</v>
      </c>
      <c r="U171" s="709">
        <v>0</v>
      </c>
      <c r="V171" s="709">
        <v>0</v>
      </c>
      <c r="W171" s="709">
        <v>0</v>
      </c>
      <c r="X171" s="709">
        <v>0</v>
      </c>
      <c r="Y171" s="709">
        <v>0</v>
      </c>
      <c r="Z171" s="709">
        <v>0</v>
      </c>
      <c r="AA171" s="709">
        <v>0</v>
      </c>
      <c r="AB171" s="709">
        <v>0</v>
      </c>
      <c r="AC171" s="709">
        <v>0</v>
      </c>
      <c r="AD171" s="709">
        <v>0</v>
      </c>
      <c r="AE171" s="709">
        <v>0</v>
      </c>
      <c r="AF171" s="709">
        <v>0</v>
      </c>
      <c r="AG171" s="709">
        <v>0</v>
      </c>
      <c r="AH171" s="709">
        <v>0</v>
      </c>
      <c r="AI171" s="709">
        <v>0</v>
      </c>
      <c r="AJ171" s="709">
        <v>0</v>
      </c>
      <c r="AK171" s="709">
        <v>0</v>
      </c>
      <c r="AL171" s="709">
        <v>0</v>
      </c>
      <c r="AM171" s="709">
        <v>0</v>
      </c>
      <c r="AN171" s="709">
        <v>0</v>
      </c>
      <c r="AO171" s="709">
        <v>0</v>
      </c>
      <c r="AP171" s="709">
        <v>0</v>
      </c>
      <c r="AQ171" s="709">
        <v>0</v>
      </c>
      <c r="AR171" s="709">
        <v>0</v>
      </c>
      <c r="AS171" s="709">
        <v>0</v>
      </c>
      <c r="AT171" s="709">
        <v>0</v>
      </c>
      <c r="AU171" s="709">
        <v>0</v>
      </c>
      <c r="AV171" s="709">
        <v>0</v>
      </c>
      <c r="AW171" s="709">
        <v>0</v>
      </c>
      <c r="AX171" s="709">
        <v>0</v>
      </c>
    </row>
    <row r="172" spans="2:50" ht="13.2" x14ac:dyDescent="0.2">
      <c r="B172" s="289" t="str">
        <f>CHIFFRAGE_TC!B173</f>
        <v>Pasarela</v>
      </c>
      <c r="C172" s="16">
        <f>CHIFFRAGE_TC!D173</f>
        <v>50</v>
      </c>
      <c r="E172" s="712">
        <f>CHIFFRAGE_TC!$L173*CHIFFRAGE_TC!$T173</f>
        <v>0</v>
      </c>
      <c r="F172" s="715">
        <f>CHIFFRAGE_TC!$L173*CHIFFRAGE_TC!$U173</f>
        <v>0</v>
      </c>
      <c r="G172" s="715">
        <f>CHIFFRAGE_TC!$L173*CHIFFRAGE_TC!$V173</f>
        <v>0</v>
      </c>
      <c r="H172" s="716">
        <f>CHIFFRAGE_TC!$L173*CHIFFRAGE_TC!$W173</f>
        <v>0</v>
      </c>
      <c r="I172" s="709">
        <v>0</v>
      </c>
      <c r="J172" s="709">
        <v>0</v>
      </c>
      <c r="K172" s="709">
        <v>0</v>
      </c>
      <c r="L172" s="709">
        <v>0</v>
      </c>
      <c r="M172" s="709">
        <v>0</v>
      </c>
      <c r="N172" s="709">
        <v>0</v>
      </c>
      <c r="O172" s="709">
        <v>0</v>
      </c>
      <c r="P172" s="709">
        <v>0</v>
      </c>
      <c r="Q172" s="709">
        <v>0</v>
      </c>
      <c r="R172" s="709">
        <v>0</v>
      </c>
      <c r="S172" s="709">
        <v>0</v>
      </c>
      <c r="T172" s="709">
        <v>0</v>
      </c>
      <c r="U172" s="709">
        <v>0</v>
      </c>
      <c r="V172" s="709">
        <v>0</v>
      </c>
      <c r="W172" s="709">
        <v>0</v>
      </c>
      <c r="X172" s="709">
        <v>0</v>
      </c>
      <c r="Y172" s="709">
        <v>0</v>
      </c>
      <c r="Z172" s="709">
        <v>0</v>
      </c>
      <c r="AA172" s="709">
        <v>0</v>
      </c>
      <c r="AB172" s="709">
        <v>0</v>
      </c>
      <c r="AC172" s="709">
        <v>0</v>
      </c>
      <c r="AD172" s="709">
        <v>0</v>
      </c>
      <c r="AE172" s="709">
        <v>0</v>
      </c>
      <c r="AF172" s="709">
        <v>0</v>
      </c>
      <c r="AG172" s="709">
        <v>0</v>
      </c>
      <c r="AH172" s="709">
        <v>0</v>
      </c>
      <c r="AI172" s="709">
        <v>0</v>
      </c>
      <c r="AJ172" s="709">
        <v>0</v>
      </c>
      <c r="AK172" s="709">
        <v>0</v>
      </c>
      <c r="AL172" s="709">
        <v>0</v>
      </c>
      <c r="AM172" s="709">
        <v>0</v>
      </c>
      <c r="AN172" s="709">
        <v>0</v>
      </c>
      <c r="AO172" s="709">
        <v>0</v>
      </c>
      <c r="AP172" s="709">
        <v>0</v>
      </c>
      <c r="AQ172" s="709">
        <v>0</v>
      </c>
      <c r="AR172" s="709">
        <v>0</v>
      </c>
      <c r="AS172" s="709">
        <v>0</v>
      </c>
      <c r="AT172" s="709">
        <v>0</v>
      </c>
      <c r="AU172" s="709">
        <v>0</v>
      </c>
      <c r="AV172" s="709">
        <v>0</v>
      </c>
      <c r="AW172" s="709">
        <v>0</v>
      </c>
      <c r="AX172" s="709">
        <v>0</v>
      </c>
    </row>
    <row r="173" spans="2:50" ht="13.8" thickBot="1" x14ac:dyDescent="0.25">
      <c r="B173" s="294"/>
      <c r="C173" s="16"/>
      <c r="E173" s="712"/>
      <c r="F173" s="715"/>
      <c r="G173" s="715"/>
      <c r="H173" s="716"/>
      <c r="I173" s="69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</row>
    <row r="174" spans="2:50" ht="16.2" thickBot="1" x14ac:dyDescent="0.25">
      <c r="B174" s="288" t="str">
        <f>CHIFFRAGE_TC!B175</f>
        <v xml:space="preserve">Centro(s) de mantenimiento </v>
      </c>
      <c r="C174" s="16"/>
      <c r="D174" s="725">
        <f>CHIFFRAGE_TC!J175</f>
        <v>0.25</v>
      </c>
      <c r="E174" s="209">
        <f>SUM(E175:E181)</f>
        <v>0</v>
      </c>
      <c r="F174" s="196">
        <f>SUM(F175:F181)</f>
        <v>1390906.9267441938</v>
      </c>
      <c r="G174" s="196">
        <f>SUM(G175:G181)</f>
        <v>3406568.6250864295</v>
      </c>
      <c r="H174" s="197">
        <f>SUM(H175:H181)</f>
        <v>910973.38169177715</v>
      </c>
      <c r="I174" s="698">
        <f t="shared" ref="I174:AN174" si="154">SUM(I175:I181)</f>
        <v>0</v>
      </c>
      <c r="J174" s="699">
        <f t="shared" si="154"/>
        <v>0</v>
      </c>
      <c r="K174" s="699">
        <f t="shared" si="154"/>
        <v>0</v>
      </c>
      <c r="L174" s="699">
        <f t="shared" si="154"/>
        <v>0</v>
      </c>
      <c r="M174" s="699">
        <f t="shared" si="154"/>
        <v>0</v>
      </c>
      <c r="N174" s="699">
        <f t="shared" si="154"/>
        <v>0</v>
      </c>
      <c r="O174" s="699">
        <f t="shared" si="154"/>
        <v>0</v>
      </c>
      <c r="P174" s="699">
        <f t="shared" si="154"/>
        <v>0</v>
      </c>
      <c r="Q174" s="699">
        <f t="shared" si="154"/>
        <v>0</v>
      </c>
      <c r="R174" s="699">
        <f t="shared" si="154"/>
        <v>0</v>
      </c>
      <c r="S174" s="699">
        <f t="shared" si="154"/>
        <v>0</v>
      </c>
      <c r="T174" s="699">
        <f t="shared" si="154"/>
        <v>0</v>
      </c>
      <c r="U174" s="699">
        <f t="shared" si="154"/>
        <v>0</v>
      </c>
      <c r="V174" s="699">
        <f t="shared" si="154"/>
        <v>0</v>
      </c>
      <c r="W174" s="699">
        <f t="shared" si="154"/>
        <v>0</v>
      </c>
      <c r="X174" s="699">
        <f t="shared" si="154"/>
        <v>108615.91990921872</v>
      </c>
      <c r="Y174" s="699">
        <f t="shared" si="154"/>
        <v>36205.30663640624</v>
      </c>
      <c r="Z174" s="699">
        <f t="shared" si="154"/>
        <v>0</v>
      </c>
      <c r="AA174" s="699">
        <f t="shared" si="154"/>
        <v>0</v>
      </c>
      <c r="AB174" s="699">
        <f t="shared" si="154"/>
        <v>0</v>
      </c>
      <c r="AC174" s="699">
        <f t="shared" si="154"/>
        <v>0</v>
      </c>
      <c r="AD174" s="699">
        <f t="shared" si="154"/>
        <v>0</v>
      </c>
      <c r="AE174" s="699">
        <f t="shared" si="154"/>
        <v>0</v>
      </c>
      <c r="AF174" s="699">
        <f t="shared" si="154"/>
        <v>0</v>
      </c>
      <c r="AG174" s="699">
        <f t="shared" si="154"/>
        <v>0</v>
      </c>
      <c r="AH174" s="699">
        <f t="shared" si="154"/>
        <v>0</v>
      </c>
      <c r="AI174" s="699">
        <f t="shared" si="154"/>
        <v>0</v>
      </c>
      <c r="AJ174" s="699">
        <f t="shared" si="154"/>
        <v>0</v>
      </c>
      <c r="AK174" s="699">
        <f t="shared" si="154"/>
        <v>0</v>
      </c>
      <c r="AL174" s="699">
        <f t="shared" si="154"/>
        <v>0</v>
      </c>
      <c r="AM174" s="699">
        <f t="shared" si="154"/>
        <v>0</v>
      </c>
      <c r="AN174" s="700">
        <f t="shared" si="154"/>
        <v>0</v>
      </c>
      <c r="AO174" s="700">
        <f t="shared" ref="AO174" si="155">SUM(AO175:AO181)</f>
        <v>0</v>
      </c>
      <c r="AP174" s="700">
        <f t="shared" ref="AP174" si="156">SUM(AP175:AP181)</f>
        <v>0</v>
      </c>
      <c r="AQ174" s="700">
        <f t="shared" ref="AQ174" si="157">SUM(AQ175:AQ181)</f>
        <v>0</v>
      </c>
      <c r="AR174" s="700">
        <f t="shared" ref="AR174" si="158">SUM(AR175:AR181)</f>
        <v>0</v>
      </c>
      <c r="AS174" s="700">
        <f t="shared" ref="AS174" si="159">SUM(AS175:AS181)</f>
        <v>0</v>
      </c>
      <c r="AT174" s="700">
        <f t="shared" ref="AT174" si="160">SUM(AT175:AT181)</f>
        <v>0</v>
      </c>
      <c r="AU174" s="700">
        <f t="shared" ref="AU174" si="161">SUM(AU175:AU181)</f>
        <v>0</v>
      </c>
      <c r="AV174" s="700">
        <f t="shared" ref="AV174" si="162">SUM(AV175:AV181)</f>
        <v>0</v>
      </c>
      <c r="AW174" s="700">
        <f t="shared" ref="AW174" si="163">SUM(AW175:AW181)</f>
        <v>0</v>
      </c>
      <c r="AX174" s="700">
        <f t="shared" ref="AX174" si="164">SUM(AX175:AX181)</f>
        <v>0</v>
      </c>
    </row>
    <row r="175" spans="2:50" ht="13.2" x14ac:dyDescent="0.2">
      <c r="B175" s="290" t="str">
        <f>CHIFFRAGE_TC!B176</f>
        <v>Zona de almacenamiento de tipo local industrial</v>
      </c>
      <c r="C175" s="16">
        <f>CHIFFRAGE_TC!D176</f>
        <v>50</v>
      </c>
      <c r="E175" s="712">
        <f>CHIFFRAGE_TC!$L176*CHIFFRAGE_TC!$T176</f>
        <v>0</v>
      </c>
      <c r="F175" s="715">
        <f>CHIFFRAGE_TC!$L176*CHIFFRAGE_TC!$U176</f>
        <v>416877.72737411043</v>
      </c>
      <c r="G175" s="715">
        <f>CHIFFRAGE_TC!$L176*CHIFFRAGE_TC!$V176</f>
        <v>1250633.1821223313</v>
      </c>
      <c r="H175" s="716">
        <f>CHIFFRAGE_TC!$L176*CHIFFRAGE_TC!$W176</f>
        <v>0</v>
      </c>
      <c r="I175" s="709">
        <v>0</v>
      </c>
      <c r="J175" s="709">
        <v>0</v>
      </c>
      <c r="K175" s="709">
        <v>0</v>
      </c>
      <c r="L175" s="709">
        <v>0</v>
      </c>
      <c r="M175" s="709">
        <v>0</v>
      </c>
      <c r="N175" s="709">
        <v>0</v>
      </c>
      <c r="O175" s="709">
        <v>0</v>
      </c>
      <c r="P175" s="709">
        <v>0</v>
      </c>
      <c r="Q175" s="709">
        <v>0</v>
      </c>
      <c r="R175" s="709">
        <v>0</v>
      </c>
      <c r="S175" s="709">
        <v>0</v>
      </c>
      <c r="T175" s="709">
        <v>0</v>
      </c>
      <c r="U175" s="709">
        <v>0</v>
      </c>
      <c r="V175" s="709">
        <v>0</v>
      </c>
      <c r="W175" s="709">
        <v>0</v>
      </c>
      <c r="X175" s="709">
        <v>0</v>
      </c>
      <c r="Y175" s="709">
        <v>0</v>
      </c>
      <c r="Z175" s="709">
        <v>0</v>
      </c>
      <c r="AA175" s="709">
        <v>0</v>
      </c>
      <c r="AB175" s="709">
        <v>0</v>
      </c>
      <c r="AC175" s="709">
        <v>0</v>
      </c>
      <c r="AD175" s="709">
        <v>0</v>
      </c>
      <c r="AE175" s="709">
        <v>0</v>
      </c>
      <c r="AF175" s="709">
        <v>0</v>
      </c>
      <c r="AG175" s="709">
        <v>0</v>
      </c>
      <c r="AH175" s="709">
        <v>0</v>
      </c>
      <c r="AI175" s="709">
        <v>0</v>
      </c>
      <c r="AJ175" s="709">
        <v>0</v>
      </c>
      <c r="AK175" s="709">
        <v>0</v>
      </c>
      <c r="AL175" s="709">
        <v>0</v>
      </c>
      <c r="AM175" s="709">
        <v>0</v>
      </c>
      <c r="AN175" s="709">
        <v>0</v>
      </c>
      <c r="AO175" s="709">
        <v>0</v>
      </c>
      <c r="AP175" s="709">
        <v>0</v>
      </c>
      <c r="AQ175" s="709">
        <v>0</v>
      </c>
      <c r="AR175" s="709">
        <v>0</v>
      </c>
      <c r="AS175" s="709">
        <v>0</v>
      </c>
      <c r="AT175" s="709">
        <v>0</v>
      </c>
      <c r="AU175" s="709">
        <v>0</v>
      </c>
      <c r="AV175" s="709">
        <v>0</v>
      </c>
      <c r="AW175" s="709">
        <v>0</v>
      </c>
      <c r="AX175" s="709">
        <v>0</v>
      </c>
    </row>
    <row r="176" spans="2:50" ht="13.2" x14ac:dyDescent="0.2">
      <c r="B176" s="290" t="str">
        <f>CHIFFRAGE_TC!B177</f>
        <v>Almacen y taller</v>
      </c>
      <c r="C176" s="16">
        <f>CHIFFRAGE_TC!D177</f>
        <v>50</v>
      </c>
      <c r="E176" s="712">
        <f>CHIFFRAGE_TC!$L177*CHIFFRAGE_TC!$T177</f>
        <v>0</v>
      </c>
      <c r="F176" s="715">
        <f>CHIFFRAGE_TC!$L177*CHIFFRAGE_TC!$U177</f>
        <v>62038.202696695276</v>
      </c>
      <c r="G176" s="715">
        <f>CHIFFRAGE_TC!$L177*CHIFFRAGE_TC!$V177</f>
        <v>186114.60809008582</v>
      </c>
      <c r="H176" s="716">
        <f>CHIFFRAGE_TC!$L177*CHIFFRAGE_TC!$W177</f>
        <v>0</v>
      </c>
      <c r="I176" s="709">
        <v>0</v>
      </c>
      <c r="J176" s="709">
        <v>0</v>
      </c>
      <c r="K176" s="709">
        <v>0</v>
      </c>
      <c r="L176" s="709">
        <v>0</v>
      </c>
      <c r="M176" s="709">
        <v>0</v>
      </c>
      <c r="N176" s="709">
        <v>0</v>
      </c>
      <c r="O176" s="709">
        <v>0</v>
      </c>
      <c r="P176" s="709">
        <v>0</v>
      </c>
      <c r="Q176" s="709">
        <v>0</v>
      </c>
      <c r="R176" s="709">
        <v>0</v>
      </c>
      <c r="S176" s="709">
        <v>0</v>
      </c>
      <c r="T176" s="709">
        <v>0</v>
      </c>
      <c r="U176" s="709">
        <v>0</v>
      </c>
      <c r="V176" s="709">
        <v>0</v>
      </c>
      <c r="W176" s="709">
        <v>0</v>
      </c>
      <c r="X176" s="709">
        <v>0</v>
      </c>
      <c r="Y176" s="709">
        <v>0</v>
      </c>
      <c r="Z176" s="709">
        <v>0</v>
      </c>
      <c r="AA176" s="709">
        <v>0</v>
      </c>
      <c r="AB176" s="709">
        <v>0</v>
      </c>
      <c r="AC176" s="709">
        <v>0</v>
      </c>
      <c r="AD176" s="709">
        <v>0</v>
      </c>
      <c r="AE176" s="709">
        <v>0</v>
      </c>
      <c r="AF176" s="709">
        <v>0</v>
      </c>
      <c r="AG176" s="709">
        <v>0</v>
      </c>
      <c r="AH176" s="709">
        <v>0</v>
      </c>
      <c r="AI176" s="709">
        <v>0</v>
      </c>
      <c r="AJ176" s="709">
        <v>0</v>
      </c>
      <c r="AK176" s="709">
        <v>0</v>
      </c>
      <c r="AL176" s="709">
        <v>0</v>
      </c>
      <c r="AM176" s="709">
        <v>0</v>
      </c>
      <c r="AN176" s="709">
        <v>0</v>
      </c>
      <c r="AO176" s="709">
        <v>0</v>
      </c>
      <c r="AP176" s="709">
        <v>0</v>
      </c>
      <c r="AQ176" s="709">
        <v>0</v>
      </c>
      <c r="AR176" s="709">
        <v>0</v>
      </c>
      <c r="AS176" s="709">
        <v>0</v>
      </c>
      <c r="AT176" s="709">
        <v>0</v>
      </c>
      <c r="AU176" s="709">
        <v>0</v>
      </c>
      <c r="AV176" s="709">
        <v>0</v>
      </c>
      <c r="AW176" s="709">
        <v>0</v>
      </c>
      <c r="AX176" s="709">
        <v>0</v>
      </c>
    </row>
    <row r="177" spans="2:50" ht="13.2" x14ac:dyDescent="0.2">
      <c r="B177" s="290" t="str">
        <f>CHIFFRAGE_TC!B178</f>
        <v>Local de supervision</v>
      </c>
      <c r="C177" s="16">
        <f>CHIFFRAGE_TC!D178</f>
        <v>50</v>
      </c>
      <c r="E177" s="712">
        <f>CHIFFRAGE_TC!$L178*CHIFFRAGE_TC!$T178</f>
        <v>0</v>
      </c>
      <c r="F177" s="715">
        <f>CHIFFRAGE_TC!$L178*CHIFFRAGE_TC!$U178</f>
        <v>37222.921618017164</v>
      </c>
      <c r="G177" s="715">
        <f>CHIFFRAGE_TC!$L178*CHIFFRAGE_TC!$V178</f>
        <v>111668.76485405149</v>
      </c>
      <c r="H177" s="716">
        <f>CHIFFRAGE_TC!$L178*CHIFFRAGE_TC!$W178</f>
        <v>0</v>
      </c>
      <c r="I177" s="709">
        <v>0</v>
      </c>
      <c r="J177" s="709">
        <v>0</v>
      </c>
      <c r="K177" s="709">
        <v>0</v>
      </c>
      <c r="L177" s="709">
        <v>0</v>
      </c>
      <c r="M177" s="709">
        <v>0</v>
      </c>
      <c r="N177" s="709">
        <v>0</v>
      </c>
      <c r="O177" s="709">
        <v>0</v>
      </c>
      <c r="P177" s="709">
        <v>0</v>
      </c>
      <c r="Q177" s="709">
        <v>0</v>
      </c>
      <c r="R177" s="709">
        <v>0</v>
      </c>
      <c r="S177" s="709">
        <v>0</v>
      </c>
      <c r="T177" s="709">
        <v>0</v>
      </c>
      <c r="U177" s="709">
        <v>0</v>
      </c>
      <c r="V177" s="709">
        <v>0</v>
      </c>
      <c r="W177" s="709">
        <v>0</v>
      </c>
      <c r="X177" s="709">
        <v>0</v>
      </c>
      <c r="Y177" s="709">
        <v>0</v>
      </c>
      <c r="Z177" s="709">
        <v>0</v>
      </c>
      <c r="AA177" s="709">
        <v>0</v>
      </c>
      <c r="AB177" s="709">
        <v>0</v>
      </c>
      <c r="AC177" s="709">
        <v>0</v>
      </c>
      <c r="AD177" s="709">
        <v>0</v>
      </c>
      <c r="AE177" s="709">
        <v>0</v>
      </c>
      <c r="AF177" s="709">
        <v>0</v>
      </c>
      <c r="AG177" s="709">
        <v>0</v>
      </c>
      <c r="AH177" s="709">
        <v>0</v>
      </c>
      <c r="AI177" s="709">
        <v>0</v>
      </c>
      <c r="AJ177" s="709">
        <v>0</v>
      </c>
      <c r="AK177" s="709">
        <v>0</v>
      </c>
      <c r="AL177" s="709">
        <v>0</v>
      </c>
      <c r="AM177" s="709">
        <v>0</v>
      </c>
      <c r="AN177" s="709">
        <v>0</v>
      </c>
      <c r="AO177" s="709">
        <v>0</v>
      </c>
      <c r="AP177" s="709">
        <v>0</v>
      </c>
      <c r="AQ177" s="709">
        <v>0</v>
      </c>
      <c r="AR177" s="709">
        <v>0</v>
      </c>
      <c r="AS177" s="709">
        <v>0</v>
      </c>
      <c r="AT177" s="709">
        <v>0</v>
      </c>
      <c r="AU177" s="709">
        <v>0</v>
      </c>
      <c r="AV177" s="709">
        <v>0</v>
      </c>
      <c r="AW177" s="709">
        <v>0</v>
      </c>
      <c r="AX177" s="709">
        <v>0</v>
      </c>
    </row>
    <row r="178" spans="2:50" ht="13.2" x14ac:dyDescent="0.2">
      <c r="B178" s="290" t="str">
        <f>CHIFFRAGE_TC!B179</f>
        <v>Transporte cabinas</v>
      </c>
      <c r="C178" s="16">
        <f>CHIFFRAGE_TC!D179</f>
        <v>40</v>
      </c>
      <c r="E178" s="712">
        <f>CHIFFRAGE_TC!$L179*CHIFFRAGE_TC!$T179</f>
        <v>0</v>
      </c>
      <c r="F178" s="715">
        <f>CHIFFRAGE_TC!$L179*CHIFFRAGE_TC!$U179</f>
        <v>692827.95961124217</v>
      </c>
      <c r="G178" s="715">
        <f>CHIFFRAGE_TC!$L179*CHIFFRAGE_TC!$V179</f>
        <v>1385655.9192224843</v>
      </c>
      <c r="H178" s="716">
        <f>CHIFFRAGE_TC!$L179*CHIFFRAGE_TC!$W179</f>
        <v>692827.95961124217</v>
      </c>
      <c r="I178" s="709">
        <v>0</v>
      </c>
      <c r="J178" s="709">
        <v>0</v>
      </c>
      <c r="K178" s="709">
        <v>0</v>
      </c>
      <c r="L178" s="709">
        <v>0</v>
      </c>
      <c r="M178" s="709">
        <v>0</v>
      </c>
      <c r="N178" s="709">
        <v>0</v>
      </c>
      <c r="O178" s="709">
        <v>0</v>
      </c>
      <c r="P178" s="709">
        <v>0</v>
      </c>
      <c r="Q178" s="709">
        <v>0</v>
      </c>
      <c r="R178" s="709">
        <v>0</v>
      </c>
      <c r="S178" s="709">
        <v>0</v>
      </c>
      <c r="T178" s="709">
        <v>0</v>
      </c>
      <c r="U178" s="709">
        <v>0</v>
      </c>
      <c r="V178" s="709">
        <v>0</v>
      </c>
      <c r="W178" s="709">
        <v>0</v>
      </c>
      <c r="X178" s="709">
        <v>0</v>
      </c>
      <c r="Y178" s="709">
        <v>0</v>
      </c>
      <c r="Z178" s="709">
        <v>0</v>
      </c>
      <c r="AA178" s="709">
        <v>0</v>
      </c>
      <c r="AB178" s="709">
        <v>0</v>
      </c>
      <c r="AC178" s="709">
        <v>0</v>
      </c>
      <c r="AD178" s="709">
        <v>0</v>
      </c>
      <c r="AE178" s="709">
        <v>0</v>
      </c>
      <c r="AF178" s="709">
        <v>0</v>
      </c>
      <c r="AG178" s="709">
        <v>0</v>
      </c>
      <c r="AH178" s="709">
        <v>0</v>
      </c>
      <c r="AI178" s="709">
        <v>0</v>
      </c>
      <c r="AJ178" s="709">
        <v>0</v>
      </c>
      <c r="AK178" s="709">
        <v>0</v>
      </c>
      <c r="AL178" s="709">
        <v>0</v>
      </c>
      <c r="AM178" s="709">
        <v>0</v>
      </c>
      <c r="AN178" s="709">
        <v>0</v>
      </c>
      <c r="AO178" s="709">
        <v>0</v>
      </c>
      <c r="AP178" s="709">
        <v>0</v>
      </c>
      <c r="AQ178" s="709">
        <v>0</v>
      </c>
      <c r="AR178" s="709">
        <v>0</v>
      </c>
      <c r="AS178" s="709">
        <v>0</v>
      </c>
      <c r="AT178" s="709">
        <v>0</v>
      </c>
      <c r="AU178" s="709">
        <v>0</v>
      </c>
      <c r="AV178" s="709">
        <v>0</v>
      </c>
      <c r="AW178" s="709">
        <v>0</v>
      </c>
      <c r="AX178" s="709">
        <v>0</v>
      </c>
    </row>
    <row r="179" spans="2:50" ht="13.2" x14ac:dyDescent="0.2">
      <c r="B179" s="290" t="str">
        <f>CHIFFRAGE_TC!B180</f>
        <v>Instrumentos, elevador y piezas de recambio</v>
      </c>
      <c r="C179" s="16">
        <f>CHIFFRAGE_TC!D180</f>
        <v>15</v>
      </c>
      <c r="E179" s="712">
        <f>CHIFFRAGE_TC!$L180*CHIFFRAGE_TC!$T180</f>
        <v>0</v>
      </c>
      <c r="F179" s="715">
        <f>CHIFFRAGE_TC!$L180*CHIFFRAGE_TC!$U180</f>
        <v>0</v>
      </c>
      <c r="G179" s="715">
        <f>CHIFFRAGE_TC!$L180*CHIFFRAGE_TC!$V180</f>
        <v>108615.91990921872</v>
      </c>
      <c r="H179" s="716">
        <f>CHIFFRAGE_TC!$L180*CHIFFRAGE_TC!$W180</f>
        <v>36205.30663640624</v>
      </c>
      <c r="I179" s="709">
        <v>0</v>
      </c>
      <c r="J179" s="709">
        <v>0</v>
      </c>
      <c r="K179" s="709">
        <v>0</v>
      </c>
      <c r="L179" s="709">
        <v>0</v>
      </c>
      <c r="M179" s="709">
        <v>0</v>
      </c>
      <c r="N179" s="709">
        <v>0</v>
      </c>
      <c r="O179" s="709">
        <v>0</v>
      </c>
      <c r="P179" s="709">
        <v>0</v>
      </c>
      <c r="Q179" s="709">
        <v>0</v>
      </c>
      <c r="R179" s="709">
        <v>0</v>
      </c>
      <c r="S179" s="709">
        <v>0</v>
      </c>
      <c r="T179" s="709">
        <v>0</v>
      </c>
      <c r="U179" s="709">
        <v>0</v>
      </c>
      <c r="V179" s="709">
        <v>0</v>
      </c>
      <c r="W179" s="729">
        <f>F179</f>
        <v>0</v>
      </c>
      <c r="X179" s="729">
        <f>G179</f>
        <v>108615.91990921872</v>
      </c>
      <c r="Y179" s="729">
        <f>H179</f>
        <v>36205.30663640624</v>
      </c>
      <c r="Z179" s="709">
        <v>0</v>
      </c>
      <c r="AA179" s="709">
        <v>0</v>
      </c>
      <c r="AB179" s="709">
        <v>0</v>
      </c>
      <c r="AC179" s="709">
        <v>0</v>
      </c>
      <c r="AD179" s="709">
        <v>0</v>
      </c>
      <c r="AE179" s="709">
        <v>0</v>
      </c>
      <c r="AF179" s="709">
        <v>0</v>
      </c>
      <c r="AG179" s="709">
        <v>0</v>
      </c>
      <c r="AH179" s="709">
        <v>0</v>
      </c>
      <c r="AI179" s="709">
        <v>0</v>
      </c>
      <c r="AJ179" s="709">
        <v>0</v>
      </c>
      <c r="AK179" s="709">
        <v>0</v>
      </c>
      <c r="AL179" s="709">
        <v>0</v>
      </c>
      <c r="AM179" s="709">
        <v>0</v>
      </c>
      <c r="AN179" s="709">
        <v>0</v>
      </c>
      <c r="AO179" s="709">
        <v>0</v>
      </c>
      <c r="AP179" s="709">
        <v>0</v>
      </c>
      <c r="AQ179" s="709">
        <v>0</v>
      </c>
      <c r="AR179" s="709">
        <v>0</v>
      </c>
      <c r="AS179" s="709">
        <v>0</v>
      </c>
      <c r="AT179" s="709">
        <v>0</v>
      </c>
      <c r="AU179" s="709">
        <v>0</v>
      </c>
      <c r="AV179" s="709">
        <v>0</v>
      </c>
      <c r="AW179" s="709">
        <v>0</v>
      </c>
      <c r="AX179" s="709">
        <v>0</v>
      </c>
    </row>
    <row r="180" spans="2:50" ht="13.2" x14ac:dyDescent="0.2">
      <c r="B180" s="290" t="str">
        <f>CHIFFRAGE_TC!B181</f>
        <v>Ascensores inclinados para las cabinas</v>
      </c>
      <c r="C180" s="16">
        <f>CHIFFRAGE_TC!D181</f>
        <v>40</v>
      </c>
      <c r="E180" s="712">
        <f>CHIFFRAGE_TC!$L181*CHIFFRAGE_TC!$T181</f>
        <v>0</v>
      </c>
      <c r="F180" s="715">
        <f>CHIFFRAGE_TC!$L181*CHIFFRAGE_TC!$U181</f>
        <v>181940.11544412875</v>
      </c>
      <c r="G180" s="715">
        <f>CHIFFRAGE_TC!$L181*CHIFFRAGE_TC!$V181</f>
        <v>363880.2308882575</v>
      </c>
      <c r="H180" s="716">
        <f>CHIFFRAGE_TC!$L181*CHIFFRAGE_TC!$W181</f>
        <v>181940.11544412875</v>
      </c>
      <c r="I180" s="709">
        <v>0</v>
      </c>
      <c r="J180" s="709">
        <v>0</v>
      </c>
      <c r="K180" s="709">
        <v>0</v>
      </c>
      <c r="L180" s="709">
        <v>0</v>
      </c>
      <c r="M180" s="709">
        <v>0</v>
      </c>
      <c r="N180" s="709">
        <v>0</v>
      </c>
      <c r="O180" s="709">
        <v>0</v>
      </c>
      <c r="P180" s="709">
        <v>0</v>
      </c>
      <c r="Q180" s="709">
        <v>0</v>
      </c>
      <c r="R180" s="709">
        <v>0</v>
      </c>
      <c r="S180" s="709">
        <v>0</v>
      </c>
      <c r="T180" s="709">
        <v>0</v>
      </c>
      <c r="U180" s="709">
        <v>0</v>
      </c>
      <c r="V180" s="709">
        <v>0</v>
      </c>
      <c r="W180" s="709">
        <v>0</v>
      </c>
      <c r="X180" s="709">
        <v>0</v>
      </c>
      <c r="Y180" s="709">
        <v>0</v>
      </c>
      <c r="Z180" s="709">
        <v>0</v>
      </c>
      <c r="AA180" s="709">
        <v>0</v>
      </c>
      <c r="AB180" s="709">
        <v>0</v>
      </c>
      <c r="AC180" s="709">
        <v>0</v>
      </c>
      <c r="AD180" s="709">
        <v>0</v>
      </c>
      <c r="AE180" s="709">
        <v>0</v>
      </c>
      <c r="AF180" s="709">
        <v>0</v>
      </c>
      <c r="AG180" s="709">
        <v>0</v>
      </c>
      <c r="AH180" s="709">
        <v>0</v>
      </c>
      <c r="AI180" s="709">
        <v>0</v>
      </c>
      <c r="AJ180" s="709">
        <v>0</v>
      </c>
      <c r="AK180" s="709">
        <v>0</v>
      </c>
      <c r="AL180" s="709">
        <v>0</v>
      </c>
      <c r="AM180" s="709">
        <v>0</v>
      </c>
      <c r="AN180" s="709">
        <v>0</v>
      </c>
      <c r="AO180" s="709">
        <v>0</v>
      </c>
      <c r="AP180" s="709">
        <v>0</v>
      </c>
      <c r="AQ180" s="709">
        <v>0</v>
      </c>
      <c r="AR180" s="709">
        <v>0</v>
      </c>
      <c r="AS180" s="709">
        <v>0</v>
      </c>
      <c r="AT180" s="709">
        <v>0</v>
      </c>
      <c r="AU180" s="709">
        <v>0</v>
      </c>
      <c r="AV180" s="709">
        <v>0</v>
      </c>
      <c r="AW180" s="709">
        <v>0</v>
      </c>
      <c r="AX180" s="709">
        <v>0</v>
      </c>
    </row>
    <row r="181" spans="2:50" ht="13.2" x14ac:dyDescent="0.2">
      <c r="B181" s="289" t="str">
        <f>CHIFFRAGE_TC!B182</f>
        <v>Adecuacion urbana 
(demolicion, reconstruccion, mobiliario urbano, paisaje)</v>
      </c>
      <c r="C181" s="16">
        <f>CHIFFRAGE_TC!D182</f>
        <v>50</v>
      </c>
      <c r="E181" s="712">
        <f>CHIFFRAGE_TC!$L182*CHIFFRAGE_TC!$T182</f>
        <v>0</v>
      </c>
      <c r="F181" s="715">
        <f>CHIFFRAGE_TC!$L182*CHIFFRAGE_TC!$U182</f>
        <v>0</v>
      </c>
      <c r="G181" s="715">
        <f>CHIFFRAGE_TC!$L182*CHIFFRAGE_TC!$V182</f>
        <v>0</v>
      </c>
      <c r="H181" s="716">
        <f>CHIFFRAGE_TC!$L182*CHIFFRAGE_TC!$W182</f>
        <v>0</v>
      </c>
      <c r="I181" s="709">
        <v>0</v>
      </c>
      <c r="J181" s="709">
        <v>0</v>
      </c>
      <c r="K181" s="709">
        <v>0</v>
      </c>
      <c r="L181" s="709">
        <v>0</v>
      </c>
      <c r="M181" s="709">
        <v>0</v>
      </c>
      <c r="N181" s="709">
        <v>0</v>
      </c>
      <c r="O181" s="709">
        <v>0</v>
      </c>
      <c r="P181" s="709">
        <v>0</v>
      </c>
      <c r="Q181" s="709">
        <v>0</v>
      </c>
      <c r="R181" s="709">
        <v>0</v>
      </c>
      <c r="S181" s="709">
        <v>0</v>
      </c>
      <c r="T181" s="709">
        <v>0</v>
      </c>
      <c r="U181" s="709">
        <v>0</v>
      </c>
      <c r="V181" s="709">
        <v>0</v>
      </c>
      <c r="W181" s="709">
        <v>0</v>
      </c>
      <c r="X181" s="709">
        <v>0</v>
      </c>
      <c r="Y181" s="709">
        <v>0</v>
      </c>
      <c r="Z181" s="709">
        <v>0</v>
      </c>
      <c r="AA181" s="709">
        <v>0</v>
      </c>
      <c r="AB181" s="709">
        <v>0</v>
      </c>
      <c r="AC181" s="709">
        <v>0</v>
      </c>
      <c r="AD181" s="709">
        <v>0</v>
      </c>
      <c r="AE181" s="709">
        <v>0</v>
      </c>
      <c r="AF181" s="709">
        <v>0</v>
      </c>
      <c r="AG181" s="709">
        <v>0</v>
      </c>
      <c r="AH181" s="709">
        <v>0</v>
      </c>
      <c r="AI181" s="709">
        <v>0</v>
      </c>
      <c r="AJ181" s="709">
        <v>0</v>
      </c>
      <c r="AK181" s="709">
        <v>0</v>
      </c>
      <c r="AL181" s="709">
        <v>0</v>
      </c>
      <c r="AM181" s="709">
        <v>0</v>
      </c>
      <c r="AN181" s="709">
        <v>0</v>
      </c>
      <c r="AO181" s="709">
        <v>0</v>
      </c>
      <c r="AP181" s="709">
        <v>0</v>
      </c>
      <c r="AQ181" s="709">
        <v>0</v>
      </c>
      <c r="AR181" s="709">
        <v>0</v>
      </c>
      <c r="AS181" s="709">
        <v>0</v>
      </c>
      <c r="AT181" s="709">
        <v>0</v>
      </c>
      <c r="AU181" s="709">
        <v>0</v>
      </c>
      <c r="AV181" s="709">
        <v>0</v>
      </c>
      <c r="AW181" s="709">
        <v>0</v>
      </c>
      <c r="AX181" s="709">
        <v>0</v>
      </c>
    </row>
    <row r="182" spans="2:50" ht="13.8" thickBot="1" x14ac:dyDescent="0.25">
      <c r="B182" s="290"/>
      <c r="C182" s="16"/>
      <c r="E182" s="712"/>
      <c r="F182" s="715"/>
      <c r="G182" s="715"/>
      <c r="H182" s="716"/>
      <c r="I182" s="69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</row>
    <row r="183" spans="2:50" ht="16.2" thickBot="1" x14ac:dyDescent="0.25">
      <c r="B183" s="295" t="str">
        <f>CHIFFRAGE_TC!B184</f>
        <v>Operaciones adicionales : estacionamiento incitativo y buses</v>
      </c>
      <c r="C183" s="16"/>
      <c r="D183" s="725">
        <f>CHIFFRAGE_TC!J184</f>
        <v>0.17757854933484599</v>
      </c>
      <c r="E183" s="209">
        <f>SUM(E184:E190)</f>
        <v>0</v>
      </c>
      <c r="F183" s="196">
        <f>SUM(F184:F190)</f>
        <v>0</v>
      </c>
      <c r="G183" s="196">
        <f>SUM(G184:G190)</f>
        <v>2077580.6896937499</v>
      </c>
      <c r="H183" s="197">
        <f>SUM(H184:H190)</f>
        <v>2589544.8220937494</v>
      </c>
      <c r="I183" s="698">
        <f t="shared" ref="I183:AN183" si="165">SUM(I184:I190)</f>
        <v>0</v>
      </c>
      <c r="J183" s="699">
        <f t="shared" si="165"/>
        <v>0</v>
      </c>
      <c r="K183" s="699">
        <f t="shared" si="165"/>
        <v>0</v>
      </c>
      <c r="L183" s="699">
        <f t="shared" si="165"/>
        <v>0</v>
      </c>
      <c r="M183" s="699">
        <f t="shared" si="165"/>
        <v>0</v>
      </c>
      <c r="N183" s="699">
        <f t="shared" si="165"/>
        <v>0</v>
      </c>
      <c r="O183" s="699">
        <f t="shared" si="165"/>
        <v>0</v>
      </c>
      <c r="P183" s="699">
        <f t="shared" si="165"/>
        <v>0</v>
      </c>
      <c r="Q183" s="699">
        <f t="shared" si="165"/>
        <v>0</v>
      </c>
      <c r="R183" s="699">
        <f t="shared" si="165"/>
        <v>2077580.6896937499</v>
      </c>
      <c r="S183" s="699">
        <f t="shared" si="165"/>
        <v>2589544.8220937494</v>
      </c>
      <c r="T183" s="699">
        <f t="shared" si="165"/>
        <v>0</v>
      </c>
      <c r="U183" s="699">
        <f t="shared" si="165"/>
        <v>0</v>
      </c>
      <c r="V183" s="699">
        <f t="shared" si="165"/>
        <v>0</v>
      </c>
      <c r="W183" s="699">
        <f t="shared" si="165"/>
        <v>0</v>
      </c>
      <c r="X183" s="699">
        <f t="shared" si="165"/>
        <v>0</v>
      </c>
      <c r="Y183" s="699">
        <f t="shared" si="165"/>
        <v>0</v>
      </c>
      <c r="Z183" s="699">
        <f t="shared" si="165"/>
        <v>0</v>
      </c>
      <c r="AA183" s="699">
        <f t="shared" si="165"/>
        <v>0</v>
      </c>
      <c r="AB183" s="699">
        <f t="shared" si="165"/>
        <v>0</v>
      </c>
      <c r="AC183" s="699">
        <f t="shared" si="165"/>
        <v>2077580.6896937499</v>
      </c>
      <c r="AD183" s="699">
        <f t="shared" si="165"/>
        <v>2589544.8220937494</v>
      </c>
      <c r="AE183" s="699">
        <f t="shared" si="165"/>
        <v>0</v>
      </c>
      <c r="AF183" s="699">
        <f t="shared" si="165"/>
        <v>0</v>
      </c>
      <c r="AG183" s="699">
        <f t="shared" si="165"/>
        <v>0</v>
      </c>
      <c r="AH183" s="699">
        <f t="shared" si="165"/>
        <v>0</v>
      </c>
      <c r="AI183" s="699">
        <f t="shared" si="165"/>
        <v>0</v>
      </c>
      <c r="AJ183" s="699">
        <f t="shared" si="165"/>
        <v>0</v>
      </c>
      <c r="AK183" s="699">
        <f t="shared" si="165"/>
        <v>0</v>
      </c>
      <c r="AL183" s="699">
        <f t="shared" si="165"/>
        <v>0</v>
      </c>
      <c r="AM183" s="699">
        <f t="shared" si="165"/>
        <v>0</v>
      </c>
      <c r="AN183" s="700">
        <f t="shared" si="165"/>
        <v>2077580.6896937499</v>
      </c>
      <c r="AO183" s="700">
        <f t="shared" ref="AO183" si="166">SUM(AO184:AO190)</f>
        <v>2589544.8220937494</v>
      </c>
      <c r="AP183" s="700">
        <f t="shared" ref="AP183" si="167">SUM(AP184:AP190)</f>
        <v>0</v>
      </c>
      <c r="AQ183" s="700">
        <f t="shared" ref="AQ183" si="168">SUM(AQ184:AQ190)</f>
        <v>0</v>
      </c>
      <c r="AR183" s="700">
        <f t="shared" ref="AR183" si="169">SUM(AR184:AR190)</f>
        <v>0</v>
      </c>
      <c r="AS183" s="700">
        <f t="shared" ref="AS183" si="170">SUM(AS184:AS190)</f>
        <v>0</v>
      </c>
      <c r="AT183" s="700">
        <f t="shared" ref="AT183" si="171">SUM(AT184:AT190)</f>
        <v>0</v>
      </c>
      <c r="AU183" s="700">
        <f t="shared" ref="AU183" si="172">SUM(AU184:AU190)</f>
        <v>0</v>
      </c>
      <c r="AV183" s="700">
        <f t="shared" ref="AV183" si="173">SUM(AV184:AV190)</f>
        <v>0</v>
      </c>
      <c r="AW183" s="700">
        <f t="shared" ref="AW183" si="174">SUM(AW184:AW190)</f>
        <v>0</v>
      </c>
      <c r="AX183" s="700">
        <f t="shared" ref="AX183" si="175">SUM(AX184:AX190)</f>
        <v>0</v>
      </c>
    </row>
    <row r="184" spans="2:50" ht="13.2" x14ac:dyDescent="0.2">
      <c r="B184" s="290" t="str">
        <f>CHIFFRAGE_TC!B185</f>
        <v>Estacionamiento incitativo</v>
      </c>
      <c r="C184" s="16">
        <f>CHIFFRAGE_TC!D185</f>
        <v>10</v>
      </c>
      <c r="E184" s="712">
        <f>CHIFFRAGE_TC!$L185*CHIFFRAGE_TC!$T185</f>
        <v>0</v>
      </c>
      <c r="F184" s="715">
        <f>CHIFFRAGE_TC!$L185*CHIFFRAGE_TC!$U185</f>
        <v>0</v>
      </c>
      <c r="G184" s="715">
        <f>CHIFFRAGE_TC!$L185*CHIFFRAGE_TC!$V185</f>
        <v>189947.47681874994</v>
      </c>
      <c r="H184" s="716">
        <f>CHIFFRAGE_TC!$L185*CHIFFRAGE_TC!$W185</f>
        <v>189947.47681874994</v>
      </c>
      <c r="I184" s="709">
        <v>0</v>
      </c>
      <c r="J184" s="709">
        <v>0</v>
      </c>
      <c r="K184" s="709">
        <v>0</v>
      </c>
      <c r="L184" s="709">
        <v>0</v>
      </c>
      <c r="M184" s="709">
        <v>0</v>
      </c>
      <c r="N184" s="709">
        <v>0</v>
      </c>
      <c r="O184" s="709">
        <v>0</v>
      </c>
      <c r="P184" s="709">
        <v>0</v>
      </c>
      <c r="Q184" s="709">
        <v>0</v>
      </c>
      <c r="R184" s="729">
        <f>G184</f>
        <v>189947.47681874994</v>
      </c>
      <c r="S184" s="729">
        <f>H184</f>
        <v>189947.47681874994</v>
      </c>
      <c r="T184" s="709">
        <v>0</v>
      </c>
      <c r="U184" s="709">
        <v>0</v>
      </c>
      <c r="V184" s="709">
        <v>0</v>
      </c>
      <c r="W184" s="709">
        <v>0</v>
      </c>
      <c r="X184" s="709">
        <v>0</v>
      </c>
      <c r="Y184" s="709">
        <v>0</v>
      </c>
      <c r="Z184" s="709">
        <v>0</v>
      </c>
      <c r="AA184" s="709">
        <v>0</v>
      </c>
      <c r="AB184" s="709">
        <v>0</v>
      </c>
      <c r="AC184" s="729">
        <f>G184</f>
        <v>189947.47681874994</v>
      </c>
      <c r="AD184" s="729">
        <f>H184</f>
        <v>189947.47681874994</v>
      </c>
      <c r="AE184" s="709">
        <v>0</v>
      </c>
      <c r="AF184" s="709">
        <v>0</v>
      </c>
      <c r="AG184" s="709">
        <v>0</v>
      </c>
      <c r="AH184" s="709">
        <v>0</v>
      </c>
      <c r="AI184" s="709">
        <v>0</v>
      </c>
      <c r="AJ184" s="709">
        <v>0</v>
      </c>
      <c r="AK184" s="709">
        <v>0</v>
      </c>
      <c r="AL184" s="709">
        <v>0</v>
      </c>
      <c r="AM184" s="709">
        <v>0</v>
      </c>
      <c r="AN184" s="729">
        <f>G184</f>
        <v>189947.47681874994</v>
      </c>
      <c r="AO184" s="729">
        <f>H184</f>
        <v>189947.47681874994</v>
      </c>
      <c r="AP184" s="709">
        <v>0</v>
      </c>
      <c r="AQ184" s="709">
        <v>0</v>
      </c>
      <c r="AR184" s="709">
        <v>0</v>
      </c>
      <c r="AS184" s="709">
        <v>0</v>
      </c>
      <c r="AT184" s="709">
        <v>0</v>
      </c>
      <c r="AU184" s="709">
        <v>0</v>
      </c>
      <c r="AV184" s="709">
        <v>0</v>
      </c>
      <c r="AW184" s="709">
        <v>0</v>
      </c>
      <c r="AX184" s="709">
        <v>0</v>
      </c>
    </row>
    <row r="185" spans="2:50" ht="13.2" x14ac:dyDescent="0.2">
      <c r="B185" s="290" t="str">
        <f>CHIFFRAGE_TC!B186</f>
        <v>Creacion de vias de acceso en Samborondon</v>
      </c>
      <c r="C185" s="16">
        <f>CHIFFRAGE_TC!D186</f>
        <v>10</v>
      </c>
      <c r="E185" s="712">
        <f>CHIFFRAGE_TC!$L186*CHIFFRAGE_TC!$T186</f>
        <v>0</v>
      </c>
      <c r="F185" s="715">
        <f>CHIFFRAGE_TC!$L186*CHIFFRAGE_TC!$U186</f>
        <v>0</v>
      </c>
      <c r="G185" s="715">
        <f>CHIFFRAGE_TC!$L186*CHIFFRAGE_TC!$V186</f>
        <v>197633.21287499991</v>
      </c>
      <c r="H185" s="716">
        <f>CHIFFRAGE_TC!$L186*CHIFFRAGE_TC!$W186</f>
        <v>197633.21287499991</v>
      </c>
      <c r="I185" s="709">
        <v>0</v>
      </c>
      <c r="J185" s="709">
        <v>0</v>
      </c>
      <c r="K185" s="709">
        <v>0</v>
      </c>
      <c r="L185" s="709">
        <v>0</v>
      </c>
      <c r="M185" s="709">
        <v>0</v>
      </c>
      <c r="N185" s="709">
        <v>0</v>
      </c>
      <c r="O185" s="709">
        <v>0</v>
      </c>
      <c r="P185" s="709">
        <v>0</v>
      </c>
      <c r="Q185" s="709">
        <v>0</v>
      </c>
      <c r="R185" s="729">
        <f>G185</f>
        <v>197633.21287499991</v>
      </c>
      <c r="S185" s="729">
        <f>H185</f>
        <v>197633.21287499991</v>
      </c>
      <c r="T185" s="709">
        <v>0</v>
      </c>
      <c r="U185" s="709">
        <v>0</v>
      </c>
      <c r="V185" s="709">
        <v>0</v>
      </c>
      <c r="W185" s="709">
        <v>0</v>
      </c>
      <c r="X185" s="709">
        <v>0</v>
      </c>
      <c r="Y185" s="709">
        <v>0</v>
      </c>
      <c r="Z185" s="709">
        <v>0</v>
      </c>
      <c r="AA185" s="709">
        <v>0</v>
      </c>
      <c r="AB185" s="709">
        <v>0</v>
      </c>
      <c r="AC185" s="729">
        <f t="shared" ref="AC185:AC190" si="176">G185</f>
        <v>197633.21287499991</v>
      </c>
      <c r="AD185" s="729">
        <f t="shared" ref="AD185:AD190" si="177">H185</f>
        <v>197633.21287499991</v>
      </c>
      <c r="AE185" s="709">
        <v>0</v>
      </c>
      <c r="AF185" s="709">
        <v>0</v>
      </c>
      <c r="AG185" s="709">
        <v>0</v>
      </c>
      <c r="AH185" s="709">
        <v>0</v>
      </c>
      <c r="AI185" s="709">
        <v>0</v>
      </c>
      <c r="AJ185" s="709">
        <v>0</v>
      </c>
      <c r="AK185" s="709">
        <v>0</v>
      </c>
      <c r="AL185" s="709">
        <v>0</v>
      </c>
      <c r="AM185" s="709">
        <v>0</v>
      </c>
      <c r="AN185" s="729">
        <f t="shared" ref="AN185:AN190" si="178">G185</f>
        <v>197633.21287499991</v>
      </c>
      <c r="AO185" s="729">
        <f t="shared" ref="AO185:AO190" si="179">H185</f>
        <v>197633.21287499991</v>
      </c>
      <c r="AP185" s="709">
        <v>0</v>
      </c>
      <c r="AQ185" s="709">
        <v>0</v>
      </c>
      <c r="AR185" s="709">
        <v>0</v>
      </c>
      <c r="AS185" s="709">
        <v>0</v>
      </c>
      <c r="AT185" s="709">
        <v>0</v>
      </c>
      <c r="AU185" s="709">
        <v>0</v>
      </c>
      <c r="AV185" s="709">
        <v>0</v>
      </c>
      <c r="AW185" s="709">
        <v>0</v>
      </c>
      <c r="AX185" s="709">
        <v>0</v>
      </c>
    </row>
    <row r="186" spans="2:50" ht="13.2" x14ac:dyDescent="0.2">
      <c r="B186" s="290" t="str">
        <f>CHIFFRAGE_TC!B187</f>
        <v>Compra de buses alimentadores para Samborondon (12 m)</v>
      </c>
      <c r="C186" s="16">
        <f>CHIFFRAGE_TC!D187</f>
        <v>10</v>
      </c>
      <c r="E186" s="712">
        <f>CHIFFRAGE_TC!$L187*CHIFFRAGE_TC!$T187</f>
        <v>0</v>
      </c>
      <c r="F186" s="715">
        <f>CHIFFRAGE_TC!$L187*CHIFFRAGE_TC!$U187</f>
        <v>0</v>
      </c>
      <c r="G186" s="715">
        <f>CHIFFRAGE_TC!$L187*CHIFFRAGE_TC!$V187</f>
        <v>650000</v>
      </c>
      <c r="H186" s="716">
        <f>CHIFFRAGE_TC!$L187*CHIFFRAGE_TC!$W187</f>
        <v>650000</v>
      </c>
      <c r="I186" s="709">
        <v>0</v>
      </c>
      <c r="J186" s="709">
        <v>0</v>
      </c>
      <c r="K186" s="709">
        <v>0</v>
      </c>
      <c r="L186" s="709">
        <v>0</v>
      </c>
      <c r="M186" s="709">
        <v>0</v>
      </c>
      <c r="N186" s="709">
        <v>0</v>
      </c>
      <c r="O186" s="709">
        <v>0</v>
      </c>
      <c r="P186" s="709">
        <v>0</v>
      </c>
      <c r="Q186" s="709">
        <v>0</v>
      </c>
      <c r="R186" s="729">
        <f t="shared" ref="R186:R190" si="180">G186</f>
        <v>650000</v>
      </c>
      <c r="S186" s="729">
        <f t="shared" ref="S186:S190" si="181">H186</f>
        <v>650000</v>
      </c>
      <c r="T186" s="709">
        <v>0</v>
      </c>
      <c r="U186" s="709">
        <v>0</v>
      </c>
      <c r="V186" s="709">
        <v>0</v>
      </c>
      <c r="W186" s="709">
        <v>0</v>
      </c>
      <c r="X186" s="709">
        <v>0</v>
      </c>
      <c r="Y186" s="709">
        <v>0</v>
      </c>
      <c r="Z186" s="709">
        <v>0</v>
      </c>
      <c r="AA186" s="709">
        <v>0</v>
      </c>
      <c r="AB186" s="709">
        <v>0</v>
      </c>
      <c r="AC186" s="729">
        <f t="shared" si="176"/>
        <v>650000</v>
      </c>
      <c r="AD186" s="729">
        <f t="shared" si="177"/>
        <v>650000</v>
      </c>
      <c r="AE186" s="709">
        <v>0</v>
      </c>
      <c r="AF186" s="709">
        <v>0</v>
      </c>
      <c r="AG186" s="709">
        <v>0</v>
      </c>
      <c r="AH186" s="709">
        <v>0</v>
      </c>
      <c r="AI186" s="709">
        <v>0</v>
      </c>
      <c r="AJ186" s="709">
        <v>0</v>
      </c>
      <c r="AK186" s="709">
        <v>0</v>
      </c>
      <c r="AL186" s="709">
        <v>0</v>
      </c>
      <c r="AM186" s="709">
        <v>0</v>
      </c>
      <c r="AN186" s="729">
        <f t="shared" si="178"/>
        <v>650000</v>
      </c>
      <c r="AO186" s="729">
        <f t="shared" si="179"/>
        <v>650000</v>
      </c>
      <c r="AP186" s="709">
        <v>0</v>
      </c>
      <c r="AQ186" s="709">
        <v>0</v>
      </c>
      <c r="AR186" s="709">
        <v>0</v>
      </c>
      <c r="AS186" s="709">
        <v>0</v>
      </c>
      <c r="AT186" s="709">
        <v>0</v>
      </c>
      <c r="AU186" s="709">
        <v>0</v>
      </c>
      <c r="AV186" s="709">
        <v>0</v>
      </c>
      <c r="AW186" s="709">
        <v>0</v>
      </c>
      <c r="AX186" s="709">
        <v>0</v>
      </c>
    </row>
    <row r="187" spans="2:50" ht="13.2" x14ac:dyDescent="0.2">
      <c r="B187" s="290" t="str">
        <f>CHIFFRAGE_TC!B188</f>
        <v>Compra de buses alimentadores para Duran (12 m)</v>
      </c>
      <c r="C187" s="16">
        <f>CHIFFRAGE_TC!D188</f>
        <v>10</v>
      </c>
      <c r="E187" s="712">
        <f>CHIFFRAGE_TC!$L188*CHIFFRAGE_TC!$T188</f>
        <v>0</v>
      </c>
      <c r="F187" s="715">
        <f>CHIFFRAGE_TC!$L188*CHIFFRAGE_TC!$U188</f>
        <v>0</v>
      </c>
      <c r="G187" s="715">
        <f>CHIFFRAGE_TC!$L188*CHIFFRAGE_TC!$V188</f>
        <v>1040000</v>
      </c>
      <c r="H187" s="716">
        <f>CHIFFRAGE_TC!$L188*CHIFFRAGE_TC!$W188</f>
        <v>1040000</v>
      </c>
      <c r="I187" s="709">
        <v>0</v>
      </c>
      <c r="J187" s="709">
        <v>0</v>
      </c>
      <c r="K187" s="709">
        <v>0</v>
      </c>
      <c r="L187" s="709">
        <v>0</v>
      </c>
      <c r="M187" s="709">
        <v>0</v>
      </c>
      <c r="N187" s="709">
        <v>0</v>
      </c>
      <c r="O187" s="709">
        <v>0</v>
      </c>
      <c r="P187" s="709">
        <v>0</v>
      </c>
      <c r="Q187" s="709">
        <v>0</v>
      </c>
      <c r="R187" s="729">
        <f t="shared" si="180"/>
        <v>1040000</v>
      </c>
      <c r="S187" s="729">
        <f t="shared" si="181"/>
        <v>1040000</v>
      </c>
      <c r="T187" s="709">
        <v>0</v>
      </c>
      <c r="U187" s="709">
        <v>0</v>
      </c>
      <c r="V187" s="709">
        <v>0</v>
      </c>
      <c r="W187" s="709">
        <v>0</v>
      </c>
      <c r="X187" s="709">
        <v>0</v>
      </c>
      <c r="Y187" s="709">
        <v>0</v>
      </c>
      <c r="Z187" s="709">
        <v>0</v>
      </c>
      <c r="AA187" s="709">
        <v>0</v>
      </c>
      <c r="AB187" s="709">
        <v>0</v>
      </c>
      <c r="AC187" s="729">
        <f t="shared" si="176"/>
        <v>1040000</v>
      </c>
      <c r="AD187" s="729">
        <f t="shared" si="177"/>
        <v>1040000</v>
      </c>
      <c r="AE187" s="709">
        <v>0</v>
      </c>
      <c r="AF187" s="709">
        <v>0</v>
      </c>
      <c r="AG187" s="709">
        <v>0</v>
      </c>
      <c r="AH187" s="709">
        <v>0</v>
      </c>
      <c r="AI187" s="709">
        <v>0</v>
      </c>
      <c r="AJ187" s="709">
        <v>0</v>
      </c>
      <c r="AK187" s="709">
        <v>0</v>
      </c>
      <c r="AL187" s="709">
        <v>0</v>
      </c>
      <c r="AM187" s="709">
        <v>0</v>
      </c>
      <c r="AN187" s="729">
        <f t="shared" si="178"/>
        <v>1040000</v>
      </c>
      <c r="AO187" s="729">
        <f t="shared" si="179"/>
        <v>1040000</v>
      </c>
      <c r="AP187" s="709">
        <v>0</v>
      </c>
      <c r="AQ187" s="709">
        <v>0</v>
      </c>
      <c r="AR187" s="709">
        <v>0</v>
      </c>
      <c r="AS187" s="709">
        <v>0</v>
      </c>
      <c r="AT187" s="709">
        <v>0</v>
      </c>
      <c r="AU187" s="709">
        <v>0</v>
      </c>
      <c r="AV187" s="709">
        <v>0</v>
      </c>
      <c r="AW187" s="709">
        <v>0</v>
      </c>
      <c r="AX187" s="709">
        <v>0</v>
      </c>
    </row>
    <row r="188" spans="2:50" ht="13.2" x14ac:dyDescent="0.2">
      <c r="B188" s="290" t="str">
        <f>CHIFFRAGE_TC!B189</f>
        <v>Creacion de paraderos en Samborondon</v>
      </c>
      <c r="C188" s="16">
        <f>CHIFFRAGE_TC!D189</f>
        <v>10</v>
      </c>
      <c r="E188" s="712">
        <f>CHIFFRAGE_TC!$L189*CHIFFRAGE_TC!$T189</f>
        <v>0</v>
      </c>
      <c r="F188" s="715">
        <f>CHIFFRAGE_TC!$L189*CHIFFRAGE_TC!$U189</f>
        <v>0</v>
      </c>
      <c r="G188" s="715">
        <f>CHIFFRAGE_TC!$L189*CHIFFRAGE_TC!$V189</f>
        <v>0</v>
      </c>
      <c r="H188" s="716">
        <f>CHIFFRAGE_TC!$L189*CHIFFRAGE_TC!$W189</f>
        <v>162121.97525999995</v>
      </c>
      <c r="I188" s="709">
        <v>0</v>
      </c>
      <c r="J188" s="709">
        <v>0</v>
      </c>
      <c r="K188" s="709">
        <v>0</v>
      </c>
      <c r="L188" s="709">
        <v>0</v>
      </c>
      <c r="M188" s="709">
        <v>0</v>
      </c>
      <c r="N188" s="709">
        <v>0</v>
      </c>
      <c r="O188" s="709">
        <v>0</v>
      </c>
      <c r="P188" s="709">
        <v>0</v>
      </c>
      <c r="Q188" s="709">
        <v>0</v>
      </c>
      <c r="R188" s="729">
        <f t="shared" si="180"/>
        <v>0</v>
      </c>
      <c r="S188" s="729">
        <f t="shared" si="181"/>
        <v>162121.97525999995</v>
      </c>
      <c r="T188" s="709">
        <v>0</v>
      </c>
      <c r="U188" s="709">
        <v>0</v>
      </c>
      <c r="V188" s="709">
        <v>0</v>
      </c>
      <c r="W188" s="709">
        <v>0</v>
      </c>
      <c r="X188" s="709">
        <v>0</v>
      </c>
      <c r="Y188" s="709">
        <v>0</v>
      </c>
      <c r="Z188" s="709">
        <v>0</v>
      </c>
      <c r="AA188" s="709">
        <v>0</v>
      </c>
      <c r="AB188" s="709">
        <v>0</v>
      </c>
      <c r="AC188" s="729">
        <f t="shared" si="176"/>
        <v>0</v>
      </c>
      <c r="AD188" s="729">
        <f t="shared" si="177"/>
        <v>162121.97525999995</v>
      </c>
      <c r="AE188" s="709">
        <v>0</v>
      </c>
      <c r="AF188" s="709">
        <v>0</v>
      </c>
      <c r="AG188" s="709">
        <v>0</v>
      </c>
      <c r="AH188" s="709">
        <v>0</v>
      </c>
      <c r="AI188" s="709">
        <v>0</v>
      </c>
      <c r="AJ188" s="709">
        <v>0</v>
      </c>
      <c r="AK188" s="709">
        <v>0</v>
      </c>
      <c r="AL188" s="709">
        <v>0</v>
      </c>
      <c r="AM188" s="709">
        <v>0</v>
      </c>
      <c r="AN188" s="729">
        <f t="shared" si="178"/>
        <v>0</v>
      </c>
      <c r="AO188" s="729">
        <f t="shared" si="179"/>
        <v>162121.97525999995</v>
      </c>
      <c r="AP188" s="709">
        <v>0</v>
      </c>
      <c r="AQ188" s="709">
        <v>0</v>
      </c>
      <c r="AR188" s="709">
        <v>0</v>
      </c>
      <c r="AS188" s="709">
        <v>0</v>
      </c>
      <c r="AT188" s="709">
        <v>0</v>
      </c>
      <c r="AU188" s="709">
        <v>0</v>
      </c>
      <c r="AV188" s="709">
        <v>0</v>
      </c>
      <c r="AW188" s="709">
        <v>0</v>
      </c>
      <c r="AX188" s="709">
        <v>0</v>
      </c>
    </row>
    <row r="189" spans="2:50" ht="13.2" x14ac:dyDescent="0.2">
      <c r="B189" s="290" t="str">
        <f>CHIFFRAGE_TC!B190</f>
        <v>Creacion de paraderos en Duran</v>
      </c>
      <c r="C189" s="16">
        <f>CHIFFRAGE_TC!D190</f>
        <v>10</v>
      </c>
      <c r="E189" s="712">
        <f>CHIFFRAGE_TC!$L190*CHIFFRAGE_TC!$T190</f>
        <v>0</v>
      </c>
      <c r="F189" s="715">
        <f>CHIFFRAGE_TC!$L190*CHIFFRAGE_TC!$U190</f>
        <v>0</v>
      </c>
      <c r="G189" s="715">
        <f>CHIFFRAGE_TC!$L190*CHIFFRAGE_TC!$V190</f>
        <v>0</v>
      </c>
      <c r="H189" s="716">
        <f>CHIFFRAGE_TC!$L190*CHIFFRAGE_TC!$W190</f>
        <v>307178.47943999991</v>
      </c>
      <c r="I189" s="709">
        <v>0</v>
      </c>
      <c r="J189" s="709">
        <v>0</v>
      </c>
      <c r="K189" s="709">
        <v>0</v>
      </c>
      <c r="L189" s="709">
        <v>0</v>
      </c>
      <c r="M189" s="709">
        <v>0</v>
      </c>
      <c r="N189" s="709">
        <v>0</v>
      </c>
      <c r="O189" s="709">
        <v>0</v>
      </c>
      <c r="P189" s="709">
        <v>0</v>
      </c>
      <c r="Q189" s="709">
        <v>0</v>
      </c>
      <c r="R189" s="729">
        <f t="shared" si="180"/>
        <v>0</v>
      </c>
      <c r="S189" s="729">
        <f t="shared" si="181"/>
        <v>307178.47943999991</v>
      </c>
      <c r="T189" s="709">
        <v>0</v>
      </c>
      <c r="U189" s="709">
        <v>0</v>
      </c>
      <c r="V189" s="709">
        <v>0</v>
      </c>
      <c r="W189" s="709">
        <v>0</v>
      </c>
      <c r="X189" s="709">
        <v>0</v>
      </c>
      <c r="Y189" s="709">
        <v>0</v>
      </c>
      <c r="Z189" s="709">
        <v>0</v>
      </c>
      <c r="AA189" s="709">
        <v>0</v>
      </c>
      <c r="AB189" s="709">
        <v>0</v>
      </c>
      <c r="AC189" s="729">
        <f t="shared" si="176"/>
        <v>0</v>
      </c>
      <c r="AD189" s="729">
        <f t="shared" si="177"/>
        <v>307178.47943999991</v>
      </c>
      <c r="AE189" s="709">
        <v>0</v>
      </c>
      <c r="AF189" s="709">
        <v>0</v>
      </c>
      <c r="AG189" s="709">
        <v>0</v>
      </c>
      <c r="AH189" s="709">
        <v>0</v>
      </c>
      <c r="AI189" s="709">
        <v>0</v>
      </c>
      <c r="AJ189" s="709">
        <v>0</v>
      </c>
      <c r="AK189" s="709">
        <v>0</v>
      </c>
      <c r="AL189" s="709">
        <v>0</v>
      </c>
      <c r="AM189" s="709">
        <v>0</v>
      </c>
      <c r="AN189" s="729">
        <f t="shared" si="178"/>
        <v>0</v>
      </c>
      <c r="AO189" s="729">
        <f t="shared" si="179"/>
        <v>307178.47943999991</v>
      </c>
      <c r="AP189" s="709">
        <v>0</v>
      </c>
      <c r="AQ189" s="709">
        <v>0</v>
      </c>
      <c r="AR189" s="709">
        <v>0</v>
      </c>
      <c r="AS189" s="709">
        <v>0</v>
      </c>
      <c r="AT189" s="709">
        <v>0</v>
      </c>
      <c r="AU189" s="709">
        <v>0</v>
      </c>
      <c r="AV189" s="709">
        <v>0</v>
      </c>
      <c r="AW189" s="709">
        <v>0</v>
      </c>
      <c r="AX189" s="709">
        <v>0</v>
      </c>
    </row>
    <row r="190" spans="2:50" ht="13.2" x14ac:dyDescent="0.2">
      <c r="B190" s="290" t="str">
        <f>CHIFFRAGE_TC!B191</f>
        <v>Modificacion de parada de bus</v>
      </c>
      <c r="C190" s="16">
        <f>CHIFFRAGE_TC!D191</f>
        <v>10</v>
      </c>
      <c r="E190" s="712">
        <f>CHIFFRAGE_TC!$L191*CHIFFRAGE_TC!$T191</f>
        <v>0</v>
      </c>
      <c r="F190" s="715">
        <f>CHIFFRAGE_TC!$L191*CHIFFRAGE_TC!$U191</f>
        <v>0</v>
      </c>
      <c r="G190" s="715">
        <f>CHIFFRAGE_TC!$L191*CHIFFRAGE_TC!$V191</f>
        <v>0</v>
      </c>
      <c r="H190" s="716">
        <f>CHIFFRAGE_TC!$L191*CHIFFRAGE_TC!$W191</f>
        <v>42663.677699999986</v>
      </c>
      <c r="I190" s="709">
        <v>0</v>
      </c>
      <c r="J190" s="709">
        <v>0</v>
      </c>
      <c r="K190" s="709">
        <v>0</v>
      </c>
      <c r="L190" s="709">
        <v>0</v>
      </c>
      <c r="M190" s="709">
        <v>0</v>
      </c>
      <c r="N190" s="709">
        <v>0</v>
      </c>
      <c r="O190" s="709">
        <v>0</v>
      </c>
      <c r="P190" s="709">
        <v>0</v>
      </c>
      <c r="Q190" s="709">
        <v>0</v>
      </c>
      <c r="R190" s="729">
        <f t="shared" si="180"/>
        <v>0</v>
      </c>
      <c r="S190" s="729">
        <f t="shared" si="181"/>
        <v>42663.677699999986</v>
      </c>
      <c r="T190" s="709">
        <v>0</v>
      </c>
      <c r="U190" s="709">
        <v>0</v>
      </c>
      <c r="V190" s="709">
        <v>0</v>
      </c>
      <c r="W190" s="709">
        <v>0</v>
      </c>
      <c r="X190" s="709">
        <v>0</v>
      </c>
      <c r="Y190" s="709">
        <v>0</v>
      </c>
      <c r="Z190" s="709">
        <v>0</v>
      </c>
      <c r="AA190" s="709">
        <v>0</v>
      </c>
      <c r="AB190" s="709">
        <v>0</v>
      </c>
      <c r="AC190" s="729">
        <f t="shared" si="176"/>
        <v>0</v>
      </c>
      <c r="AD190" s="729">
        <f t="shared" si="177"/>
        <v>42663.677699999986</v>
      </c>
      <c r="AE190" s="709">
        <v>0</v>
      </c>
      <c r="AF190" s="709">
        <v>0</v>
      </c>
      <c r="AG190" s="709">
        <v>0</v>
      </c>
      <c r="AH190" s="709">
        <v>0</v>
      </c>
      <c r="AI190" s="709">
        <v>0</v>
      </c>
      <c r="AJ190" s="709">
        <v>0</v>
      </c>
      <c r="AK190" s="709">
        <v>0</v>
      </c>
      <c r="AL190" s="709">
        <v>0</v>
      </c>
      <c r="AM190" s="709">
        <v>0</v>
      </c>
      <c r="AN190" s="729">
        <f t="shared" si="178"/>
        <v>0</v>
      </c>
      <c r="AO190" s="729">
        <f t="shared" si="179"/>
        <v>42663.677699999986</v>
      </c>
      <c r="AP190" s="709">
        <v>0</v>
      </c>
      <c r="AQ190" s="709">
        <v>0</v>
      </c>
      <c r="AR190" s="709">
        <v>0</v>
      </c>
      <c r="AS190" s="709">
        <v>0</v>
      </c>
      <c r="AT190" s="709">
        <v>0</v>
      </c>
      <c r="AU190" s="709">
        <v>0</v>
      </c>
      <c r="AV190" s="709">
        <v>0</v>
      </c>
      <c r="AW190" s="709">
        <v>0</v>
      </c>
      <c r="AX190" s="709">
        <v>0</v>
      </c>
    </row>
    <row r="191" spans="2:50" ht="13.8" thickBot="1" x14ac:dyDescent="0.25">
      <c r="B191" s="289"/>
      <c r="C191" s="16"/>
      <c r="E191" s="712"/>
      <c r="F191" s="715"/>
      <c r="G191" s="715"/>
      <c r="H191" s="716"/>
      <c r="I191" s="69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</row>
    <row r="192" spans="2:50" ht="16.2" thickBot="1" x14ac:dyDescent="0.25">
      <c r="B192" s="296" t="str">
        <f>CHIFFRAGE_TC!B193</f>
        <v>Gastos de estudios, gestion y administracion del proyecto</v>
      </c>
      <c r="C192" s="16"/>
      <c r="D192" s="725">
        <f>CHIFFRAGE_TC!J193</f>
        <v>0.10409356616238837</v>
      </c>
      <c r="E192" s="209">
        <f>SUM(E193:E197)</f>
        <v>7217680.5455314573</v>
      </c>
      <c r="F192" s="196">
        <f>SUM(F193:F197)</f>
        <v>7217680.5455314573</v>
      </c>
      <c r="G192" s="196">
        <f>SUM(G193:G197)</f>
        <v>801964.50505905075</v>
      </c>
      <c r="H192" s="197">
        <f>SUM(H193:H197)</f>
        <v>801964.50505905075</v>
      </c>
      <c r="I192" s="698">
        <f t="shared" ref="I192:AN192" si="182">SUM(I193:I197)</f>
        <v>0</v>
      </c>
      <c r="J192" s="699">
        <f t="shared" si="182"/>
        <v>0</v>
      </c>
      <c r="K192" s="699">
        <f t="shared" si="182"/>
        <v>0</v>
      </c>
      <c r="L192" s="699">
        <f t="shared" si="182"/>
        <v>0</v>
      </c>
      <c r="M192" s="699">
        <f t="shared" si="182"/>
        <v>0</v>
      </c>
      <c r="N192" s="699">
        <f t="shared" si="182"/>
        <v>0</v>
      </c>
      <c r="O192" s="699">
        <f t="shared" si="182"/>
        <v>0</v>
      </c>
      <c r="P192" s="699">
        <f t="shared" si="182"/>
        <v>0</v>
      </c>
      <c r="Q192" s="699">
        <f t="shared" si="182"/>
        <v>0</v>
      </c>
      <c r="R192" s="699">
        <f t="shared" si="182"/>
        <v>0</v>
      </c>
      <c r="S192" s="699">
        <f t="shared" si="182"/>
        <v>0</v>
      </c>
      <c r="T192" s="699">
        <f t="shared" si="182"/>
        <v>0</v>
      </c>
      <c r="U192" s="699">
        <f t="shared" si="182"/>
        <v>0</v>
      </c>
      <c r="V192" s="699">
        <f t="shared" si="182"/>
        <v>0</v>
      </c>
      <c r="W192" s="699">
        <f t="shared" si="182"/>
        <v>0</v>
      </c>
      <c r="X192" s="699">
        <f t="shared" si="182"/>
        <v>0</v>
      </c>
      <c r="Y192" s="699">
        <f t="shared" si="182"/>
        <v>0</v>
      </c>
      <c r="Z192" s="699">
        <f t="shared" si="182"/>
        <v>0</v>
      </c>
      <c r="AA192" s="699">
        <f t="shared" si="182"/>
        <v>0</v>
      </c>
      <c r="AB192" s="699">
        <f t="shared" si="182"/>
        <v>0</v>
      </c>
      <c r="AC192" s="699">
        <f t="shared" si="182"/>
        <v>0</v>
      </c>
      <c r="AD192" s="699">
        <f t="shared" si="182"/>
        <v>0</v>
      </c>
      <c r="AE192" s="699">
        <f t="shared" si="182"/>
        <v>0</v>
      </c>
      <c r="AF192" s="699">
        <f t="shared" si="182"/>
        <v>0</v>
      </c>
      <c r="AG192" s="699">
        <f t="shared" si="182"/>
        <v>0</v>
      </c>
      <c r="AH192" s="699">
        <f t="shared" si="182"/>
        <v>0</v>
      </c>
      <c r="AI192" s="699">
        <f t="shared" si="182"/>
        <v>0</v>
      </c>
      <c r="AJ192" s="699">
        <f t="shared" si="182"/>
        <v>0</v>
      </c>
      <c r="AK192" s="699">
        <f t="shared" si="182"/>
        <v>0</v>
      </c>
      <c r="AL192" s="699">
        <f t="shared" si="182"/>
        <v>0</v>
      </c>
      <c r="AM192" s="699">
        <f t="shared" si="182"/>
        <v>0</v>
      </c>
      <c r="AN192" s="700">
        <f t="shared" si="182"/>
        <v>0</v>
      </c>
      <c r="AO192" s="700">
        <f t="shared" ref="AO192" si="183">SUM(AO193:AO197)</f>
        <v>0</v>
      </c>
      <c r="AP192" s="700">
        <f t="shared" ref="AP192" si="184">SUM(AP193:AP197)</f>
        <v>0</v>
      </c>
      <c r="AQ192" s="700">
        <f t="shared" ref="AQ192" si="185">SUM(AQ193:AQ197)</f>
        <v>0</v>
      </c>
      <c r="AR192" s="700">
        <f t="shared" ref="AR192" si="186">SUM(AR193:AR197)</f>
        <v>0</v>
      </c>
      <c r="AS192" s="700">
        <f t="shared" ref="AS192" si="187">SUM(AS193:AS197)</f>
        <v>0</v>
      </c>
      <c r="AT192" s="700">
        <f t="shared" ref="AT192" si="188">SUM(AT193:AT197)</f>
        <v>0</v>
      </c>
      <c r="AU192" s="700">
        <f t="shared" ref="AU192" si="189">SUM(AU193:AU197)</f>
        <v>0</v>
      </c>
      <c r="AV192" s="700">
        <f t="shared" ref="AV192" si="190">SUM(AV193:AV197)</f>
        <v>0</v>
      </c>
      <c r="AW192" s="700">
        <f t="shared" ref="AW192" si="191">SUM(AW193:AW197)</f>
        <v>0</v>
      </c>
      <c r="AX192" s="700">
        <f t="shared" ref="AX192" si="192">SUM(AX193:AX197)</f>
        <v>0</v>
      </c>
    </row>
    <row r="193" spans="1:50" ht="13.2" x14ac:dyDescent="0.2">
      <c r="B193" s="297" t="str">
        <f>CHIFFRAGE_TC!B194</f>
        <v>Estudios y diseños</v>
      </c>
      <c r="C193" s="16" t="str">
        <f>CHIFFRAGE_TC!D194</f>
        <v>Infinida</v>
      </c>
      <c r="E193" s="712">
        <f>CHIFFRAGE_TC!$L194*CHIFFRAGE_TC!$T194</f>
        <v>4277144.0269816043</v>
      </c>
      <c r="F193" s="715">
        <f>CHIFFRAGE_TC!$L194*CHIFFRAGE_TC!$U194</f>
        <v>4277144.0269816043</v>
      </c>
      <c r="G193" s="715">
        <f>CHIFFRAGE_TC!$L194*CHIFFRAGE_TC!$V194</f>
        <v>0</v>
      </c>
      <c r="H193" s="716">
        <f>CHIFFRAGE_TC!$L194*CHIFFRAGE_TC!$W194</f>
        <v>0</v>
      </c>
      <c r="I193" s="709">
        <v>0</v>
      </c>
      <c r="J193" s="709">
        <v>0</v>
      </c>
      <c r="K193" s="709">
        <v>0</v>
      </c>
      <c r="L193" s="709">
        <v>0</v>
      </c>
      <c r="M193" s="709">
        <v>0</v>
      </c>
      <c r="N193" s="709">
        <v>0</v>
      </c>
      <c r="O193" s="709">
        <v>0</v>
      </c>
      <c r="P193" s="709">
        <v>0</v>
      </c>
      <c r="Q193" s="709">
        <v>0</v>
      </c>
      <c r="R193" s="709">
        <v>0</v>
      </c>
      <c r="S193" s="709">
        <v>0</v>
      </c>
      <c r="T193" s="709">
        <v>0</v>
      </c>
      <c r="U193" s="709">
        <v>0</v>
      </c>
      <c r="V193" s="709">
        <v>0</v>
      </c>
      <c r="W193" s="709">
        <v>0</v>
      </c>
      <c r="X193" s="709">
        <v>0</v>
      </c>
      <c r="Y193" s="709">
        <v>0</v>
      </c>
      <c r="Z193" s="709">
        <v>0</v>
      </c>
      <c r="AA193" s="709">
        <v>0</v>
      </c>
      <c r="AB193" s="709">
        <v>0</v>
      </c>
      <c r="AC193" s="709">
        <v>0</v>
      </c>
      <c r="AD193" s="709">
        <v>0</v>
      </c>
      <c r="AE193" s="709">
        <v>0</v>
      </c>
      <c r="AF193" s="709">
        <v>0</v>
      </c>
      <c r="AG193" s="709">
        <v>0</v>
      </c>
      <c r="AH193" s="709">
        <v>0</v>
      </c>
      <c r="AI193" s="709">
        <v>0</v>
      </c>
      <c r="AJ193" s="709">
        <v>0</v>
      </c>
      <c r="AK193" s="709">
        <v>0</v>
      </c>
      <c r="AL193" s="709">
        <v>0</v>
      </c>
      <c r="AM193" s="709">
        <v>0</v>
      </c>
      <c r="AN193" s="709">
        <v>0</v>
      </c>
      <c r="AO193" s="709">
        <v>0</v>
      </c>
      <c r="AP193" s="709">
        <v>0</v>
      </c>
      <c r="AQ193" s="709">
        <v>0</v>
      </c>
      <c r="AR193" s="709">
        <v>0</v>
      </c>
      <c r="AS193" s="709">
        <v>0</v>
      </c>
      <c r="AT193" s="709">
        <v>0</v>
      </c>
      <c r="AU193" s="709">
        <v>0</v>
      </c>
      <c r="AV193" s="709">
        <v>0</v>
      </c>
      <c r="AW193" s="709">
        <v>0</v>
      </c>
      <c r="AX193" s="709">
        <v>0</v>
      </c>
    </row>
    <row r="194" spans="1:50" ht="13.2" x14ac:dyDescent="0.2">
      <c r="B194" s="290" t="str">
        <f>CHIFFRAGE_TC!B195</f>
        <v>Supervision de obras</v>
      </c>
      <c r="C194" s="16" t="str">
        <f>CHIFFRAGE_TC!D195</f>
        <v>Infinida</v>
      </c>
      <c r="E194" s="712">
        <f>CHIFFRAGE_TC!$L195*CHIFFRAGE_TC!$T195</f>
        <v>2138572.0134908021</v>
      </c>
      <c r="F194" s="715">
        <f>CHIFFRAGE_TC!$L195*CHIFFRAGE_TC!$U195</f>
        <v>2138572.0134908021</v>
      </c>
      <c r="G194" s="715">
        <f>CHIFFRAGE_TC!$L195*CHIFFRAGE_TC!$V195</f>
        <v>0</v>
      </c>
      <c r="H194" s="716">
        <f>CHIFFRAGE_TC!$L195*CHIFFRAGE_TC!$W195</f>
        <v>0</v>
      </c>
      <c r="I194" s="709">
        <v>0</v>
      </c>
      <c r="J194" s="709">
        <v>0</v>
      </c>
      <c r="K194" s="709">
        <v>0</v>
      </c>
      <c r="L194" s="709">
        <v>0</v>
      </c>
      <c r="M194" s="709">
        <v>0</v>
      </c>
      <c r="N194" s="709">
        <v>0</v>
      </c>
      <c r="O194" s="709">
        <v>0</v>
      </c>
      <c r="P194" s="709">
        <v>0</v>
      </c>
      <c r="Q194" s="709">
        <v>0</v>
      </c>
      <c r="R194" s="709">
        <v>0</v>
      </c>
      <c r="S194" s="709">
        <v>0</v>
      </c>
      <c r="T194" s="709">
        <v>0</v>
      </c>
      <c r="U194" s="709">
        <v>0</v>
      </c>
      <c r="V194" s="709">
        <v>0</v>
      </c>
      <c r="W194" s="709">
        <v>0</v>
      </c>
      <c r="X194" s="709">
        <v>0</v>
      </c>
      <c r="Y194" s="709">
        <v>0</v>
      </c>
      <c r="Z194" s="709">
        <v>0</v>
      </c>
      <c r="AA194" s="709">
        <v>0</v>
      </c>
      <c r="AB194" s="709">
        <v>0</v>
      </c>
      <c r="AC194" s="709">
        <v>0</v>
      </c>
      <c r="AD194" s="709">
        <v>0</v>
      </c>
      <c r="AE194" s="709">
        <v>0</v>
      </c>
      <c r="AF194" s="709">
        <v>0</v>
      </c>
      <c r="AG194" s="709">
        <v>0</v>
      </c>
      <c r="AH194" s="709">
        <v>0</v>
      </c>
      <c r="AI194" s="709">
        <v>0</v>
      </c>
      <c r="AJ194" s="709">
        <v>0</v>
      </c>
      <c r="AK194" s="709">
        <v>0</v>
      </c>
      <c r="AL194" s="709">
        <v>0</v>
      </c>
      <c r="AM194" s="709">
        <v>0</v>
      </c>
      <c r="AN194" s="709">
        <v>0</v>
      </c>
      <c r="AO194" s="709">
        <v>0</v>
      </c>
      <c r="AP194" s="709">
        <v>0</v>
      </c>
      <c r="AQ194" s="709">
        <v>0</v>
      </c>
      <c r="AR194" s="709">
        <v>0</v>
      </c>
      <c r="AS194" s="709">
        <v>0</v>
      </c>
      <c r="AT194" s="709">
        <v>0</v>
      </c>
      <c r="AU194" s="709">
        <v>0</v>
      </c>
      <c r="AV194" s="709">
        <v>0</v>
      </c>
      <c r="AW194" s="709">
        <v>0</v>
      </c>
      <c r="AX194" s="709">
        <v>0</v>
      </c>
    </row>
    <row r="195" spans="1:50" ht="13.2" x14ac:dyDescent="0.2">
      <c r="B195" s="290" t="str">
        <f>CHIFFRAGE_TC!B196</f>
        <v>Fiscalizacion del proyecto</v>
      </c>
      <c r="C195" s="16" t="str">
        <f>CHIFFRAGE_TC!D196</f>
        <v>Infinida</v>
      </c>
      <c r="E195" s="997"/>
      <c r="F195" s="998"/>
      <c r="G195" s="998"/>
      <c r="H195" s="999"/>
      <c r="I195" s="709">
        <v>0</v>
      </c>
      <c r="J195" s="709">
        <v>0</v>
      </c>
      <c r="K195" s="709">
        <v>0</v>
      </c>
      <c r="L195" s="709">
        <v>0</v>
      </c>
      <c r="M195" s="709">
        <v>0</v>
      </c>
      <c r="N195" s="709">
        <v>0</v>
      </c>
      <c r="O195" s="709">
        <v>0</v>
      </c>
      <c r="P195" s="709">
        <v>0</v>
      </c>
      <c r="Q195" s="709">
        <v>0</v>
      </c>
      <c r="R195" s="709">
        <v>0</v>
      </c>
      <c r="S195" s="709">
        <v>0</v>
      </c>
      <c r="T195" s="709">
        <v>0</v>
      </c>
      <c r="U195" s="709">
        <v>0</v>
      </c>
      <c r="V195" s="709">
        <v>0</v>
      </c>
      <c r="W195" s="709">
        <v>0</v>
      </c>
      <c r="X195" s="709">
        <v>0</v>
      </c>
      <c r="Y195" s="709">
        <v>0</v>
      </c>
      <c r="Z195" s="709">
        <v>0</v>
      </c>
      <c r="AA195" s="709">
        <v>0</v>
      </c>
      <c r="AB195" s="709">
        <v>0</v>
      </c>
      <c r="AC195" s="709">
        <v>0</v>
      </c>
      <c r="AD195" s="709">
        <v>0</v>
      </c>
      <c r="AE195" s="709">
        <v>0</v>
      </c>
      <c r="AF195" s="709">
        <v>0</v>
      </c>
      <c r="AG195" s="709">
        <v>0</v>
      </c>
      <c r="AH195" s="709">
        <v>0</v>
      </c>
      <c r="AI195" s="709">
        <v>0</v>
      </c>
      <c r="AJ195" s="709">
        <v>0</v>
      </c>
      <c r="AK195" s="709">
        <v>0</v>
      </c>
      <c r="AL195" s="709">
        <v>0</v>
      </c>
      <c r="AM195" s="709">
        <v>0</v>
      </c>
      <c r="AN195" s="709">
        <v>0</v>
      </c>
      <c r="AO195" s="709">
        <v>0</v>
      </c>
      <c r="AP195" s="709">
        <v>0</v>
      </c>
      <c r="AQ195" s="709">
        <v>0</v>
      </c>
      <c r="AR195" s="709">
        <v>0</v>
      </c>
      <c r="AS195" s="709">
        <v>0</v>
      </c>
      <c r="AT195" s="709">
        <v>0</v>
      </c>
      <c r="AU195" s="709">
        <v>0</v>
      </c>
      <c r="AV195" s="709">
        <v>0</v>
      </c>
      <c r="AW195" s="709">
        <v>0</v>
      </c>
      <c r="AX195" s="709">
        <v>0</v>
      </c>
    </row>
    <row r="196" spans="1:50" ht="13.2" x14ac:dyDescent="0.2">
      <c r="B196" s="290" t="str">
        <f>CHIFFRAGE_TC!B197</f>
        <v>% gastos de Gestión externalizados (auditores, seguros)</v>
      </c>
      <c r="C196" s="16" t="str">
        <f>CHIFFRAGE_TC!D197</f>
        <v>Infinida</v>
      </c>
      <c r="E196" s="712">
        <f>CHIFFRAGE_TC!$L197*CHIFFRAGE_TC!$T197</f>
        <v>801964.50505905075</v>
      </c>
      <c r="F196" s="715">
        <f>CHIFFRAGE_TC!$L197*CHIFFRAGE_TC!$U197</f>
        <v>801964.50505905075</v>
      </c>
      <c r="G196" s="715">
        <f>CHIFFRAGE_TC!$L197*CHIFFRAGE_TC!$V197</f>
        <v>801964.50505905075</v>
      </c>
      <c r="H196" s="716">
        <f>CHIFFRAGE_TC!$L197*CHIFFRAGE_TC!$W197</f>
        <v>801964.50505905075</v>
      </c>
      <c r="I196" s="709">
        <v>0</v>
      </c>
      <c r="J196" s="709">
        <v>0</v>
      </c>
      <c r="K196" s="709">
        <v>0</v>
      </c>
      <c r="L196" s="709">
        <v>0</v>
      </c>
      <c r="M196" s="709">
        <v>0</v>
      </c>
      <c r="N196" s="709">
        <v>0</v>
      </c>
      <c r="O196" s="709">
        <v>0</v>
      </c>
      <c r="P196" s="709">
        <v>0</v>
      </c>
      <c r="Q196" s="709">
        <v>0</v>
      </c>
      <c r="R196" s="709">
        <v>0</v>
      </c>
      <c r="S196" s="709">
        <v>0</v>
      </c>
      <c r="T196" s="709">
        <v>0</v>
      </c>
      <c r="U196" s="709">
        <v>0</v>
      </c>
      <c r="V196" s="709">
        <v>0</v>
      </c>
      <c r="W196" s="709">
        <v>0</v>
      </c>
      <c r="X196" s="709">
        <v>0</v>
      </c>
      <c r="Y196" s="709">
        <v>0</v>
      </c>
      <c r="Z196" s="709">
        <v>0</v>
      </c>
      <c r="AA196" s="709">
        <v>0</v>
      </c>
      <c r="AB196" s="709">
        <v>0</v>
      </c>
      <c r="AC196" s="709">
        <v>0</v>
      </c>
      <c r="AD196" s="709">
        <v>0</v>
      </c>
      <c r="AE196" s="709">
        <v>0</v>
      </c>
      <c r="AF196" s="709">
        <v>0</v>
      </c>
      <c r="AG196" s="709">
        <v>0</v>
      </c>
      <c r="AH196" s="709">
        <v>0</v>
      </c>
      <c r="AI196" s="709">
        <v>0</v>
      </c>
      <c r="AJ196" s="709">
        <v>0</v>
      </c>
      <c r="AK196" s="709">
        <v>0</v>
      </c>
      <c r="AL196" s="709">
        <v>0</v>
      </c>
      <c r="AM196" s="709">
        <v>0</v>
      </c>
      <c r="AN196" s="709">
        <v>0</v>
      </c>
      <c r="AO196" s="709">
        <v>0</v>
      </c>
      <c r="AP196" s="709">
        <v>0</v>
      </c>
      <c r="AQ196" s="709">
        <v>0</v>
      </c>
      <c r="AR196" s="709">
        <v>0</v>
      </c>
      <c r="AS196" s="709">
        <v>0</v>
      </c>
      <c r="AT196" s="709">
        <v>0</v>
      </c>
      <c r="AU196" s="709">
        <v>0</v>
      </c>
      <c r="AV196" s="709">
        <v>0</v>
      </c>
      <c r="AW196" s="709">
        <v>0</v>
      </c>
      <c r="AX196" s="709">
        <v>0</v>
      </c>
    </row>
    <row r="197" spans="1:50" ht="13.2" x14ac:dyDescent="0.2">
      <c r="B197" s="289" t="str">
        <f>CHIFFRAGE_TC!B198</f>
        <v>Tramites administrativos</v>
      </c>
      <c r="C197" s="16" t="str">
        <f>CHIFFRAGE_TC!D198</f>
        <v>Infinida</v>
      </c>
      <c r="E197" s="997"/>
      <c r="F197" s="998"/>
      <c r="G197" s="998"/>
      <c r="H197" s="999"/>
      <c r="I197" s="709">
        <v>0</v>
      </c>
      <c r="J197" s="709">
        <v>0</v>
      </c>
      <c r="K197" s="709">
        <v>0</v>
      </c>
      <c r="L197" s="709">
        <v>0</v>
      </c>
      <c r="M197" s="709">
        <v>0</v>
      </c>
      <c r="N197" s="709">
        <v>0</v>
      </c>
      <c r="O197" s="709">
        <v>0</v>
      </c>
      <c r="P197" s="709">
        <v>0</v>
      </c>
      <c r="Q197" s="709">
        <v>0</v>
      </c>
      <c r="R197" s="709">
        <v>0</v>
      </c>
      <c r="S197" s="709">
        <v>0</v>
      </c>
      <c r="T197" s="709">
        <v>0</v>
      </c>
      <c r="U197" s="709">
        <v>0</v>
      </c>
      <c r="V197" s="709">
        <v>0</v>
      </c>
      <c r="W197" s="709">
        <v>0</v>
      </c>
      <c r="X197" s="709">
        <v>0</v>
      </c>
      <c r="Y197" s="709">
        <v>0</v>
      </c>
      <c r="Z197" s="709">
        <v>0</v>
      </c>
      <c r="AA197" s="709">
        <v>0</v>
      </c>
      <c r="AB197" s="709">
        <v>0</v>
      </c>
      <c r="AC197" s="709">
        <v>0</v>
      </c>
      <c r="AD197" s="709">
        <v>0</v>
      </c>
      <c r="AE197" s="709">
        <v>0</v>
      </c>
      <c r="AF197" s="709">
        <v>0</v>
      </c>
      <c r="AG197" s="709">
        <v>0</v>
      </c>
      <c r="AH197" s="709">
        <v>0</v>
      </c>
      <c r="AI197" s="709">
        <v>0</v>
      </c>
      <c r="AJ197" s="709">
        <v>0</v>
      </c>
      <c r="AK197" s="709">
        <v>0</v>
      </c>
      <c r="AL197" s="709">
        <v>0</v>
      </c>
      <c r="AM197" s="709">
        <v>0</v>
      </c>
      <c r="AN197" s="709">
        <v>0</v>
      </c>
      <c r="AO197" s="709">
        <v>0</v>
      </c>
      <c r="AP197" s="709">
        <v>0</v>
      </c>
      <c r="AQ197" s="709">
        <v>0</v>
      </c>
      <c r="AR197" s="709">
        <v>0</v>
      </c>
      <c r="AS197" s="709">
        <v>0</v>
      </c>
      <c r="AT197" s="709">
        <v>0</v>
      </c>
      <c r="AU197" s="709">
        <v>0</v>
      </c>
      <c r="AV197" s="709">
        <v>0</v>
      </c>
      <c r="AW197" s="709">
        <v>0</v>
      </c>
      <c r="AX197" s="709">
        <v>0</v>
      </c>
    </row>
    <row r="198" spans="1:50" ht="13.8" thickBot="1" x14ac:dyDescent="0.25">
      <c r="B198" s="298"/>
      <c r="E198" s="712"/>
      <c r="F198" s="715"/>
      <c r="G198" s="715"/>
      <c r="H198" s="716"/>
      <c r="I198" s="69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</row>
    <row r="199" spans="1:50" ht="15.6" x14ac:dyDescent="0.2">
      <c r="B199" s="299" t="str">
        <f>CHIFFRAGE_TC!J200</f>
        <v>Costo total sin operaciones adicionales (sin contingencias)</v>
      </c>
      <c r="E199" s="734">
        <f t="shared" ref="E199:AX199" si="193">E11+E32+E37+E44+E52+E56+E60+E69+E84+E174+E192</f>
        <v>7217680.5455314573</v>
      </c>
      <c r="F199" s="702">
        <f t="shared" si="193"/>
        <v>25499717.44144278</v>
      </c>
      <c r="G199" s="702">
        <f t="shared" si="193"/>
        <v>62277417.779969335</v>
      </c>
      <c r="H199" s="703">
        <f t="shared" si="193"/>
        <v>23305949.496990029</v>
      </c>
      <c r="I199" s="734">
        <f t="shared" si="193"/>
        <v>0</v>
      </c>
      <c r="J199" s="702">
        <f t="shared" si="193"/>
        <v>0</v>
      </c>
      <c r="K199" s="702">
        <f t="shared" si="193"/>
        <v>0</v>
      </c>
      <c r="L199" s="702">
        <f t="shared" si="193"/>
        <v>0</v>
      </c>
      <c r="M199" s="702">
        <f t="shared" si="193"/>
        <v>0</v>
      </c>
      <c r="N199" s="702">
        <f t="shared" si="193"/>
        <v>0</v>
      </c>
      <c r="O199" s="702">
        <f t="shared" si="193"/>
        <v>0</v>
      </c>
      <c r="P199" s="702">
        <f t="shared" si="193"/>
        <v>0</v>
      </c>
      <c r="Q199" s="702">
        <f t="shared" si="193"/>
        <v>0</v>
      </c>
      <c r="R199" s="702">
        <f t="shared" si="193"/>
        <v>0</v>
      </c>
      <c r="S199" s="702">
        <f t="shared" si="193"/>
        <v>0</v>
      </c>
      <c r="T199" s="702">
        <f t="shared" si="193"/>
        <v>0</v>
      </c>
      <c r="U199" s="702">
        <f t="shared" si="193"/>
        <v>0</v>
      </c>
      <c r="V199" s="702">
        <f t="shared" si="193"/>
        <v>0</v>
      </c>
      <c r="W199" s="702">
        <f t="shared" si="193"/>
        <v>2357359.135980444</v>
      </c>
      <c r="X199" s="702">
        <f t="shared" si="193"/>
        <v>6781897.4268063866</v>
      </c>
      <c r="Y199" s="702">
        <f t="shared" si="193"/>
        <v>3121431.3740588301</v>
      </c>
      <c r="Z199" s="702">
        <f t="shared" si="193"/>
        <v>0</v>
      </c>
      <c r="AA199" s="702">
        <f t="shared" si="193"/>
        <v>0</v>
      </c>
      <c r="AB199" s="702">
        <f t="shared" si="193"/>
        <v>0</v>
      </c>
      <c r="AC199" s="702">
        <f t="shared" si="193"/>
        <v>0</v>
      </c>
      <c r="AD199" s="702">
        <f t="shared" si="193"/>
        <v>0</v>
      </c>
      <c r="AE199" s="702">
        <f t="shared" si="193"/>
        <v>0</v>
      </c>
      <c r="AF199" s="702">
        <f t="shared" si="193"/>
        <v>0</v>
      </c>
      <c r="AG199" s="702">
        <f t="shared" si="193"/>
        <v>0</v>
      </c>
      <c r="AH199" s="702">
        <f t="shared" si="193"/>
        <v>0</v>
      </c>
      <c r="AI199" s="702">
        <f t="shared" si="193"/>
        <v>0</v>
      </c>
      <c r="AJ199" s="702">
        <f t="shared" si="193"/>
        <v>0</v>
      </c>
      <c r="AK199" s="702">
        <f t="shared" si="193"/>
        <v>0</v>
      </c>
      <c r="AL199" s="702">
        <f t="shared" si="193"/>
        <v>0</v>
      </c>
      <c r="AM199" s="702">
        <f t="shared" si="193"/>
        <v>0</v>
      </c>
      <c r="AN199" s="702">
        <f t="shared" si="193"/>
        <v>2357359.135980444</v>
      </c>
      <c r="AO199" s="702">
        <f t="shared" si="193"/>
        <v>6673281.5068971682</v>
      </c>
      <c r="AP199" s="702">
        <f t="shared" si="193"/>
        <v>3085226.067422424</v>
      </c>
      <c r="AQ199" s="702">
        <f t="shared" si="193"/>
        <v>0</v>
      </c>
      <c r="AR199" s="702">
        <f t="shared" si="193"/>
        <v>0</v>
      </c>
      <c r="AS199" s="702">
        <f t="shared" si="193"/>
        <v>0</v>
      </c>
      <c r="AT199" s="702">
        <f t="shared" si="193"/>
        <v>0</v>
      </c>
      <c r="AU199" s="702">
        <f t="shared" si="193"/>
        <v>0</v>
      </c>
      <c r="AV199" s="702">
        <f t="shared" si="193"/>
        <v>0</v>
      </c>
      <c r="AW199" s="702">
        <f t="shared" si="193"/>
        <v>0</v>
      </c>
      <c r="AX199" s="703">
        <f t="shared" si="193"/>
        <v>0</v>
      </c>
    </row>
    <row r="200" spans="1:50" ht="15.6" x14ac:dyDescent="0.2">
      <c r="B200" s="299" t="str">
        <f>CHIFFRAGE_TC!J201</f>
        <v>Contingencias</v>
      </c>
      <c r="E200" s="735">
        <f t="shared" ref="E200:AX200" si="194">$D$11*E11+$D$32*E32+$D$37*E37+$D$44*E44+$D$52*E52+$D$56*E56+$D$60*E60+$D$69*E69+$D$84*E84+$D$174*E174+$D$192*E192</f>
        <v>751314.10740526207</v>
      </c>
      <c r="F200" s="727">
        <f t="shared" si="194"/>
        <v>5160777.2565043643</v>
      </c>
      <c r="G200" s="727">
        <f t="shared" si="194"/>
        <v>14969204.439358639</v>
      </c>
      <c r="H200" s="728">
        <f t="shared" si="194"/>
        <v>5548429.5183712672</v>
      </c>
      <c r="I200" s="735">
        <f t="shared" si="194"/>
        <v>0</v>
      </c>
      <c r="J200" s="727">
        <f t="shared" si="194"/>
        <v>0</v>
      </c>
      <c r="K200" s="727">
        <f t="shared" si="194"/>
        <v>0</v>
      </c>
      <c r="L200" s="727">
        <f t="shared" si="194"/>
        <v>0</v>
      </c>
      <c r="M200" s="727">
        <f t="shared" si="194"/>
        <v>0</v>
      </c>
      <c r="N200" s="727">
        <f t="shared" si="194"/>
        <v>0</v>
      </c>
      <c r="O200" s="727">
        <f t="shared" si="194"/>
        <v>0</v>
      </c>
      <c r="P200" s="727">
        <f t="shared" si="194"/>
        <v>0</v>
      </c>
      <c r="Q200" s="727">
        <f t="shared" si="194"/>
        <v>0</v>
      </c>
      <c r="R200" s="727">
        <f t="shared" si="194"/>
        <v>0</v>
      </c>
      <c r="S200" s="727">
        <f t="shared" si="194"/>
        <v>0</v>
      </c>
      <c r="T200" s="727">
        <f t="shared" si="194"/>
        <v>0</v>
      </c>
      <c r="U200" s="727">
        <f t="shared" si="194"/>
        <v>0</v>
      </c>
      <c r="V200" s="727">
        <f t="shared" si="194"/>
        <v>0</v>
      </c>
      <c r="W200" s="727">
        <f t="shared" si="194"/>
        <v>555948.65586320334</v>
      </c>
      <c r="X200" s="727">
        <f t="shared" si="194"/>
        <v>1595300.9723058739</v>
      </c>
      <c r="Y200" s="727">
        <f t="shared" si="194"/>
        <v>746966.71538279986</v>
      </c>
      <c r="Z200" s="727">
        <f t="shared" si="194"/>
        <v>0</v>
      </c>
      <c r="AA200" s="727">
        <f t="shared" si="194"/>
        <v>0</v>
      </c>
      <c r="AB200" s="727">
        <f t="shared" si="194"/>
        <v>0</v>
      </c>
      <c r="AC200" s="727">
        <f t="shared" si="194"/>
        <v>0</v>
      </c>
      <c r="AD200" s="727">
        <f t="shared" si="194"/>
        <v>0</v>
      </c>
      <c r="AE200" s="727">
        <f t="shared" si="194"/>
        <v>0</v>
      </c>
      <c r="AF200" s="727">
        <f t="shared" si="194"/>
        <v>0</v>
      </c>
      <c r="AG200" s="727">
        <f t="shared" si="194"/>
        <v>0</v>
      </c>
      <c r="AH200" s="727">
        <f t="shared" si="194"/>
        <v>0</v>
      </c>
      <c r="AI200" s="727">
        <f t="shared" si="194"/>
        <v>0</v>
      </c>
      <c r="AJ200" s="727">
        <f t="shared" si="194"/>
        <v>0</v>
      </c>
      <c r="AK200" s="727">
        <f t="shared" si="194"/>
        <v>0</v>
      </c>
      <c r="AL200" s="727">
        <f t="shared" si="194"/>
        <v>0</v>
      </c>
      <c r="AM200" s="727">
        <f t="shared" si="194"/>
        <v>0</v>
      </c>
      <c r="AN200" s="727">
        <f t="shared" si="194"/>
        <v>555948.65586320334</v>
      </c>
      <c r="AO200" s="727">
        <f t="shared" si="194"/>
        <v>1568146.9923285693</v>
      </c>
      <c r="AP200" s="727">
        <f t="shared" si="194"/>
        <v>737915.38872369833</v>
      </c>
      <c r="AQ200" s="727">
        <f t="shared" si="194"/>
        <v>0</v>
      </c>
      <c r="AR200" s="727">
        <f t="shared" si="194"/>
        <v>0</v>
      </c>
      <c r="AS200" s="727">
        <f t="shared" si="194"/>
        <v>0</v>
      </c>
      <c r="AT200" s="727">
        <f t="shared" si="194"/>
        <v>0</v>
      </c>
      <c r="AU200" s="727">
        <f t="shared" si="194"/>
        <v>0</v>
      </c>
      <c r="AV200" s="727">
        <f t="shared" si="194"/>
        <v>0</v>
      </c>
      <c r="AW200" s="727">
        <f t="shared" si="194"/>
        <v>0</v>
      </c>
      <c r="AX200" s="728">
        <f t="shared" si="194"/>
        <v>0</v>
      </c>
    </row>
    <row r="201" spans="1:50" ht="15.6" x14ac:dyDescent="0.2">
      <c r="B201" s="299" t="str">
        <f>CHIFFRAGE_TC!J202</f>
        <v>Costo total sin operaciones adicionales</v>
      </c>
      <c r="E201" s="736">
        <f t="shared" ref="E201:H201" si="195">E199+E200</f>
        <v>7968994.6529367194</v>
      </c>
      <c r="F201" s="701">
        <f t="shared" si="195"/>
        <v>30660494.697947145</v>
      </c>
      <c r="G201" s="701">
        <f t="shared" si="195"/>
        <v>77246622.219327971</v>
      </c>
      <c r="H201" s="704">
        <f t="shared" si="195"/>
        <v>28854379.015361294</v>
      </c>
      <c r="I201" s="736">
        <f t="shared" ref="I201:AN201" si="196">I199+I200</f>
        <v>0</v>
      </c>
      <c r="J201" s="701">
        <f t="shared" si="196"/>
        <v>0</v>
      </c>
      <c r="K201" s="701">
        <f t="shared" si="196"/>
        <v>0</v>
      </c>
      <c r="L201" s="701">
        <f t="shared" si="196"/>
        <v>0</v>
      </c>
      <c r="M201" s="701">
        <f t="shared" si="196"/>
        <v>0</v>
      </c>
      <c r="N201" s="701">
        <f t="shared" si="196"/>
        <v>0</v>
      </c>
      <c r="O201" s="701">
        <f t="shared" si="196"/>
        <v>0</v>
      </c>
      <c r="P201" s="701">
        <f t="shared" si="196"/>
        <v>0</v>
      </c>
      <c r="Q201" s="701">
        <f t="shared" si="196"/>
        <v>0</v>
      </c>
      <c r="R201" s="701">
        <f t="shared" si="196"/>
        <v>0</v>
      </c>
      <c r="S201" s="701">
        <f t="shared" si="196"/>
        <v>0</v>
      </c>
      <c r="T201" s="701">
        <f t="shared" si="196"/>
        <v>0</v>
      </c>
      <c r="U201" s="701">
        <f t="shared" si="196"/>
        <v>0</v>
      </c>
      <c r="V201" s="701">
        <f t="shared" si="196"/>
        <v>0</v>
      </c>
      <c r="W201" s="701">
        <f t="shared" si="196"/>
        <v>2913307.7918436471</v>
      </c>
      <c r="X201" s="701">
        <f t="shared" si="196"/>
        <v>8377198.39911226</v>
      </c>
      <c r="Y201" s="701">
        <f t="shared" si="196"/>
        <v>3868398.0894416301</v>
      </c>
      <c r="Z201" s="701">
        <f t="shared" si="196"/>
        <v>0</v>
      </c>
      <c r="AA201" s="701">
        <f t="shared" si="196"/>
        <v>0</v>
      </c>
      <c r="AB201" s="701">
        <f t="shared" si="196"/>
        <v>0</v>
      </c>
      <c r="AC201" s="701">
        <f t="shared" si="196"/>
        <v>0</v>
      </c>
      <c r="AD201" s="701">
        <f t="shared" si="196"/>
        <v>0</v>
      </c>
      <c r="AE201" s="701">
        <f t="shared" si="196"/>
        <v>0</v>
      </c>
      <c r="AF201" s="701">
        <f t="shared" si="196"/>
        <v>0</v>
      </c>
      <c r="AG201" s="701">
        <f t="shared" si="196"/>
        <v>0</v>
      </c>
      <c r="AH201" s="701">
        <f t="shared" si="196"/>
        <v>0</v>
      </c>
      <c r="AI201" s="701">
        <f t="shared" si="196"/>
        <v>0</v>
      </c>
      <c r="AJ201" s="701">
        <f t="shared" si="196"/>
        <v>0</v>
      </c>
      <c r="AK201" s="701">
        <f t="shared" si="196"/>
        <v>0</v>
      </c>
      <c r="AL201" s="701">
        <f t="shared" si="196"/>
        <v>0</v>
      </c>
      <c r="AM201" s="701">
        <f t="shared" si="196"/>
        <v>0</v>
      </c>
      <c r="AN201" s="701">
        <f t="shared" si="196"/>
        <v>2913307.7918436471</v>
      </c>
      <c r="AO201" s="701">
        <f t="shared" ref="AO201:AX201" si="197">AO199+AO200</f>
        <v>8241428.4992257375</v>
      </c>
      <c r="AP201" s="701">
        <f t="shared" si="197"/>
        <v>3823141.4561461224</v>
      </c>
      <c r="AQ201" s="701">
        <f t="shared" si="197"/>
        <v>0</v>
      </c>
      <c r="AR201" s="701">
        <f t="shared" si="197"/>
        <v>0</v>
      </c>
      <c r="AS201" s="701">
        <f t="shared" si="197"/>
        <v>0</v>
      </c>
      <c r="AT201" s="701">
        <f t="shared" si="197"/>
        <v>0</v>
      </c>
      <c r="AU201" s="701">
        <f t="shared" si="197"/>
        <v>0</v>
      </c>
      <c r="AV201" s="701">
        <f t="shared" si="197"/>
        <v>0</v>
      </c>
      <c r="AW201" s="701">
        <f t="shared" si="197"/>
        <v>0</v>
      </c>
      <c r="AX201" s="704">
        <f t="shared" si="197"/>
        <v>0</v>
      </c>
    </row>
    <row r="202" spans="1:50" ht="15.6" x14ac:dyDescent="0.2">
      <c r="B202" s="299"/>
      <c r="E202" s="211"/>
      <c r="F202" s="144"/>
      <c r="G202" s="144"/>
      <c r="H202" s="206"/>
      <c r="I202" s="211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206"/>
    </row>
    <row r="203" spans="1:50" ht="15.6" x14ac:dyDescent="0.2">
      <c r="B203" s="299" t="str">
        <f>CHIFFRAGE_TC!J204</f>
        <v>Costo total incluyendo operaciones adicionales (sin contingencias)</v>
      </c>
      <c r="E203" s="736">
        <f t="shared" ref="E203:AX203" si="198">E199+E22+E183</f>
        <v>7217680.5455314573</v>
      </c>
      <c r="F203" s="701">
        <f t="shared" si="198"/>
        <v>25499717.44144278</v>
      </c>
      <c r="G203" s="701">
        <f t="shared" si="198"/>
        <v>64354998.469663084</v>
      </c>
      <c r="H203" s="704">
        <f t="shared" si="198"/>
        <v>25895494.31908378</v>
      </c>
      <c r="I203" s="736">
        <f t="shared" si="198"/>
        <v>0</v>
      </c>
      <c r="J203" s="701">
        <f t="shared" si="198"/>
        <v>0</v>
      </c>
      <c r="K203" s="701">
        <f t="shared" si="198"/>
        <v>0</v>
      </c>
      <c r="L203" s="701">
        <f t="shared" si="198"/>
        <v>0</v>
      </c>
      <c r="M203" s="701">
        <f t="shared" si="198"/>
        <v>0</v>
      </c>
      <c r="N203" s="701">
        <f t="shared" si="198"/>
        <v>0</v>
      </c>
      <c r="O203" s="701">
        <f t="shared" si="198"/>
        <v>0</v>
      </c>
      <c r="P203" s="701">
        <f t="shared" si="198"/>
        <v>0</v>
      </c>
      <c r="Q203" s="701">
        <f t="shared" si="198"/>
        <v>0</v>
      </c>
      <c r="R203" s="701">
        <f t="shared" si="198"/>
        <v>2077580.6896937499</v>
      </c>
      <c r="S203" s="701">
        <f t="shared" si="198"/>
        <v>2589544.8220937494</v>
      </c>
      <c r="T203" s="701">
        <f t="shared" si="198"/>
        <v>0</v>
      </c>
      <c r="U203" s="701">
        <f t="shared" si="198"/>
        <v>0</v>
      </c>
      <c r="V203" s="701">
        <f t="shared" si="198"/>
        <v>0</v>
      </c>
      <c r="W203" s="701">
        <f t="shared" si="198"/>
        <v>2357359.135980444</v>
      </c>
      <c r="X203" s="701">
        <f t="shared" si="198"/>
        <v>6781897.4268063866</v>
      </c>
      <c r="Y203" s="701">
        <f t="shared" si="198"/>
        <v>3121431.3740588301</v>
      </c>
      <c r="Z203" s="701">
        <f t="shared" si="198"/>
        <v>0</v>
      </c>
      <c r="AA203" s="701">
        <f t="shared" si="198"/>
        <v>0</v>
      </c>
      <c r="AB203" s="701">
        <f t="shared" si="198"/>
        <v>0</v>
      </c>
      <c r="AC203" s="701">
        <f t="shared" si="198"/>
        <v>2077580.6896937499</v>
      </c>
      <c r="AD203" s="701">
        <f t="shared" si="198"/>
        <v>2589544.8220937494</v>
      </c>
      <c r="AE203" s="701">
        <f t="shared" si="198"/>
        <v>0</v>
      </c>
      <c r="AF203" s="701">
        <f t="shared" si="198"/>
        <v>0</v>
      </c>
      <c r="AG203" s="701">
        <f t="shared" si="198"/>
        <v>0</v>
      </c>
      <c r="AH203" s="701">
        <f t="shared" si="198"/>
        <v>0</v>
      </c>
      <c r="AI203" s="701">
        <f t="shared" si="198"/>
        <v>0</v>
      </c>
      <c r="AJ203" s="701">
        <f t="shared" si="198"/>
        <v>0</v>
      </c>
      <c r="AK203" s="701">
        <f t="shared" si="198"/>
        <v>0</v>
      </c>
      <c r="AL203" s="701">
        <f t="shared" si="198"/>
        <v>0</v>
      </c>
      <c r="AM203" s="701">
        <f t="shared" si="198"/>
        <v>0</v>
      </c>
      <c r="AN203" s="701">
        <f t="shared" si="198"/>
        <v>4434939.8256741939</v>
      </c>
      <c r="AO203" s="701">
        <f t="shared" si="198"/>
        <v>9262826.3289909177</v>
      </c>
      <c r="AP203" s="701">
        <f t="shared" si="198"/>
        <v>3085226.067422424</v>
      </c>
      <c r="AQ203" s="701">
        <f t="shared" si="198"/>
        <v>0</v>
      </c>
      <c r="AR203" s="701">
        <f t="shared" si="198"/>
        <v>0</v>
      </c>
      <c r="AS203" s="701">
        <f t="shared" si="198"/>
        <v>0</v>
      </c>
      <c r="AT203" s="701">
        <f t="shared" si="198"/>
        <v>0</v>
      </c>
      <c r="AU203" s="701">
        <f t="shared" si="198"/>
        <v>0</v>
      </c>
      <c r="AV203" s="701">
        <f t="shared" si="198"/>
        <v>0</v>
      </c>
      <c r="AW203" s="701">
        <f t="shared" si="198"/>
        <v>0</v>
      </c>
      <c r="AX203" s="704">
        <f t="shared" si="198"/>
        <v>0</v>
      </c>
    </row>
    <row r="204" spans="1:50" ht="15.6" x14ac:dyDescent="0.2">
      <c r="B204" s="299" t="str">
        <f>CHIFFRAGE_TC!J205</f>
        <v>Contingencias</v>
      </c>
      <c r="E204" s="735">
        <f t="shared" ref="E204:AX204" si="199">$D$11*E11+$D$22*E22+$D$32*E32+$D$37*E37+$D$44*E44+$D$52*E52+$D$56*E56+$D$60*E60+$D$69*E69+$D$84*E84+$D$174*E174+$D$183*E183+$D$192*E192</f>
        <v>751314.10740526207</v>
      </c>
      <c r="F204" s="727">
        <f t="shared" si="199"/>
        <v>5160777.2565043643</v>
      </c>
      <c r="G204" s="727">
        <f t="shared" si="199"/>
        <v>15338138.204360543</v>
      </c>
      <c r="H204" s="728">
        <f t="shared" si="199"/>
        <v>6008277.1313162372</v>
      </c>
      <c r="I204" s="735">
        <f t="shared" si="199"/>
        <v>0</v>
      </c>
      <c r="J204" s="727">
        <f t="shared" si="199"/>
        <v>0</v>
      </c>
      <c r="K204" s="727">
        <f t="shared" si="199"/>
        <v>0</v>
      </c>
      <c r="L204" s="727">
        <f t="shared" si="199"/>
        <v>0</v>
      </c>
      <c r="M204" s="727">
        <f t="shared" si="199"/>
        <v>0</v>
      </c>
      <c r="N204" s="727">
        <f t="shared" si="199"/>
        <v>0</v>
      </c>
      <c r="O204" s="727">
        <f t="shared" si="199"/>
        <v>0</v>
      </c>
      <c r="P204" s="727">
        <f t="shared" si="199"/>
        <v>0</v>
      </c>
      <c r="Q204" s="727">
        <f t="shared" si="199"/>
        <v>0</v>
      </c>
      <c r="R204" s="727">
        <f t="shared" si="199"/>
        <v>368933.76500190492</v>
      </c>
      <c r="S204" s="727">
        <f t="shared" si="199"/>
        <v>459847.61294496985</v>
      </c>
      <c r="T204" s="727">
        <f t="shared" si="199"/>
        <v>0</v>
      </c>
      <c r="U204" s="727">
        <f t="shared" si="199"/>
        <v>0</v>
      </c>
      <c r="V204" s="727">
        <f t="shared" si="199"/>
        <v>0</v>
      </c>
      <c r="W204" s="727">
        <f t="shared" si="199"/>
        <v>555948.65586320334</v>
      </c>
      <c r="X204" s="727">
        <f t="shared" si="199"/>
        <v>1595300.9723058739</v>
      </c>
      <c r="Y204" s="727">
        <f t="shared" si="199"/>
        <v>746966.71538279986</v>
      </c>
      <c r="Z204" s="727">
        <f t="shared" si="199"/>
        <v>0</v>
      </c>
      <c r="AA204" s="727">
        <f t="shared" si="199"/>
        <v>0</v>
      </c>
      <c r="AB204" s="727">
        <f t="shared" si="199"/>
        <v>0</v>
      </c>
      <c r="AC204" s="727">
        <f t="shared" si="199"/>
        <v>368933.76500190492</v>
      </c>
      <c r="AD204" s="727">
        <f t="shared" si="199"/>
        <v>459847.61294496985</v>
      </c>
      <c r="AE204" s="727">
        <f t="shared" si="199"/>
        <v>0</v>
      </c>
      <c r="AF204" s="727">
        <f t="shared" si="199"/>
        <v>0</v>
      </c>
      <c r="AG204" s="727">
        <f t="shared" si="199"/>
        <v>0</v>
      </c>
      <c r="AH204" s="727">
        <f t="shared" si="199"/>
        <v>0</v>
      </c>
      <c r="AI204" s="727">
        <f t="shared" si="199"/>
        <v>0</v>
      </c>
      <c r="AJ204" s="727">
        <f t="shared" si="199"/>
        <v>0</v>
      </c>
      <c r="AK204" s="727">
        <f t="shared" si="199"/>
        <v>0</v>
      </c>
      <c r="AL204" s="727">
        <f t="shared" si="199"/>
        <v>0</v>
      </c>
      <c r="AM204" s="727">
        <f t="shared" si="199"/>
        <v>0</v>
      </c>
      <c r="AN204" s="727">
        <f t="shared" si="199"/>
        <v>924882.42086510826</v>
      </c>
      <c r="AO204" s="727">
        <f t="shared" si="199"/>
        <v>2027994.6052735392</v>
      </c>
      <c r="AP204" s="727">
        <f t="shared" si="199"/>
        <v>737915.38872369833</v>
      </c>
      <c r="AQ204" s="727">
        <f t="shared" si="199"/>
        <v>0</v>
      </c>
      <c r="AR204" s="727">
        <f t="shared" si="199"/>
        <v>0</v>
      </c>
      <c r="AS204" s="727">
        <f t="shared" si="199"/>
        <v>0</v>
      </c>
      <c r="AT204" s="727">
        <f t="shared" si="199"/>
        <v>0</v>
      </c>
      <c r="AU204" s="727">
        <f t="shared" si="199"/>
        <v>0</v>
      </c>
      <c r="AV204" s="727">
        <f t="shared" si="199"/>
        <v>0</v>
      </c>
      <c r="AW204" s="727">
        <f t="shared" si="199"/>
        <v>0</v>
      </c>
      <c r="AX204" s="728">
        <f t="shared" si="199"/>
        <v>0</v>
      </c>
    </row>
    <row r="205" spans="1:50" ht="16.2" thickBot="1" x14ac:dyDescent="0.25">
      <c r="B205" s="299" t="str">
        <f>CHIFFRAGE_TC!J206</f>
        <v>Costo total incluyendo operaciones adicionales</v>
      </c>
      <c r="E205" s="212">
        <f>E203+E204</f>
        <v>7968994.6529367194</v>
      </c>
      <c r="F205" s="705">
        <f>F203+F204</f>
        <v>30660494.697947145</v>
      </c>
      <c r="G205" s="705">
        <f>G203+G204</f>
        <v>79693136.674023628</v>
      </c>
      <c r="H205" s="706">
        <f>H203+H204</f>
        <v>31903771.450400017</v>
      </c>
      <c r="I205" s="212">
        <f t="shared" ref="I205:AN205" si="200">I203+I204</f>
        <v>0</v>
      </c>
      <c r="J205" s="705">
        <f t="shared" si="200"/>
        <v>0</v>
      </c>
      <c r="K205" s="705">
        <f t="shared" si="200"/>
        <v>0</v>
      </c>
      <c r="L205" s="705">
        <f t="shared" si="200"/>
        <v>0</v>
      </c>
      <c r="M205" s="705">
        <f t="shared" si="200"/>
        <v>0</v>
      </c>
      <c r="N205" s="705">
        <f t="shared" si="200"/>
        <v>0</v>
      </c>
      <c r="O205" s="705">
        <f t="shared" si="200"/>
        <v>0</v>
      </c>
      <c r="P205" s="705">
        <f t="shared" si="200"/>
        <v>0</v>
      </c>
      <c r="Q205" s="705">
        <f t="shared" si="200"/>
        <v>0</v>
      </c>
      <c r="R205" s="705">
        <f t="shared" si="200"/>
        <v>2446514.454695655</v>
      </c>
      <c r="S205" s="705">
        <f t="shared" si="200"/>
        <v>3049392.4350387193</v>
      </c>
      <c r="T205" s="705">
        <f t="shared" si="200"/>
        <v>0</v>
      </c>
      <c r="U205" s="705">
        <f t="shared" si="200"/>
        <v>0</v>
      </c>
      <c r="V205" s="705">
        <f t="shared" si="200"/>
        <v>0</v>
      </c>
      <c r="W205" s="705">
        <f t="shared" si="200"/>
        <v>2913307.7918436471</v>
      </c>
      <c r="X205" s="705">
        <f t="shared" si="200"/>
        <v>8377198.39911226</v>
      </c>
      <c r="Y205" s="705">
        <f t="shared" si="200"/>
        <v>3868398.0894416301</v>
      </c>
      <c r="Z205" s="705">
        <f t="shared" si="200"/>
        <v>0</v>
      </c>
      <c r="AA205" s="705">
        <f t="shared" si="200"/>
        <v>0</v>
      </c>
      <c r="AB205" s="705">
        <f t="shared" si="200"/>
        <v>0</v>
      </c>
      <c r="AC205" s="705">
        <f t="shared" si="200"/>
        <v>2446514.454695655</v>
      </c>
      <c r="AD205" s="705">
        <f t="shared" si="200"/>
        <v>3049392.4350387193</v>
      </c>
      <c r="AE205" s="705">
        <f t="shared" si="200"/>
        <v>0</v>
      </c>
      <c r="AF205" s="705">
        <f t="shared" si="200"/>
        <v>0</v>
      </c>
      <c r="AG205" s="705">
        <f t="shared" si="200"/>
        <v>0</v>
      </c>
      <c r="AH205" s="705">
        <f t="shared" si="200"/>
        <v>0</v>
      </c>
      <c r="AI205" s="705">
        <f t="shared" si="200"/>
        <v>0</v>
      </c>
      <c r="AJ205" s="705">
        <f t="shared" si="200"/>
        <v>0</v>
      </c>
      <c r="AK205" s="705">
        <f t="shared" si="200"/>
        <v>0</v>
      </c>
      <c r="AL205" s="705">
        <f t="shared" si="200"/>
        <v>0</v>
      </c>
      <c r="AM205" s="705">
        <f t="shared" si="200"/>
        <v>0</v>
      </c>
      <c r="AN205" s="705">
        <f t="shared" si="200"/>
        <v>5359822.2465393022</v>
      </c>
      <c r="AO205" s="705">
        <f t="shared" ref="AO205" si="201">AO203+AO204</f>
        <v>11290820.934264457</v>
      </c>
      <c r="AP205" s="705">
        <f t="shared" ref="AP205" si="202">AP203+AP204</f>
        <v>3823141.4561461224</v>
      </c>
      <c r="AQ205" s="705">
        <f t="shared" ref="AQ205" si="203">AQ203+AQ204</f>
        <v>0</v>
      </c>
      <c r="AR205" s="705">
        <f t="shared" ref="AR205" si="204">AR203+AR204</f>
        <v>0</v>
      </c>
      <c r="AS205" s="705">
        <f t="shared" ref="AS205" si="205">AS203+AS204</f>
        <v>0</v>
      </c>
      <c r="AT205" s="705">
        <f t="shared" ref="AT205" si="206">AT203+AT204</f>
        <v>0</v>
      </c>
      <c r="AU205" s="705">
        <f t="shared" ref="AU205" si="207">AU203+AU204</f>
        <v>0</v>
      </c>
      <c r="AV205" s="705">
        <f t="shared" ref="AV205" si="208">AV203+AV204</f>
        <v>0</v>
      </c>
      <c r="AW205" s="705">
        <f t="shared" ref="AW205" si="209">AW203+AW204</f>
        <v>0</v>
      </c>
      <c r="AX205" s="706">
        <f t="shared" ref="AX205" si="210">AX203+AX204</f>
        <v>0</v>
      </c>
    </row>
    <row r="206" spans="1:50" x14ac:dyDescent="0.2">
      <c r="A206" s="38"/>
      <c r="B206" s="710"/>
      <c r="C206" s="128"/>
      <c r="D206" s="726"/>
      <c r="I206" s="720"/>
    </row>
    <row r="207" spans="1:50" x14ac:dyDescent="0.2">
      <c r="A207" s="38"/>
      <c r="B207" s="710"/>
      <c r="C207" s="128"/>
      <c r="D207" s="726"/>
      <c r="H207" s="721">
        <f>SUM(E199:H199)</f>
        <v>118300765.2639336</v>
      </c>
      <c r="I207" s="721">
        <f>CHIFFRAGE_TC!L200</f>
        <v>118300765.26393363</v>
      </c>
      <c r="J207" s="731" t="str">
        <f>IF(H207=I207,"Check OK!","NOK!")</f>
        <v>Check OK!</v>
      </c>
    </row>
    <row r="208" spans="1:50" x14ac:dyDescent="0.2">
      <c r="A208" s="38"/>
      <c r="B208" s="710"/>
      <c r="C208" s="128"/>
      <c r="D208" s="726"/>
      <c r="H208" s="721">
        <f t="shared" ref="H208:H209" si="211">SUM(E200:H200)</f>
        <v>26429725.32163953</v>
      </c>
      <c r="I208" s="721">
        <f>CHIFFRAGE_TC!L201</f>
        <v>26429725.321639534</v>
      </c>
      <c r="J208" s="731" t="str">
        <f>IF(H208=I208,"Check OK!","NOK!")</f>
        <v>Check OK!</v>
      </c>
    </row>
    <row r="209" spans="1:65" x14ac:dyDescent="0.2">
      <c r="A209" s="38"/>
      <c r="B209" s="710"/>
      <c r="C209" s="128"/>
      <c r="D209" s="726"/>
      <c r="H209" s="721">
        <f t="shared" si="211"/>
        <v>144730490.58557314</v>
      </c>
      <c r="I209" s="721">
        <f>CHIFFRAGE_TC!L202</f>
        <v>144730490.58557317</v>
      </c>
      <c r="J209" s="731" t="str">
        <f>IF(H209=I209,"Check OK!","NOK!")</f>
        <v>Check OK!</v>
      </c>
    </row>
    <row r="210" spans="1:65" x14ac:dyDescent="0.2">
      <c r="A210" s="38"/>
      <c r="B210" s="710"/>
      <c r="H210" s="721"/>
      <c r="I210" s="721"/>
    </row>
    <row r="211" spans="1:65" x14ac:dyDescent="0.2">
      <c r="A211" s="38"/>
      <c r="B211" s="710"/>
      <c r="H211" s="721">
        <f t="shared" ref="H211:H213" si="212">SUM(E203:H203)</f>
        <v>122967890.7757211</v>
      </c>
      <c r="I211" s="721">
        <f>CHIFFRAGE_TC!L204</f>
        <v>122967890.77572113</v>
      </c>
      <c r="J211" s="731" t="str">
        <f>IF(H211=I211,"Check OK!","NOK!")</f>
        <v>Check OK!</v>
      </c>
    </row>
    <row r="212" spans="1:65" x14ac:dyDescent="0.2">
      <c r="B212" s="710"/>
      <c r="H212" s="721">
        <f t="shared" si="212"/>
        <v>27258506.699586406</v>
      </c>
      <c r="I212" s="721">
        <f>CHIFFRAGE_TC!L205</f>
        <v>27258506.69958641</v>
      </c>
      <c r="J212" s="731" t="str">
        <f>IF(H212=I212,"Check OK!","NOK!")</f>
        <v>Check OK!</v>
      </c>
    </row>
    <row r="213" spans="1:65" x14ac:dyDescent="0.2">
      <c r="B213" s="710"/>
      <c r="H213" s="721">
        <f t="shared" si="212"/>
        <v>150226397.47530752</v>
      </c>
      <c r="I213" s="721">
        <f>CHIFFRAGE_TC!L206</f>
        <v>150226397.47530755</v>
      </c>
      <c r="J213" s="731" t="str">
        <f>IF(H213=I213,"Check OK!","NOK!")</f>
        <v>Check OK!</v>
      </c>
    </row>
    <row r="214" spans="1:65" x14ac:dyDescent="0.2">
      <c r="B214" s="710"/>
      <c r="E214" s="722"/>
      <c r="F214" s="722"/>
      <c r="G214" s="722"/>
      <c r="H214" s="723"/>
      <c r="I214" s="720"/>
    </row>
    <row r="215" spans="1:65" x14ac:dyDescent="0.2">
      <c r="B215" s="710"/>
      <c r="E215" s="722"/>
      <c r="F215" s="722"/>
      <c r="G215" s="722"/>
      <c r="H215" s="723"/>
      <c r="I215" s="724"/>
    </row>
    <row r="216" spans="1:65" x14ac:dyDescent="0.2">
      <c r="B216" s="710"/>
      <c r="E216" s="722"/>
      <c r="F216" s="722"/>
      <c r="G216" s="722"/>
      <c r="H216" s="723"/>
      <c r="I216" s="724"/>
    </row>
    <row r="217" spans="1:65" ht="13.2" thickBot="1" x14ac:dyDescent="0.25">
      <c r="B217" s="710"/>
      <c r="E217" s="722"/>
      <c r="F217" s="722"/>
      <c r="G217" s="722"/>
      <c r="H217" s="723"/>
      <c r="I217" s="724"/>
    </row>
    <row r="218" spans="1:65" ht="16.2" thickBot="1" x14ac:dyDescent="0.25">
      <c r="B218" s="288" t="str">
        <f>B11</f>
        <v>Compra de terrenos para estaciones y servidumbres</v>
      </c>
      <c r="C218" s="739" t="s">
        <v>180</v>
      </c>
      <c r="D218" s="740">
        <f>D11</f>
        <v>0.25</v>
      </c>
      <c r="E218" s="722"/>
      <c r="F218" s="722"/>
      <c r="G218" s="722"/>
      <c r="H218" s="723"/>
      <c r="I218" s="724"/>
    </row>
    <row r="219" spans="1:65" x14ac:dyDescent="0.2">
      <c r="B219" s="738" t="s">
        <v>313</v>
      </c>
      <c r="D219" s="725">
        <f>CHIFFRAGE_TC!O12</f>
        <v>1</v>
      </c>
      <c r="E219" s="722">
        <f t="shared" ref="E219:AX219" si="213">E11*$D$219</f>
        <v>0</v>
      </c>
      <c r="F219" s="722">
        <f t="shared" si="213"/>
        <v>0</v>
      </c>
      <c r="G219" s="722">
        <f t="shared" si="213"/>
        <v>0</v>
      </c>
      <c r="H219" s="722">
        <f t="shared" si="213"/>
        <v>0</v>
      </c>
      <c r="I219" s="722">
        <f t="shared" si="213"/>
        <v>0</v>
      </c>
      <c r="J219" s="722">
        <f t="shared" si="213"/>
        <v>0</v>
      </c>
      <c r="K219" s="722">
        <f t="shared" si="213"/>
        <v>0</v>
      </c>
      <c r="L219" s="722">
        <f t="shared" si="213"/>
        <v>0</v>
      </c>
      <c r="M219" s="722">
        <f t="shared" si="213"/>
        <v>0</v>
      </c>
      <c r="N219" s="722">
        <f t="shared" si="213"/>
        <v>0</v>
      </c>
      <c r="O219" s="722">
        <f t="shared" si="213"/>
        <v>0</v>
      </c>
      <c r="P219" s="722">
        <f t="shared" si="213"/>
        <v>0</v>
      </c>
      <c r="Q219" s="722">
        <f t="shared" si="213"/>
        <v>0</v>
      </c>
      <c r="R219" s="722">
        <f t="shared" si="213"/>
        <v>0</v>
      </c>
      <c r="S219" s="722">
        <f t="shared" si="213"/>
        <v>0</v>
      </c>
      <c r="T219" s="722">
        <f t="shared" si="213"/>
        <v>0</v>
      </c>
      <c r="U219" s="722">
        <f t="shared" si="213"/>
        <v>0</v>
      </c>
      <c r="V219" s="722">
        <f t="shared" si="213"/>
        <v>0</v>
      </c>
      <c r="W219" s="722">
        <f t="shared" si="213"/>
        <v>0</v>
      </c>
      <c r="X219" s="722">
        <f t="shared" si="213"/>
        <v>0</v>
      </c>
      <c r="Y219" s="722">
        <f t="shared" si="213"/>
        <v>0</v>
      </c>
      <c r="Z219" s="722">
        <f t="shared" si="213"/>
        <v>0</v>
      </c>
      <c r="AA219" s="722">
        <f t="shared" si="213"/>
        <v>0</v>
      </c>
      <c r="AB219" s="722">
        <f t="shared" si="213"/>
        <v>0</v>
      </c>
      <c r="AC219" s="722">
        <f t="shared" si="213"/>
        <v>0</v>
      </c>
      <c r="AD219" s="722">
        <f t="shared" si="213"/>
        <v>0</v>
      </c>
      <c r="AE219" s="722">
        <f t="shared" si="213"/>
        <v>0</v>
      </c>
      <c r="AF219" s="722">
        <f t="shared" si="213"/>
        <v>0</v>
      </c>
      <c r="AG219" s="722">
        <f t="shared" si="213"/>
        <v>0</v>
      </c>
      <c r="AH219" s="722">
        <f t="shared" si="213"/>
        <v>0</v>
      </c>
      <c r="AI219" s="722">
        <f t="shared" si="213"/>
        <v>0</v>
      </c>
      <c r="AJ219" s="722">
        <f t="shared" si="213"/>
        <v>0</v>
      </c>
      <c r="AK219" s="722">
        <f t="shared" si="213"/>
        <v>0</v>
      </c>
      <c r="AL219" s="722">
        <f t="shared" si="213"/>
        <v>0</v>
      </c>
      <c r="AM219" s="722">
        <f t="shared" si="213"/>
        <v>0</v>
      </c>
      <c r="AN219" s="722">
        <f t="shared" si="213"/>
        <v>0</v>
      </c>
      <c r="AO219" s="722">
        <f t="shared" si="213"/>
        <v>0</v>
      </c>
      <c r="AP219" s="722">
        <f t="shared" si="213"/>
        <v>0</v>
      </c>
      <c r="AQ219" s="722">
        <f t="shared" si="213"/>
        <v>0</v>
      </c>
      <c r="AR219" s="722">
        <f t="shared" si="213"/>
        <v>0</v>
      </c>
      <c r="AS219" s="722">
        <f t="shared" si="213"/>
        <v>0</v>
      </c>
      <c r="AT219" s="722">
        <f t="shared" si="213"/>
        <v>0</v>
      </c>
      <c r="AU219" s="722">
        <f t="shared" si="213"/>
        <v>0</v>
      </c>
      <c r="AV219" s="722">
        <f t="shared" si="213"/>
        <v>0</v>
      </c>
      <c r="AW219" s="722">
        <f t="shared" si="213"/>
        <v>0</v>
      </c>
      <c r="AX219" s="722">
        <f t="shared" si="213"/>
        <v>0</v>
      </c>
      <c r="AY219" s="722"/>
      <c r="AZ219" s="722"/>
      <c r="BA219" s="722"/>
      <c r="BB219" s="722"/>
      <c r="BC219" s="722"/>
      <c r="BD219" s="722"/>
      <c r="BE219" s="722"/>
      <c r="BF219" s="722"/>
      <c r="BG219" s="722"/>
      <c r="BH219" s="722"/>
      <c r="BI219" s="722"/>
      <c r="BJ219" s="722"/>
      <c r="BK219" s="722"/>
      <c r="BL219" s="722"/>
      <c r="BM219" s="722"/>
    </row>
    <row r="220" spans="1:65" x14ac:dyDescent="0.2">
      <c r="B220" s="738" t="s">
        <v>406</v>
      </c>
      <c r="D220" s="725">
        <f>CHIFFRAGE_TC!P12</f>
        <v>0</v>
      </c>
      <c r="E220" s="722">
        <f t="shared" ref="E220:AX220" si="214">E11*$D$220</f>
        <v>0</v>
      </c>
      <c r="F220" s="722">
        <f t="shared" si="214"/>
        <v>0</v>
      </c>
      <c r="G220" s="722">
        <f t="shared" si="214"/>
        <v>0</v>
      </c>
      <c r="H220" s="722">
        <f t="shared" si="214"/>
        <v>0</v>
      </c>
      <c r="I220" s="722">
        <f t="shared" si="214"/>
        <v>0</v>
      </c>
      <c r="J220" s="722">
        <f t="shared" si="214"/>
        <v>0</v>
      </c>
      <c r="K220" s="722">
        <f t="shared" si="214"/>
        <v>0</v>
      </c>
      <c r="L220" s="722">
        <f t="shared" si="214"/>
        <v>0</v>
      </c>
      <c r="M220" s="722">
        <f t="shared" si="214"/>
        <v>0</v>
      </c>
      <c r="N220" s="722">
        <f t="shared" si="214"/>
        <v>0</v>
      </c>
      <c r="O220" s="722">
        <f t="shared" si="214"/>
        <v>0</v>
      </c>
      <c r="P220" s="722">
        <f t="shared" si="214"/>
        <v>0</v>
      </c>
      <c r="Q220" s="722">
        <f t="shared" si="214"/>
        <v>0</v>
      </c>
      <c r="R220" s="722">
        <f t="shared" si="214"/>
        <v>0</v>
      </c>
      <c r="S220" s="722">
        <f t="shared" si="214"/>
        <v>0</v>
      </c>
      <c r="T220" s="722">
        <f t="shared" si="214"/>
        <v>0</v>
      </c>
      <c r="U220" s="722">
        <f t="shared" si="214"/>
        <v>0</v>
      </c>
      <c r="V220" s="722">
        <f t="shared" si="214"/>
        <v>0</v>
      </c>
      <c r="W220" s="722">
        <f t="shared" si="214"/>
        <v>0</v>
      </c>
      <c r="X220" s="722">
        <f t="shared" si="214"/>
        <v>0</v>
      </c>
      <c r="Y220" s="722">
        <f t="shared" si="214"/>
        <v>0</v>
      </c>
      <c r="Z220" s="722">
        <f t="shared" si="214"/>
        <v>0</v>
      </c>
      <c r="AA220" s="722">
        <f t="shared" si="214"/>
        <v>0</v>
      </c>
      <c r="AB220" s="722">
        <f t="shared" si="214"/>
        <v>0</v>
      </c>
      <c r="AC220" s="722">
        <f t="shared" si="214"/>
        <v>0</v>
      </c>
      <c r="AD220" s="722">
        <f t="shared" si="214"/>
        <v>0</v>
      </c>
      <c r="AE220" s="722">
        <f t="shared" si="214"/>
        <v>0</v>
      </c>
      <c r="AF220" s="722">
        <f t="shared" si="214"/>
        <v>0</v>
      </c>
      <c r="AG220" s="722">
        <f t="shared" si="214"/>
        <v>0</v>
      </c>
      <c r="AH220" s="722">
        <f t="shared" si="214"/>
        <v>0</v>
      </c>
      <c r="AI220" s="722">
        <f t="shared" si="214"/>
        <v>0</v>
      </c>
      <c r="AJ220" s="722">
        <f t="shared" si="214"/>
        <v>0</v>
      </c>
      <c r="AK220" s="722">
        <f t="shared" si="214"/>
        <v>0</v>
      </c>
      <c r="AL220" s="722">
        <f t="shared" si="214"/>
        <v>0</v>
      </c>
      <c r="AM220" s="722">
        <f t="shared" si="214"/>
        <v>0</v>
      </c>
      <c r="AN220" s="722">
        <f t="shared" si="214"/>
        <v>0</v>
      </c>
      <c r="AO220" s="722">
        <f t="shared" si="214"/>
        <v>0</v>
      </c>
      <c r="AP220" s="722">
        <f t="shared" si="214"/>
        <v>0</v>
      </c>
      <c r="AQ220" s="722">
        <f t="shared" si="214"/>
        <v>0</v>
      </c>
      <c r="AR220" s="722">
        <f t="shared" si="214"/>
        <v>0</v>
      </c>
      <c r="AS220" s="722">
        <f t="shared" si="214"/>
        <v>0</v>
      </c>
      <c r="AT220" s="722">
        <f t="shared" si="214"/>
        <v>0</v>
      </c>
      <c r="AU220" s="722">
        <f t="shared" si="214"/>
        <v>0</v>
      </c>
      <c r="AV220" s="722">
        <f t="shared" si="214"/>
        <v>0</v>
      </c>
      <c r="AW220" s="722">
        <f t="shared" si="214"/>
        <v>0</v>
      </c>
      <c r="AX220" s="722">
        <f t="shared" si="214"/>
        <v>0</v>
      </c>
      <c r="AY220" s="722"/>
      <c r="AZ220" s="722"/>
      <c r="BA220" s="722"/>
      <c r="BB220" s="722"/>
      <c r="BC220" s="722"/>
      <c r="BD220" s="722"/>
      <c r="BE220" s="722"/>
      <c r="BF220" s="722"/>
      <c r="BG220" s="722"/>
      <c r="BH220" s="722"/>
      <c r="BI220" s="722"/>
      <c r="BJ220" s="722"/>
      <c r="BK220" s="722"/>
      <c r="BL220" s="722"/>
      <c r="BM220" s="722"/>
    </row>
    <row r="221" spans="1:65" ht="13.2" thickBot="1" x14ac:dyDescent="0.25">
      <c r="B221" s="710"/>
      <c r="E221" s="722"/>
      <c r="F221" s="722"/>
      <c r="G221" s="722"/>
      <c r="H221" s="722"/>
      <c r="I221" s="722"/>
      <c r="J221" s="722"/>
      <c r="K221" s="722"/>
      <c r="L221" s="722"/>
      <c r="M221" s="722"/>
      <c r="N221" s="722"/>
      <c r="O221" s="722"/>
      <c r="P221" s="722"/>
      <c r="Q221" s="722"/>
      <c r="R221" s="722"/>
      <c r="S221" s="722"/>
      <c r="T221" s="722"/>
      <c r="U221" s="722"/>
      <c r="V221" s="722"/>
      <c r="W221" s="722"/>
      <c r="X221" s="722"/>
      <c r="Y221" s="722"/>
      <c r="Z221" s="722"/>
      <c r="AA221" s="722"/>
      <c r="AB221" s="722"/>
      <c r="AC221" s="722"/>
      <c r="AD221" s="722"/>
      <c r="AE221" s="722"/>
      <c r="AF221" s="722"/>
      <c r="AG221" s="722"/>
      <c r="AH221" s="722"/>
      <c r="AI221" s="722"/>
      <c r="AJ221" s="722"/>
      <c r="AK221" s="722"/>
      <c r="AL221" s="722"/>
      <c r="AM221" s="722"/>
      <c r="AN221" s="722"/>
      <c r="AO221" s="722"/>
      <c r="AP221" s="722"/>
      <c r="AQ221" s="722"/>
      <c r="AR221" s="722"/>
      <c r="AS221" s="722"/>
      <c r="AT221" s="722"/>
      <c r="AU221" s="722"/>
      <c r="AV221" s="722"/>
      <c r="AW221" s="722"/>
      <c r="AX221" s="722"/>
      <c r="AY221" s="722"/>
      <c r="AZ221" s="722"/>
      <c r="BA221" s="722"/>
      <c r="BB221" s="722"/>
      <c r="BC221" s="722"/>
      <c r="BD221" s="722"/>
      <c r="BE221" s="722"/>
      <c r="BF221" s="722"/>
      <c r="BG221" s="722"/>
      <c r="BH221" s="722"/>
      <c r="BI221" s="722"/>
      <c r="BJ221" s="722"/>
      <c r="BK221" s="722"/>
      <c r="BL221" s="722"/>
      <c r="BM221" s="722"/>
    </row>
    <row r="222" spans="1:65" ht="16.2" thickBot="1" x14ac:dyDescent="0.25">
      <c r="B222" s="288" t="str">
        <f>B22</f>
        <v>Compra de terrenos para estacionamiento (operacion adicional)</v>
      </c>
      <c r="C222" s="739" t="s">
        <v>180</v>
      </c>
      <c r="D222" s="725">
        <f>D22</f>
        <v>0</v>
      </c>
      <c r="E222" s="722"/>
      <c r="F222" s="722"/>
      <c r="G222" s="722"/>
      <c r="H222" s="722"/>
      <c r="I222" s="722"/>
      <c r="J222" s="722"/>
      <c r="K222" s="722"/>
      <c r="L222" s="722"/>
      <c r="M222" s="722"/>
      <c r="N222" s="722"/>
      <c r="O222" s="722"/>
      <c r="P222" s="722"/>
      <c r="Q222" s="722"/>
      <c r="R222" s="722"/>
      <c r="S222" s="722"/>
      <c r="T222" s="722"/>
      <c r="U222" s="722"/>
      <c r="V222" s="722"/>
      <c r="W222" s="722"/>
      <c r="X222" s="722"/>
      <c r="Y222" s="722"/>
      <c r="Z222" s="722"/>
      <c r="AA222" s="722"/>
      <c r="AB222" s="722"/>
      <c r="AC222" s="722"/>
      <c r="AD222" s="722"/>
      <c r="AE222" s="722"/>
      <c r="AF222" s="722"/>
      <c r="AG222" s="722"/>
      <c r="AH222" s="722"/>
      <c r="AI222" s="722"/>
      <c r="AJ222" s="722"/>
      <c r="AK222" s="722"/>
      <c r="AL222" s="722"/>
      <c r="AM222" s="722"/>
      <c r="AN222" s="722"/>
      <c r="AO222" s="722"/>
      <c r="AP222" s="722"/>
      <c r="AQ222" s="722"/>
      <c r="AR222" s="722"/>
      <c r="AS222" s="722"/>
      <c r="AT222" s="722"/>
      <c r="AU222" s="722"/>
      <c r="AV222" s="722"/>
      <c r="AW222" s="722"/>
      <c r="AX222" s="722"/>
      <c r="AY222" s="722"/>
      <c r="AZ222" s="722"/>
      <c r="BA222" s="722"/>
      <c r="BB222" s="722"/>
      <c r="BC222" s="722"/>
      <c r="BD222" s="722"/>
      <c r="BE222" s="722"/>
      <c r="BF222" s="722"/>
      <c r="BG222" s="722"/>
      <c r="BH222" s="722"/>
      <c r="BI222" s="722"/>
      <c r="BJ222" s="722"/>
      <c r="BK222" s="722"/>
      <c r="BL222" s="722"/>
      <c r="BM222" s="722"/>
    </row>
    <row r="223" spans="1:65" x14ac:dyDescent="0.2">
      <c r="B223" s="738" t="s">
        <v>313</v>
      </c>
      <c r="D223" s="725">
        <f>CHIFFRAGE_TC!O23</f>
        <v>0</v>
      </c>
      <c r="E223" s="722">
        <f t="shared" ref="E223:AX223" si="215">E22*$D$223</f>
        <v>0</v>
      </c>
      <c r="F223" s="722">
        <f t="shared" si="215"/>
        <v>0</v>
      </c>
      <c r="G223" s="722">
        <f t="shared" si="215"/>
        <v>0</v>
      </c>
      <c r="H223" s="722">
        <f t="shared" si="215"/>
        <v>0</v>
      </c>
      <c r="I223" s="722">
        <f t="shared" si="215"/>
        <v>0</v>
      </c>
      <c r="J223" s="722">
        <f t="shared" si="215"/>
        <v>0</v>
      </c>
      <c r="K223" s="722">
        <f t="shared" si="215"/>
        <v>0</v>
      </c>
      <c r="L223" s="722">
        <f t="shared" si="215"/>
        <v>0</v>
      </c>
      <c r="M223" s="722">
        <f t="shared" si="215"/>
        <v>0</v>
      </c>
      <c r="N223" s="722">
        <f t="shared" si="215"/>
        <v>0</v>
      </c>
      <c r="O223" s="722">
        <f t="shared" si="215"/>
        <v>0</v>
      </c>
      <c r="P223" s="722">
        <f t="shared" si="215"/>
        <v>0</v>
      </c>
      <c r="Q223" s="722">
        <f t="shared" si="215"/>
        <v>0</v>
      </c>
      <c r="R223" s="722">
        <f t="shared" si="215"/>
        <v>0</v>
      </c>
      <c r="S223" s="722">
        <f t="shared" si="215"/>
        <v>0</v>
      </c>
      <c r="T223" s="722">
        <f t="shared" si="215"/>
        <v>0</v>
      </c>
      <c r="U223" s="722">
        <f t="shared" si="215"/>
        <v>0</v>
      </c>
      <c r="V223" s="722">
        <f t="shared" si="215"/>
        <v>0</v>
      </c>
      <c r="W223" s="722">
        <f t="shared" si="215"/>
        <v>0</v>
      </c>
      <c r="X223" s="722">
        <f t="shared" si="215"/>
        <v>0</v>
      </c>
      <c r="Y223" s="722">
        <f t="shared" si="215"/>
        <v>0</v>
      </c>
      <c r="Z223" s="722">
        <f t="shared" si="215"/>
        <v>0</v>
      </c>
      <c r="AA223" s="722">
        <f t="shared" si="215"/>
        <v>0</v>
      </c>
      <c r="AB223" s="722">
        <f t="shared" si="215"/>
        <v>0</v>
      </c>
      <c r="AC223" s="722">
        <f t="shared" si="215"/>
        <v>0</v>
      </c>
      <c r="AD223" s="722">
        <f t="shared" si="215"/>
        <v>0</v>
      </c>
      <c r="AE223" s="722">
        <f t="shared" si="215"/>
        <v>0</v>
      </c>
      <c r="AF223" s="722">
        <f t="shared" si="215"/>
        <v>0</v>
      </c>
      <c r="AG223" s="722">
        <f t="shared" si="215"/>
        <v>0</v>
      </c>
      <c r="AH223" s="722">
        <f t="shared" si="215"/>
        <v>0</v>
      </c>
      <c r="AI223" s="722">
        <f t="shared" si="215"/>
        <v>0</v>
      </c>
      <c r="AJ223" s="722">
        <f t="shared" si="215"/>
        <v>0</v>
      </c>
      <c r="AK223" s="722">
        <f t="shared" si="215"/>
        <v>0</v>
      </c>
      <c r="AL223" s="722">
        <f t="shared" si="215"/>
        <v>0</v>
      </c>
      <c r="AM223" s="722">
        <f t="shared" si="215"/>
        <v>0</v>
      </c>
      <c r="AN223" s="722">
        <f t="shared" si="215"/>
        <v>0</v>
      </c>
      <c r="AO223" s="722">
        <f t="shared" si="215"/>
        <v>0</v>
      </c>
      <c r="AP223" s="722">
        <f t="shared" si="215"/>
        <v>0</v>
      </c>
      <c r="AQ223" s="722">
        <f t="shared" si="215"/>
        <v>0</v>
      </c>
      <c r="AR223" s="722">
        <f t="shared" si="215"/>
        <v>0</v>
      </c>
      <c r="AS223" s="722">
        <f t="shared" si="215"/>
        <v>0</v>
      </c>
      <c r="AT223" s="722">
        <f t="shared" si="215"/>
        <v>0</v>
      </c>
      <c r="AU223" s="722">
        <f t="shared" si="215"/>
        <v>0</v>
      </c>
      <c r="AV223" s="722">
        <f t="shared" si="215"/>
        <v>0</v>
      </c>
      <c r="AW223" s="722">
        <f t="shared" si="215"/>
        <v>0</v>
      </c>
      <c r="AX223" s="722">
        <f t="shared" si="215"/>
        <v>0</v>
      </c>
      <c r="AY223" s="722"/>
      <c r="AZ223" s="722"/>
      <c r="BA223" s="722"/>
      <c r="BB223" s="722"/>
      <c r="BC223" s="722"/>
      <c r="BD223" s="722"/>
      <c r="BE223" s="722"/>
      <c r="BF223" s="722"/>
      <c r="BG223" s="722"/>
      <c r="BH223" s="722"/>
      <c r="BI223" s="722"/>
      <c r="BJ223" s="722"/>
      <c r="BK223" s="722"/>
      <c r="BL223" s="722"/>
      <c r="BM223" s="722"/>
    </row>
    <row r="224" spans="1:65" x14ac:dyDescent="0.2">
      <c r="B224" s="738" t="s">
        <v>406</v>
      </c>
      <c r="D224" s="725">
        <f>CHIFFRAGE_TC!P23</f>
        <v>0</v>
      </c>
      <c r="E224" s="722">
        <f t="shared" ref="E224:AX224" si="216">E22*$D$224</f>
        <v>0</v>
      </c>
      <c r="F224" s="722">
        <f t="shared" si="216"/>
        <v>0</v>
      </c>
      <c r="G224" s="722">
        <f t="shared" si="216"/>
        <v>0</v>
      </c>
      <c r="H224" s="722">
        <f t="shared" si="216"/>
        <v>0</v>
      </c>
      <c r="I224" s="722">
        <f t="shared" si="216"/>
        <v>0</v>
      </c>
      <c r="J224" s="722">
        <f t="shared" si="216"/>
        <v>0</v>
      </c>
      <c r="K224" s="722">
        <f t="shared" si="216"/>
        <v>0</v>
      </c>
      <c r="L224" s="722">
        <f t="shared" si="216"/>
        <v>0</v>
      </c>
      <c r="M224" s="722">
        <f t="shared" si="216"/>
        <v>0</v>
      </c>
      <c r="N224" s="722">
        <f t="shared" si="216"/>
        <v>0</v>
      </c>
      <c r="O224" s="722">
        <f t="shared" si="216"/>
        <v>0</v>
      </c>
      <c r="P224" s="722">
        <f t="shared" si="216"/>
        <v>0</v>
      </c>
      <c r="Q224" s="722">
        <f t="shared" si="216"/>
        <v>0</v>
      </c>
      <c r="R224" s="722">
        <f t="shared" si="216"/>
        <v>0</v>
      </c>
      <c r="S224" s="722">
        <f t="shared" si="216"/>
        <v>0</v>
      </c>
      <c r="T224" s="722">
        <f t="shared" si="216"/>
        <v>0</v>
      </c>
      <c r="U224" s="722">
        <f t="shared" si="216"/>
        <v>0</v>
      </c>
      <c r="V224" s="722">
        <f t="shared" si="216"/>
        <v>0</v>
      </c>
      <c r="W224" s="722">
        <f t="shared" si="216"/>
        <v>0</v>
      </c>
      <c r="X224" s="722">
        <f t="shared" si="216"/>
        <v>0</v>
      </c>
      <c r="Y224" s="722">
        <f t="shared" si="216"/>
        <v>0</v>
      </c>
      <c r="Z224" s="722">
        <f t="shared" si="216"/>
        <v>0</v>
      </c>
      <c r="AA224" s="722">
        <f t="shared" si="216"/>
        <v>0</v>
      </c>
      <c r="AB224" s="722">
        <f t="shared" si="216"/>
        <v>0</v>
      </c>
      <c r="AC224" s="722">
        <f t="shared" si="216"/>
        <v>0</v>
      </c>
      <c r="AD224" s="722">
        <f t="shared" si="216"/>
        <v>0</v>
      </c>
      <c r="AE224" s="722">
        <f t="shared" si="216"/>
        <v>0</v>
      </c>
      <c r="AF224" s="722">
        <f t="shared" si="216"/>
        <v>0</v>
      </c>
      <c r="AG224" s="722">
        <f t="shared" si="216"/>
        <v>0</v>
      </c>
      <c r="AH224" s="722">
        <f t="shared" si="216"/>
        <v>0</v>
      </c>
      <c r="AI224" s="722">
        <f t="shared" si="216"/>
        <v>0</v>
      </c>
      <c r="AJ224" s="722">
        <f t="shared" si="216"/>
        <v>0</v>
      </c>
      <c r="AK224" s="722">
        <f t="shared" si="216"/>
        <v>0</v>
      </c>
      <c r="AL224" s="722">
        <f t="shared" si="216"/>
        <v>0</v>
      </c>
      <c r="AM224" s="722">
        <f t="shared" si="216"/>
        <v>0</v>
      </c>
      <c r="AN224" s="722">
        <f t="shared" si="216"/>
        <v>0</v>
      </c>
      <c r="AO224" s="722">
        <f t="shared" si="216"/>
        <v>0</v>
      </c>
      <c r="AP224" s="722">
        <f t="shared" si="216"/>
        <v>0</v>
      </c>
      <c r="AQ224" s="722">
        <f t="shared" si="216"/>
        <v>0</v>
      </c>
      <c r="AR224" s="722">
        <f t="shared" si="216"/>
        <v>0</v>
      </c>
      <c r="AS224" s="722">
        <f t="shared" si="216"/>
        <v>0</v>
      </c>
      <c r="AT224" s="722">
        <f t="shared" si="216"/>
        <v>0</v>
      </c>
      <c r="AU224" s="722">
        <f t="shared" si="216"/>
        <v>0</v>
      </c>
      <c r="AV224" s="722">
        <f t="shared" si="216"/>
        <v>0</v>
      </c>
      <c r="AW224" s="722">
        <f t="shared" si="216"/>
        <v>0</v>
      </c>
      <c r="AX224" s="722">
        <f t="shared" si="216"/>
        <v>0</v>
      </c>
      <c r="AY224" s="722"/>
      <c r="AZ224" s="722"/>
      <c r="BA224" s="722"/>
      <c r="BB224" s="722"/>
      <c r="BC224" s="722"/>
      <c r="BD224" s="722"/>
      <c r="BE224" s="722"/>
      <c r="BF224" s="722"/>
      <c r="BG224" s="722"/>
      <c r="BH224" s="722"/>
      <c r="BI224" s="722"/>
      <c r="BJ224" s="722"/>
      <c r="BK224" s="722"/>
      <c r="BL224" s="722"/>
      <c r="BM224" s="722"/>
    </row>
    <row r="225" spans="2:65" ht="13.2" thickBot="1" x14ac:dyDescent="0.25">
      <c r="B225" s="710"/>
      <c r="E225" s="722"/>
      <c r="F225" s="722"/>
      <c r="G225" s="722"/>
      <c r="H225" s="722"/>
      <c r="I225" s="722"/>
      <c r="J225" s="722"/>
      <c r="K225" s="722"/>
      <c r="L225" s="722"/>
      <c r="M225" s="722"/>
      <c r="N225" s="722"/>
      <c r="O225" s="722"/>
      <c r="P225" s="722"/>
      <c r="Q225" s="722"/>
      <c r="R225" s="722"/>
      <c r="S225" s="722"/>
      <c r="T225" s="722"/>
      <c r="U225" s="722"/>
      <c r="V225" s="722"/>
      <c r="W225" s="722"/>
      <c r="X225" s="722"/>
      <c r="Y225" s="722"/>
      <c r="Z225" s="722"/>
      <c r="AA225" s="722"/>
      <c r="AB225" s="722"/>
      <c r="AC225" s="722"/>
      <c r="AD225" s="722"/>
      <c r="AE225" s="722"/>
      <c r="AF225" s="722"/>
      <c r="AG225" s="722"/>
      <c r="AH225" s="722"/>
      <c r="AI225" s="722"/>
      <c r="AJ225" s="722"/>
      <c r="AK225" s="722"/>
      <c r="AL225" s="722"/>
      <c r="AM225" s="722"/>
      <c r="AN225" s="722"/>
      <c r="AO225" s="722"/>
      <c r="AP225" s="722"/>
      <c r="AQ225" s="722"/>
      <c r="AR225" s="722"/>
      <c r="AS225" s="722"/>
      <c r="AT225" s="722"/>
      <c r="AU225" s="722"/>
      <c r="AV225" s="722"/>
      <c r="AW225" s="722"/>
      <c r="AX225" s="722"/>
      <c r="AY225" s="722"/>
      <c r="AZ225" s="722"/>
      <c r="BA225" s="722"/>
      <c r="BB225" s="722"/>
      <c r="BC225" s="722"/>
      <c r="BD225" s="722"/>
      <c r="BE225" s="722"/>
      <c r="BF225" s="722"/>
      <c r="BG225" s="722"/>
      <c r="BH225" s="722"/>
      <c r="BI225" s="722"/>
      <c r="BJ225" s="722"/>
      <c r="BK225" s="722"/>
      <c r="BL225" s="722"/>
      <c r="BM225" s="722"/>
    </row>
    <row r="226" spans="2:65" ht="16.2" thickBot="1" x14ac:dyDescent="0.25">
      <c r="B226" s="288" t="str">
        <f>B32</f>
        <v>Decontaminacion y proteccion</v>
      </c>
      <c r="C226" s="739" t="s">
        <v>180</v>
      </c>
      <c r="D226" s="740">
        <f>D32</f>
        <v>0.25</v>
      </c>
      <c r="E226" s="722"/>
      <c r="F226" s="722"/>
      <c r="G226" s="722"/>
      <c r="H226" s="722"/>
      <c r="I226" s="722"/>
      <c r="J226" s="722"/>
      <c r="K226" s="722"/>
      <c r="L226" s="722"/>
      <c r="M226" s="722"/>
      <c r="N226" s="722"/>
      <c r="O226" s="722"/>
      <c r="P226" s="722"/>
      <c r="Q226" s="722"/>
      <c r="R226" s="722"/>
      <c r="S226" s="722"/>
      <c r="T226" s="722"/>
      <c r="U226" s="722"/>
      <c r="V226" s="722"/>
      <c r="W226" s="722"/>
      <c r="X226" s="722"/>
      <c r="Y226" s="722"/>
      <c r="Z226" s="722"/>
      <c r="AA226" s="722"/>
      <c r="AB226" s="722"/>
      <c r="AC226" s="722"/>
      <c r="AD226" s="722"/>
      <c r="AE226" s="722"/>
      <c r="AF226" s="722"/>
      <c r="AG226" s="722"/>
      <c r="AH226" s="722"/>
      <c r="AI226" s="722"/>
      <c r="AJ226" s="722"/>
      <c r="AK226" s="722"/>
      <c r="AL226" s="722"/>
      <c r="AM226" s="722"/>
      <c r="AN226" s="722"/>
      <c r="AO226" s="722"/>
      <c r="AP226" s="722"/>
      <c r="AQ226" s="722"/>
      <c r="AR226" s="722"/>
      <c r="AS226" s="722"/>
      <c r="AT226" s="722"/>
      <c r="AU226" s="722"/>
      <c r="AV226" s="722"/>
      <c r="AW226" s="722"/>
      <c r="AX226" s="722"/>
      <c r="AY226" s="722"/>
      <c r="AZ226" s="722"/>
      <c r="BA226" s="722"/>
      <c r="BB226" s="722"/>
      <c r="BC226" s="722"/>
      <c r="BD226" s="722"/>
      <c r="BE226" s="722"/>
      <c r="BF226" s="722"/>
      <c r="BG226" s="722"/>
      <c r="BH226" s="722"/>
      <c r="BI226" s="722"/>
      <c r="BJ226" s="722"/>
      <c r="BK226" s="722"/>
      <c r="BL226" s="722"/>
      <c r="BM226" s="722"/>
    </row>
    <row r="227" spans="2:65" x14ac:dyDescent="0.2">
      <c r="B227" s="738" t="s">
        <v>313</v>
      </c>
      <c r="D227" s="725">
        <f>CHIFFRAGE_TC!O33</f>
        <v>0.79869671828289279</v>
      </c>
      <c r="E227" s="722">
        <f t="shared" ref="E227:AX227" si="217">E32*$D$227</f>
        <v>0</v>
      </c>
      <c r="F227" s="722">
        <f t="shared" si="217"/>
        <v>834005.41477650858</v>
      </c>
      <c r="G227" s="722">
        <f t="shared" si="217"/>
        <v>758004.04510574671</v>
      </c>
      <c r="H227" s="722">
        <f t="shared" si="217"/>
        <v>1516008.0902114934</v>
      </c>
      <c r="I227" s="722">
        <f t="shared" si="217"/>
        <v>0</v>
      </c>
      <c r="J227" s="722">
        <f t="shared" si="217"/>
        <v>0</v>
      </c>
      <c r="K227" s="722">
        <f t="shared" si="217"/>
        <v>0</v>
      </c>
      <c r="L227" s="722">
        <f t="shared" si="217"/>
        <v>0</v>
      </c>
      <c r="M227" s="722">
        <f t="shared" si="217"/>
        <v>0</v>
      </c>
      <c r="N227" s="722">
        <f t="shared" si="217"/>
        <v>0</v>
      </c>
      <c r="O227" s="722">
        <f t="shared" si="217"/>
        <v>0</v>
      </c>
      <c r="P227" s="722">
        <f t="shared" si="217"/>
        <v>0</v>
      </c>
      <c r="Q227" s="722">
        <f t="shared" si="217"/>
        <v>0</v>
      </c>
      <c r="R227" s="722">
        <f t="shared" si="217"/>
        <v>0</v>
      </c>
      <c r="S227" s="722">
        <f t="shared" si="217"/>
        <v>0</v>
      </c>
      <c r="T227" s="722">
        <f t="shared" si="217"/>
        <v>0</v>
      </c>
      <c r="U227" s="722">
        <f t="shared" si="217"/>
        <v>0</v>
      </c>
      <c r="V227" s="722">
        <f t="shared" si="217"/>
        <v>0</v>
      </c>
      <c r="W227" s="722">
        <f t="shared" si="217"/>
        <v>0</v>
      </c>
      <c r="X227" s="722">
        <f t="shared" si="217"/>
        <v>0</v>
      </c>
      <c r="Y227" s="722">
        <f t="shared" si="217"/>
        <v>0</v>
      </c>
      <c r="Z227" s="722">
        <f t="shared" si="217"/>
        <v>0</v>
      </c>
      <c r="AA227" s="722">
        <f t="shared" si="217"/>
        <v>0</v>
      </c>
      <c r="AB227" s="722">
        <f t="shared" si="217"/>
        <v>0</v>
      </c>
      <c r="AC227" s="722">
        <f t="shared" si="217"/>
        <v>0</v>
      </c>
      <c r="AD227" s="722">
        <f t="shared" si="217"/>
        <v>0</v>
      </c>
      <c r="AE227" s="722">
        <f t="shared" si="217"/>
        <v>0</v>
      </c>
      <c r="AF227" s="722">
        <f t="shared" si="217"/>
        <v>0</v>
      </c>
      <c r="AG227" s="722">
        <f t="shared" si="217"/>
        <v>0</v>
      </c>
      <c r="AH227" s="722">
        <f t="shared" si="217"/>
        <v>0</v>
      </c>
      <c r="AI227" s="722">
        <f t="shared" si="217"/>
        <v>0</v>
      </c>
      <c r="AJ227" s="722">
        <f t="shared" si="217"/>
        <v>0</v>
      </c>
      <c r="AK227" s="722">
        <f t="shared" si="217"/>
        <v>0</v>
      </c>
      <c r="AL227" s="722">
        <f t="shared" si="217"/>
        <v>0</v>
      </c>
      <c r="AM227" s="722">
        <f t="shared" si="217"/>
        <v>0</v>
      </c>
      <c r="AN227" s="722">
        <f t="shared" si="217"/>
        <v>0</v>
      </c>
      <c r="AO227" s="722">
        <f t="shared" si="217"/>
        <v>0</v>
      </c>
      <c r="AP227" s="722">
        <f t="shared" si="217"/>
        <v>0</v>
      </c>
      <c r="AQ227" s="722">
        <f t="shared" si="217"/>
        <v>0</v>
      </c>
      <c r="AR227" s="722">
        <f t="shared" si="217"/>
        <v>0</v>
      </c>
      <c r="AS227" s="722">
        <f t="shared" si="217"/>
        <v>0</v>
      </c>
      <c r="AT227" s="722">
        <f t="shared" si="217"/>
        <v>0</v>
      </c>
      <c r="AU227" s="722">
        <f t="shared" si="217"/>
        <v>0</v>
      </c>
      <c r="AV227" s="722">
        <f t="shared" si="217"/>
        <v>0</v>
      </c>
      <c r="AW227" s="722">
        <f t="shared" si="217"/>
        <v>0</v>
      </c>
      <c r="AX227" s="722">
        <f t="shared" si="217"/>
        <v>0</v>
      </c>
      <c r="AY227" s="722"/>
      <c r="AZ227" s="722"/>
      <c r="BA227" s="722"/>
      <c r="BB227" s="722"/>
      <c r="BC227" s="722"/>
      <c r="BD227" s="722"/>
      <c r="BE227" s="722"/>
      <c r="BF227" s="722"/>
      <c r="BG227" s="722"/>
      <c r="BH227" s="722"/>
      <c r="BI227" s="722"/>
      <c r="BJ227" s="722"/>
      <c r="BK227" s="722"/>
      <c r="BL227" s="722"/>
      <c r="BM227" s="722"/>
    </row>
    <row r="228" spans="2:65" x14ac:dyDescent="0.2">
      <c r="B228" s="738" t="s">
        <v>406</v>
      </c>
      <c r="D228" s="725">
        <f>CHIFFRAGE_TC!P33</f>
        <v>0.20130328171710718</v>
      </c>
      <c r="E228" s="722">
        <f t="shared" ref="E228:AX228" si="218">E32*$D$228</f>
        <v>0</v>
      </c>
      <c r="F228" s="722">
        <f t="shared" si="218"/>
        <v>210202.47500864722</v>
      </c>
      <c r="G228" s="722">
        <f t="shared" si="218"/>
        <v>191047.11255440905</v>
      </c>
      <c r="H228" s="722">
        <f t="shared" si="218"/>
        <v>382094.22510881809</v>
      </c>
      <c r="I228" s="722">
        <f t="shared" si="218"/>
        <v>0</v>
      </c>
      <c r="J228" s="722">
        <f t="shared" si="218"/>
        <v>0</v>
      </c>
      <c r="K228" s="722">
        <f t="shared" si="218"/>
        <v>0</v>
      </c>
      <c r="L228" s="722">
        <f t="shared" si="218"/>
        <v>0</v>
      </c>
      <c r="M228" s="722">
        <f t="shared" si="218"/>
        <v>0</v>
      </c>
      <c r="N228" s="722">
        <f t="shared" si="218"/>
        <v>0</v>
      </c>
      <c r="O228" s="722">
        <f t="shared" si="218"/>
        <v>0</v>
      </c>
      <c r="P228" s="722">
        <f t="shared" si="218"/>
        <v>0</v>
      </c>
      <c r="Q228" s="722">
        <f t="shared" si="218"/>
        <v>0</v>
      </c>
      <c r="R228" s="722">
        <f t="shared" si="218"/>
        <v>0</v>
      </c>
      <c r="S228" s="722">
        <f t="shared" si="218"/>
        <v>0</v>
      </c>
      <c r="T228" s="722">
        <f t="shared" si="218"/>
        <v>0</v>
      </c>
      <c r="U228" s="722">
        <f t="shared" si="218"/>
        <v>0</v>
      </c>
      <c r="V228" s="722">
        <f t="shared" si="218"/>
        <v>0</v>
      </c>
      <c r="W228" s="722">
        <f t="shared" si="218"/>
        <v>0</v>
      </c>
      <c r="X228" s="722">
        <f t="shared" si="218"/>
        <v>0</v>
      </c>
      <c r="Y228" s="722">
        <f t="shared" si="218"/>
        <v>0</v>
      </c>
      <c r="Z228" s="722">
        <f t="shared" si="218"/>
        <v>0</v>
      </c>
      <c r="AA228" s="722">
        <f t="shared" si="218"/>
        <v>0</v>
      </c>
      <c r="AB228" s="722">
        <f t="shared" si="218"/>
        <v>0</v>
      </c>
      <c r="AC228" s="722">
        <f t="shared" si="218"/>
        <v>0</v>
      </c>
      <c r="AD228" s="722">
        <f t="shared" si="218"/>
        <v>0</v>
      </c>
      <c r="AE228" s="722">
        <f t="shared" si="218"/>
        <v>0</v>
      </c>
      <c r="AF228" s="722">
        <f t="shared" si="218"/>
        <v>0</v>
      </c>
      <c r="AG228" s="722">
        <f t="shared" si="218"/>
        <v>0</v>
      </c>
      <c r="AH228" s="722">
        <f t="shared" si="218"/>
        <v>0</v>
      </c>
      <c r="AI228" s="722">
        <f t="shared" si="218"/>
        <v>0</v>
      </c>
      <c r="AJ228" s="722">
        <f t="shared" si="218"/>
        <v>0</v>
      </c>
      <c r="AK228" s="722">
        <f t="shared" si="218"/>
        <v>0</v>
      </c>
      <c r="AL228" s="722">
        <f t="shared" si="218"/>
        <v>0</v>
      </c>
      <c r="AM228" s="722">
        <f t="shared" si="218"/>
        <v>0</v>
      </c>
      <c r="AN228" s="722">
        <f t="shared" si="218"/>
        <v>0</v>
      </c>
      <c r="AO228" s="722">
        <f t="shared" si="218"/>
        <v>0</v>
      </c>
      <c r="AP228" s="722">
        <f t="shared" si="218"/>
        <v>0</v>
      </c>
      <c r="AQ228" s="722">
        <f t="shared" si="218"/>
        <v>0</v>
      </c>
      <c r="AR228" s="722">
        <f t="shared" si="218"/>
        <v>0</v>
      </c>
      <c r="AS228" s="722">
        <f t="shared" si="218"/>
        <v>0</v>
      </c>
      <c r="AT228" s="722">
        <f t="shared" si="218"/>
        <v>0</v>
      </c>
      <c r="AU228" s="722">
        <f t="shared" si="218"/>
        <v>0</v>
      </c>
      <c r="AV228" s="722">
        <f t="shared" si="218"/>
        <v>0</v>
      </c>
      <c r="AW228" s="722">
        <f t="shared" si="218"/>
        <v>0</v>
      </c>
      <c r="AX228" s="722">
        <f t="shared" si="218"/>
        <v>0</v>
      </c>
      <c r="AY228" s="722"/>
      <c r="AZ228" s="722"/>
      <c r="BA228" s="722"/>
      <c r="BB228" s="722"/>
      <c r="BC228" s="722"/>
      <c r="BD228" s="722"/>
      <c r="BE228" s="722"/>
      <c r="BF228" s="722"/>
      <c r="BG228" s="722"/>
      <c r="BH228" s="722"/>
      <c r="BI228" s="722"/>
      <c r="BJ228" s="722"/>
      <c r="BK228" s="722"/>
      <c r="BL228" s="722"/>
      <c r="BM228" s="722"/>
    </row>
    <row r="229" spans="2:65" ht="13.2" thickBot="1" x14ac:dyDescent="0.25">
      <c r="B229" s="710"/>
      <c r="E229" s="722"/>
      <c r="F229" s="722"/>
      <c r="G229" s="722"/>
      <c r="H229" s="722"/>
      <c r="I229" s="722"/>
      <c r="J229" s="722"/>
      <c r="K229" s="722"/>
      <c r="L229" s="722"/>
      <c r="M229" s="722"/>
      <c r="N229" s="722"/>
      <c r="O229" s="722"/>
      <c r="P229" s="722"/>
      <c r="Q229" s="722"/>
      <c r="R229" s="722"/>
      <c r="S229" s="722"/>
      <c r="T229" s="722"/>
      <c r="U229" s="722"/>
      <c r="V229" s="722"/>
      <c r="W229" s="722"/>
      <c r="X229" s="722"/>
      <c r="Y229" s="722"/>
      <c r="Z229" s="722"/>
      <c r="AA229" s="722"/>
      <c r="AB229" s="722"/>
      <c r="AC229" s="722"/>
      <c r="AD229" s="722"/>
      <c r="AE229" s="722"/>
      <c r="AF229" s="722"/>
      <c r="AG229" s="722"/>
      <c r="AH229" s="722"/>
      <c r="AI229" s="722"/>
      <c r="AJ229" s="722"/>
      <c r="AK229" s="722"/>
      <c r="AL229" s="722"/>
      <c r="AM229" s="722"/>
      <c r="AN229" s="722"/>
      <c r="AO229" s="722"/>
      <c r="AP229" s="722"/>
      <c r="AQ229" s="722"/>
      <c r="AR229" s="722"/>
      <c r="AS229" s="722"/>
      <c r="AT229" s="722"/>
      <c r="AU229" s="722"/>
      <c r="AV229" s="722"/>
      <c r="AW229" s="722"/>
      <c r="AX229" s="722"/>
      <c r="AY229" s="722"/>
      <c r="AZ229" s="722"/>
      <c r="BA229" s="722"/>
      <c r="BB229" s="722"/>
      <c r="BC229" s="722"/>
      <c r="BD229" s="722"/>
      <c r="BE229" s="722"/>
      <c r="BF229" s="722"/>
      <c r="BG229" s="722"/>
      <c r="BH229" s="722"/>
      <c r="BI229" s="722"/>
      <c r="BJ229" s="722"/>
      <c r="BK229" s="722"/>
      <c r="BL229" s="722"/>
      <c r="BM229" s="722"/>
    </row>
    <row r="230" spans="2:65" ht="16.2" thickBot="1" x14ac:dyDescent="0.25">
      <c r="B230" s="288" t="str">
        <f>B37</f>
        <v>Infraestructura y estructuras de lineas</v>
      </c>
      <c r="C230" s="739" t="s">
        <v>180</v>
      </c>
      <c r="D230" s="740">
        <f>D37</f>
        <v>0.25</v>
      </c>
      <c r="E230" s="722"/>
      <c r="F230" s="722"/>
      <c r="G230" s="722"/>
      <c r="H230" s="722"/>
      <c r="I230" s="722"/>
      <c r="J230" s="722"/>
      <c r="K230" s="722"/>
      <c r="L230" s="722"/>
      <c r="M230" s="722"/>
      <c r="N230" s="722"/>
      <c r="O230" s="722"/>
      <c r="P230" s="722"/>
      <c r="Q230" s="722"/>
      <c r="R230" s="722"/>
      <c r="S230" s="722"/>
      <c r="T230" s="722"/>
      <c r="U230" s="722"/>
      <c r="V230" s="722"/>
      <c r="W230" s="722"/>
      <c r="X230" s="722"/>
      <c r="Y230" s="722"/>
      <c r="Z230" s="722"/>
      <c r="AA230" s="722"/>
      <c r="AB230" s="722"/>
      <c r="AC230" s="722"/>
      <c r="AD230" s="722"/>
      <c r="AE230" s="722"/>
      <c r="AF230" s="722"/>
      <c r="AG230" s="722"/>
      <c r="AH230" s="722"/>
      <c r="AI230" s="722"/>
      <c r="AJ230" s="722"/>
      <c r="AK230" s="722"/>
      <c r="AL230" s="722"/>
      <c r="AM230" s="722"/>
      <c r="AN230" s="722"/>
      <c r="AO230" s="722"/>
      <c r="AP230" s="722"/>
      <c r="AQ230" s="722"/>
      <c r="AR230" s="722"/>
      <c r="AS230" s="722"/>
      <c r="AT230" s="722"/>
      <c r="AU230" s="722"/>
      <c r="AV230" s="722"/>
      <c r="AW230" s="722"/>
      <c r="AX230" s="722"/>
      <c r="AY230" s="722"/>
      <c r="AZ230" s="722"/>
      <c r="BA230" s="722"/>
      <c r="BB230" s="722"/>
      <c r="BC230" s="722"/>
      <c r="BD230" s="722"/>
      <c r="BE230" s="722"/>
      <c r="BF230" s="722"/>
      <c r="BG230" s="722"/>
      <c r="BH230" s="722"/>
      <c r="BI230" s="722"/>
      <c r="BJ230" s="722"/>
      <c r="BK230" s="722"/>
      <c r="BL230" s="722"/>
      <c r="BM230" s="722"/>
    </row>
    <row r="231" spans="2:65" x14ac:dyDescent="0.2">
      <c r="B231" s="738" t="s">
        <v>313</v>
      </c>
      <c r="D231" s="725">
        <f>CHIFFRAGE_TC!O38</f>
        <v>0.59390240417868123</v>
      </c>
      <c r="E231" s="722">
        <f t="shared" ref="E231:AX231" si="219">E37*$D$231</f>
        <v>0</v>
      </c>
      <c r="F231" s="722">
        <f t="shared" si="219"/>
        <v>1746928.1501859482</v>
      </c>
      <c r="G231" s="722">
        <f t="shared" si="219"/>
        <v>5240784.4505578447</v>
      </c>
      <c r="H231" s="722">
        <f t="shared" si="219"/>
        <v>1746928.1501859482</v>
      </c>
      <c r="I231" s="722">
        <f t="shared" si="219"/>
        <v>0</v>
      </c>
      <c r="J231" s="722">
        <f t="shared" si="219"/>
        <v>0</v>
      </c>
      <c r="K231" s="722">
        <f t="shared" si="219"/>
        <v>0</v>
      </c>
      <c r="L231" s="722">
        <f t="shared" si="219"/>
        <v>0</v>
      </c>
      <c r="M231" s="722">
        <f t="shared" si="219"/>
        <v>0</v>
      </c>
      <c r="N231" s="722">
        <f t="shared" si="219"/>
        <v>0</v>
      </c>
      <c r="O231" s="722">
        <f t="shared" si="219"/>
        <v>0</v>
      </c>
      <c r="P231" s="722">
        <f t="shared" si="219"/>
        <v>0</v>
      </c>
      <c r="Q231" s="722">
        <f t="shared" si="219"/>
        <v>0</v>
      </c>
      <c r="R231" s="722">
        <f t="shared" si="219"/>
        <v>0</v>
      </c>
      <c r="S231" s="722">
        <f t="shared" si="219"/>
        <v>0</v>
      </c>
      <c r="T231" s="722">
        <f t="shared" si="219"/>
        <v>0</v>
      </c>
      <c r="U231" s="722">
        <f t="shared" si="219"/>
        <v>0</v>
      </c>
      <c r="V231" s="722">
        <f t="shared" si="219"/>
        <v>0</v>
      </c>
      <c r="W231" s="722">
        <f t="shared" si="219"/>
        <v>0</v>
      </c>
      <c r="X231" s="722">
        <f t="shared" si="219"/>
        <v>0</v>
      </c>
      <c r="Y231" s="722">
        <f t="shared" si="219"/>
        <v>0</v>
      </c>
      <c r="Z231" s="722">
        <f t="shared" si="219"/>
        <v>0</v>
      </c>
      <c r="AA231" s="722">
        <f t="shared" si="219"/>
        <v>0</v>
      </c>
      <c r="AB231" s="722">
        <f t="shared" si="219"/>
        <v>0</v>
      </c>
      <c r="AC231" s="722">
        <f t="shared" si="219"/>
        <v>0</v>
      </c>
      <c r="AD231" s="722">
        <f t="shared" si="219"/>
        <v>0</v>
      </c>
      <c r="AE231" s="722">
        <f t="shared" si="219"/>
        <v>0</v>
      </c>
      <c r="AF231" s="722">
        <f t="shared" si="219"/>
        <v>0</v>
      </c>
      <c r="AG231" s="722">
        <f t="shared" si="219"/>
        <v>0</v>
      </c>
      <c r="AH231" s="722">
        <f t="shared" si="219"/>
        <v>0</v>
      </c>
      <c r="AI231" s="722">
        <f t="shared" si="219"/>
        <v>0</v>
      </c>
      <c r="AJ231" s="722">
        <f t="shared" si="219"/>
        <v>0</v>
      </c>
      <c r="AK231" s="722">
        <f t="shared" si="219"/>
        <v>0</v>
      </c>
      <c r="AL231" s="722">
        <f t="shared" si="219"/>
        <v>0</v>
      </c>
      <c r="AM231" s="722">
        <f t="shared" si="219"/>
        <v>0</v>
      </c>
      <c r="AN231" s="722">
        <f t="shared" si="219"/>
        <v>0</v>
      </c>
      <c r="AO231" s="722">
        <f t="shared" si="219"/>
        <v>0</v>
      </c>
      <c r="AP231" s="722">
        <f t="shared" si="219"/>
        <v>0</v>
      </c>
      <c r="AQ231" s="722">
        <f t="shared" si="219"/>
        <v>0</v>
      </c>
      <c r="AR231" s="722">
        <f t="shared" si="219"/>
        <v>0</v>
      </c>
      <c r="AS231" s="722">
        <f t="shared" si="219"/>
        <v>0</v>
      </c>
      <c r="AT231" s="722">
        <f t="shared" si="219"/>
        <v>0</v>
      </c>
      <c r="AU231" s="722">
        <f t="shared" si="219"/>
        <v>0</v>
      </c>
      <c r="AV231" s="722">
        <f t="shared" si="219"/>
        <v>0</v>
      </c>
      <c r="AW231" s="722">
        <f t="shared" si="219"/>
        <v>0</v>
      </c>
      <c r="AX231" s="722">
        <f t="shared" si="219"/>
        <v>0</v>
      </c>
      <c r="AY231" s="722"/>
      <c r="AZ231" s="722"/>
      <c r="BA231" s="722"/>
      <c r="BB231" s="722"/>
      <c r="BC231" s="722"/>
      <c r="BD231" s="722"/>
      <c r="BE231" s="722"/>
      <c r="BF231" s="722"/>
      <c r="BG231" s="722"/>
      <c r="BH231" s="722"/>
      <c r="BI231" s="722"/>
      <c r="BJ231" s="722"/>
      <c r="BK231" s="722"/>
      <c r="BL231" s="722"/>
      <c r="BM231" s="722"/>
    </row>
    <row r="232" spans="2:65" x14ac:dyDescent="0.2">
      <c r="B232" s="738" t="s">
        <v>406</v>
      </c>
      <c r="D232" s="725">
        <f>CHIFFRAGE_TC!P38</f>
        <v>0.40609759582131877</v>
      </c>
      <c r="E232" s="722">
        <f t="shared" ref="E232:AX232" si="220">E37*$D$232</f>
        <v>0</v>
      </c>
      <c r="F232" s="722">
        <f t="shared" si="220"/>
        <v>1194511.6181911607</v>
      </c>
      <c r="G232" s="722">
        <f t="shared" si="220"/>
        <v>3583534.8545734822</v>
      </c>
      <c r="H232" s="722">
        <f t="shared" si="220"/>
        <v>1194511.6181911607</v>
      </c>
      <c r="I232" s="722">
        <f t="shared" si="220"/>
        <v>0</v>
      </c>
      <c r="J232" s="722">
        <f t="shared" si="220"/>
        <v>0</v>
      </c>
      <c r="K232" s="722">
        <f t="shared" si="220"/>
        <v>0</v>
      </c>
      <c r="L232" s="722">
        <f t="shared" si="220"/>
        <v>0</v>
      </c>
      <c r="M232" s="722">
        <f t="shared" si="220"/>
        <v>0</v>
      </c>
      <c r="N232" s="722">
        <f t="shared" si="220"/>
        <v>0</v>
      </c>
      <c r="O232" s="722">
        <f t="shared" si="220"/>
        <v>0</v>
      </c>
      <c r="P232" s="722">
        <f t="shared" si="220"/>
        <v>0</v>
      </c>
      <c r="Q232" s="722">
        <f t="shared" si="220"/>
        <v>0</v>
      </c>
      <c r="R232" s="722">
        <f t="shared" si="220"/>
        <v>0</v>
      </c>
      <c r="S232" s="722">
        <f t="shared" si="220"/>
        <v>0</v>
      </c>
      <c r="T232" s="722">
        <f t="shared" si="220"/>
        <v>0</v>
      </c>
      <c r="U232" s="722">
        <f t="shared" si="220"/>
        <v>0</v>
      </c>
      <c r="V232" s="722">
        <f t="shared" si="220"/>
        <v>0</v>
      </c>
      <c r="W232" s="722">
        <f t="shared" si="220"/>
        <v>0</v>
      </c>
      <c r="X232" s="722">
        <f t="shared" si="220"/>
        <v>0</v>
      </c>
      <c r="Y232" s="722">
        <f t="shared" si="220"/>
        <v>0</v>
      </c>
      <c r="Z232" s="722">
        <f t="shared" si="220"/>
        <v>0</v>
      </c>
      <c r="AA232" s="722">
        <f t="shared" si="220"/>
        <v>0</v>
      </c>
      <c r="AB232" s="722">
        <f t="shared" si="220"/>
        <v>0</v>
      </c>
      <c r="AC232" s="722">
        <f t="shared" si="220"/>
        <v>0</v>
      </c>
      <c r="AD232" s="722">
        <f t="shared" si="220"/>
        <v>0</v>
      </c>
      <c r="AE232" s="722">
        <f t="shared" si="220"/>
        <v>0</v>
      </c>
      <c r="AF232" s="722">
        <f t="shared" si="220"/>
        <v>0</v>
      </c>
      <c r="AG232" s="722">
        <f t="shared" si="220"/>
        <v>0</v>
      </c>
      <c r="AH232" s="722">
        <f t="shared" si="220"/>
        <v>0</v>
      </c>
      <c r="AI232" s="722">
        <f t="shared" si="220"/>
        <v>0</v>
      </c>
      <c r="AJ232" s="722">
        <f t="shared" si="220"/>
        <v>0</v>
      </c>
      <c r="AK232" s="722">
        <f t="shared" si="220"/>
        <v>0</v>
      </c>
      <c r="AL232" s="722">
        <f t="shared" si="220"/>
        <v>0</v>
      </c>
      <c r="AM232" s="722">
        <f t="shared" si="220"/>
        <v>0</v>
      </c>
      <c r="AN232" s="722">
        <f t="shared" si="220"/>
        <v>0</v>
      </c>
      <c r="AO232" s="722">
        <f t="shared" si="220"/>
        <v>0</v>
      </c>
      <c r="AP232" s="722">
        <f t="shared" si="220"/>
        <v>0</v>
      </c>
      <c r="AQ232" s="722">
        <f t="shared" si="220"/>
        <v>0</v>
      </c>
      <c r="AR232" s="722">
        <f t="shared" si="220"/>
        <v>0</v>
      </c>
      <c r="AS232" s="722">
        <f t="shared" si="220"/>
        <v>0</v>
      </c>
      <c r="AT232" s="722">
        <f t="shared" si="220"/>
        <v>0</v>
      </c>
      <c r="AU232" s="722">
        <f t="shared" si="220"/>
        <v>0</v>
      </c>
      <c r="AV232" s="722">
        <f t="shared" si="220"/>
        <v>0</v>
      </c>
      <c r="AW232" s="722">
        <f t="shared" si="220"/>
        <v>0</v>
      </c>
      <c r="AX232" s="722">
        <f t="shared" si="220"/>
        <v>0</v>
      </c>
      <c r="AY232" s="722"/>
      <c r="AZ232" s="722"/>
      <c r="BA232" s="722"/>
      <c r="BB232" s="722"/>
      <c r="BC232" s="722"/>
      <c r="BD232" s="722"/>
      <c r="BE232" s="722"/>
      <c r="BF232" s="722"/>
      <c r="BG232" s="722"/>
      <c r="BH232" s="722"/>
      <c r="BI232" s="722"/>
      <c r="BJ232" s="722"/>
      <c r="BK232" s="722"/>
      <c r="BL232" s="722"/>
      <c r="BM232" s="722"/>
    </row>
    <row r="233" spans="2:65" ht="13.2" thickBot="1" x14ac:dyDescent="0.25">
      <c r="B233" s="710"/>
      <c r="E233" s="722"/>
      <c r="F233" s="722"/>
      <c r="G233" s="722"/>
      <c r="H233" s="722"/>
      <c r="I233" s="722"/>
      <c r="J233" s="722"/>
      <c r="K233" s="722"/>
      <c r="L233" s="722"/>
      <c r="M233" s="722"/>
      <c r="N233" s="722"/>
      <c r="O233" s="722"/>
      <c r="P233" s="722"/>
      <c r="Q233" s="722"/>
      <c r="R233" s="722"/>
      <c r="S233" s="722"/>
      <c r="T233" s="722"/>
      <c r="U233" s="722"/>
      <c r="V233" s="722"/>
      <c r="W233" s="722"/>
      <c r="X233" s="722"/>
      <c r="Y233" s="722"/>
      <c r="Z233" s="722"/>
      <c r="AA233" s="722"/>
      <c r="AB233" s="722"/>
      <c r="AC233" s="722"/>
      <c r="AD233" s="722"/>
      <c r="AE233" s="722"/>
      <c r="AF233" s="722"/>
      <c r="AG233" s="722"/>
      <c r="AH233" s="722"/>
      <c r="AI233" s="722"/>
      <c r="AJ233" s="722"/>
      <c r="AK233" s="722"/>
      <c r="AL233" s="722"/>
      <c r="AM233" s="722"/>
      <c r="AN233" s="722"/>
      <c r="AO233" s="722"/>
      <c r="AP233" s="722"/>
      <c r="AQ233" s="722"/>
      <c r="AR233" s="722"/>
      <c r="AS233" s="722"/>
      <c r="AT233" s="722"/>
      <c r="AU233" s="722"/>
      <c r="AV233" s="722"/>
      <c r="AW233" s="722"/>
      <c r="AX233" s="722"/>
      <c r="AY233" s="722"/>
      <c r="AZ233" s="722"/>
      <c r="BA233" s="722"/>
      <c r="BB233" s="722"/>
      <c r="BC233" s="722"/>
      <c r="BD233" s="722"/>
      <c r="BE233" s="722"/>
      <c r="BF233" s="722"/>
      <c r="BG233" s="722"/>
      <c r="BH233" s="722"/>
      <c r="BI233" s="722"/>
      <c r="BJ233" s="722"/>
      <c r="BK233" s="722"/>
      <c r="BL233" s="722"/>
      <c r="BM233" s="722"/>
    </row>
    <row r="234" spans="2:65" ht="16.2" thickBot="1" x14ac:dyDescent="0.25">
      <c r="B234" s="288" t="str">
        <f>B44</f>
        <v>Obras de via y reubicacion de redes</v>
      </c>
      <c r="C234" s="739" t="s">
        <v>180</v>
      </c>
      <c r="D234" s="740">
        <f>D44</f>
        <v>0.25</v>
      </c>
      <c r="E234" s="722"/>
      <c r="F234" s="722"/>
      <c r="G234" s="722"/>
      <c r="H234" s="722"/>
      <c r="I234" s="722"/>
      <c r="J234" s="722"/>
      <c r="K234" s="722"/>
      <c r="L234" s="722"/>
      <c r="M234" s="722"/>
      <c r="N234" s="722"/>
      <c r="O234" s="722"/>
      <c r="P234" s="722"/>
      <c r="Q234" s="722"/>
      <c r="R234" s="722"/>
      <c r="S234" s="722"/>
      <c r="T234" s="722"/>
      <c r="U234" s="722"/>
      <c r="V234" s="722"/>
      <c r="W234" s="722"/>
      <c r="X234" s="722"/>
      <c r="Y234" s="722"/>
      <c r="Z234" s="722"/>
      <c r="AA234" s="722"/>
      <c r="AB234" s="722"/>
      <c r="AC234" s="722"/>
      <c r="AD234" s="722"/>
      <c r="AE234" s="722"/>
      <c r="AF234" s="722"/>
      <c r="AG234" s="722"/>
      <c r="AH234" s="722"/>
      <c r="AI234" s="722"/>
      <c r="AJ234" s="722"/>
      <c r="AK234" s="722"/>
      <c r="AL234" s="722"/>
      <c r="AM234" s="722"/>
      <c r="AN234" s="722"/>
      <c r="AO234" s="722"/>
      <c r="AP234" s="722"/>
      <c r="AQ234" s="722"/>
      <c r="AR234" s="722"/>
      <c r="AS234" s="722"/>
      <c r="AT234" s="722"/>
      <c r="AU234" s="722"/>
      <c r="AV234" s="722"/>
      <c r="AW234" s="722"/>
      <c r="AX234" s="722"/>
      <c r="AY234" s="722"/>
      <c r="AZ234" s="722"/>
      <c r="BA234" s="722"/>
      <c r="BB234" s="722"/>
      <c r="BC234" s="722"/>
      <c r="BD234" s="722"/>
      <c r="BE234" s="722"/>
      <c r="BF234" s="722"/>
      <c r="BG234" s="722"/>
      <c r="BH234" s="722"/>
      <c r="BI234" s="722"/>
      <c r="BJ234" s="722"/>
      <c r="BK234" s="722"/>
      <c r="BL234" s="722"/>
      <c r="BM234" s="722"/>
    </row>
    <row r="235" spans="2:65" x14ac:dyDescent="0.2">
      <c r="B235" s="738" t="s">
        <v>313</v>
      </c>
      <c r="D235" s="725">
        <f>CHIFFRAGE_TC!O45</f>
        <v>0.79880960085773034</v>
      </c>
      <c r="E235" s="722">
        <f t="shared" ref="E235:AX235" si="221">E44*$D$235</f>
        <v>0</v>
      </c>
      <c r="F235" s="722">
        <f t="shared" si="221"/>
        <v>669131.3575153579</v>
      </c>
      <c r="G235" s="722">
        <f t="shared" si="221"/>
        <v>366458.26358714193</v>
      </c>
      <c r="H235" s="722">
        <f t="shared" si="221"/>
        <v>0</v>
      </c>
      <c r="I235" s="722">
        <f t="shared" si="221"/>
        <v>0</v>
      </c>
      <c r="J235" s="722">
        <f t="shared" si="221"/>
        <v>0</v>
      </c>
      <c r="K235" s="722">
        <f t="shared" si="221"/>
        <v>0</v>
      </c>
      <c r="L235" s="722">
        <f t="shared" si="221"/>
        <v>0</v>
      </c>
      <c r="M235" s="722">
        <f t="shared" si="221"/>
        <v>0</v>
      </c>
      <c r="N235" s="722">
        <f t="shared" si="221"/>
        <v>0</v>
      </c>
      <c r="O235" s="722">
        <f t="shared" si="221"/>
        <v>0</v>
      </c>
      <c r="P235" s="722">
        <f t="shared" si="221"/>
        <v>0</v>
      </c>
      <c r="Q235" s="722">
        <f t="shared" si="221"/>
        <v>0</v>
      </c>
      <c r="R235" s="722">
        <f t="shared" si="221"/>
        <v>0</v>
      </c>
      <c r="S235" s="722">
        <f t="shared" si="221"/>
        <v>0</v>
      </c>
      <c r="T235" s="722">
        <f t="shared" si="221"/>
        <v>0</v>
      </c>
      <c r="U235" s="722">
        <f t="shared" si="221"/>
        <v>0</v>
      </c>
      <c r="V235" s="722">
        <f t="shared" si="221"/>
        <v>0</v>
      </c>
      <c r="W235" s="722">
        <f t="shared" si="221"/>
        <v>0</v>
      </c>
      <c r="X235" s="722">
        <f t="shared" si="221"/>
        <v>0</v>
      </c>
      <c r="Y235" s="722">
        <f t="shared" si="221"/>
        <v>0</v>
      </c>
      <c r="Z235" s="722">
        <f t="shared" si="221"/>
        <v>0</v>
      </c>
      <c r="AA235" s="722">
        <f t="shared" si="221"/>
        <v>0</v>
      </c>
      <c r="AB235" s="722">
        <f t="shared" si="221"/>
        <v>0</v>
      </c>
      <c r="AC235" s="722">
        <f t="shared" si="221"/>
        <v>0</v>
      </c>
      <c r="AD235" s="722">
        <f t="shared" si="221"/>
        <v>0</v>
      </c>
      <c r="AE235" s="722">
        <f t="shared" si="221"/>
        <v>0</v>
      </c>
      <c r="AF235" s="722">
        <f t="shared" si="221"/>
        <v>0</v>
      </c>
      <c r="AG235" s="722">
        <f t="shared" si="221"/>
        <v>0</v>
      </c>
      <c r="AH235" s="722">
        <f t="shared" si="221"/>
        <v>0</v>
      </c>
      <c r="AI235" s="722">
        <f t="shared" si="221"/>
        <v>0</v>
      </c>
      <c r="AJ235" s="722">
        <f t="shared" si="221"/>
        <v>0</v>
      </c>
      <c r="AK235" s="722">
        <f t="shared" si="221"/>
        <v>0</v>
      </c>
      <c r="AL235" s="722">
        <f t="shared" si="221"/>
        <v>0</v>
      </c>
      <c r="AM235" s="722">
        <f t="shared" si="221"/>
        <v>0</v>
      </c>
      <c r="AN235" s="722">
        <f t="shared" si="221"/>
        <v>0</v>
      </c>
      <c r="AO235" s="722">
        <f t="shared" si="221"/>
        <v>0</v>
      </c>
      <c r="AP235" s="722">
        <f t="shared" si="221"/>
        <v>0</v>
      </c>
      <c r="AQ235" s="722">
        <f t="shared" si="221"/>
        <v>0</v>
      </c>
      <c r="AR235" s="722">
        <f t="shared" si="221"/>
        <v>0</v>
      </c>
      <c r="AS235" s="722">
        <f t="shared" si="221"/>
        <v>0</v>
      </c>
      <c r="AT235" s="722">
        <f t="shared" si="221"/>
        <v>0</v>
      </c>
      <c r="AU235" s="722">
        <f t="shared" si="221"/>
        <v>0</v>
      </c>
      <c r="AV235" s="722">
        <f t="shared" si="221"/>
        <v>0</v>
      </c>
      <c r="AW235" s="722">
        <f t="shared" si="221"/>
        <v>0</v>
      </c>
      <c r="AX235" s="722">
        <f t="shared" si="221"/>
        <v>0</v>
      </c>
      <c r="AY235" s="722"/>
      <c r="AZ235" s="722"/>
      <c r="BA235" s="722"/>
      <c r="BB235" s="722"/>
      <c r="BC235" s="722"/>
      <c r="BD235" s="722"/>
      <c r="BE235" s="722"/>
      <c r="BF235" s="722"/>
      <c r="BG235" s="722"/>
      <c r="BH235" s="722"/>
      <c r="BI235" s="722"/>
      <c r="BJ235" s="722"/>
      <c r="BK235" s="722"/>
      <c r="BL235" s="722"/>
      <c r="BM235" s="722"/>
    </row>
    <row r="236" spans="2:65" x14ac:dyDescent="0.2">
      <c r="B236" s="738" t="s">
        <v>406</v>
      </c>
      <c r="D236" s="725">
        <f>CHIFFRAGE_TC!P45</f>
        <v>0.2011903991422696</v>
      </c>
      <c r="E236" s="722">
        <f t="shared" ref="E236:AX236" si="222">E44*$D$236</f>
        <v>0</v>
      </c>
      <c r="F236" s="722">
        <f t="shared" si="222"/>
        <v>168529.27750564201</v>
      </c>
      <c r="G236" s="722">
        <f t="shared" si="222"/>
        <v>92297.193525107898</v>
      </c>
      <c r="H236" s="722">
        <f t="shared" si="222"/>
        <v>0</v>
      </c>
      <c r="I236" s="722">
        <f t="shared" si="222"/>
        <v>0</v>
      </c>
      <c r="J236" s="722">
        <f t="shared" si="222"/>
        <v>0</v>
      </c>
      <c r="K236" s="722">
        <f t="shared" si="222"/>
        <v>0</v>
      </c>
      <c r="L236" s="722">
        <f t="shared" si="222"/>
        <v>0</v>
      </c>
      <c r="M236" s="722">
        <f t="shared" si="222"/>
        <v>0</v>
      </c>
      <c r="N236" s="722">
        <f t="shared" si="222"/>
        <v>0</v>
      </c>
      <c r="O236" s="722">
        <f t="shared" si="222"/>
        <v>0</v>
      </c>
      <c r="P236" s="722">
        <f t="shared" si="222"/>
        <v>0</v>
      </c>
      <c r="Q236" s="722">
        <f t="shared" si="222"/>
        <v>0</v>
      </c>
      <c r="R236" s="722">
        <f t="shared" si="222"/>
        <v>0</v>
      </c>
      <c r="S236" s="722">
        <f t="shared" si="222"/>
        <v>0</v>
      </c>
      <c r="T236" s="722">
        <f t="shared" si="222"/>
        <v>0</v>
      </c>
      <c r="U236" s="722">
        <f t="shared" si="222"/>
        <v>0</v>
      </c>
      <c r="V236" s="722">
        <f t="shared" si="222"/>
        <v>0</v>
      </c>
      <c r="W236" s="722">
        <f t="shared" si="222"/>
        <v>0</v>
      </c>
      <c r="X236" s="722">
        <f t="shared" si="222"/>
        <v>0</v>
      </c>
      <c r="Y236" s="722">
        <f t="shared" si="222"/>
        <v>0</v>
      </c>
      <c r="Z236" s="722">
        <f t="shared" si="222"/>
        <v>0</v>
      </c>
      <c r="AA236" s="722">
        <f t="shared" si="222"/>
        <v>0</v>
      </c>
      <c r="AB236" s="722">
        <f t="shared" si="222"/>
        <v>0</v>
      </c>
      <c r="AC236" s="722">
        <f t="shared" si="222"/>
        <v>0</v>
      </c>
      <c r="AD236" s="722">
        <f t="shared" si="222"/>
        <v>0</v>
      </c>
      <c r="AE236" s="722">
        <f t="shared" si="222"/>
        <v>0</v>
      </c>
      <c r="AF236" s="722">
        <f t="shared" si="222"/>
        <v>0</v>
      </c>
      <c r="AG236" s="722">
        <f t="shared" si="222"/>
        <v>0</v>
      </c>
      <c r="AH236" s="722">
        <f t="shared" si="222"/>
        <v>0</v>
      </c>
      <c r="AI236" s="722">
        <f t="shared" si="222"/>
        <v>0</v>
      </c>
      <c r="AJ236" s="722">
        <f t="shared" si="222"/>
        <v>0</v>
      </c>
      <c r="AK236" s="722">
        <f t="shared" si="222"/>
        <v>0</v>
      </c>
      <c r="AL236" s="722">
        <f t="shared" si="222"/>
        <v>0</v>
      </c>
      <c r="AM236" s="722">
        <f t="shared" si="222"/>
        <v>0</v>
      </c>
      <c r="AN236" s="722">
        <f t="shared" si="222"/>
        <v>0</v>
      </c>
      <c r="AO236" s="722">
        <f t="shared" si="222"/>
        <v>0</v>
      </c>
      <c r="AP236" s="722">
        <f t="shared" si="222"/>
        <v>0</v>
      </c>
      <c r="AQ236" s="722">
        <f t="shared" si="222"/>
        <v>0</v>
      </c>
      <c r="AR236" s="722">
        <f t="shared" si="222"/>
        <v>0</v>
      </c>
      <c r="AS236" s="722">
        <f t="shared" si="222"/>
        <v>0</v>
      </c>
      <c r="AT236" s="722">
        <f t="shared" si="222"/>
        <v>0</v>
      </c>
      <c r="AU236" s="722">
        <f t="shared" si="222"/>
        <v>0</v>
      </c>
      <c r="AV236" s="722">
        <f t="shared" si="222"/>
        <v>0</v>
      </c>
      <c r="AW236" s="722">
        <f t="shared" si="222"/>
        <v>0</v>
      </c>
      <c r="AX236" s="722">
        <f t="shared" si="222"/>
        <v>0</v>
      </c>
      <c r="AY236" s="722"/>
      <c r="AZ236" s="722"/>
      <c r="BA236" s="722"/>
      <c r="BB236" s="722"/>
      <c r="BC236" s="722"/>
      <c r="BD236" s="722"/>
      <c r="BE236" s="722"/>
      <c r="BF236" s="722"/>
      <c r="BG236" s="722"/>
      <c r="BH236" s="722"/>
      <c r="BI236" s="722"/>
      <c r="BJ236" s="722"/>
      <c r="BK236" s="722"/>
      <c r="BL236" s="722"/>
      <c r="BM236" s="722"/>
    </row>
    <row r="237" spans="2:65" ht="13.2" thickBot="1" x14ac:dyDescent="0.25">
      <c r="B237" s="710"/>
      <c r="E237" s="722"/>
      <c r="F237" s="722"/>
      <c r="G237" s="722"/>
      <c r="H237" s="722"/>
      <c r="I237" s="722"/>
      <c r="J237" s="722"/>
      <c r="K237" s="722"/>
      <c r="L237" s="722"/>
      <c r="M237" s="722"/>
      <c r="N237" s="722"/>
      <c r="O237" s="722"/>
      <c r="P237" s="722"/>
      <c r="Q237" s="722"/>
      <c r="R237" s="722"/>
      <c r="S237" s="722"/>
      <c r="T237" s="722"/>
      <c r="U237" s="722"/>
      <c r="V237" s="722"/>
      <c r="W237" s="722"/>
      <c r="X237" s="722"/>
      <c r="Y237" s="722"/>
      <c r="Z237" s="722"/>
      <c r="AA237" s="722"/>
      <c r="AB237" s="722"/>
      <c r="AC237" s="722"/>
      <c r="AD237" s="722"/>
      <c r="AE237" s="722"/>
      <c r="AF237" s="722"/>
      <c r="AG237" s="722"/>
      <c r="AH237" s="722"/>
      <c r="AI237" s="722"/>
      <c r="AJ237" s="722"/>
      <c r="AK237" s="722"/>
      <c r="AL237" s="722"/>
      <c r="AM237" s="722"/>
      <c r="AN237" s="722"/>
      <c r="AO237" s="722"/>
      <c r="AP237" s="722"/>
      <c r="AQ237" s="722"/>
      <c r="AR237" s="722"/>
      <c r="AS237" s="722"/>
      <c r="AT237" s="722"/>
      <c r="AU237" s="722"/>
      <c r="AV237" s="722"/>
      <c r="AW237" s="722"/>
      <c r="AX237" s="722"/>
      <c r="AY237" s="722"/>
      <c r="AZ237" s="722"/>
      <c r="BA237" s="722"/>
      <c r="BB237" s="722"/>
      <c r="BC237" s="722"/>
      <c r="BD237" s="722"/>
      <c r="BE237" s="722"/>
      <c r="BF237" s="722"/>
      <c r="BG237" s="722"/>
      <c r="BH237" s="722"/>
      <c r="BI237" s="722"/>
      <c r="BJ237" s="722"/>
      <c r="BK237" s="722"/>
      <c r="BL237" s="722"/>
      <c r="BM237" s="722"/>
    </row>
    <row r="238" spans="2:65" ht="16.2" thickBot="1" x14ac:dyDescent="0.25">
      <c r="B238" s="288" t="str">
        <f>B52</f>
        <v>Cabinas</v>
      </c>
      <c r="C238" s="739" t="s">
        <v>180</v>
      </c>
      <c r="D238" s="740">
        <f>D52</f>
        <v>0.15</v>
      </c>
      <c r="E238" s="722"/>
      <c r="F238" s="722"/>
      <c r="G238" s="722"/>
      <c r="H238" s="722"/>
      <c r="I238" s="722"/>
      <c r="J238" s="722"/>
      <c r="K238" s="722"/>
      <c r="L238" s="722"/>
      <c r="M238" s="722"/>
      <c r="N238" s="722"/>
      <c r="O238" s="722"/>
      <c r="P238" s="722"/>
      <c r="Q238" s="722"/>
      <c r="R238" s="722"/>
      <c r="S238" s="722"/>
      <c r="T238" s="722"/>
      <c r="U238" s="722"/>
      <c r="V238" s="722"/>
      <c r="W238" s="722"/>
      <c r="X238" s="722"/>
      <c r="Y238" s="722"/>
      <c r="Z238" s="722"/>
      <c r="AA238" s="722"/>
      <c r="AB238" s="722"/>
      <c r="AC238" s="722"/>
      <c r="AD238" s="722"/>
      <c r="AE238" s="722"/>
      <c r="AF238" s="722"/>
      <c r="AG238" s="722"/>
      <c r="AH238" s="722"/>
      <c r="AI238" s="722"/>
      <c r="AJ238" s="722"/>
      <c r="AK238" s="722"/>
      <c r="AL238" s="722"/>
      <c r="AM238" s="722"/>
      <c r="AN238" s="722"/>
      <c r="AO238" s="722"/>
      <c r="AP238" s="722"/>
      <c r="AQ238" s="722"/>
      <c r="AR238" s="722"/>
      <c r="AS238" s="722"/>
      <c r="AT238" s="722"/>
      <c r="AU238" s="722"/>
      <c r="AV238" s="722"/>
      <c r="AW238" s="722"/>
      <c r="AX238" s="722"/>
      <c r="AY238" s="722"/>
      <c r="AZ238" s="722"/>
      <c r="BA238" s="722"/>
      <c r="BB238" s="722"/>
      <c r="BC238" s="722"/>
      <c r="BD238" s="722"/>
      <c r="BE238" s="722"/>
      <c r="BF238" s="722"/>
      <c r="BG238" s="722"/>
      <c r="BH238" s="722"/>
      <c r="BI238" s="722"/>
      <c r="BJ238" s="722"/>
      <c r="BK238" s="722"/>
      <c r="BL238" s="722"/>
      <c r="BM238" s="722"/>
    </row>
    <row r="239" spans="2:65" x14ac:dyDescent="0.2">
      <c r="B239" s="738" t="s">
        <v>313</v>
      </c>
      <c r="D239" s="725">
        <f>CHIFFRAGE_TC!O53</f>
        <v>5.7734021151533553E-2</v>
      </c>
      <c r="E239" s="722">
        <f t="shared" ref="E239:AX239" si="223">E52*$D$239</f>
        <v>0</v>
      </c>
      <c r="F239" s="722">
        <f t="shared" si="223"/>
        <v>92978.374934199994</v>
      </c>
      <c r="G239" s="722">
        <f t="shared" si="223"/>
        <v>278935.12480259989</v>
      </c>
      <c r="H239" s="722">
        <f t="shared" si="223"/>
        <v>92978.374934199994</v>
      </c>
      <c r="I239" s="722">
        <f t="shared" si="223"/>
        <v>0</v>
      </c>
      <c r="J239" s="722">
        <f t="shared" si="223"/>
        <v>0</v>
      </c>
      <c r="K239" s="722">
        <f t="shared" si="223"/>
        <v>0</v>
      </c>
      <c r="L239" s="722">
        <f t="shared" si="223"/>
        <v>0</v>
      </c>
      <c r="M239" s="722">
        <f t="shared" si="223"/>
        <v>0</v>
      </c>
      <c r="N239" s="722">
        <f t="shared" si="223"/>
        <v>0</v>
      </c>
      <c r="O239" s="722">
        <f t="shared" si="223"/>
        <v>0</v>
      </c>
      <c r="P239" s="722">
        <f t="shared" si="223"/>
        <v>0</v>
      </c>
      <c r="Q239" s="722">
        <f t="shared" si="223"/>
        <v>0</v>
      </c>
      <c r="R239" s="722">
        <f t="shared" si="223"/>
        <v>0</v>
      </c>
      <c r="S239" s="722">
        <f t="shared" si="223"/>
        <v>0</v>
      </c>
      <c r="T239" s="722">
        <f t="shared" si="223"/>
        <v>0</v>
      </c>
      <c r="U239" s="722">
        <f t="shared" si="223"/>
        <v>0</v>
      </c>
      <c r="V239" s="722">
        <f t="shared" si="223"/>
        <v>0</v>
      </c>
      <c r="W239" s="722">
        <f t="shared" si="223"/>
        <v>19278.040978411216</v>
      </c>
      <c r="X239" s="722">
        <f t="shared" si="223"/>
        <v>57834.122935233645</v>
      </c>
      <c r="Y239" s="722">
        <f t="shared" si="223"/>
        <v>19278.040978411216</v>
      </c>
      <c r="Z239" s="722">
        <f t="shared" si="223"/>
        <v>0</v>
      </c>
      <c r="AA239" s="722">
        <f t="shared" si="223"/>
        <v>0</v>
      </c>
      <c r="AB239" s="722">
        <f t="shared" si="223"/>
        <v>0</v>
      </c>
      <c r="AC239" s="722">
        <f t="shared" si="223"/>
        <v>0</v>
      </c>
      <c r="AD239" s="722">
        <f t="shared" si="223"/>
        <v>0</v>
      </c>
      <c r="AE239" s="722">
        <f t="shared" si="223"/>
        <v>0</v>
      </c>
      <c r="AF239" s="722">
        <f t="shared" si="223"/>
        <v>0</v>
      </c>
      <c r="AG239" s="722">
        <f t="shared" si="223"/>
        <v>0</v>
      </c>
      <c r="AH239" s="722">
        <f t="shared" si="223"/>
        <v>0</v>
      </c>
      <c r="AI239" s="722">
        <f t="shared" si="223"/>
        <v>0</v>
      </c>
      <c r="AJ239" s="722">
        <f t="shared" si="223"/>
        <v>0</v>
      </c>
      <c r="AK239" s="722">
        <f t="shared" si="223"/>
        <v>0</v>
      </c>
      <c r="AL239" s="722">
        <f t="shared" si="223"/>
        <v>0</v>
      </c>
      <c r="AM239" s="722">
        <f t="shared" si="223"/>
        <v>0</v>
      </c>
      <c r="AN239" s="722">
        <f t="shared" si="223"/>
        <v>19278.040978411216</v>
      </c>
      <c r="AO239" s="722">
        <f t="shared" si="223"/>
        <v>57834.122935233645</v>
      </c>
      <c r="AP239" s="722">
        <f t="shared" si="223"/>
        <v>19278.040978411216</v>
      </c>
      <c r="AQ239" s="722">
        <f t="shared" si="223"/>
        <v>0</v>
      </c>
      <c r="AR239" s="722">
        <f t="shared" si="223"/>
        <v>0</v>
      </c>
      <c r="AS239" s="722">
        <f t="shared" si="223"/>
        <v>0</v>
      </c>
      <c r="AT239" s="722">
        <f t="shared" si="223"/>
        <v>0</v>
      </c>
      <c r="AU239" s="722">
        <f t="shared" si="223"/>
        <v>0</v>
      </c>
      <c r="AV239" s="722">
        <f t="shared" si="223"/>
        <v>0</v>
      </c>
      <c r="AW239" s="722">
        <f t="shared" si="223"/>
        <v>0</v>
      </c>
      <c r="AX239" s="722">
        <f t="shared" si="223"/>
        <v>0</v>
      </c>
      <c r="AY239" s="722"/>
      <c r="AZ239" s="722"/>
      <c r="BA239" s="722"/>
      <c r="BB239" s="722"/>
      <c r="BC239" s="722"/>
      <c r="BD239" s="722"/>
      <c r="BE239" s="722"/>
      <c r="BF239" s="722"/>
      <c r="BG239" s="722"/>
      <c r="BH239" s="722"/>
      <c r="BI239" s="722"/>
      <c r="BJ239" s="722"/>
      <c r="BK239" s="722"/>
      <c r="BL239" s="722"/>
      <c r="BM239" s="722"/>
    </row>
    <row r="240" spans="2:65" x14ac:dyDescent="0.2">
      <c r="B240" s="738" t="s">
        <v>406</v>
      </c>
      <c r="D240" s="725">
        <f>CHIFFRAGE_TC!P53</f>
        <v>0.94226597884846641</v>
      </c>
      <c r="E240" s="722">
        <f t="shared" ref="E240:AX240" si="224">E52*$D$240</f>
        <v>0</v>
      </c>
      <c r="F240" s="722">
        <f t="shared" si="224"/>
        <v>1517482.3738530905</v>
      </c>
      <c r="G240" s="722">
        <f t="shared" si="224"/>
        <v>4552447.1215592707</v>
      </c>
      <c r="H240" s="722">
        <f t="shared" si="224"/>
        <v>1517482.3738530905</v>
      </c>
      <c r="I240" s="722">
        <f t="shared" si="224"/>
        <v>0</v>
      </c>
      <c r="J240" s="722">
        <f t="shared" si="224"/>
        <v>0</v>
      </c>
      <c r="K240" s="722">
        <f t="shared" si="224"/>
        <v>0</v>
      </c>
      <c r="L240" s="722">
        <f t="shared" si="224"/>
        <v>0</v>
      </c>
      <c r="M240" s="722">
        <f t="shared" si="224"/>
        <v>0</v>
      </c>
      <c r="N240" s="722">
        <f t="shared" si="224"/>
        <v>0</v>
      </c>
      <c r="O240" s="722">
        <f t="shared" si="224"/>
        <v>0</v>
      </c>
      <c r="P240" s="722">
        <f t="shared" si="224"/>
        <v>0</v>
      </c>
      <c r="Q240" s="722">
        <f t="shared" si="224"/>
        <v>0</v>
      </c>
      <c r="R240" s="722">
        <f t="shared" si="224"/>
        <v>0</v>
      </c>
      <c r="S240" s="722">
        <f t="shared" si="224"/>
        <v>0</v>
      </c>
      <c r="T240" s="722">
        <f t="shared" si="224"/>
        <v>0</v>
      </c>
      <c r="U240" s="722">
        <f t="shared" si="224"/>
        <v>0</v>
      </c>
      <c r="V240" s="722">
        <f t="shared" si="224"/>
        <v>0</v>
      </c>
      <c r="W240" s="722">
        <f t="shared" si="224"/>
        <v>314633.24034066498</v>
      </c>
      <c r="X240" s="722">
        <f t="shared" si="224"/>
        <v>943899.72102199495</v>
      </c>
      <c r="Y240" s="722">
        <f t="shared" si="224"/>
        <v>314633.24034066498</v>
      </c>
      <c r="Z240" s="722">
        <f t="shared" si="224"/>
        <v>0</v>
      </c>
      <c r="AA240" s="722">
        <f t="shared" si="224"/>
        <v>0</v>
      </c>
      <c r="AB240" s="722">
        <f t="shared" si="224"/>
        <v>0</v>
      </c>
      <c r="AC240" s="722">
        <f t="shared" si="224"/>
        <v>0</v>
      </c>
      <c r="AD240" s="722">
        <f t="shared" si="224"/>
        <v>0</v>
      </c>
      <c r="AE240" s="722">
        <f t="shared" si="224"/>
        <v>0</v>
      </c>
      <c r="AF240" s="722">
        <f t="shared" si="224"/>
        <v>0</v>
      </c>
      <c r="AG240" s="722">
        <f t="shared" si="224"/>
        <v>0</v>
      </c>
      <c r="AH240" s="722">
        <f t="shared" si="224"/>
        <v>0</v>
      </c>
      <c r="AI240" s="722">
        <f t="shared" si="224"/>
        <v>0</v>
      </c>
      <c r="AJ240" s="722">
        <f t="shared" si="224"/>
        <v>0</v>
      </c>
      <c r="AK240" s="722">
        <f t="shared" si="224"/>
        <v>0</v>
      </c>
      <c r="AL240" s="722">
        <f t="shared" si="224"/>
        <v>0</v>
      </c>
      <c r="AM240" s="722">
        <f t="shared" si="224"/>
        <v>0</v>
      </c>
      <c r="AN240" s="722">
        <f t="shared" si="224"/>
        <v>314633.24034066498</v>
      </c>
      <c r="AO240" s="722">
        <f t="shared" si="224"/>
        <v>943899.72102199495</v>
      </c>
      <c r="AP240" s="722">
        <f t="shared" si="224"/>
        <v>314633.24034066498</v>
      </c>
      <c r="AQ240" s="722">
        <f t="shared" si="224"/>
        <v>0</v>
      </c>
      <c r="AR240" s="722">
        <f t="shared" si="224"/>
        <v>0</v>
      </c>
      <c r="AS240" s="722">
        <f t="shared" si="224"/>
        <v>0</v>
      </c>
      <c r="AT240" s="722">
        <f t="shared" si="224"/>
        <v>0</v>
      </c>
      <c r="AU240" s="722">
        <f t="shared" si="224"/>
        <v>0</v>
      </c>
      <c r="AV240" s="722">
        <f t="shared" si="224"/>
        <v>0</v>
      </c>
      <c r="AW240" s="722">
        <f t="shared" si="224"/>
        <v>0</v>
      </c>
      <c r="AX240" s="722">
        <f t="shared" si="224"/>
        <v>0</v>
      </c>
      <c r="AY240" s="722"/>
      <c r="AZ240" s="722"/>
      <c r="BA240" s="722"/>
      <c r="BB240" s="722"/>
      <c r="BC240" s="722"/>
      <c r="BD240" s="722"/>
      <c r="BE240" s="722"/>
      <c r="BF240" s="722"/>
      <c r="BG240" s="722"/>
      <c r="BH240" s="722"/>
      <c r="BI240" s="722"/>
      <c r="BJ240" s="722"/>
      <c r="BK240" s="722"/>
      <c r="BL240" s="722"/>
      <c r="BM240" s="722"/>
    </row>
    <row r="241" spans="2:65" ht="13.2" thickBot="1" x14ac:dyDescent="0.25">
      <c r="B241" s="710"/>
      <c r="E241" s="722"/>
      <c r="F241" s="722"/>
      <c r="G241" s="722"/>
      <c r="H241" s="722"/>
      <c r="I241" s="722"/>
      <c r="J241" s="722"/>
      <c r="K241" s="722"/>
      <c r="L241" s="722"/>
      <c r="M241" s="722"/>
      <c r="N241" s="722"/>
      <c r="O241" s="722"/>
      <c r="P241" s="722"/>
      <c r="Q241" s="722"/>
      <c r="R241" s="722"/>
      <c r="S241" s="722"/>
      <c r="T241" s="722"/>
      <c r="U241" s="722"/>
      <c r="V241" s="722"/>
      <c r="W241" s="722"/>
      <c r="X241" s="722"/>
      <c r="Y241" s="722"/>
      <c r="Z241" s="722"/>
      <c r="AA241" s="722"/>
      <c r="AB241" s="722"/>
      <c r="AC241" s="722"/>
      <c r="AD241" s="722"/>
      <c r="AE241" s="722"/>
      <c r="AF241" s="722"/>
      <c r="AG241" s="722"/>
      <c r="AH241" s="722"/>
      <c r="AI241" s="722"/>
      <c r="AJ241" s="722"/>
      <c r="AK241" s="722"/>
      <c r="AL241" s="722"/>
      <c r="AM241" s="722"/>
      <c r="AN241" s="722"/>
      <c r="AO241" s="722"/>
      <c r="AP241" s="722"/>
      <c r="AQ241" s="722"/>
      <c r="AR241" s="722"/>
      <c r="AS241" s="722"/>
      <c r="AT241" s="722"/>
      <c r="AU241" s="722"/>
      <c r="AV241" s="722"/>
      <c r="AW241" s="722"/>
      <c r="AX241" s="722"/>
      <c r="AY241" s="722"/>
      <c r="AZ241" s="722"/>
      <c r="BA241" s="722"/>
      <c r="BB241" s="722"/>
      <c r="BC241" s="722"/>
      <c r="BD241" s="722"/>
      <c r="BE241" s="722"/>
      <c r="BF241" s="722"/>
      <c r="BG241" s="722"/>
      <c r="BH241" s="722"/>
      <c r="BI241" s="722"/>
      <c r="BJ241" s="722"/>
      <c r="BK241" s="722"/>
      <c r="BL241" s="722"/>
      <c r="BM241" s="722"/>
    </row>
    <row r="242" spans="2:65" ht="16.2" thickBot="1" x14ac:dyDescent="0.25">
      <c r="B242" s="288" t="str">
        <f>B56</f>
        <v>Tecnologias en las estaciones</v>
      </c>
      <c r="C242" s="739" t="s">
        <v>180</v>
      </c>
      <c r="D242" s="740">
        <f>D56</f>
        <v>0.25</v>
      </c>
      <c r="E242" s="722"/>
      <c r="F242" s="722"/>
      <c r="G242" s="722"/>
      <c r="H242" s="722"/>
      <c r="I242" s="722"/>
      <c r="J242" s="722"/>
      <c r="K242" s="722"/>
      <c r="L242" s="722"/>
      <c r="M242" s="722"/>
      <c r="N242" s="722"/>
      <c r="O242" s="722"/>
      <c r="P242" s="722"/>
      <c r="Q242" s="722"/>
      <c r="R242" s="722"/>
      <c r="S242" s="722"/>
      <c r="T242" s="722"/>
      <c r="U242" s="722"/>
      <c r="V242" s="722"/>
      <c r="W242" s="722"/>
      <c r="X242" s="722"/>
      <c r="Y242" s="722"/>
      <c r="Z242" s="722"/>
      <c r="AA242" s="722"/>
      <c r="AB242" s="722"/>
      <c r="AC242" s="722"/>
      <c r="AD242" s="722"/>
      <c r="AE242" s="722"/>
      <c r="AF242" s="722"/>
      <c r="AG242" s="722"/>
      <c r="AH242" s="722"/>
      <c r="AI242" s="722"/>
      <c r="AJ242" s="722"/>
      <c r="AK242" s="722"/>
      <c r="AL242" s="722"/>
      <c r="AM242" s="722"/>
      <c r="AN242" s="722"/>
      <c r="AO242" s="722"/>
      <c r="AP242" s="722"/>
      <c r="AQ242" s="722"/>
      <c r="AR242" s="722"/>
      <c r="AS242" s="722"/>
      <c r="AT242" s="722"/>
      <c r="AU242" s="722"/>
      <c r="AV242" s="722"/>
      <c r="AW242" s="722"/>
      <c r="AX242" s="722"/>
      <c r="AY242" s="722"/>
      <c r="AZ242" s="722"/>
      <c r="BA242" s="722"/>
      <c r="BB242" s="722"/>
      <c r="BC242" s="722"/>
      <c r="BD242" s="722"/>
      <c r="BE242" s="722"/>
      <c r="BF242" s="722"/>
      <c r="BG242" s="722"/>
      <c r="BH242" s="722"/>
      <c r="BI242" s="722"/>
      <c r="BJ242" s="722"/>
      <c r="BK242" s="722"/>
      <c r="BL242" s="722"/>
      <c r="BM242" s="722"/>
    </row>
    <row r="243" spans="2:65" x14ac:dyDescent="0.2">
      <c r="B243" s="738" t="s">
        <v>313</v>
      </c>
      <c r="D243" s="725">
        <f>CHIFFRAGE_TC!O57</f>
        <v>7.9522838118778333E-2</v>
      </c>
      <c r="E243" s="722">
        <f t="shared" ref="E243:AX243" si="225">E56*$D$243</f>
        <v>0</v>
      </c>
      <c r="F243" s="722">
        <f t="shared" si="225"/>
        <v>0</v>
      </c>
      <c r="G243" s="722">
        <f t="shared" si="225"/>
        <v>1569961.4225253102</v>
      </c>
      <c r="H243" s="722">
        <f t="shared" si="225"/>
        <v>672840.60965370433</v>
      </c>
      <c r="I243" s="722">
        <f t="shared" si="225"/>
        <v>0</v>
      </c>
      <c r="J243" s="722">
        <f t="shared" si="225"/>
        <v>0</v>
      </c>
      <c r="K243" s="722">
        <f t="shared" si="225"/>
        <v>0</v>
      </c>
      <c r="L243" s="722">
        <f t="shared" si="225"/>
        <v>0</v>
      </c>
      <c r="M243" s="722">
        <f t="shared" si="225"/>
        <v>0</v>
      </c>
      <c r="N243" s="722">
        <f t="shared" si="225"/>
        <v>0</v>
      </c>
      <c r="O243" s="722">
        <f t="shared" si="225"/>
        <v>0</v>
      </c>
      <c r="P243" s="722">
        <f t="shared" si="225"/>
        <v>0</v>
      </c>
      <c r="Q243" s="722">
        <f t="shared" si="225"/>
        <v>0</v>
      </c>
      <c r="R243" s="722">
        <f t="shared" si="225"/>
        <v>0</v>
      </c>
      <c r="S243" s="722">
        <f t="shared" si="225"/>
        <v>0</v>
      </c>
      <c r="T243" s="722">
        <f t="shared" si="225"/>
        <v>0</v>
      </c>
      <c r="U243" s="722">
        <f t="shared" si="225"/>
        <v>0</v>
      </c>
      <c r="V243" s="722">
        <f t="shared" si="225"/>
        <v>0</v>
      </c>
      <c r="W243" s="722">
        <f t="shared" si="225"/>
        <v>0</v>
      </c>
      <c r="X243" s="722">
        <f t="shared" si="225"/>
        <v>0</v>
      </c>
      <c r="Y243" s="722">
        <f t="shared" si="225"/>
        <v>0</v>
      </c>
      <c r="Z243" s="722">
        <f t="shared" si="225"/>
        <v>0</v>
      </c>
      <c r="AA243" s="722">
        <f t="shared" si="225"/>
        <v>0</v>
      </c>
      <c r="AB243" s="722">
        <f t="shared" si="225"/>
        <v>0</v>
      </c>
      <c r="AC243" s="722">
        <f t="shared" si="225"/>
        <v>0</v>
      </c>
      <c r="AD243" s="722">
        <f t="shared" si="225"/>
        <v>0</v>
      </c>
      <c r="AE243" s="722">
        <f t="shared" si="225"/>
        <v>0</v>
      </c>
      <c r="AF243" s="722">
        <f t="shared" si="225"/>
        <v>0</v>
      </c>
      <c r="AG243" s="722">
        <f t="shared" si="225"/>
        <v>0</v>
      </c>
      <c r="AH243" s="722">
        <f t="shared" si="225"/>
        <v>0</v>
      </c>
      <c r="AI243" s="722">
        <f t="shared" si="225"/>
        <v>0</v>
      </c>
      <c r="AJ243" s="722">
        <f t="shared" si="225"/>
        <v>0</v>
      </c>
      <c r="AK243" s="722">
        <f t="shared" si="225"/>
        <v>0</v>
      </c>
      <c r="AL243" s="722">
        <f t="shared" si="225"/>
        <v>0</v>
      </c>
      <c r="AM243" s="722">
        <f t="shared" si="225"/>
        <v>0</v>
      </c>
      <c r="AN243" s="722">
        <f t="shared" si="225"/>
        <v>0</v>
      </c>
      <c r="AO243" s="722">
        <f t="shared" si="225"/>
        <v>0</v>
      </c>
      <c r="AP243" s="722">
        <f t="shared" si="225"/>
        <v>0</v>
      </c>
      <c r="AQ243" s="722">
        <f t="shared" si="225"/>
        <v>0</v>
      </c>
      <c r="AR243" s="722">
        <f t="shared" si="225"/>
        <v>0</v>
      </c>
      <c r="AS243" s="722">
        <f t="shared" si="225"/>
        <v>0</v>
      </c>
      <c r="AT243" s="722">
        <f t="shared" si="225"/>
        <v>0</v>
      </c>
      <c r="AU243" s="722">
        <f t="shared" si="225"/>
        <v>0</v>
      </c>
      <c r="AV243" s="722">
        <f t="shared" si="225"/>
        <v>0</v>
      </c>
      <c r="AW243" s="722">
        <f t="shared" si="225"/>
        <v>0</v>
      </c>
      <c r="AX243" s="722">
        <f t="shared" si="225"/>
        <v>0</v>
      </c>
      <c r="AY243" s="722"/>
      <c r="AZ243" s="722"/>
      <c r="BA243" s="722"/>
      <c r="BB243" s="722"/>
      <c r="BC243" s="722"/>
      <c r="BD243" s="722"/>
      <c r="BE243" s="722"/>
      <c r="BF243" s="722"/>
      <c r="BG243" s="722"/>
      <c r="BH243" s="722"/>
      <c r="BI243" s="722"/>
      <c r="BJ243" s="722"/>
      <c r="BK243" s="722"/>
      <c r="BL243" s="722"/>
      <c r="BM243" s="722"/>
    </row>
    <row r="244" spans="2:65" x14ac:dyDescent="0.2">
      <c r="B244" s="738" t="s">
        <v>406</v>
      </c>
      <c r="D244" s="725">
        <f>CHIFFRAGE_TC!P57</f>
        <v>0.92047716188122175</v>
      </c>
      <c r="E244" s="722">
        <f t="shared" ref="E244:AX244" si="226">E56*$D$244</f>
        <v>0</v>
      </c>
      <c r="F244" s="722">
        <f t="shared" si="226"/>
        <v>0</v>
      </c>
      <c r="G244" s="722">
        <f t="shared" si="226"/>
        <v>18172309.598792568</v>
      </c>
      <c r="H244" s="722">
        <f t="shared" si="226"/>
        <v>7788132.6851968151</v>
      </c>
      <c r="I244" s="722">
        <f t="shared" si="226"/>
        <v>0</v>
      </c>
      <c r="J244" s="722">
        <f t="shared" si="226"/>
        <v>0</v>
      </c>
      <c r="K244" s="722">
        <f t="shared" si="226"/>
        <v>0</v>
      </c>
      <c r="L244" s="722">
        <f t="shared" si="226"/>
        <v>0</v>
      </c>
      <c r="M244" s="722">
        <f t="shared" si="226"/>
        <v>0</v>
      </c>
      <c r="N244" s="722">
        <f t="shared" si="226"/>
        <v>0</v>
      </c>
      <c r="O244" s="722">
        <f t="shared" si="226"/>
        <v>0</v>
      </c>
      <c r="P244" s="722">
        <f t="shared" si="226"/>
        <v>0</v>
      </c>
      <c r="Q244" s="722">
        <f t="shared" si="226"/>
        <v>0</v>
      </c>
      <c r="R244" s="722">
        <f t="shared" si="226"/>
        <v>0</v>
      </c>
      <c r="S244" s="722">
        <f t="shared" si="226"/>
        <v>0</v>
      </c>
      <c r="T244" s="722">
        <f t="shared" si="226"/>
        <v>0</v>
      </c>
      <c r="U244" s="722">
        <f t="shared" si="226"/>
        <v>0</v>
      </c>
      <c r="V244" s="722">
        <f t="shared" si="226"/>
        <v>0</v>
      </c>
      <c r="W244" s="722">
        <f t="shared" si="226"/>
        <v>0</v>
      </c>
      <c r="X244" s="722">
        <f t="shared" si="226"/>
        <v>0</v>
      </c>
      <c r="Y244" s="722">
        <f t="shared" si="226"/>
        <v>0</v>
      </c>
      <c r="Z244" s="722">
        <f t="shared" si="226"/>
        <v>0</v>
      </c>
      <c r="AA244" s="722">
        <f t="shared" si="226"/>
        <v>0</v>
      </c>
      <c r="AB244" s="722">
        <f t="shared" si="226"/>
        <v>0</v>
      </c>
      <c r="AC244" s="722">
        <f t="shared" si="226"/>
        <v>0</v>
      </c>
      <c r="AD244" s="722">
        <f t="shared" si="226"/>
        <v>0</v>
      </c>
      <c r="AE244" s="722">
        <f t="shared" si="226"/>
        <v>0</v>
      </c>
      <c r="AF244" s="722">
        <f t="shared" si="226"/>
        <v>0</v>
      </c>
      <c r="AG244" s="722">
        <f t="shared" si="226"/>
        <v>0</v>
      </c>
      <c r="AH244" s="722">
        <f t="shared" si="226"/>
        <v>0</v>
      </c>
      <c r="AI244" s="722">
        <f t="shared" si="226"/>
        <v>0</v>
      </c>
      <c r="AJ244" s="722">
        <f t="shared" si="226"/>
        <v>0</v>
      </c>
      <c r="AK244" s="722">
        <f t="shared" si="226"/>
        <v>0</v>
      </c>
      <c r="AL244" s="722">
        <f t="shared" si="226"/>
        <v>0</v>
      </c>
      <c r="AM244" s="722">
        <f t="shared" si="226"/>
        <v>0</v>
      </c>
      <c r="AN244" s="722">
        <f t="shared" si="226"/>
        <v>0</v>
      </c>
      <c r="AO244" s="722">
        <f t="shared" si="226"/>
        <v>0</v>
      </c>
      <c r="AP244" s="722">
        <f t="shared" si="226"/>
        <v>0</v>
      </c>
      <c r="AQ244" s="722">
        <f t="shared" si="226"/>
        <v>0</v>
      </c>
      <c r="AR244" s="722">
        <f t="shared" si="226"/>
        <v>0</v>
      </c>
      <c r="AS244" s="722">
        <f t="shared" si="226"/>
        <v>0</v>
      </c>
      <c r="AT244" s="722">
        <f t="shared" si="226"/>
        <v>0</v>
      </c>
      <c r="AU244" s="722">
        <f t="shared" si="226"/>
        <v>0</v>
      </c>
      <c r="AV244" s="722">
        <f t="shared" si="226"/>
        <v>0</v>
      </c>
      <c r="AW244" s="722">
        <f t="shared" si="226"/>
        <v>0</v>
      </c>
      <c r="AX244" s="722">
        <f t="shared" si="226"/>
        <v>0</v>
      </c>
      <c r="AY244" s="722"/>
      <c r="AZ244" s="722"/>
      <c r="BA244" s="722"/>
      <c r="BB244" s="722"/>
      <c r="BC244" s="722"/>
      <c r="BD244" s="722"/>
      <c r="BE244" s="722"/>
      <c r="BF244" s="722"/>
      <c r="BG244" s="722"/>
      <c r="BH244" s="722"/>
      <c r="BI244" s="722"/>
      <c r="BJ244" s="722"/>
      <c r="BK244" s="722"/>
      <c r="BL244" s="722"/>
      <c r="BM244" s="722"/>
    </row>
    <row r="245" spans="2:65" ht="13.2" thickBot="1" x14ac:dyDescent="0.25">
      <c r="B245" s="710"/>
      <c r="E245" s="722"/>
      <c r="F245" s="722"/>
      <c r="G245" s="722"/>
      <c r="H245" s="722"/>
      <c r="I245" s="722"/>
      <c r="J245" s="722"/>
      <c r="K245" s="722"/>
      <c r="L245" s="722"/>
      <c r="M245" s="722"/>
      <c r="N245" s="722"/>
      <c r="O245" s="722"/>
      <c r="P245" s="722"/>
      <c r="Q245" s="722"/>
      <c r="R245" s="722"/>
      <c r="S245" s="722"/>
      <c r="T245" s="722"/>
      <c r="U245" s="722"/>
      <c r="V245" s="722"/>
      <c r="W245" s="722"/>
      <c r="X245" s="722"/>
      <c r="Y245" s="722"/>
      <c r="Z245" s="722"/>
      <c r="AA245" s="722"/>
      <c r="AB245" s="722"/>
      <c r="AC245" s="722"/>
      <c r="AD245" s="722"/>
      <c r="AE245" s="722"/>
      <c r="AF245" s="722"/>
      <c r="AG245" s="722"/>
      <c r="AH245" s="722"/>
      <c r="AI245" s="722"/>
      <c r="AJ245" s="722"/>
      <c r="AK245" s="722"/>
      <c r="AL245" s="722"/>
      <c r="AM245" s="722"/>
      <c r="AN245" s="722"/>
      <c r="AO245" s="722"/>
      <c r="AP245" s="722"/>
      <c r="AQ245" s="722"/>
      <c r="AR245" s="722"/>
      <c r="AS245" s="722"/>
      <c r="AT245" s="722"/>
      <c r="AU245" s="722"/>
      <c r="AV245" s="722"/>
      <c r="AW245" s="722"/>
      <c r="AX245" s="722"/>
      <c r="AY245" s="722"/>
      <c r="AZ245" s="722"/>
      <c r="BA245" s="722"/>
      <c r="BB245" s="722"/>
      <c r="BC245" s="722"/>
      <c r="BD245" s="722"/>
      <c r="BE245" s="722"/>
      <c r="BF245" s="722"/>
      <c r="BG245" s="722"/>
      <c r="BH245" s="722"/>
      <c r="BI245" s="722"/>
      <c r="BJ245" s="722"/>
      <c r="BK245" s="722"/>
      <c r="BL245" s="722"/>
      <c r="BM245" s="722"/>
    </row>
    <row r="246" spans="2:65" ht="16.2" thickBot="1" x14ac:dyDescent="0.25">
      <c r="B246" s="288" t="str">
        <f>B60</f>
        <v>Equipamiento electrico</v>
      </c>
      <c r="C246" s="739" t="s">
        <v>180</v>
      </c>
      <c r="D246" s="740">
        <f>D60</f>
        <v>0.25</v>
      </c>
      <c r="E246" s="722"/>
      <c r="F246" s="722"/>
      <c r="G246" s="722"/>
      <c r="H246" s="722"/>
      <c r="I246" s="722"/>
      <c r="J246" s="722"/>
      <c r="K246" s="722"/>
      <c r="L246" s="722"/>
      <c r="M246" s="722"/>
      <c r="N246" s="722"/>
      <c r="O246" s="722"/>
      <c r="P246" s="722"/>
      <c r="Q246" s="722"/>
      <c r="R246" s="722"/>
      <c r="S246" s="722"/>
      <c r="T246" s="722"/>
      <c r="U246" s="722"/>
      <c r="V246" s="722"/>
      <c r="W246" s="722"/>
      <c r="X246" s="722"/>
      <c r="Y246" s="722"/>
      <c r="Z246" s="722"/>
      <c r="AA246" s="722"/>
      <c r="AB246" s="722"/>
      <c r="AC246" s="722"/>
      <c r="AD246" s="722"/>
      <c r="AE246" s="722"/>
      <c r="AF246" s="722"/>
      <c r="AG246" s="722"/>
      <c r="AH246" s="722"/>
      <c r="AI246" s="722"/>
      <c r="AJ246" s="722"/>
      <c r="AK246" s="722"/>
      <c r="AL246" s="722"/>
      <c r="AM246" s="722"/>
      <c r="AN246" s="722"/>
      <c r="AO246" s="722"/>
      <c r="AP246" s="722"/>
      <c r="AQ246" s="722"/>
      <c r="AR246" s="722"/>
      <c r="AS246" s="722"/>
      <c r="AT246" s="722"/>
      <c r="AU246" s="722"/>
      <c r="AV246" s="722"/>
      <c r="AW246" s="722"/>
      <c r="AX246" s="722"/>
      <c r="AY246" s="722"/>
      <c r="AZ246" s="722"/>
      <c r="BA246" s="722"/>
      <c r="BB246" s="722"/>
      <c r="BC246" s="722"/>
      <c r="BD246" s="722"/>
      <c r="BE246" s="722"/>
      <c r="BF246" s="722"/>
      <c r="BG246" s="722"/>
      <c r="BH246" s="722"/>
      <c r="BI246" s="722"/>
      <c r="BJ246" s="722"/>
      <c r="BK246" s="722"/>
      <c r="BL246" s="722"/>
      <c r="BM246" s="722"/>
    </row>
    <row r="247" spans="2:65" x14ac:dyDescent="0.2">
      <c r="B247" s="738" t="s">
        <v>313</v>
      </c>
      <c r="C247" s="707"/>
      <c r="D247" s="725">
        <f>CHIFFRAGE_TC!O61</f>
        <v>8.6629384159487274E-2</v>
      </c>
      <c r="E247" s="722">
        <f t="shared" ref="E247:AX247" si="227">E60*$D$247</f>
        <v>0</v>
      </c>
      <c r="F247" s="722">
        <f t="shared" si="227"/>
        <v>142220.71903159941</v>
      </c>
      <c r="G247" s="722">
        <f t="shared" si="227"/>
        <v>427414.38854455278</v>
      </c>
      <c r="H247" s="722">
        <f t="shared" si="227"/>
        <v>66966.757498563704</v>
      </c>
      <c r="I247" s="722">
        <f t="shared" si="227"/>
        <v>0</v>
      </c>
      <c r="J247" s="722">
        <f t="shared" si="227"/>
        <v>0</v>
      </c>
      <c r="K247" s="722">
        <f t="shared" si="227"/>
        <v>0</v>
      </c>
      <c r="L247" s="722">
        <f t="shared" si="227"/>
        <v>0</v>
      </c>
      <c r="M247" s="722">
        <f t="shared" si="227"/>
        <v>0</v>
      </c>
      <c r="N247" s="722">
        <f t="shared" si="227"/>
        <v>0</v>
      </c>
      <c r="O247" s="722">
        <f t="shared" si="227"/>
        <v>0</v>
      </c>
      <c r="P247" s="722">
        <f t="shared" si="227"/>
        <v>0</v>
      </c>
      <c r="Q247" s="722">
        <f t="shared" si="227"/>
        <v>0</v>
      </c>
      <c r="R247" s="722">
        <f t="shared" si="227"/>
        <v>0</v>
      </c>
      <c r="S247" s="722">
        <f t="shared" si="227"/>
        <v>0</v>
      </c>
      <c r="T247" s="722">
        <f t="shared" si="227"/>
        <v>0</v>
      </c>
      <c r="U247" s="722">
        <f t="shared" si="227"/>
        <v>0</v>
      </c>
      <c r="V247" s="722">
        <f t="shared" si="227"/>
        <v>0</v>
      </c>
      <c r="W247" s="722">
        <f t="shared" si="227"/>
        <v>142220.71903159941</v>
      </c>
      <c r="X247" s="722">
        <f t="shared" si="227"/>
        <v>112187.18544793507</v>
      </c>
      <c r="Y247" s="722">
        <f t="shared" si="227"/>
        <v>66966.757498563704</v>
      </c>
      <c r="Z247" s="722">
        <f t="shared" si="227"/>
        <v>0</v>
      </c>
      <c r="AA247" s="722">
        <f t="shared" si="227"/>
        <v>0</v>
      </c>
      <c r="AB247" s="722">
        <f t="shared" si="227"/>
        <v>0</v>
      </c>
      <c r="AC247" s="722">
        <f t="shared" si="227"/>
        <v>0</v>
      </c>
      <c r="AD247" s="722">
        <f t="shared" si="227"/>
        <v>0</v>
      </c>
      <c r="AE247" s="722">
        <f t="shared" si="227"/>
        <v>0</v>
      </c>
      <c r="AF247" s="722">
        <f t="shared" si="227"/>
        <v>0</v>
      </c>
      <c r="AG247" s="722">
        <f t="shared" si="227"/>
        <v>0</v>
      </c>
      <c r="AH247" s="722">
        <f t="shared" si="227"/>
        <v>0</v>
      </c>
      <c r="AI247" s="722">
        <f t="shared" si="227"/>
        <v>0</v>
      </c>
      <c r="AJ247" s="722">
        <f t="shared" si="227"/>
        <v>0</v>
      </c>
      <c r="AK247" s="722">
        <f t="shared" si="227"/>
        <v>0</v>
      </c>
      <c r="AL247" s="722">
        <f t="shared" si="227"/>
        <v>0</v>
      </c>
      <c r="AM247" s="722">
        <f t="shared" si="227"/>
        <v>0</v>
      </c>
      <c r="AN247" s="722">
        <f t="shared" si="227"/>
        <v>142220.71903159941</v>
      </c>
      <c r="AO247" s="722">
        <f t="shared" si="227"/>
        <v>112187.18544793507</v>
      </c>
      <c r="AP247" s="722">
        <f t="shared" si="227"/>
        <v>66966.757498563704</v>
      </c>
      <c r="AQ247" s="722">
        <f t="shared" si="227"/>
        <v>0</v>
      </c>
      <c r="AR247" s="722">
        <f t="shared" si="227"/>
        <v>0</v>
      </c>
      <c r="AS247" s="722">
        <f t="shared" si="227"/>
        <v>0</v>
      </c>
      <c r="AT247" s="722">
        <f t="shared" si="227"/>
        <v>0</v>
      </c>
      <c r="AU247" s="722">
        <f t="shared" si="227"/>
        <v>0</v>
      </c>
      <c r="AV247" s="722">
        <f t="shared" si="227"/>
        <v>0</v>
      </c>
      <c r="AW247" s="722">
        <f t="shared" si="227"/>
        <v>0</v>
      </c>
      <c r="AX247" s="722">
        <f t="shared" si="227"/>
        <v>0</v>
      </c>
      <c r="AY247" s="722"/>
      <c r="AZ247" s="722"/>
      <c r="BA247" s="722"/>
      <c r="BB247" s="722"/>
      <c r="BC247" s="722"/>
      <c r="BD247" s="722"/>
      <c r="BE247" s="722"/>
      <c r="BF247" s="722"/>
      <c r="BG247" s="722"/>
      <c r="BH247" s="722"/>
      <c r="BI247" s="722"/>
      <c r="BJ247" s="722"/>
      <c r="BK247" s="722"/>
      <c r="BL247" s="722"/>
      <c r="BM247" s="722"/>
    </row>
    <row r="248" spans="2:65" x14ac:dyDescent="0.2">
      <c r="B248" s="738" t="s">
        <v>406</v>
      </c>
      <c r="C248" s="707"/>
      <c r="D248" s="725">
        <f>CHIFFRAGE_TC!P61</f>
        <v>0.91337061584051293</v>
      </c>
      <c r="E248" s="722">
        <f t="shared" ref="E248:AX248" si="228">E60*$D$248</f>
        <v>0</v>
      </c>
      <c r="F248" s="722">
        <f t="shared" si="228"/>
        <v>1499493.8148010187</v>
      </c>
      <c r="G248" s="722">
        <f t="shared" si="228"/>
        <v>4506412.5420229118</v>
      </c>
      <c r="H248" s="722">
        <f t="shared" si="228"/>
        <v>706059.1406802336</v>
      </c>
      <c r="I248" s="722">
        <f t="shared" si="228"/>
        <v>0</v>
      </c>
      <c r="J248" s="722">
        <f t="shared" si="228"/>
        <v>0</v>
      </c>
      <c r="K248" s="722">
        <f t="shared" si="228"/>
        <v>0</v>
      </c>
      <c r="L248" s="722">
        <f t="shared" si="228"/>
        <v>0</v>
      </c>
      <c r="M248" s="722">
        <f t="shared" si="228"/>
        <v>0</v>
      </c>
      <c r="N248" s="722">
        <f t="shared" si="228"/>
        <v>0</v>
      </c>
      <c r="O248" s="722">
        <f t="shared" si="228"/>
        <v>0</v>
      </c>
      <c r="P248" s="722">
        <f t="shared" si="228"/>
        <v>0</v>
      </c>
      <c r="Q248" s="722">
        <f t="shared" si="228"/>
        <v>0</v>
      </c>
      <c r="R248" s="722">
        <f t="shared" si="228"/>
        <v>0</v>
      </c>
      <c r="S248" s="722">
        <f t="shared" si="228"/>
        <v>0</v>
      </c>
      <c r="T248" s="722">
        <f t="shared" si="228"/>
        <v>0</v>
      </c>
      <c r="U248" s="722">
        <f t="shared" si="228"/>
        <v>0</v>
      </c>
      <c r="V248" s="722">
        <f t="shared" si="228"/>
        <v>0</v>
      </c>
      <c r="W248" s="722">
        <f t="shared" si="228"/>
        <v>1499493.8148010187</v>
      </c>
      <c r="X248" s="722">
        <f t="shared" si="228"/>
        <v>1182837.4362369559</v>
      </c>
      <c r="Y248" s="722">
        <f t="shared" si="228"/>
        <v>706059.1406802336</v>
      </c>
      <c r="Z248" s="722">
        <f t="shared" si="228"/>
        <v>0</v>
      </c>
      <c r="AA248" s="722">
        <f t="shared" si="228"/>
        <v>0</v>
      </c>
      <c r="AB248" s="722">
        <f t="shared" si="228"/>
        <v>0</v>
      </c>
      <c r="AC248" s="722">
        <f t="shared" si="228"/>
        <v>0</v>
      </c>
      <c r="AD248" s="722">
        <f t="shared" si="228"/>
        <v>0</v>
      </c>
      <c r="AE248" s="722">
        <f t="shared" si="228"/>
        <v>0</v>
      </c>
      <c r="AF248" s="722">
        <f t="shared" si="228"/>
        <v>0</v>
      </c>
      <c r="AG248" s="722">
        <f t="shared" si="228"/>
        <v>0</v>
      </c>
      <c r="AH248" s="722">
        <f t="shared" si="228"/>
        <v>0</v>
      </c>
      <c r="AI248" s="722">
        <f t="shared" si="228"/>
        <v>0</v>
      </c>
      <c r="AJ248" s="722">
        <f t="shared" si="228"/>
        <v>0</v>
      </c>
      <c r="AK248" s="722">
        <f t="shared" si="228"/>
        <v>0</v>
      </c>
      <c r="AL248" s="722">
        <f t="shared" si="228"/>
        <v>0</v>
      </c>
      <c r="AM248" s="722">
        <f t="shared" si="228"/>
        <v>0</v>
      </c>
      <c r="AN248" s="722">
        <f t="shared" si="228"/>
        <v>1499493.8148010187</v>
      </c>
      <c r="AO248" s="722">
        <f t="shared" si="228"/>
        <v>1182837.4362369559</v>
      </c>
      <c r="AP248" s="722">
        <f t="shared" si="228"/>
        <v>706059.1406802336</v>
      </c>
      <c r="AQ248" s="722">
        <f t="shared" si="228"/>
        <v>0</v>
      </c>
      <c r="AR248" s="722">
        <f t="shared" si="228"/>
        <v>0</v>
      </c>
      <c r="AS248" s="722">
        <f t="shared" si="228"/>
        <v>0</v>
      </c>
      <c r="AT248" s="722">
        <f t="shared" si="228"/>
        <v>0</v>
      </c>
      <c r="AU248" s="722">
        <f t="shared" si="228"/>
        <v>0</v>
      </c>
      <c r="AV248" s="722">
        <f t="shared" si="228"/>
        <v>0</v>
      </c>
      <c r="AW248" s="722">
        <f t="shared" si="228"/>
        <v>0</v>
      </c>
      <c r="AX248" s="722">
        <f t="shared" si="228"/>
        <v>0</v>
      </c>
      <c r="AY248" s="722"/>
      <c r="AZ248" s="722"/>
      <c r="BA248" s="722"/>
      <c r="BB248" s="722"/>
      <c r="BC248" s="722"/>
      <c r="BD248" s="722"/>
      <c r="BE248" s="722"/>
      <c r="BF248" s="722"/>
      <c r="BG248" s="722"/>
      <c r="BH248" s="722"/>
      <c r="BI248" s="722"/>
      <c r="BJ248" s="722"/>
      <c r="BK248" s="722"/>
      <c r="BL248" s="722"/>
      <c r="BM248" s="722"/>
    </row>
    <row r="249" spans="2:65" ht="13.2" thickBot="1" x14ac:dyDescent="0.25">
      <c r="C249" s="707"/>
      <c r="E249" s="722"/>
      <c r="F249" s="722"/>
      <c r="G249" s="722"/>
      <c r="H249" s="722"/>
      <c r="I249" s="722"/>
      <c r="J249" s="722"/>
      <c r="K249" s="722"/>
      <c r="L249" s="722"/>
      <c r="M249" s="722"/>
      <c r="N249" s="722"/>
      <c r="O249" s="722"/>
      <c r="P249" s="722"/>
      <c r="Q249" s="722"/>
      <c r="R249" s="722"/>
      <c r="S249" s="722"/>
      <c r="T249" s="722"/>
      <c r="U249" s="722"/>
      <c r="V249" s="722"/>
      <c r="W249" s="722"/>
      <c r="X249" s="722"/>
      <c r="Y249" s="722"/>
      <c r="Z249" s="722"/>
      <c r="AA249" s="722"/>
      <c r="AB249" s="722"/>
      <c r="AC249" s="722"/>
      <c r="AD249" s="722"/>
      <c r="AE249" s="722"/>
      <c r="AF249" s="722"/>
      <c r="AG249" s="722"/>
      <c r="AH249" s="722"/>
      <c r="AI249" s="722"/>
      <c r="AJ249" s="722"/>
      <c r="AK249" s="722"/>
      <c r="AL249" s="722"/>
      <c r="AM249" s="722"/>
      <c r="AN249" s="722"/>
      <c r="AO249" s="722"/>
      <c r="AP249" s="722"/>
      <c r="AQ249" s="722"/>
      <c r="AR249" s="722"/>
      <c r="AS249" s="722"/>
      <c r="AT249" s="722"/>
      <c r="AU249" s="722"/>
      <c r="AV249" s="722"/>
      <c r="AW249" s="722"/>
      <c r="AX249" s="722"/>
      <c r="AY249" s="722"/>
      <c r="AZ249" s="722"/>
      <c r="BA249" s="722"/>
      <c r="BB249" s="722"/>
      <c r="BC249" s="722"/>
      <c r="BD249" s="722"/>
      <c r="BE249" s="722"/>
      <c r="BF249" s="722"/>
      <c r="BG249" s="722"/>
      <c r="BH249" s="722"/>
      <c r="BI249" s="722"/>
      <c r="BJ249" s="722"/>
      <c r="BK249" s="722"/>
      <c r="BL249" s="722"/>
      <c r="BM249" s="722"/>
    </row>
    <row r="250" spans="2:65" ht="16.2" thickBot="1" x14ac:dyDescent="0.25">
      <c r="B250" s="288" t="str">
        <f>B69</f>
        <v>Telecomunicaciones y boleteria</v>
      </c>
      <c r="C250" s="739" t="s">
        <v>180</v>
      </c>
      <c r="D250" s="740">
        <f>D69</f>
        <v>0.25</v>
      </c>
      <c r="E250" s="722"/>
      <c r="F250" s="722"/>
      <c r="G250" s="722"/>
      <c r="H250" s="722"/>
      <c r="I250" s="722"/>
      <c r="J250" s="722"/>
      <c r="K250" s="722"/>
      <c r="L250" s="722"/>
      <c r="M250" s="722"/>
      <c r="N250" s="722"/>
      <c r="O250" s="722"/>
      <c r="P250" s="722"/>
      <c r="Q250" s="722"/>
      <c r="R250" s="722"/>
      <c r="S250" s="722"/>
      <c r="T250" s="722"/>
      <c r="U250" s="722"/>
      <c r="V250" s="722"/>
      <c r="W250" s="722"/>
      <c r="X250" s="722"/>
      <c r="Y250" s="722"/>
      <c r="Z250" s="722"/>
      <c r="AA250" s="722"/>
      <c r="AB250" s="722"/>
      <c r="AC250" s="722"/>
      <c r="AD250" s="722"/>
      <c r="AE250" s="722"/>
      <c r="AF250" s="722"/>
      <c r="AG250" s="722"/>
      <c r="AH250" s="722"/>
      <c r="AI250" s="722"/>
      <c r="AJ250" s="722"/>
      <c r="AK250" s="722"/>
      <c r="AL250" s="722"/>
      <c r="AM250" s="722"/>
      <c r="AN250" s="722"/>
      <c r="AO250" s="722"/>
      <c r="AP250" s="722"/>
      <c r="AQ250" s="722"/>
      <c r="AR250" s="722"/>
      <c r="AS250" s="722"/>
      <c r="AT250" s="722"/>
      <c r="AU250" s="722"/>
      <c r="AV250" s="722"/>
      <c r="AW250" s="722"/>
      <c r="AX250" s="722"/>
      <c r="AY250" s="722"/>
      <c r="AZ250" s="722"/>
      <c r="BA250" s="722"/>
      <c r="BB250" s="722"/>
      <c r="BC250" s="722"/>
      <c r="BD250" s="722"/>
      <c r="BE250" s="722"/>
      <c r="BF250" s="722"/>
      <c r="BG250" s="722"/>
      <c r="BH250" s="722"/>
      <c r="BI250" s="722"/>
      <c r="BJ250" s="722"/>
      <c r="BK250" s="722"/>
      <c r="BL250" s="722"/>
      <c r="BM250" s="722"/>
    </row>
    <row r="251" spans="2:65" x14ac:dyDescent="0.2">
      <c r="B251" s="738" t="s">
        <v>313</v>
      </c>
      <c r="D251" s="725">
        <f>CHIFFRAGE_TC!O70</f>
        <v>0.63862941004387641</v>
      </c>
      <c r="E251" s="722">
        <f t="shared" ref="E251:AX251" si="229">E69*$D$251</f>
        <v>0</v>
      </c>
      <c r="F251" s="722">
        <f t="shared" si="229"/>
        <v>124671.76191723948</v>
      </c>
      <c r="G251" s="722">
        <f t="shared" si="229"/>
        <v>2437633.2372069992</v>
      </c>
      <c r="H251" s="722">
        <f t="shared" si="229"/>
        <v>1263393.4653916121</v>
      </c>
      <c r="I251" s="722">
        <f t="shared" si="229"/>
        <v>0</v>
      </c>
      <c r="J251" s="722">
        <f t="shared" si="229"/>
        <v>0</v>
      </c>
      <c r="K251" s="722">
        <f t="shared" si="229"/>
        <v>0</v>
      </c>
      <c r="L251" s="722">
        <f t="shared" si="229"/>
        <v>0</v>
      </c>
      <c r="M251" s="722">
        <f t="shared" si="229"/>
        <v>0</v>
      </c>
      <c r="N251" s="722">
        <f t="shared" si="229"/>
        <v>0</v>
      </c>
      <c r="O251" s="722">
        <f t="shared" si="229"/>
        <v>0</v>
      </c>
      <c r="P251" s="722">
        <f t="shared" si="229"/>
        <v>0</v>
      </c>
      <c r="Q251" s="722">
        <f t="shared" si="229"/>
        <v>0</v>
      </c>
      <c r="R251" s="722">
        <f t="shared" si="229"/>
        <v>0</v>
      </c>
      <c r="S251" s="722">
        <f t="shared" si="229"/>
        <v>0</v>
      </c>
      <c r="T251" s="722">
        <f t="shared" si="229"/>
        <v>0</v>
      </c>
      <c r="U251" s="722">
        <f t="shared" si="229"/>
        <v>0</v>
      </c>
      <c r="V251" s="722">
        <f t="shared" si="229"/>
        <v>0</v>
      </c>
      <c r="W251" s="722">
        <f t="shared" si="229"/>
        <v>124671.76191723948</v>
      </c>
      <c r="X251" s="722">
        <f t="shared" si="229"/>
        <v>2437633.2372069992</v>
      </c>
      <c r="Y251" s="722">
        <f t="shared" si="229"/>
        <v>1263393.4653916121</v>
      </c>
      <c r="Z251" s="722">
        <f t="shared" si="229"/>
        <v>0</v>
      </c>
      <c r="AA251" s="722">
        <f t="shared" si="229"/>
        <v>0</v>
      </c>
      <c r="AB251" s="722">
        <f t="shared" si="229"/>
        <v>0</v>
      </c>
      <c r="AC251" s="722">
        <f t="shared" si="229"/>
        <v>0</v>
      </c>
      <c r="AD251" s="722">
        <f t="shared" si="229"/>
        <v>0</v>
      </c>
      <c r="AE251" s="722">
        <f t="shared" si="229"/>
        <v>0</v>
      </c>
      <c r="AF251" s="722">
        <f t="shared" si="229"/>
        <v>0</v>
      </c>
      <c r="AG251" s="722">
        <f t="shared" si="229"/>
        <v>0</v>
      </c>
      <c r="AH251" s="722">
        <f t="shared" si="229"/>
        <v>0</v>
      </c>
      <c r="AI251" s="722">
        <f t="shared" si="229"/>
        <v>0</v>
      </c>
      <c r="AJ251" s="722">
        <f t="shared" si="229"/>
        <v>0</v>
      </c>
      <c r="AK251" s="722">
        <f t="shared" si="229"/>
        <v>0</v>
      </c>
      <c r="AL251" s="722">
        <f t="shared" si="229"/>
        <v>0</v>
      </c>
      <c r="AM251" s="722">
        <f t="shared" si="229"/>
        <v>0</v>
      </c>
      <c r="AN251" s="722">
        <f t="shared" si="229"/>
        <v>124671.76191723948</v>
      </c>
      <c r="AO251" s="722">
        <f t="shared" si="229"/>
        <v>2437633.2372069992</v>
      </c>
      <c r="AP251" s="722">
        <f t="shared" si="229"/>
        <v>1263393.4653916121</v>
      </c>
      <c r="AQ251" s="722">
        <f t="shared" si="229"/>
        <v>0</v>
      </c>
      <c r="AR251" s="722">
        <f t="shared" si="229"/>
        <v>0</v>
      </c>
      <c r="AS251" s="722">
        <f t="shared" si="229"/>
        <v>0</v>
      </c>
      <c r="AT251" s="722">
        <f t="shared" si="229"/>
        <v>0</v>
      </c>
      <c r="AU251" s="722">
        <f t="shared" si="229"/>
        <v>0</v>
      </c>
      <c r="AV251" s="722">
        <f t="shared" si="229"/>
        <v>0</v>
      </c>
      <c r="AW251" s="722">
        <f t="shared" si="229"/>
        <v>0</v>
      </c>
      <c r="AX251" s="722">
        <f t="shared" si="229"/>
        <v>0</v>
      </c>
      <c r="AY251" s="722"/>
      <c r="AZ251" s="722"/>
      <c r="BA251" s="722"/>
      <c r="BB251" s="722"/>
      <c r="BC251" s="722"/>
      <c r="BD251" s="722"/>
      <c r="BE251" s="722"/>
      <c r="BF251" s="722"/>
      <c r="BG251" s="722"/>
      <c r="BH251" s="722"/>
      <c r="BI251" s="722"/>
      <c r="BJ251" s="722"/>
      <c r="BK251" s="722"/>
      <c r="BL251" s="722"/>
      <c r="BM251" s="722"/>
    </row>
    <row r="252" spans="2:65" x14ac:dyDescent="0.2">
      <c r="B252" s="738" t="s">
        <v>406</v>
      </c>
      <c r="D252" s="725">
        <f>CHIFFRAGE_TC!P70</f>
        <v>0.36137058995612359</v>
      </c>
      <c r="E252" s="722">
        <f t="shared" ref="E252:AX252" si="230">E69*$D$252</f>
        <v>0</v>
      </c>
      <c r="F252" s="722">
        <f t="shared" si="230"/>
        <v>70545.933911510438</v>
      </c>
      <c r="G252" s="722">
        <f t="shared" si="230"/>
        <v>1379342.92904805</v>
      </c>
      <c r="H252" s="722">
        <f t="shared" si="230"/>
        <v>714895.42253293854</v>
      </c>
      <c r="I252" s="722">
        <f t="shared" si="230"/>
        <v>0</v>
      </c>
      <c r="J252" s="722">
        <f t="shared" si="230"/>
        <v>0</v>
      </c>
      <c r="K252" s="722">
        <f t="shared" si="230"/>
        <v>0</v>
      </c>
      <c r="L252" s="722">
        <f t="shared" si="230"/>
        <v>0</v>
      </c>
      <c r="M252" s="722">
        <f t="shared" si="230"/>
        <v>0</v>
      </c>
      <c r="N252" s="722">
        <f t="shared" si="230"/>
        <v>0</v>
      </c>
      <c r="O252" s="722">
        <f t="shared" si="230"/>
        <v>0</v>
      </c>
      <c r="P252" s="722">
        <f t="shared" si="230"/>
        <v>0</v>
      </c>
      <c r="Q252" s="722">
        <f t="shared" si="230"/>
        <v>0</v>
      </c>
      <c r="R252" s="722">
        <f t="shared" si="230"/>
        <v>0</v>
      </c>
      <c r="S252" s="722">
        <f t="shared" si="230"/>
        <v>0</v>
      </c>
      <c r="T252" s="722">
        <f t="shared" si="230"/>
        <v>0</v>
      </c>
      <c r="U252" s="722">
        <f t="shared" si="230"/>
        <v>0</v>
      </c>
      <c r="V252" s="722">
        <f t="shared" si="230"/>
        <v>0</v>
      </c>
      <c r="W252" s="722">
        <f t="shared" si="230"/>
        <v>70545.933911510438</v>
      </c>
      <c r="X252" s="722">
        <f t="shared" si="230"/>
        <v>1379342.92904805</v>
      </c>
      <c r="Y252" s="722">
        <f t="shared" si="230"/>
        <v>714895.42253293854</v>
      </c>
      <c r="Z252" s="722">
        <f t="shared" si="230"/>
        <v>0</v>
      </c>
      <c r="AA252" s="722">
        <f t="shared" si="230"/>
        <v>0</v>
      </c>
      <c r="AB252" s="722">
        <f t="shared" si="230"/>
        <v>0</v>
      </c>
      <c r="AC252" s="722">
        <f t="shared" si="230"/>
        <v>0</v>
      </c>
      <c r="AD252" s="722">
        <f t="shared" si="230"/>
        <v>0</v>
      </c>
      <c r="AE252" s="722">
        <f t="shared" si="230"/>
        <v>0</v>
      </c>
      <c r="AF252" s="722">
        <f t="shared" si="230"/>
        <v>0</v>
      </c>
      <c r="AG252" s="722">
        <f t="shared" si="230"/>
        <v>0</v>
      </c>
      <c r="AH252" s="722">
        <f t="shared" si="230"/>
        <v>0</v>
      </c>
      <c r="AI252" s="722">
        <f t="shared" si="230"/>
        <v>0</v>
      </c>
      <c r="AJ252" s="722">
        <f t="shared" si="230"/>
        <v>0</v>
      </c>
      <c r="AK252" s="722">
        <f t="shared" si="230"/>
        <v>0</v>
      </c>
      <c r="AL252" s="722">
        <f t="shared" si="230"/>
        <v>0</v>
      </c>
      <c r="AM252" s="722">
        <f t="shared" si="230"/>
        <v>0</v>
      </c>
      <c r="AN252" s="722">
        <f t="shared" si="230"/>
        <v>70545.933911510438</v>
      </c>
      <c r="AO252" s="722">
        <f t="shared" si="230"/>
        <v>1379342.92904805</v>
      </c>
      <c r="AP252" s="722">
        <f t="shared" si="230"/>
        <v>714895.42253293854</v>
      </c>
      <c r="AQ252" s="722">
        <f t="shared" si="230"/>
        <v>0</v>
      </c>
      <c r="AR252" s="722">
        <f t="shared" si="230"/>
        <v>0</v>
      </c>
      <c r="AS252" s="722">
        <f t="shared" si="230"/>
        <v>0</v>
      </c>
      <c r="AT252" s="722">
        <f t="shared" si="230"/>
        <v>0</v>
      </c>
      <c r="AU252" s="722">
        <f t="shared" si="230"/>
        <v>0</v>
      </c>
      <c r="AV252" s="722">
        <f t="shared" si="230"/>
        <v>0</v>
      </c>
      <c r="AW252" s="722">
        <f t="shared" si="230"/>
        <v>0</v>
      </c>
      <c r="AX252" s="722">
        <f t="shared" si="230"/>
        <v>0</v>
      </c>
      <c r="AY252" s="722"/>
      <c r="AZ252" s="722"/>
      <c r="BA252" s="722"/>
      <c r="BB252" s="722"/>
      <c r="BC252" s="722"/>
      <c r="BD252" s="722"/>
      <c r="BE252" s="722"/>
      <c r="BF252" s="722"/>
      <c r="BG252" s="722"/>
      <c r="BH252" s="722"/>
      <c r="BI252" s="722"/>
      <c r="BJ252" s="722"/>
      <c r="BK252" s="722"/>
      <c r="BL252" s="722"/>
      <c r="BM252" s="722"/>
    </row>
    <row r="253" spans="2:65" ht="13.2" thickBot="1" x14ac:dyDescent="0.25">
      <c r="E253" s="722"/>
      <c r="F253" s="722"/>
      <c r="G253" s="722"/>
      <c r="H253" s="722"/>
      <c r="I253" s="722"/>
      <c r="J253" s="722"/>
      <c r="K253" s="722"/>
      <c r="L253" s="722"/>
      <c r="M253" s="722"/>
      <c r="N253" s="722"/>
      <c r="O253" s="722"/>
      <c r="P253" s="722"/>
      <c r="Q253" s="722"/>
      <c r="R253" s="722"/>
      <c r="S253" s="722"/>
      <c r="T253" s="722"/>
      <c r="U253" s="722"/>
      <c r="V253" s="722"/>
      <c r="W253" s="722"/>
      <c r="X253" s="722"/>
      <c r="Y253" s="722"/>
      <c r="Z253" s="722"/>
      <c r="AA253" s="722"/>
      <c r="AB253" s="722"/>
      <c r="AC253" s="722"/>
      <c r="AD253" s="722"/>
      <c r="AE253" s="722"/>
      <c r="AF253" s="722"/>
      <c r="AG253" s="722"/>
      <c r="AH253" s="722"/>
      <c r="AI253" s="722"/>
      <c r="AJ253" s="722"/>
      <c r="AK253" s="722"/>
      <c r="AL253" s="722"/>
      <c r="AM253" s="722"/>
      <c r="AN253" s="722"/>
      <c r="AO253" s="722"/>
      <c r="AP253" s="722"/>
      <c r="AQ253" s="722"/>
      <c r="AR253" s="722"/>
      <c r="AS253" s="722"/>
      <c r="AT253" s="722"/>
      <c r="AU253" s="722"/>
      <c r="AV253" s="722"/>
      <c r="AW253" s="722"/>
      <c r="AX253" s="722"/>
      <c r="AY253" s="722"/>
      <c r="AZ253" s="722"/>
      <c r="BA253" s="722"/>
      <c r="BB253" s="722"/>
      <c r="BC253" s="722"/>
      <c r="BD253" s="722"/>
      <c r="BE253" s="722"/>
      <c r="BF253" s="722"/>
      <c r="BG253" s="722"/>
      <c r="BH253" s="722"/>
      <c r="BI253" s="722"/>
      <c r="BJ253" s="722"/>
      <c r="BK253" s="722"/>
      <c r="BL253" s="722"/>
      <c r="BM253" s="722"/>
    </row>
    <row r="254" spans="2:65" ht="16.2" thickBot="1" x14ac:dyDescent="0.25">
      <c r="B254" s="288" t="str">
        <f>B84</f>
        <v>Estaciones</v>
      </c>
      <c r="C254" s="739" t="s">
        <v>180</v>
      </c>
      <c r="D254" s="740">
        <f>D84</f>
        <v>0.25000000000000006</v>
      </c>
      <c r="E254" s="722"/>
      <c r="F254" s="722"/>
      <c r="G254" s="722"/>
      <c r="H254" s="722"/>
      <c r="I254" s="722"/>
      <c r="J254" s="722"/>
      <c r="K254" s="722"/>
      <c r="L254" s="722"/>
      <c r="M254" s="722"/>
      <c r="N254" s="722"/>
      <c r="O254" s="722"/>
      <c r="P254" s="722"/>
      <c r="Q254" s="722"/>
      <c r="R254" s="722"/>
      <c r="S254" s="722"/>
      <c r="T254" s="722"/>
      <c r="U254" s="722"/>
      <c r="V254" s="722"/>
      <c r="W254" s="722"/>
      <c r="X254" s="722"/>
      <c r="Y254" s="722"/>
      <c r="Z254" s="722"/>
      <c r="AA254" s="722"/>
      <c r="AB254" s="722"/>
      <c r="AC254" s="722"/>
      <c r="AD254" s="722"/>
      <c r="AE254" s="722"/>
      <c r="AF254" s="722"/>
      <c r="AG254" s="722"/>
      <c r="AH254" s="722"/>
      <c r="AI254" s="722"/>
      <c r="AJ254" s="722"/>
      <c r="AK254" s="722"/>
      <c r="AL254" s="722"/>
      <c r="AM254" s="722"/>
      <c r="AN254" s="722"/>
      <c r="AO254" s="722"/>
      <c r="AP254" s="722"/>
      <c r="AQ254" s="722"/>
      <c r="AR254" s="722"/>
      <c r="AS254" s="722"/>
      <c r="AT254" s="722"/>
      <c r="AU254" s="722"/>
      <c r="AV254" s="722"/>
      <c r="AW254" s="722"/>
      <c r="AX254" s="722"/>
      <c r="AY254" s="722"/>
      <c r="AZ254" s="722"/>
      <c r="BA254" s="722"/>
      <c r="BB254" s="722"/>
      <c r="BC254" s="722"/>
      <c r="BD254" s="722"/>
      <c r="BE254" s="722"/>
      <c r="BF254" s="722"/>
      <c r="BG254" s="722"/>
      <c r="BH254" s="722"/>
      <c r="BI254" s="722"/>
      <c r="BJ254" s="722"/>
      <c r="BK254" s="722"/>
      <c r="BL254" s="722"/>
      <c r="BM254" s="722"/>
    </row>
    <row r="255" spans="2:65" x14ac:dyDescent="0.2">
      <c r="B255" s="738" t="s">
        <v>313</v>
      </c>
      <c r="D255" s="725">
        <f>CHIFFRAGE_TC!O85</f>
        <v>0.79809959628477656</v>
      </c>
      <c r="E255" s="722">
        <f t="shared" ref="E255:AX255" si="231">E84*$D$255</f>
        <v>0</v>
      </c>
      <c r="F255" s="722">
        <f t="shared" si="231"/>
        <v>6879960.6633045496</v>
      </c>
      <c r="G255" s="722">
        <f t="shared" si="231"/>
        <v>11582262.65900261</v>
      </c>
      <c r="H255" s="722">
        <f t="shared" si="231"/>
        <v>3137106.6012247936</v>
      </c>
      <c r="I255" s="722">
        <f t="shared" si="231"/>
        <v>0</v>
      </c>
      <c r="J255" s="722">
        <f t="shared" si="231"/>
        <v>0</v>
      </c>
      <c r="K255" s="722">
        <f t="shared" si="231"/>
        <v>0</v>
      </c>
      <c r="L255" s="722">
        <f t="shared" si="231"/>
        <v>0</v>
      </c>
      <c r="M255" s="722">
        <f t="shared" si="231"/>
        <v>0</v>
      </c>
      <c r="N255" s="722">
        <f t="shared" si="231"/>
        <v>0</v>
      </c>
      <c r="O255" s="722">
        <f t="shared" si="231"/>
        <v>0</v>
      </c>
      <c r="P255" s="722">
        <f t="shared" si="231"/>
        <v>0</v>
      </c>
      <c r="Q255" s="722">
        <f t="shared" si="231"/>
        <v>0</v>
      </c>
      <c r="R255" s="722">
        <f t="shared" si="231"/>
        <v>0</v>
      </c>
      <c r="S255" s="722">
        <f t="shared" si="231"/>
        <v>0</v>
      </c>
      <c r="T255" s="722">
        <f t="shared" si="231"/>
        <v>0</v>
      </c>
      <c r="U255" s="722">
        <f t="shared" si="231"/>
        <v>0</v>
      </c>
      <c r="V255" s="722">
        <f t="shared" si="231"/>
        <v>0</v>
      </c>
      <c r="W255" s="722">
        <f t="shared" si="231"/>
        <v>148858.04501330279</v>
      </c>
      <c r="X255" s="722">
        <f t="shared" si="231"/>
        <v>446574.13503990835</v>
      </c>
      <c r="Y255" s="722">
        <f t="shared" si="231"/>
        <v>0</v>
      </c>
      <c r="Z255" s="722">
        <f t="shared" si="231"/>
        <v>0</v>
      </c>
      <c r="AA255" s="722">
        <f t="shared" si="231"/>
        <v>0</v>
      </c>
      <c r="AB255" s="722">
        <f t="shared" si="231"/>
        <v>0</v>
      </c>
      <c r="AC255" s="722">
        <f t="shared" si="231"/>
        <v>0</v>
      </c>
      <c r="AD255" s="722">
        <f t="shared" si="231"/>
        <v>0</v>
      </c>
      <c r="AE255" s="722">
        <f t="shared" si="231"/>
        <v>0</v>
      </c>
      <c r="AF255" s="722">
        <f t="shared" si="231"/>
        <v>0</v>
      </c>
      <c r="AG255" s="722">
        <f t="shared" si="231"/>
        <v>0</v>
      </c>
      <c r="AH255" s="722">
        <f t="shared" si="231"/>
        <v>0</v>
      </c>
      <c r="AI255" s="722">
        <f t="shared" si="231"/>
        <v>0</v>
      </c>
      <c r="AJ255" s="722">
        <f t="shared" si="231"/>
        <v>0</v>
      </c>
      <c r="AK255" s="722">
        <f t="shared" si="231"/>
        <v>0</v>
      </c>
      <c r="AL255" s="722">
        <f t="shared" si="231"/>
        <v>0</v>
      </c>
      <c r="AM255" s="722">
        <f t="shared" si="231"/>
        <v>0</v>
      </c>
      <c r="AN255" s="722">
        <f t="shared" si="231"/>
        <v>148858.04501330279</v>
      </c>
      <c r="AO255" s="722">
        <f t="shared" si="231"/>
        <v>446574.13503990835</v>
      </c>
      <c r="AP255" s="722">
        <f t="shared" si="231"/>
        <v>0</v>
      </c>
      <c r="AQ255" s="722">
        <f t="shared" si="231"/>
        <v>0</v>
      </c>
      <c r="AR255" s="722">
        <f t="shared" si="231"/>
        <v>0</v>
      </c>
      <c r="AS255" s="722">
        <f t="shared" si="231"/>
        <v>0</v>
      </c>
      <c r="AT255" s="722">
        <f t="shared" si="231"/>
        <v>0</v>
      </c>
      <c r="AU255" s="722">
        <f t="shared" si="231"/>
        <v>0</v>
      </c>
      <c r="AV255" s="722">
        <f t="shared" si="231"/>
        <v>0</v>
      </c>
      <c r="AW255" s="722">
        <f t="shared" si="231"/>
        <v>0</v>
      </c>
      <c r="AX255" s="722">
        <f t="shared" si="231"/>
        <v>0</v>
      </c>
      <c r="AY255" s="722"/>
      <c r="AZ255" s="722"/>
      <c r="BA255" s="722"/>
      <c r="BB255" s="722"/>
      <c r="BC255" s="722"/>
      <c r="BD255" s="722"/>
      <c r="BE255" s="722"/>
      <c r="BF255" s="722"/>
      <c r="BG255" s="722"/>
      <c r="BH255" s="722"/>
      <c r="BI255" s="722"/>
      <c r="BJ255" s="722"/>
      <c r="BK255" s="722"/>
      <c r="BL255" s="722"/>
      <c r="BM255" s="722"/>
    </row>
    <row r="256" spans="2:65" x14ac:dyDescent="0.2">
      <c r="B256" s="738" t="s">
        <v>406</v>
      </c>
      <c r="D256" s="725">
        <f>CHIFFRAGE_TC!P85</f>
        <v>0.2019004037152235</v>
      </c>
      <c r="E256" s="722">
        <f t="shared" ref="E256:AX256" si="232">E84*$D$256</f>
        <v>0</v>
      </c>
      <c r="F256" s="722">
        <f t="shared" si="232"/>
        <v>1740468.0342306562</v>
      </c>
      <c r="G256" s="722">
        <f t="shared" si="232"/>
        <v>2930039.7064152607</v>
      </c>
      <c r="H256" s="722">
        <f t="shared" si="232"/>
        <v>793614.09557583055</v>
      </c>
      <c r="I256" s="722">
        <f t="shared" si="232"/>
        <v>0</v>
      </c>
      <c r="J256" s="722">
        <f t="shared" si="232"/>
        <v>0</v>
      </c>
      <c r="K256" s="722">
        <f t="shared" si="232"/>
        <v>0</v>
      </c>
      <c r="L256" s="722">
        <f t="shared" si="232"/>
        <v>0</v>
      </c>
      <c r="M256" s="722">
        <f t="shared" si="232"/>
        <v>0</v>
      </c>
      <c r="N256" s="722">
        <f t="shared" si="232"/>
        <v>0</v>
      </c>
      <c r="O256" s="722">
        <f t="shared" si="232"/>
        <v>0</v>
      </c>
      <c r="P256" s="722">
        <f t="shared" si="232"/>
        <v>0</v>
      </c>
      <c r="Q256" s="722">
        <f t="shared" si="232"/>
        <v>0</v>
      </c>
      <c r="R256" s="722">
        <f t="shared" si="232"/>
        <v>0</v>
      </c>
      <c r="S256" s="722">
        <f t="shared" si="232"/>
        <v>0</v>
      </c>
      <c r="T256" s="722">
        <f t="shared" si="232"/>
        <v>0</v>
      </c>
      <c r="U256" s="722">
        <f t="shared" si="232"/>
        <v>0</v>
      </c>
      <c r="V256" s="722">
        <f t="shared" si="232"/>
        <v>0</v>
      </c>
      <c r="W256" s="722">
        <f t="shared" si="232"/>
        <v>37657.57998669723</v>
      </c>
      <c r="X256" s="722">
        <f t="shared" si="232"/>
        <v>112972.7399600917</v>
      </c>
      <c r="Y256" s="722">
        <f t="shared" si="232"/>
        <v>0</v>
      </c>
      <c r="Z256" s="722">
        <f t="shared" si="232"/>
        <v>0</v>
      </c>
      <c r="AA256" s="722">
        <f t="shared" si="232"/>
        <v>0</v>
      </c>
      <c r="AB256" s="722">
        <f t="shared" si="232"/>
        <v>0</v>
      </c>
      <c r="AC256" s="722">
        <f t="shared" si="232"/>
        <v>0</v>
      </c>
      <c r="AD256" s="722">
        <f t="shared" si="232"/>
        <v>0</v>
      </c>
      <c r="AE256" s="722">
        <f t="shared" si="232"/>
        <v>0</v>
      </c>
      <c r="AF256" s="722">
        <f t="shared" si="232"/>
        <v>0</v>
      </c>
      <c r="AG256" s="722">
        <f t="shared" si="232"/>
        <v>0</v>
      </c>
      <c r="AH256" s="722">
        <f t="shared" si="232"/>
        <v>0</v>
      </c>
      <c r="AI256" s="722">
        <f t="shared" si="232"/>
        <v>0</v>
      </c>
      <c r="AJ256" s="722">
        <f t="shared" si="232"/>
        <v>0</v>
      </c>
      <c r="AK256" s="722">
        <f t="shared" si="232"/>
        <v>0</v>
      </c>
      <c r="AL256" s="722">
        <f t="shared" si="232"/>
        <v>0</v>
      </c>
      <c r="AM256" s="722">
        <f t="shared" si="232"/>
        <v>0</v>
      </c>
      <c r="AN256" s="722">
        <f t="shared" si="232"/>
        <v>37657.57998669723</v>
      </c>
      <c r="AO256" s="722">
        <f t="shared" si="232"/>
        <v>112972.7399600917</v>
      </c>
      <c r="AP256" s="722">
        <f t="shared" si="232"/>
        <v>0</v>
      </c>
      <c r="AQ256" s="722">
        <f t="shared" si="232"/>
        <v>0</v>
      </c>
      <c r="AR256" s="722">
        <f t="shared" si="232"/>
        <v>0</v>
      </c>
      <c r="AS256" s="722">
        <f t="shared" si="232"/>
        <v>0</v>
      </c>
      <c r="AT256" s="722">
        <f t="shared" si="232"/>
        <v>0</v>
      </c>
      <c r="AU256" s="722">
        <f t="shared" si="232"/>
        <v>0</v>
      </c>
      <c r="AV256" s="722">
        <f t="shared" si="232"/>
        <v>0</v>
      </c>
      <c r="AW256" s="722">
        <f t="shared" si="232"/>
        <v>0</v>
      </c>
      <c r="AX256" s="722">
        <f t="shared" si="232"/>
        <v>0</v>
      </c>
      <c r="AY256" s="722"/>
      <c r="AZ256" s="722"/>
      <c r="BA256" s="722"/>
      <c r="BB256" s="722"/>
      <c r="BC256" s="722"/>
      <c r="BD256" s="722"/>
      <c r="BE256" s="722"/>
      <c r="BF256" s="722"/>
      <c r="BG256" s="722"/>
      <c r="BH256" s="722"/>
      <c r="BI256" s="722"/>
      <c r="BJ256" s="722"/>
      <c r="BK256" s="722"/>
      <c r="BL256" s="722"/>
      <c r="BM256" s="722"/>
    </row>
    <row r="257" spans="2:65" ht="13.2" thickBot="1" x14ac:dyDescent="0.25">
      <c r="B257" s="710"/>
      <c r="E257" s="722"/>
      <c r="F257" s="722"/>
      <c r="G257" s="722"/>
      <c r="H257" s="722"/>
      <c r="I257" s="722"/>
      <c r="J257" s="722"/>
      <c r="K257" s="722"/>
      <c r="L257" s="722"/>
      <c r="M257" s="722"/>
      <c r="N257" s="722"/>
      <c r="O257" s="722"/>
      <c r="P257" s="722"/>
      <c r="Q257" s="722"/>
      <c r="R257" s="722"/>
      <c r="S257" s="722"/>
      <c r="T257" s="722"/>
      <c r="U257" s="722"/>
      <c r="V257" s="722"/>
      <c r="W257" s="722"/>
      <c r="X257" s="722"/>
      <c r="Y257" s="722"/>
      <c r="Z257" s="722"/>
      <c r="AA257" s="722"/>
      <c r="AB257" s="722"/>
      <c r="AC257" s="722"/>
      <c r="AD257" s="722"/>
      <c r="AE257" s="722"/>
      <c r="AF257" s="722"/>
      <c r="AG257" s="722"/>
      <c r="AH257" s="722"/>
      <c r="AI257" s="722"/>
      <c r="AJ257" s="722"/>
      <c r="AK257" s="722"/>
      <c r="AL257" s="722"/>
      <c r="AM257" s="722"/>
      <c r="AN257" s="722"/>
      <c r="AO257" s="722"/>
      <c r="AP257" s="722"/>
      <c r="AQ257" s="722"/>
      <c r="AR257" s="722"/>
      <c r="AS257" s="722"/>
      <c r="AT257" s="722"/>
      <c r="AU257" s="722"/>
      <c r="AV257" s="722"/>
      <c r="AW257" s="722"/>
      <c r="AX257" s="722"/>
      <c r="AY257" s="722"/>
      <c r="AZ257" s="722"/>
      <c r="BA257" s="722"/>
      <c r="BB257" s="722"/>
      <c r="BC257" s="722"/>
      <c r="BD257" s="722"/>
      <c r="BE257" s="722"/>
      <c r="BF257" s="722"/>
      <c r="BG257" s="722"/>
      <c r="BH257" s="722"/>
      <c r="BI257" s="722"/>
      <c r="BJ257" s="722"/>
      <c r="BK257" s="722"/>
      <c r="BL257" s="722"/>
      <c r="BM257" s="722"/>
    </row>
    <row r="258" spans="2:65" ht="16.2" thickBot="1" x14ac:dyDescent="0.25">
      <c r="B258" s="288" t="str">
        <f>B174</f>
        <v xml:space="preserve">Centro(s) de mantenimiento </v>
      </c>
      <c r="C258" s="739" t="s">
        <v>180</v>
      </c>
      <c r="D258" s="740">
        <f>D174</f>
        <v>0.25</v>
      </c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722"/>
      <c r="V258" s="722"/>
      <c r="W258" s="722"/>
      <c r="X258" s="722"/>
      <c r="Y258" s="722"/>
      <c r="Z258" s="722"/>
      <c r="AA258" s="722"/>
      <c r="AB258" s="722"/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722"/>
      <c r="AN258" s="722"/>
      <c r="AO258" s="722"/>
      <c r="AP258" s="722"/>
      <c r="AQ258" s="722"/>
      <c r="AR258" s="722"/>
      <c r="AS258" s="722"/>
      <c r="AT258" s="722"/>
      <c r="AU258" s="722"/>
      <c r="AV258" s="722"/>
      <c r="AW258" s="722"/>
      <c r="AX258" s="722"/>
      <c r="AY258" s="722"/>
      <c r="AZ258" s="722"/>
      <c r="BA258" s="722"/>
      <c r="BB258" s="722"/>
      <c r="BC258" s="722"/>
      <c r="BD258" s="722"/>
      <c r="BE258" s="722"/>
      <c r="BF258" s="722"/>
      <c r="BG258" s="722"/>
      <c r="BH258" s="722"/>
      <c r="BI258" s="722"/>
      <c r="BJ258" s="722"/>
      <c r="BK258" s="722"/>
      <c r="BL258" s="722"/>
      <c r="BM258" s="722"/>
    </row>
    <row r="259" spans="2:65" x14ac:dyDescent="0.2">
      <c r="B259" s="738" t="s">
        <v>313</v>
      </c>
      <c r="D259" s="725">
        <f>CHIFFRAGE_TC!O175</f>
        <v>0.34110738262877516</v>
      </c>
      <c r="E259" s="722">
        <f>E174*$D$259</f>
        <v>0</v>
      </c>
      <c r="F259" s="722">
        <f t="shared" ref="F259:AV259" si="233">F174*$D$259</f>
        <v>474448.62126194546</v>
      </c>
      <c r="G259" s="722">
        <f t="shared" si="233"/>
        <v>1162005.7074485372</v>
      </c>
      <c r="H259" s="722">
        <f t="shared" si="233"/>
        <v>310739.74587336625</v>
      </c>
      <c r="I259" s="722">
        <f t="shared" si="233"/>
        <v>0</v>
      </c>
      <c r="J259" s="722">
        <f t="shared" si="233"/>
        <v>0</v>
      </c>
      <c r="K259" s="722">
        <f t="shared" si="233"/>
        <v>0</v>
      </c>
      <c r="L259" s="722">
        <f t="shared" si="233"/>
        <v>0</v>
      </c>
      <c r="M259" s="722">
        <f t="shared" si="233"/>
        <v>0</v>
      </c>
      <c r="N259" s="722">
        <f t="shared" si="233"/>
        <v>0</v>
      </c>
      <c r="O259" s="722">
        <f t="shared" si="233"/>
        <v>0</v>
      </c>
      <c r="P259" s="722">
        <f t="shared" si="233"/>
        <v>0</v>
      </c>
      <c r="Q259" s="722">
        <f t="shared" si="233"/>
        <v>0</v>
      </c>
      <c r="R259" s="722">
        <f t="shared" si="233"/>
        <v>0</v>
      </c>
      <c r="S259" s="722">
        <f t="shared" si="233"/>
        <v>0</v>
      </c>
      <c r="T259" s="722">
        <f t="shared" si="233"/>
        <v>0</v>
      </c>
      <c r="U259" s="722">
        <f t="shared" si="233"/>
        <v>0</v>
      </c>
      <c r="V259" s="722">
        <f t="shared" si="233"/>
        <v>0</v>
      </c>
      <c r="W259" s="722">
        <f t="shared" si="233"/>
        <v>0</v>
      </c>
      <c r="X259" s="722">
        <f t="shared" si="233"/>
        <v>37049.692152050266</v>
      </c>
      <c r="Y259" s="722">
        <f t="shared" si="233"/>
        <v>12349.897384016756</v>
      </c>
      <c r="Z259" s="722">
        <f t="shared" si="233"/>
        <v>0</v>
      </c>
      <c r="AA259" s="722">
        <f t="shared" si="233"/>
        <v>0</v>
      </c>
      <c r="AB259" s="722">
        <f t="shared" si="233"/>
        <v>0</v>
      </c>
      <c r="AC259" s="722">
        <f t="shared" si="233"/>
        <v>0</v>
      </c>
      <c r="AD259" s="722">
        <f t="shared" si="233"/>
        <v>0</v>
      </c>
      <c r="AE259" s="722">
        <f t="shared" si="233"/>
        <v>0</v>
      </c>
      <c r="AF259" s="722">
        <f t="shared" si="233"/>
        <v>0</v>
      </c>
      <c r="AG259" s="722">
        <f t="shared" si="233"/>
        <v>0</v>
      </c>
      <c r="AH259" s="722">
        <f t="shared" si="233"/>
        <v>0</v>
      </c>
      <c r="AI259" s="722">
        <f t="shared" si="233"/>
        <v>0</v>
      </c>
      <c r="AJ259" s="722">
        <f t="shared" si="233"/>
        <v>0</v>
      </c>
      <c r="AK259" s="722">
        <f t="shared" si="233"/>
        <v>0</v>
      </c>
      <c r="AL259" s="722">
        <f t="shared" si="233"/>
        <v>0</v>
      </c>
      <c r="AM259" s="722">
        <f t="shared" si="233"/>
        <v>0</v>
      </c>
      <c r="AN259" s="722">
        <f t="shared" si="233"/>
        <v>0</v>
      </c>
      <c r="AO259" s="722">
        <f t="shared" si="233"/>
        <v>0</v>
      </c>
      <c r="AP259" s="722">
        <f t="shared" si="233"/>
        <v>0</v>
      </c>
      <c r="AQ259" s="722">
        <f t="shared" si="233"/>
        <v>0</v>
      </c>
      <c r="AR259" s="722">
        <f t="shared" si="233"/>
        <v>0</v>
      </c>
      <c r="AS259" s="722">
        <f t="shared" si="233"/>
        <v>0</v>
      </c>
      <c r="AT259" s="722">
        <f t="shared" si="233"/>
        <v>0</v>
      </c>
      <c r="AU259" s="722">
        <f t="shared" si="233"/>
        <v>0</v>
      </c>
      <c r="AV259" s="722">
        <f t="shared" si="233"/>
        <v>0</v>
      </c>
      <c r="AW259" s="722">
        <f>AW174*$D$259</f>
        <v>0</v>
      </c>
      <c r="AX259" s="722">
        <f t="shared" ref="AX259" si="234">AX174*$D$259</f>
        <v>0</v>
      </c>
      <c r="AY259" s="722"/>
      <c r="AZ259" s="722"/>
      <c r="BA259" s="722"/>
      <c r="BB259" s="722"/>
      <c r="BC259" s="722"/>
      <c r="BD259" s="722"/>
      <c r="BE259" s="722"/>
      <c r="BF259" s="722"/>
      <c r="BG259" s="722"/>
      <c r="BH259" s="722"/>
      <c r="BI259" s="722"/>
      <c r="BJ259" s="722"/>
      <c r="BK259" s="722"/>
      <c r="BL259" s="722"/>
      <c r="BM259" s="722"/>
    </row>
    <row r="260" spans="2:65" x14ac:dyDescent="0.2">
      <c r="B260" s="738" t="s">
        <v>406</v>
      </c>
      <c r="D260" s="725">
        <f>CHIFFRAGE_TC!P175</f>
        <v>0.65889261737122506</v>
      </c>
      <c r="E260" s="722">
        <f>E174*$D$260</f>
        <v>0</v>
      </c>
      <c r="F260" s="722">
        <f t="shared" ref="F260:AV260" si="235">F174*$D$260</f>
        <v>916458.30548224866</v>
      </c>
      <c r="G260" s="722">
        <f t="shared" si="235"/>
        <v>2244562.917637893</v>
      </c>
      <c r="H260" s="722">
        <f t="shared" si="235"/>
        <v>600233.63581841113</v>
      </c>
      <c r="I260" s="722">
        <f t="shared" si="235"/>
        <v>0</v>
      </c>
      <c r="J260" s="722">
        <f t="shared" si="235"/>
        <v>0</v>
      </c>
      <c r="K260" s="722">
        <f t="shared" si="235"/>
        <v>0</v>
      </c>
      <c r="L260" s="722">
        <f t="shared" si="235"/>
        <v>0</v>
      </c>
      <c r="M260" s="722">
        <f t="shared" si="235"/>
        <v>0</v>
      </c>
      <c r="N260" s="722">
        <f t="shared" si="235"/>
        <v>0</v>
      </c>
      <c r="O260" s="722">
        <f t="shared" si="235"/>
        <v>0</v>
      </c>
      <c r="P260" s="722">
        <f t="shared" si="235"/>
        <v>0</v>
      </c>
      <c r="Q260" s="722">
        <f t="shared" si="235"/>
        <v>0</v>
      </c>
      <c r="R260" s="722">
        <f t="shared" si="235"/>
        <v>0</v>
      </c>
      <c r="S260" s="722">
        <f t="shared" si="235"/>
        <v>0</v>
      </c>
      <c r="T260" s="722">
        <f t="shared" si="235"/>
        <v>0</v>
      </c>
      <c r="U260" s="722">
        <f t="shared" si="235"/>
        <v>0</v>
      </c>
      <c r="V260" s="722">
        <f t="shared" si="235"/>
        <v>0</v>
      </c>
      <c r="W260" s="722">
        <f t="shared" si="235"/>
        <v>0</v>
      </c>
      <c r="X260" s="722">
        <f t="shared" si="235"/>
        <v>71566.227757168483</v>
      </c>
      <c r="Y260" s="722">
        <f t="shared" si="235"/>
        <v>23855.409252389491</v>
      </c>
      <c r="Z260" s="722">
        <f t="shared" si="235"/>
        <v>0</v>
      </c>
      <c r="AA260" s="722">
        <f t="shared" si="235"/>
        <v>0</v>
      </c>
      <c r="AB260" s="722">
        <f t="shared" si="235"/>
        <v>0</v>
      </c>
      <c r="AC260" s="722">
        <f t="shared" si="235"/>
        <v>0</v>
      </c>
      <c r="AD260" s="722">
        <f t="shared" si="235"/>
        <v>0</v>
      </c>
      <c r="AE260" s="722">
        <f t="shared" si="235"/>
        <v>0</v>
      </c>
      <c r="AF260" s="722">
        <f t="shared" si="235"/>
        <v>0</v>
      </c>
      <c r="AG260" s="722">
        <f t="shared" si="235"/>
        <v>0</v>
      </c>
      <c r="AH260" s="722">
        <f t="shared" si="235"/>
        <v>0</v>
      </c>
      <c r="AI260" s="722">
        <f t="shared" si="235"/>
        <v>0</v>
      </c>
      <c r="AJ260" s="722">
        <f t="shared" si="235"/>
        <v>0</v>
      </c>
      <c r="AK260" s="722">
        <f t="shared" si="235"/>
        <v>0</v>
      </c>
      <c r="AL260" s="722">
        <f t="shared" si="235"/>
        <v>0</v>
      </c>
      <c r="AM260" s="722">
        <f t="shared" si="235"/>
        <v>0</v>
      </c>
      <c r="AN260" s="722">
        <f t="shared" si="235"/>
        <v>0</v>
      </c>
      <c r="AO260" s="722">
        <f t="shared" si="235"/>
        <v>0</v>
      </c>
      <c r="AP260" s="722">
        <f t="shared" si="235"/>
        <v>0</v>
      </c>
      <c r="AQ260" s="722">
        <f t="shared" si="235"/>
        <v>0</v>
      </c>
      <c r="AR260" s="722">
        <f t="shared" si="235"/>
        <v>0</v>
      </c>
      <c r="AS260" s="722">
        <f t="shared" si="235"/>
        <v>0</v>
      </c>
      <c r="AT260" s="722">
        <f t="shared" si="235"/>
        <v>0</v>
      </c>
      <c r="AU260" s="722">
        <f t="shared" si="235"/>
        <v>0</v>
      </c>
      <c r="AV260" s="722">
        <f t="shared" si="235"/>
        <v>0</v>
      </c>
      <c r="AW260" s="722">
        <f>AW174*$D$260</f>
        <v>0</v>
      </c>
      <c r="AX260" s="722">
        <f t="shared" ref="AX260" si="236">AX174*$D$260</f>
        <v>0</v>
      </c>
      <c r="AY260" s="722"/>
      <c r="AZ260" s="722"/>
      <c r="BA260" s="722"/>
      <c r="BB260" s="722"/>
      <c r="BC260" s="722"/>
      <c r="BD260" s="722"/>
      <c r="BE260" s="722"/>
      <c r="BF260" s="722"/>
      <c r="BG260" s="722"/>
      <c r="BH260" s="722"/>
      <c r="BI260" s="722"/>
      <c r="BJ260" s="722"/>
      <c r="BK260" s="722"/>
      <c r="BL260" s="722"/>
      <c r="BM260" s="722"/>
    </row>
    <row r="261" spans="2:65" ht="13.2" thickBot="1" x14ac:dyDescent="0.25">
      <c r="B261" s="710"/>
      <c r="E261" s="722"/>
      <c r="F261" s="722"/>
      <c r="G261" s="722"/>
      <c r="H261" s="722"/>
      <c r="I261" s="722"/>
      <c r="J261" s="722"/>
      <c r="K261" s="722"/>
      <c r="L261" s="722"/>
      <c r="M261" s="722"/>
      <c r="N261" s="722"/>
      <c r="O261" s="722"/>
      <c r="P261" s="722"/>
      <c r="Q261" s="722"/>
      <c r="R261" s="722"/>
      <c r="S261" s="722"/>
      <c r="T261" s="722"/>
      <c r="U261" s="722"/>
      <c r="V261" s="722"/>
      <c r="W261" s="722"/>
      <c r="X261" s="722"/>
      <c r="Y261" s="722"/>
      <c r="Z261" s="722"/>
      <c r="AA261" s="722"/>
      <c r="AB261" s="722"/>
      <c r="AC261" s="722"/>
      <c r="AD261" s="722"/>
      <c r="AE261" s="722"/>
      <c r="AF261" s="722"/>
      <c r="AG261" s="722"/>
      <c r="AH261" s="722"/>
      <c r="AI261" s="722"/>
      <c r="AJ261" s="722"/>
      <c r="AK261" s="722"/>
      <c r="AL261" s="722"/>
      <c r="AM261" s="722"/>
      <c r="AN261" s="722"/>
      <c r="AO261" s="722"/>
      <c r="AP261" s="722"/>
      <c r="AQ261" s="722"/>
      <c r="AR261" s="722"/>
      <c r="AS261" s="722"/>
      <c r="AT261" s="722"/>
      <c r="AU261" s="722"/>
      <c r="AV261" s="722"/>
      <c r="AW261" s="722"/>
      <c r="AX261" s="722"/>
      <c r="AY261" s="722"/>
      <c r="AZ261" s="722"/>
      <c r="BA261" s="722"/>
      <c r="BB261" s="722"/>
      <c r="BC261" s="722"/>
      <c r="BD261" s="722"/>
      <c r="BE261" s="722"/>
      <c r="BF261" s="722"/>
      <c r="BG261" s="722"/>
      <c r="BH261" s="722"/>
      <c r="BI261" s="722"/>
      <c r="BJ261" s="722"/>
      <c r="BK261" s="722"/>
      <c r="BL261" s="722"/>
      <c r="BM261" s="722"/>
    </row>
    <row r="262" spans="2:65" ht="16.2" thickBot="1" x14ac:dyDescent="0.25">
      <c r="B262" s="288" t="str">
        <f>B183</f>
        <v>Operaciones adicionales : estacionamiento incitativo y buses</v>
      </c>
      <c r="C262" s="739" t="s">
        <v>180</v>
      </c>
      <c r="D262" s="740">
        <f>D183</f>
        <v>0.17757854933484599</v>
      </c>
      <c r="E262" s="722"/>
      <c r="F262" s="722"/>
      <c r="G262" s="722"/>
      <c r="H262" s="722"/>
      <c r="I262" s="722"/>
      <c r="J262" s="722"/>
      <c r="K262" s="722"/>
      <c r="L262" s="722"/>
      <c r="M262" s="722"/>
      <c r="N262" s="722"/>
      <c r="O262" s="722"/>
      <c r="P262" s="722"/>
      <c r="Q262" s="722"/>
      <c r="R262" s="722"/>
      <c r="S262" s="722"/>
      <c r="T262" s="722"/>
      <c r="U262" s="722"/>
      <c r="V262" s="722"/>
      <c r="W262" s="722"/>
      <c r="X262" s="722"/>
      <c r="Y262" s="722"/>
      <c r="Z262" s="722"/>
      <c r="AA262" s="722"/>
      <c r="AB262" s="722"/>
      <c r="AC262" s="722"/>
      <c r="AD262" s="722"/>
      <c r="AE262" s="722"/>
      <c r="AF262" s="722"/>
      <c r="AG262" s="722"/>
      <c r="AH262" s="722"/>
      <c r="AI262" s="722"/>
      <c r="AJ262" s="722"/>
      <c r="AK262" s="722"/>
      <c r="AL262" s="722"/>
      <c r="AM262" s="722"/>
      <c r="AN262" s="722"/>
      <c r="AO262" s="722"/>
      <c r="AP262" s="722"/>
      <c r="AQ262" s="722"/>
      <c r="AR262" s="722"/>
      <c r="AS262" s="722"/>
      <c r="AT262" s="722"/>
      <c r="AU262" s="722"/>
      <c r="AV262" s="722"/>
      <c r="AW262" s="722"/>
      <c r="AX262" s="722"/>
      <c r="AY262" s="722"/>
      <c r="AZ262" s="722"/>
      <c r="BA262" s="722"/>
      <c r="BB262" s="722"/>
      <c r="BC262" s="722"/>
      <c r="BD262" s="722"/>
      <c r="BE262" s="722"/>
      <c r="BF262" s="722"/>
      <c r="BG262" s="722"/>
      <c r="BH262" s="722"/>
      <c r="BI262" s="722"/>
      <c r="BJ262" s="722"/>
      <c r="BK262" s="722"/>
      <c r="BL262" s="722"/>
      <c r="BM262" s="722"/>
    </row>
    <row r="263" spans="2:65" x14ac:dyDescent="0.2">
      <c r="B263" s="738" t="s">
        <v>313</v>
      </c>
      <c r="D263" s="725">
        <f>CHIFFRAGE_TC!O184</f>
        <v>0.80317705605303535</v>
      </c>
      <c r="E263" s="722">
        <f>E183*$D$263</f>
        <v>0</v>
      </c>
      <c r="F263" s="722">
        <f t="shared" ref="F263:AV263" si="237">F183*$D$263</f>
        <v>0</v>
      </c>
      <c r="G263" s="722">
        <f t="shared" si="237"/>
        <v>1668665.1420608608</v>
      </c>
      <c r="H263" s="722">
        <f t="shared" si="237"/>
        <v>2079862.9867266389</v>
      </c>
      <c r="I263" s="722">
        <f t="shared" si="237"/>
        <v>0</v>
      </c>
      <c r="J263" s="722">
        <f t="shared" si="237"/>
        <v>0</v>
      </c>
      <c r="K263" s="722">
        <f t="shared" si="237"/>
        <v>0</v>
      </c>
      <c r="L263" s="722">
        <f t="shared" si="237"/>
        <v>0</v>
      </c>
      <c r="M263" s="722">
        <f t="shared" si="237"/>
        <v>0</v>
      </c>
      <c r="N263" s="722">
        <f t="shared" si="237"/>
        <v>0</v>
      </c>
      <c r="O263" s="722">
        <f t="shared" si="237"/>
        <v>0</v>
      </c>
      <c r="P263" s="722">
        <f t="shared" si="237"/>
        <v>0</v>
      </c>
      <c r="Q263" s="722">
        <f t="shared" si="237"/>
        <v>0</v>
      </c>
      <c r="R263" s="722">
        <f t="shared" si="237"/>
        <v>1668665.1420608608</v>
      </c>
      <c r="S263" s="722">
        <f t="shared" si="237"/>
        <v>2079862.9867266389</v>
      </c>
      <c r="T263" s="722">
        <f t="shared" si="237"/>
        <v>0</v>
      </c>
      <c r="U263" s="722">
        <f t="shared" si="237"/>
        <v>0</v>
      </c>
      <c r="V263" s="722">
        <f t="shared" si="237"/>
        <v>0</v>
      </c>
      <c r="W263" s="722">
        <f t="shared" si="237"/>
        <v>0</v>
      </c>
      <c r="X263" s="722">
        <f t="shared" si="237"/>
        <v>0</v>
      </c>
      <c r="Y263" s="722">
        <f t="shared" si="237"/>
        <v>0</v>
      </c>
      <c r="Z263" s="722">
        <f t="shared" si="237"/>
        <v>0</v>
      </c>
      <c r="AA263" s="722">
        <f t="shared" si="237"/>
        <v>0</v>
      </c>
      <c r="AB263" s="722">
        <f t="shared" si="237"/>
        <v>0</v>
      </c>
      <c r="AC263" s="722">
        <f t="shared" si="237"/>
        <v>1668665.1420608608</v>
      </c>
      <c r="AD263" s="722">
        <f t="shared" si="237"/>
        <v>2079862.9867266389</v>
      </c>
      <c r="AE263" s="722">
        <f t="shared" si="237"/>
        <v>0</v>
      </c>
      <c r="AF263" s="722">
        <f t="shared" si="237"/>
        <v>0</v>
      </c>
      <c r="AG263" s="722">
        <f t="shared" si="237"/>
        <v>0</v>
      </c>
      <c r="AH263" s="722">
        <f t="shared" si="237"/>
        <v>0</v>
      </c>
      <c r="AI263" s="722">
        <f t="shared" si="237"/>
        <v>0</v>
      </c>
      <c r="AJ263" s="722">
        <f t="shared" si="237"/>
        <v>0</v>
      </c>
      <c r="AK263" s="722">
        <f t="shared" si="237"/>
        <v>0</v>
      </c>
      <c r="AL263" s="722">
        <f t="shared" si="237"/>
        <v>0</v>
      </c>
      <c r="AM263" s="722">
        <f t="shared" si="237"/>
        <v>0</v>
      </c>
      <c r="AN263" s="722">
        <f t="shared" si="237"/>
        <v>1668665.1420608608</v>
      </c>
      <c r="AO263" s="722">
        <f t="shared" si="237"/>
        <v>2079862.9867266389</v>
      </c>
      <c r="AP263" s="722">
        <f t="shared" si="237"/>
        <v>0</v>
      </c>
      <c r="AQ263" s="722">
        <f t="shared" si="237"/>
        <v>0</v>
      </c>
      <c r="AR263" s="722">
        <f t="shared" si="237"/>
        <v>0</v>
      </c>
      <c r="AS263" s="722">
        <f t="shared" si="237"/>
        <v>0</v>
      </c>
      <c r="AT263" s="722">
        <f t="shared" si="237"/>
        <v>0</v>
      </c>
      <c r="AU263" s="722">
        <f t="shared" si="237"/>
        <v>0</v>
      </c>
      <c r="AV263" s="722">
        <f t="shared" si="237"/>
        <v>0</v>
      </c>
      <c r="AW263" s="722">
        <f>AW183*$D$263</f>
        <v>0</v>
      </c>
      <c r="AX263" s="722">
        <f t="shared" ref="AX263" si="238">AX183*$D$263</f>
        <v>0</v>
      </c>
      <c r="AY263" s="722"/>
      <c r="AZ263" s="722"/>
      <c r="BA263" s="722"/>
      <c r="BB263" s="722"/>
      <c r="BC263" s="722"/>
      <c r="BD263" s="722"/>
      <c r="BE263" s="722"/>
      <c r="BF263" s="722"/>
      <c r="BG263" s="722"/>
      <c r="BH263" s="722"/>
      <c r="BI263" s="722"/>
      <c r="BJ263" s="722"/>
      <c r="BK263" s="722"/>
      <c r="BL263" s="722"/>
      <c r="BM263" s="722"/>
    </row>
    <row r="264" spans="2:65" x14ac:dyDescent="0.2">
      <c r="B264" s="738" t="s">
        <v>406</v>
      </c>
      <c r="D264" s="725">
        <f>CHIFFRAGE_TC!P184</f>
        <v>0.19682294394696465</v>
      </c>
      <c r="E264" s="722">
        <f>E183*$D$264</f>
        <v>0</v>
      </c>
      <c r="F264" s="722">
        <f t="shared" ref="F264:AV264" si="239">F183*$D$264</f>
        <v>0</v>
      </c>
      <c r="G264" s="722">
        <f t="shared" si="239"/>
        <v>408915.54763288907</v>
      </c>
      <c r="H264" s="722">
        <f t="shared" si="239"/>
        <v>509681.83536711056</v>
      </c>
      <c r="I264" s="722">
        <f t="shared" si="239"/>
        <v>0</v>
      </c>
      <c r="J264" s="722">
        <f t="shared" si="239"/>
        <v>0</v>
      </c>
      <c r="K264" s="722">
        <f t="shared" si="239"/>
        <v>0</v>
      </c>
      <c r="L264" s="722">
        <f t="shared" si="239"/>
        <v>0</v>
      </c>
      <c r="M264" s="722">
        <f t="shared" si="239"/>
        <v>0</v>
      </c>
      <c r="N264" s="722">
        <f t="shared" si="239"/>
        <v>0</v>
      </c>
      <c r="O264" s="722">
        <f t="shared" si="239"/>
        <v>0</v>
      </c>
      <c r="P264" s="722">
        <f t="shared" si="239"/>
        <v>0</v>
      </c>
      <c r="Q264" s="722">
        <f t="shared" si="239"/>
        <v>0</v>
      </c>
      <c r="R264" s="722">
        <f t="shared" si="239"/>
        <v>408915.54763288907</v>
      </c>
      <c r="S264" s="722">
        <f t="shared" si="239"/>
        <v>509681.83536711056</v>
      </c>
      <c r="T264" s="722">
        <f t="shared" si="239"/>
        <v>0</v>
      </c>
      <c r="U264" s="722">
        <f t="shared" si="239"/>
        <v>0</v>
      </c>
      <c r="V264" s="722">
        <f t="shared" si="239"/>
        <v>0</v>
      </c>
      <c r="W264" s="722">
        <f t="shared" si="239"/>
        <v>0</v>
      </c>
      <c r="X264" s="722">
        <f t="shared" si="239"/>
        <v>0</v>
      </c>
      <c r="Y264" s="722">
        <f t="shared" si="239"/>
        <v>0</v>
      </c>
      <c r="Z264" s="722">
        <f t="shared" si="239"/>
        <v>0</v>
      </c>
      <c r="AA264" s="722">
        <f t="shared" si="239"/>
        <v>0</v>
      </c>
      <c r="AB264" s="722">
        <f t="shared" si="239"/>
        <v>0</v>
      </c>
      <c r="AC264" s="722">
        <f t="shared" si="239"/>
        <v>408915.54763288907</v>
      </c>
      <c r="AD264" s="722">
        <f t="shared" si="239"/>
        <v>509681.83536711056</v>
      </c>
      <c r="AE264" s="722">
        <f t="shared" si="239"/>
        <v>0</v>
      </c>
      <c r="AF264" s="722">
        <f t="shared" si="239"/>
        <v>0</v>
      </c>
      <c r="AG264" s="722">
        <f t="shared" si="239"/>
        <v>0</v>
      </c>
      <c r="AH264" s="722">
        <f t="shared" si="239"/>
        <v>0</v>
      </c>
      <c r="AI264" s="722">
        <f t="shared" si="239"/>
        <v>0</v>
      </c>
      <c r="AJ264" s="722">
        <f t="shared" si="239"/>
        <v>0</v>
      </c>
      <c r="AK264" s="722">
        <f t="shared" si="239"/>
        <v>0</v>
      </c>
      <c r="AL264" s="722">
        <f t="shared" si="239"/>
        <v>0</v>
      </c>
      <c r="AM264" s="722">
        <f t="shared" si="239"/>
        <v>0</v>
      </c>
      <c r="AN264" s="722">
        <f t="shared" si="239"/>
        <v>408915.54763288907</v>
      </c>
      <c r="AO264" s="722">
        <f t="shared" si="239"/>
        <v>509681.83536711056</v>
      </c>
      <c r="AP264" s="722">
        <f t="shared" si="239"/>
        <v>0</v>
      </c>
      <c r="AQ264" s="722">
        <f t="shared" si="239"/>
        <v>0</v>
      </c>
      <c r="AR264" s="722">
        <f t="shared" si="239"/>
        <v>0</v>
      </c>
      <c r="AS264" s="722">
        <f t="shared" si="239"/>
        <v>0</v>
      </c>
      <c r="AT264" s="722">
        <f t="shared" si="239"/>
        <v>0</v>
      </c>
      <c r="AU264" s="722">
        <f t="shared" si="239"/>
        <v>0</v>
      </c>
      <c r="AV264" s="722">
        <f t="shared" si="239"/>
        <v>0</v>
      </c>
      <c r="AW264" s="722">
        <f>AW183*$D$264</f>
        <v>0</v>
      </c>
      <c r="AX264" s="722">
        <f t="shared" ref="AX264" si="240">AX183*$D$264</f>
        <v>0</v>
      </c>
      <c r="AY264" s="722"/>
      <c r="AZ264" s="722"/>
      <c r="BA264" s="722"/>
      <c r="BB264" s="722"/>
      <c r="BC264" s="722"/>
      <c r="BD264" s="722"/>
      <c r="BE264" s="722"/>
      <c r="BF264" s="722"/>
      <c r="BG264" s="722"/>
      <c r="BH264" s="722"/>
      <c r="BI264" s="722"/>
      <c r="BJ264" s="722"/>
      <c r="BK264" s="722"/>
      <c r="BL264" s="722"/>
      <c r="BM264" s="722"/>
    </row>
    <row r="265" spans="2:65" ht="13.2" thickBot="1" x14ac:dyDescent="0.25">
      <c r="B265" s="710"/>
      <c r="E265" s="722"/>
      <c r="F265" s="722"/>
      <c r="G265" s="722"/>
      <c r="H265" s="722"/>
      <c r="I265" s="722"/>
      <c r="J265" s="722"/>
      <c r="K265" s="722"/>
      <c r="L265" s="722"/>
      <c r="M265" s="722"/>
      <c r="N265" s="722"/>
      <c r="O265" s="722"/>
      <c r="P265" s="722"/>
      <c r="Q265" s="722"/>
      <c r="R265" s="722"/>
      <c r="S265" s="722"/>
      <c r="T265" s="722"/>
      <c r="U265" s="722"/>
      <c r="V265" s="722"/>
      <c r="W265" s="722"/>
      <c r="X265" s="722"/>
      <c r="Y265" s="722"/>
      <c r="Z265" s="722"/>
      <c r="AA265" s="722"/>
      <c r="AB265" s="722"/>
      <c r="AC265" s="722"/>
      <c r="AD265" s="722"/>
      <c r="AE265" s="722"/>
      <c r="AF265" s="722"/>
      <c r="AG265" s="722"/>
      <c r="AH265" s="722"/>
      <c r="AI265" s="722"/>
      <c r="AJ265" s="722"/>
      <c r="AK265" s="722"/>
      <c r="AL265" s="722"/>
      <c r="AM265" s="722"/>
      <c r="AN265" s="722"/>
      <c r="AO265" s="722"/>
      <c r="AP265" s="722"/>
      <c r="AQ265" s="722"/>
      <c r="AR265" s="722"/>
      <c r="AS265" s="722"/>
      <c r="AT265" s="722"/>
      <c r="AU265" s="722"/>
      <c r="AV265" s="722"/>
      <c r="AW265" s="722"/>
      <c r="AX265" s="722"/>
      <c r="AY265" s="722"/>
      <c r="AZ265" s="722"/>
      <c r="BA265" s="722"/>
      <c r="BB265" s="722"/>
      <c r="BC265" s="722"/>
      <c r="BD265" s="722"/>
      <c r="BE265" s="722"/>
      <c r="BF265" s="722"/>
      <c r="BG265" s="722"/>
      <c r="BH265" s="722"/>
      <c r="BI265" s="722"/>
      <c r="BJ265" s="722"/>
      <c r="BK265" s="722"/>
      <c r="BL265" s="722"/>
      <c r="BM265" s="722"/>
    </row>
    <row r="266" spans="2:65" ht="16.2" thickBot="1" x14ac:dyDescent="0.25">
      <c r="B266" s="288" t="str">
        <f>B192</f>
        <v>Gastos de estudios, gestion y administracion del proyecto</v>
      </c>
      <c r="C266" s="739" t="s">
        <v>180</v>
      </c>
      <c r="D266" s="740">
        <f>D192</f>
        <v>0.10409356616238837</v>
      </c>
      <c r="E266" s="722"/>
      <c r="F266" s="722"/>
      <c r="G266" s="722"/>
      <c r="H266" s="722"/>
      <c r="I266" s="722"/>
      <c r="J266" s="722"/>
      <c r="K266" s="722"/>
      <c r="L266" s="722"/>
      <c r="M266" s="722"/>
      <c r="N266" s="722"/>
      <c r="O266" s="722"/>
      <c r="P266" s="722"/>
      <c r="Q266" s="722"/>
      <c r="R266" s="722"/>
      <c r="S266" s="722"/>
      <c r="T266" s="722"/>
      <c r="U266" s="722"/>
      <c r="V266" s="722"/>
      <c r="W266" s="722"/>
      <c r="X266" s="722"/>
      <c r="Y266" s="722"/>
      <c r="Z266" s="722"/>
      <c r="AA266" s="722"/>
      <c r="AB266" s="722"/>
      <c r="AC266" s="722"/>
      <c r="AD266" s="722"/>
      <c r="AE266" s="722"/>
      <c r="AF266" s="722"/>
      <c r="AG266" s="722"/>
      <c r="AH266" s="722"/>
      <c r="AI266" s="722"/>
      <c r="AJ266" s="722"/>
      <c r="AK266" s="722"/>
      <c r="AL266" s="722"/>
      <c r="AM266" s="722"/>
      <c r="AN266" s="722"/>
      <c r="AO266" s="722"/>
      <c r="AP266" s="722"/>
      <c r="AQ266" s="722"/>
      <c r="AR266" s="722"/>
      <c r="AS266" s="722"/>
      <c r="AT266" s="722"/>
      <c r="AU266" s="722"/>
      <c r="AV266" s="722"/>
      <c r="AW266" s="722"/>
      <c r="AX266" s="722"/>
      <c r="AY266" s="722"/>
      <c r="AZ266" s="722"/>
      <c r="BA266" s="722"/>
      <c r="BB266" s="722"/>
      <c r="BC266" s="722"/>
      <c r="BD266" s="722"/>
      <c r="BE266" s="722"/>
      <c r="BF266" s="722"/>
      <c r="BG266" s="722"/>
      <c r="BH266" s="722"/>
      <c r="BI266" s="722"/>
      <c r="BJ266" s="722"/>
      <c r="BK266" s="722"/>
      <c r="BL266" s="722"/>
      <c r="BM266" s="722"/>
    </row>
    <row r="267" spans="2:65" x14ac:dyDescent="0.2">
      <c r="B267" s="738" t="s">
        <v>313</v>
      </c>
      <c r="D267" s="725">
        <f>CHIFFRAGE_TC!O193</f>
        <v>0.27046783081194181</v>
      </c>
      <c r="E267" s="722">
        <f>E192*$D$267</f>
        <v>1952150.400643446</v>
      </c>
      <c r="F267" s="722">
        <f t="shared" ref="F267:AV267" si="241">F192*$D$267</f>
        <v>1952150.400643446</v>
      </c>
      <c r="G267" s="722">
        <f t="shared" si="241"/>
        <v>216905.600071494</v>
      </c>
      <c r="H267" s="722">
        <f t="shared" si="241"/>
        <v>216905.600071494</v>
      </c>
      <c r="I267" s="722">
        <f t="shared" si="241"/>
        <v>0</v>
      </c>
      <c r="J267" s="722">
        <f t="shared" si="241"/>
        <v>0</v>
      </c>
      <c r="K267" s="722">
        <f t="shared" si="241"/>
        <v>0</v>
      </c>
      <c r="L267" s="722">
        <f t="shared" si="241"/>
        <v>0</v>
      </c>
      <c r="M267" s="722">
        <f t="shared" si="241"/>
        <v>0</v>
      </c>
      <c r="N267" s="722">
        <f t="shared" si="241"/>
        <v>0</v>
      </c>
      <c r="O267" s="722">
        <f t="shared" si="241"/>
        <v>0</v>
      </c>
      <c r="P267" s="722">
        <f t="shared" si="241"/>
        <v>0</v>
      </c>
      <c r="Q267" s="722">
        <f t="shared" si="241"/>
        <v>0</v>
      </c>
      <c r="R267" s="722">
        <f t="shared" si="241"/>
        <v>0</v>
      </c>
      <c r="S267" s="722">
        <f t="shared" si="241"/>
        <v>0</v>
      </c>
      <c r="T267" s="722">
        <f t="shared" si="241"/>
        <v>0</v>
      </c>
      <c r="U267" s="722">
        <f t="shared" si="241"/>
        <v>0</v>
      </c>
      <c r="V267" s="722">
        <f t="shared" si="241"/>
        <v>0</v>
      </c>
      <c r="W267" s="722">
        <f t="shared" si="241"/>
        <v>0</v>
      </c>
      <c r="X267" s="722">
        <f t="shared" si="241"/>
        <v>0</v>
      </c>
      <c r="Y267" s="722">
        <f t="shared" si="241"/>
        <v>0</v>
      </c>
      <c r="Z267" s="722">
        <f t="shared" si="241"/>
        <v>0</v>
      </c>
      <c r="AA267" s="722">
        <f t="shared" si="241"/>
        <v>0</v>
      </c>
      <c r="AB267" s="722">
        <f t="shared" si="241"/>
        <v>0</v>
      </c>
      <c r="AC267" s="722">
        <f t="shared" si="241"/>
        <v>0</v>
      </c>
      <c r="AD267" s="722">
        <f t="shared" si="241"/>
        <v>0</v>
      </c>
      <c r="AE267" s="722">
        <f t="shared" si="241"/>
        <v>0</v>
      </c>
      <c r="AF267" s="722">
        <f t="shared" si="241"/>
        <v>0</v>
      </c>
      <c r="AG267" s="722">
        <f t="shared" si="241"/>
        <v>0</v>
      </c>
      <c r="AH267" s="722">
        <f t="shared" si="241"/>
        <v>0</v>
      </c>
      <c r="AI267" s="722">
        <f t="shared" si="241"/>
        <v>0</v>
      </c>
      <c r="AJ267" s="722">
        <f t="shared" si="241"/>
        <v>0</v>
      </c>
      <c r="AK267" s="722">
        <f t="shared" si="241"/>
        <v>0</v>
      </c>
      <c r="AL267" s="722">
        <f t="shared" si="241"/>
        <v>0</v>
      </c>
      <c r="AM267" s="722">
        <f t="shared" si="241"/>
        <v>0</v>
      </c>
      <c r="AN267" s="722">
        <f t="shared" si="241"/>
        <v>0</v>
      </c>
      <c r="AO267" s="722">
        <f t="shared" si="241"/>
        <v>0</v>
      </c>
      <c r="AP267" s="722">
        <f t="shared" si="241"/>
        <v>0</v>
      </c>
      <c r="AQ267" s="722">
        <f t="shared" si="241"/>
        <v>0</v>
      </c>
      <c r="AR267" s="722">
        <f t="shared" si="241"/>
        <v>0</v>
      </c>
      <c r="AS267" s="722">
        <f t="shared" si="241"/>
        <v>0</v>
      </c>
      <c r="AT267" s="722">
        <f t="shared" si="241"/>
        <v>0</v>
      </c>
      <c r="AU267" s="722">
        <f t="shared" si="241"/>
        <v>0</v>
      </c>
      <c r="AV267" s="722">
        <f t="shared" si="241"/>
        <v>0</v>
      </c>
      <c r="AW267" s="722">
        <f>AW192*$D$267</f>
        <v>0</v>
      </c>
      <c r="AX267" s="722">
        <f t="shared" ref="AX267" si="242">AX192*$D$267</f>
        <v>0</v>
      </c>
      <c r="AY267" s="722"/>
      <c r="AZ267" s="722"/>
      <c r="BA267" s="722"/>
      <c r="BB267" s="722"/>
      <c r="BC267" s="722"/>
      <c r="BD267" s="722"/>
      <c r="BE267" s="722"/>
      <c r="BF267" s="722"/>
      <c r="BG267" s="722"/>
      <c r="BH267" s="722"/>
      <c r="BI267" s="722"/>
      <c r="BJ267" s="722"/>
      <c r="BK267" s="722"/>
      <c r="BL267" s="722"/>
      <c r="BM267" s="722"/>
    </row>
    <row r="268" spans="2:65" x14ac:dyDescent="0.2">
      <c r="B268" s="738" t="s">
        <v>406</v>
      </c>
      <c r="D268" s="725">
        <f>CHIFFRAGE_TC!P193</f>
        <v>0.7295321691880583</v>
      </c>
      <c r="E268" s="722">
        <f>E192*$D$268</f>
        <v>5265530.1448880117</v>
      </c>
      <c r="F268" s="722">
        <f t="shared" ref="F268:AV268" si="243">F192*$D$268</f>
        <v>5265530.1448880117</v>
      </c>
      <c r="G268" s="722">
        <f t="shared" si="243"/>
        <v>585058.90498755686</v>
      </c>
      <c r="H268" s="722">
        <f t="shared" si="243"/>
        <v>585058.90498755686</v>
      </c>
      <c r="I268" s="722">
        <f t="shared" si="243"/>
        <v>0</v>
      </c>
      <c r="J268" s="722">
        <f t="shared" si="243"/>
        <v>0</v>
      </c>
      <c r="K268" s="722">
        <f t="shared" si="243"/>
        <v>0</v>
      </c>
      <c r="L268" s="722">
        <f t="shared" si="243"/>
        <v>0</v>
      </c>
      <c r="M268" s="722">
        <f t="shared" si="243"/>
        <v>0</v>
      </c>
      <c r="N268" s="722">
        <f t="shared" si="243"/>
        <v>0</v>
      </c>
      <c r="O268" s="722">
        <f t="shared" si="243"/>
        <v>0</v>
      </c>
      <c r="P268" s="722">
        <f t="shared" si="243"/>
        <v>0</v>
      </c>
      <c r="Q268" s="722">
        <f t="shared" si="243"/>
        <v>0</v>
      </c>
      <c r="R268" s="722">
        <f t="shared" si="243"/>
        <v>0</v>
      </c>
      <c r="S268" s="722">
        <f t="shared" si="243"/>
        <v>0</v>
      </c>
      <c r="T268" s="722">
        <f t="shared" si="243"/>
        <v>0</v>
      </c>
      <c r="U268" s="722">
        <f t="shared" si="243"/>
        <v>0</v>
      </c>
      <c r="V268" s="722">
        <f t="shared" si="243"/>
        <v>0</v>
      </c>
      <c r="W268" s="722">
        <f t="shared" si="243"/>
        <v>0</v>
      </c>
      <c r="X268" s="722">
        <f t="shared" si="243"/>
        <v>0</v>
      </c>
      <c r="Y268" s="722">
        <f t="shared" si="243"/>
        <v>0</v>
      </c>
      <c r="Z268" s="722">
        <f t="shared" si="243"/>
        <v>0</v>
      </c>
      <c r="AA268" s="722">
        <f t="shared" si="243"/>
        <v>0</v>
      </c>
      <c r="AB268" s="722">
        <f t="shared" si="243"/>
        <v>0</v>
      </c>
      <c r="AC268" s="722">
        <f t="shared" si="243"/>
        <v>0</v>
      </c>
      <c r="AD268" s="722">
        <f t="shared" si="243"/>
        <v>0</v>
      </c>
      <c r="AE268" s="722">
        <f t="shared" si="243"/>
        <v>0</v>
      </c>
      <c r="AF268" s="722">
        <f t="shared" si="243"/>
        <v>0</v>
      </c>
      <c r="AG268" s="722">
        <f t="shared" si="243"/>
        <v>0</v>
      </c>
      <c r="AH268" s="722">
        <f t="shared" si="243"/>
        <v>0</v>
      </c>
      <c r="AI268" s="722">
        <f t="shared" si="243"/>
        <v>0</v>
      </c>
      <c r="AJ268" s="722">
        <f t="shared" si="243"/>
        <v>0</v>
      </c>
      <c r="AK268" s="722">
        <f t="shared" si="243"/>
        <v>0</v>
      </c>
      <c r="AL268" s="722">
        <f t="shared" si="243"/>
        <v>0</v>
      </c>
      <c r="AM268" s="722">
        <f t="shared" si="243"/>
        <v>0</v>
      </c>
      <c r="AN268" s="722">
        <f t="shared" si="243"/>
        <v>0</v>
      </c>
      <c r="AO268" s="722">
        <f t="shared" si="243"/>
        <v>0</v>
      </c>
      <c r="AP268" s="722">
        <f t="shared" si="243"/>
        <v>0</v>
      </c>
      <c r="AQ268" s="722">
        <f t="shared" si="243"/>
        <v>0</v>
      </c>
      <c r="AR268" s="722">
        <f t="shared" si="243"/>
        <v>0</v>
      </c>
      <c r="AS268" s="722">
        <f t="shared" si="243"/>
        <v>0</v>
      </c>
      <c r="AT268" s="722">
        <f t="shared" si="243"/>
        <v>0</v>
      </c>
      <c r="AU268" s="722">
        <f t="shared" si="243"/>
        <v>0</v>
      </c>
      <c r="AV268" s="722">
        <f t="shared" si="243"/>
        <v>0</v>
      </c>
      <c r="AW268" s="722">
        <f>AW192*$D$268</f>
        <v>0</v>
      </c>
      <c r="AX268" s="722">
        <f t="shared" ref="AX268" si="244">AX192*$D$268</f>
        <v>0</v>
      </c>
      <c r="AY268" s="722"/>
      <c r="AZ268" s="722"/>
      <c r="BA268" s="722"/>
      <c r="BB268" s="722"/>
      <c r="BC268" s="722"/>
      <c r="BD268" s="722"/>
      <c r="BE268" s="722"/>
      <c r="BF268" s="722"/>
      <c r="BG268" s="722"/>
      <c r="BH268" s="722"/>
      <c r="BI268" s="722"/>
      <c r="BJ268" s="722"/>
      <c r="BK268" s="722"/>
      <c r="BL268" s="722"/>
      <c r="BM268" s="722"/>
    </row>
    <row r="269" spans="2:65" x14ac:dyDescent="0.2">
      <c r="B269" s="710"/>
      <c r="E269" s="722"/>
      <c r="F269" s="722"/>
      <c r="G269" s="722"/>
      <c r="H269" s="722"/>
      <c r="I269" s="724"/>
    </row>
    <row r="270" spans="2:65" x14ac:dyDescent="0.2">
      <c r="B270" s="710"/>
      <c r="E270" s="722"/>
      <c r="F270" s="722"/>
      <c r="G270" s="722"/>
      <c r="H270" s="722"/>
      <c r="I270" s="724"/>
    </row>
    <row r="271" spans="2:65" x14ac:dyDescent="0.2">
      <c r="B271" s="710"/>
      <c r="E271" s="722"/>
      <c r="F271" s="722"/>
      <c r="G271" s="722"/>
      <c r="H271" s="722"/>
      <c r="I271" s="724"/>
    </row>
    <row r="272" spans="2:65" x14ac:dyDescent="0.2">
      <c r="B272" s="710"/>
      <c r="E272" s="722"/>
      <c r="F272" s="722"/>
      <c r="G272" s="722"/>
      <c r="H272" s="722"/>
      <c r="I272" s="724"/>
    </row>
    <row r="273" spans="2:54" x14ac:dyDescent="0.2">
      <c r="B273" s="738" t="s">
        <v>407</v>
      </c>
      <c r="C273" s="16" t="s">
        <v>409</v>
      </c>
      <c r="D273" s="725" t="s">
        <v>411</v>
      </c>
      <c r="E273" s="741">
        <f>E219+E223+E227+E231+E235+E239+E243+E247+E251+E255+E259+E263+E267</f>
        <v>1952150.400643446</v>
      </c>
      <c r="F273" s="741">
        <f t="shared" ref="F273:AX273" si="245">F219+F223+F227+F231+F235+F239+F243+F247+F251+F255+F259+F263+F267</f>
        <v>12916495.463570794</v>
      </c>
      <c r="G273" s="741">
        <f t="shared" si="245"/>
        <v>25709030.040913697</v>
      </c>
      <c r="H273" s="741">
        <f t="shared" si="245"/>
        <v>11103730.381771814</v>
      </c>
      <c r="I273" s="741">
        <f t="shared" si="245"/>
        <v>0</v>
      </c>
      <c r="J273" s="741">
        <f t="shared" si="245"/>
        <v>0</v>
      </c>
      <c r="K273" s="741">
        <f t="shared" si="245"/>
        <v>0</v>
      </c>
      <c r="L273" s="741">
        <f t="shared" si="245"/>
        <v>0</v>
      </c>
      <c r="M273" s="741">
        <f t="shared" si="245"/>
        <v>0</v>
      </c>
      <c r="N273" s="741">
        <f t="shared" si="245"/>
        <v>0</v>
      </c>
      <c r="O273" s="741">
        <f t="shared" si="245"/>
        <v>0</v>
      </c>
      <c r="P273" s="741">
        <f t="shared" si="245"/>
        <v>0</v>
      </c>
      <c r="Q273" s="741">
        <f t="shared" si="245"/>
        <v>0</v>
      </c>
      <c r="R273" s="741">
        <f t="shared" si="245"/>
        <v>1668665.1420608608</v>
      </c>
      <c r="S273" s="741">
        <f t="shared" si="245"/>
        <v>2079862.9867266389</v>
      </c>
      <c r="T273" s="741">
        <f t="shared" si="245"/>
        <v>0</v>
      </c>
      <c r="U273" s="741">
        <f t="shared" si="245"/>
        <v>0</v>
      </c>
      <c r="V273" s="741">
        <f t="shared" si="245"/>
        <v>0</v>
      </c>
      <c r="W273" s="741">
        <f t="shared" si="245"/>
        <v>435028.5669405529</v>
      </c>
      <c r="X273" s="741">
        <f t="shared" si="245"/>
        <v>3091278.3727821265</v>
      </c>
      <c r="Y273" s="741">
        <f t="shared" si="245"/>
        <v>1361988.1612526039</v>
      </c>
      <c r="Z273" s="741">
        <f t="shared" si="245"/>
        <v>0</v>
      </c>
      <c r="AA273" s="741">
        <f t="shared" si="245"/>
        <v>0</v>
      </c>
      <c r="AB273" s="741">
        <f t="shared" si="245"/>
        <v>0</v>
      </c>
      <c r="AC273" s="741">
        <f t="shared" si="245"/>
        <v>1668665.1420608608</v>
      </c>
      <c r="AD273" s="741">
        <f t="shared" si="245"/>
        <v>2079862.9867266389</v>
      </c>
      <c r="AE273" s="741">
        <f t="shared" si="245"/>
        <v>0</v>
      </c>
      <c r="AF273" s="741">
        <f t="shared" si="245"/>
        <v>0</v>
      </c>
      <c r="AG273" s="741">
        <f t="shared" si="245"/>
        <v>0</v>
      </c>
      <c r="AH273" s="741">
        <f t="shared" si="245"/>
        <v>0</v>
      </c>
      <c r="AI273" s="741">
        <f t="shared" si="245"/>
        <v>0</v>
      </c>
      <c r="AJ273" s="741">
        <f t="shared" si="245"/>
        <v>0</v>
      </c>
      <c r="AK273" s="741">
        <f t="shared" si="245"/>
        <v>0</v>
      </c>
      <c r="AL273" s="741">
        <f t="shared" si="245"/>
        <v>0</v>
      </c>
      <c r="AM273" s="741">
        <f t="shared" si="245"/>
        <v>0</v>
      </c>
      <c r="AN273" s="741">
        <f t="shared" si="245"/>
        <v>2103693.7090014135</v>
      </c>
      <c r="AO273" s="741">
        <f t="shared" si="245"/>
        <v>5134091.6673567146</v>
      </c>
      <c r="AP273" s="741">
        <f t="shared" si="245"/>
        <v>1349638.2638685871</v>
      </c>
      <c r="AQ273" s="741">
        <f t="shared" si="245"/>
        <v>0</v>
      </c>
      <c r="AR273" s="741">
        <f t="shared" si="245"/>
        <v>0</v>
      </c>
      <c r="AS273" s="741">
        <f t="shared" si="245"/>
        <v>0</v>
      </c>
      <c r="AT273" s="741">
        <f t="shared" si="245"/>
        <v>0</v>
      </c>
      <c r="AU273" s="741">
        <f t="shared" si="245"/>
        <v>0</v>
      </c>
      <c r="AV273" s="741">
        <f t="shared" si="245"/>
        <v>0</v>
      </c>
      <c r="AW273" s="741">
        <f t="shared" si="245"/>
        <v>0</v>
      </c>
      <c r="AX273" s="741">
        <f t="shared" si="245"/>
        <v>0</v>
      </c>
    </row>
    <row r="274" spans="2:54" x14ac:dyDescent="0.2">
      <c r="B274" s="738" t="s">
        <v>408</v>
      </c>
      <c r="C274" s="16" t="s">
        <v>409</v>
      </c>
      <c r="D274" s="725" t="s">
        <v>411</v>
      </c>
      <c r="E274" s="741">
        <f>E220+E224+E228+E232+E236+E240+E244+E248+E252+E256+E260+E264+E268</f>
        <v>5265530.1448880117</v>
      </c>
      <c r="F274" s="741">
        <f t="shared" ref="F274:AX274" si="246">F220+F224+F228+F232+F236+F240+F244+F248+F252+F256+F260+F264+F268</f>
        <v>12583221.977871986</v>
      </c>
      <c r="G274" s="741">
        <f t="shared" si="246"/>
        <v>38645968.428749405</v>
      </c>
      <c r="H274" s="741">
        <f t="shared" si="246"/>
        <v>14791763.937311964</v>
      </c>
      <c r="I274" s="741">
        <f t="shared" si="246"/>
        <v>0</v>
      </c>
      <c r="J274" s="741">
        <f t="shared" si="246"/>
        <v>0</v>
      </c>
      <c r="K274" s="741">
        <f t="shared" si="246"/>
        <v>0</v>
      </c>
      <c r="L274" s="741">
        <f t="shared" si="246"/>
        <v>0</v>
      </c>
      <c r="M274" s="741">
        <f t="shared" si="246"/>
        <v>0</v>
      </c>
      <c r="N274" s="741">
        <f t="shared" si="246"/>
        <v>0</v>
      </c>
      <c r="O274" s="741">
        <f t="shared" si="246"/>
        <v>0</v>
      </c>
      <c r="P274" s="741">
        <f t="shared" si="246"/>
        <v>0</v>
      </c>
      <c r="Q274" s="741">
        <f t="shared" si="246"/>
        <v>0</v>
      </c>
      <c r="R274" s="741">
        <f t="shared" si="246"/>
        <v>408915.54763288907</v>
      </c>
      <c r="S274" s="741">
        <f t="shared" si="246"/>
        <v>509681.83536711056</v>
      </c>
      <c r="T274" s="741">
        <f t="shared" si="246"/>
        <v>0</v>
      </c>
      <c r="U274" s="741">
        <f t="shared" si="246"/>
        <v>0</v>
      </c>
      <c r="V274" s="741">
        <f t="shared" si="246"/>
        <v>0</v>
      </c>
      <c r="W274" s="741">
        <f t="shared" si="246"/>
        <v>1922330.5690398915</v>
      </c>
      <c r="X274" s="741">
        <f t="shared" si="246"/>
        <v>3690619.0540242614</v>
      </c>
      <c r="Y274" s="741">
        <f t="shared" si="246"/>
        <v>1759443.2128062267</v>
      </c>
      <c r="Z274" s="741">
        <f t="shared" si="246"/>
        <v>0</v>
      </c>
      <c r="AA274" s="741">
        <f t="shared" si="246"/>
        <v>0</v>
      </c>
      <c r="AB274" s="741">
        <f t="shared" si="246"/>
        <v>0</v>
      </c>
      <c r="AC274" s="741">
        <f t="shared" si="246"/>
        <v>408915.54763288907</v>
      </c>
      <c r="AD274" s="741">
        <f t="shared" si="246"/>
        <v>509681.83536711056</v>
      </c>
      <c r="AE274" s="741">
        <f t="shared" si="246"/>
        <v>0</v>
      </c>
      <c r="AF274" s="741">
        <f t="shared" si="246"/>
        <v>0</v>
      </c>
      <c r="AG274" s="741">
        <f t="shared" si="246"/>
        <v>0</v>
      </c>
      <c r="AH274" s="741">
        <f t="shared" si="246"/>
        <v>0</v>
      </c>
      <c r="AI274" s="741">
        <f t="shared" si="246"/>
        <v>0</v>
      </c>
      <c r="AJ274" s="741">
        <f t="shared" si="246"/>
        <v>0</v>
      </c>
      <c r="AK274" s="741">
        <f t="shared" si="246"/>
        <v>0</v>
      </c>
      <c r="AL274" s="741">
        <f t="shared" si="246"/>
        <v>0</v>
      </c>
      <c r="AM274" s="741">
        <f t="shared" si="246"/>
        <v>0</v>
      </c>
      <c r="AN274" s="741">
        <f t="shared" si="246"/>
        <v>2331246.1166727804</v>
      </c>
      <c r="AO274" s="741">
        <f t="shared" si="246"/>
        <v>4128734.6616342035</v>
      </c>
      <c r="AP274" s="741">
        <f t="shared" si="246"/>
        <v>1735587.8035538371</v>
      </c>
      <c r="AQ274" s="741">
        <f t="shared" si="246"/>
        <v>0</v>
      </c>
      <c r="AR274" s="741">
        <f t="shared" si="246"/>
        <v>0</v>
      </c>
      <c r="AS274" s="741">
        <f t="shared" si="246"/>
        <v>0</v>
      </c>
      <c r="AT274" s="741">
        <f t="shared" si="246"/>
        <v>0</v>
      </c>
      <c r="AU274" s="741">
        <f t="shared" si="246"/>
        <v>0</v>
      </c>
      <c r="AV274" s="741">
        <f t="shared" si="246"/>
        <v>0</v>
      </c>
      <c r="AW274" s="741">
        <f t="shared" si="246"/>
        <v>0</v>
      </c>
      <c r="AX274" s="741">
        <f t="shared" si="246"/>
        <v>0</v>
      </c>
    </row>
    <row r="275" spans="2:54" x14ac:dyDescent="0.2">
      <c r="B275" s="1"/>
      <c r="C275" s="16"/>
      <c r="E275" s="722"/>
      <c r="F275" s="722"/>
      <c r="G275" s="722"/>
      <c r="H275" s="722"/>
      <c r="I275" s="724"/>
    </row>
    <row r="276" spans="2:54" x14ac:dyDescent="0.2">
      <c r="B276" s="738" t="s">
        <v>407</v>
      </c>
      <c r="C276" s="16" t="s">
        <v>180</v>
      </c>
      <c r="D276" s="725" t="s">
        <v>411</v>
      </c>
      <c r="E276" s="722">
        <f>$D$218*E219+$D$222*E223+$D$226*E227+$D$230*E231+$D$234*E235+$D$238*E239+$D$242*E243+$D$246*E247+$D$250*E251+$D$254*E255+$D$258*E259+$D$262*E263+$D$266*E267</f>
        <v>203206.29688831151</v>
      </c>
      <c r="F276" s="722">
        <f t="shared" ref="F276:AX277" si="247">$D$218*F219+$D$222*F223+$D$226*F227+$D$230*F231+$D$234*F235+$D$238*F239+$D$242*F243+$D$246*F247+$D$250*F251+$D$254*F255+$D$258*F259+$D$262*F263+$D$266*F267</f>
        <v>2934994.7251267289</v>
      </c>
      <c r="G276" s="722">
        <f t="shared" si="247"/>
        <v>6246868.9248999031</v>
      </c>
      <c r="H276" s="722">
        <f t="shared" si="247"/>
        <v>2584360.1406801911</v>
      </c>
      <c r="I276" s="722">
        <f t="shared" si="247"/>
        <v>0</v>
      </c>
      <c r="J276" s="722">
        <f t="shared" si="247"/>
        <v>0</v>
      </c>
      <c r="K276" s="722">
        <f t="shared" si="247"/>
        <v>0</v>
      </c>
      <c r="L276" s="722">
        <f t="shared" si="247"/>
        <v>0</v>
      </c>
      <c r="M276" s="722">
        <f t="shared" si="247"/>
        <v>0</v>
      </c>
      <c r="N276" s="722">
        <f t="shared" si="247"/>
        <v>0</v>
      </c>
      <c r="O276" s="722">
        <f t="shared" si="247"/>
        <v>0</v>
      </c>
      <c r="P276" s="722">
        <f t="shared" si="247"/>
        <v>0</v>
      </c>
      <c r="Q276" s="722">
        <f t="shared" si="247"/>
        <v>0</v>
      </c>
      <c r="R276" s="722">
        <f t="shared" si="247"/>
        <v>296319.13525279233</v>
      </c>
      <c r="S276" s="722">
        <f t="shared" si="247"/>
        <v>369339.05199815659</v>
      </c>
      <c r="T276" s="722">
        <f t="shared" si="247"/>
        <v>0</v>
      </c>
      <c r="U276" s="722">
        <f t="shared" si="247"/>
        <v>0</v>
      </c>
      <c r="V276" s="722">
        <f t="shared" si="247"/>
        <v>0</v>
      </c>
      <c r="W276" s="722">
        <f t="shared" si="247"/>
        <v>106829.33763729711</v>
      </c>
      <c r="X276" s="722">
        <f t="shared" si="247"/>
        <v>767036.18090200832</v>
      </c>
      <c r="Y276" s="722">
        <f t="shared" si="247"/>
        <v>338569.23621530982</v>
      </c>
      <c r="Z276" s="722">
        <f t="shared" si="247"/>
        <v>0</v>
      </c>
      <c r="AA276" s="722">
        <f t="shared" si="247"/>
        <v>0</v>
      </c>
      <c r="AB276" s="722">
        <f t="shared" si="247"/>
        <v>0</v>
      </c>
      <c r="AC276" s="722">
        <f t="shared" si="247"/>
        <v>296319.13525279233</v>
      </c>
      <c r="AD276" s="722">
        <f t="shared" si="247"/>
        <v>369339.05199815659</v>
      </c>
      <c r="AE276" s="722">
        <f t="shared" si="247"/>
        <v>0</v>
      </c>
      <c r="AF276" s="722">
        <f t="shared" si="247"/>
        <v>0</v>
      </c>
      <c r="AG276" s="722">
        <f t="shared" si="247"/>
        <v>0</v>
      </c>
      <c r="AH276" s="722">
        <f t="shared" si="247"/>
        <v>0</v>
      </c>
      <c r="AI276" s="722">
        <f t="shared" si="247"/>
        <v>0</v>
      </c>
      <c r="AJ276" s="722">
        <f t="shared" si="247"/>
        <v>0</v>
      </c>
      <c r="AK276" s="722">
        <f t="shared" si="247"/>
        <v>0</v>
      </c>
      <c r="AL276" s="722">
        <f t="shared" si="247"/>
        <v>0</v>
      </c>
      <c r="AM276" s="722">
        <f t="shared" si="247"/>
        <v>0</v>
      </c>
      <c r="AN276" s="722">
        <f t="shared" si="247"/>
        <v>403148.47289008944</v>
      </c>
      <c r="AO276" s="722">
        <f t="shared" si="247"/>
        <v>1127112.8098621522</v>
      </c>
      <c r="AP276" s="722">
        <f t="shared" si="247"/>
        <v>335481.76186930563</v>
      </c>
      <c r="AQ276" s="722">
        <f t="shared" si="247"/>
        <v>0</v>
      </c>
      <c r="AR276" s="722">
        <f t="shared" si="247"/>
        <v>0</v>
      </c>
      <c r="AS276" s="722">
        <f t="shared" si="247"/>
        <v>0</v>
      </c>
      <c r="AT276" s="722">
        <f t="shared" si="247"/>
        <v>0</v>
      </c>
      <c r="AU276" s="722">
        <f t="shared" si="247"/>
        <v>0</v>
      </c>
      <c r="AV276" s="722">
        <f t="shared" si="247"/>
        <v>0</v>
      </c>
      <c r="AW276" s="722">
        <f t="shared" si="247"/>
        <v>0</v>
      </c>
      <c r="AX276" s="722">
        <f t="shared" si="247"/>
        <v>0</v>
      </c>
    </row>
    <row r="277" spans="2:54" x14ac:dyDescent="0.2">
      <c r="B277" s="738" t="s">
        <v>408</v>
      </c>
      <c r="C277" s="16" t="s">
        <v>180</v>
      </c>
      <c r="D277" s="725" t="s">
        <v>411</v>
      </c>
      <c r="E277" s="722">
        <f>$D$218*E220+$D$222*E224+$D$226*E228+$D$230*E232+$D$234*E236+$D$238*E240+$D$242*E244+$D$246*E248+$D$250*E252+$D$254*E256+$D$258*E260+$D$262*E264+$D$266*E268</f>
        <v>548107.81051695067</v>
      </c>
      <c r="F277" s="722">
        <f t="shared" si="247"/>
        <v>2225782.5313776354</v>
      </c>
      <c r="G277" s="722">
        <f t="shared" si="247"/>
        <v>9091269.2794606388</v>
      </c>
      <c r="H277" s="722">
        <f t="shared" si="247"/>
        <v>3423916.9906360451</v>
      </c>
      <c r="I277" s="722">
        <f t="shared" si="247"/>
        <v>0</v>
      </c>
      <c r="J277" s="722">
        <f t="shared" si="247"/>
        <v>0</v>
      </c>
      <c r="K277" s="722">
        <f t="shared" si="247"/>
        <v>0</v>
      </c>
      <c r="L277" s="722">
        <f t="shared" si="247"/>
        <v>0</v>
      </c>
      <c r="M277" s="722">
        <f t="shared" si="247"/>
        <v>0</v>
      </c>
      <c r="N277" s="722">
        <f t="shared" si="247"/>
        <v>0</v>
      </c>
      <c r="O277" s="722">
        <f t="shared" si="247"/>
        <v>0</v>
      </c>
      <c r="P277" s="722">
        <f t="shared" si="247"/>
        <v>0</v>
      </c>
      <c r="Q277" s="722">
        <f t="shared" si="247"/>
        <v>0</v>
      </c>
      <c r="R277" s="722">
        <f t="shared" si="247"/>
        <v>72614.629749112559</v>
      </c>
      <c r="S277" s="722">
        <f t="shared" si="247"/>
        <v>90508.56094681329</v>
      </c>
      <c r="T277" s="722">
        <f t="shared" si="247"/>
        <v>0</v>
      </c>
      <c r="U277" s="722">
        <f t="shared" si="247"/>
        <v>0</v>
      </c>
      <c r="V277" s="722">
        <f t="shared" si="247"/>
        <v>0</v>
      </c>
      <c r="W277" s="722">
        <f t="shared" si="247"/>
        <v>449119.31822590635</v>
      </c>
      <c r="X277" s="722">
        <f t="shared" si="247"/>
        <v>828264.79140386567</v>
      </c>
      <c r="Y277" s="722">
        <f t="shared" si="247"/>
        <v>408397.47916749021</v>
      </c>
      <c r="Z277" s="722">
        <f t="shared" si="247"/>
        <v>0</v>
      </c>
      <c r="AA277" s="722">
        <f t="shared" si="247"/>
        <v>0</v>
      </c>
      <c r="AB277" s="722">
        <f t="shared" si="247"/>
        <v>0</v>
      </c>
      <c r="AC277" s="722">
        <f t="shared" si="247"/>
        <v>72614.629749112559</v>
      </c>
      <c r="AD277" s="722">
        <f t="shared" si="247"/>
        <v>90508.56094681329</v>
      </c>
      <c r="AE277" s="722">
        <f t="shared" si="247"/>
        <v>0</v>
      </c>
      <c r="AF277" s="722">
        <f t="shared" si="247"/>
        <v>0</v>
      </c>
      <c r="AG277" s="722">
        <f t="shared" si="247"/>
        <v>0</v>
      </c>
      <c r="AH277" s="722">
        <f t="shared" si="247"/>
        <v>0</v>
      </c>
      <c r="AI277" s="722">
        <f t="shared" si="247"/>
        <v>0</v>
      </c>
      <c r="AJ277" s="722">
        <f t="shared" si="247"/>
        <v>0</v>
      </c>
      <c r="AK277" s="722">
        <f t="shared" si="247"/>
        <v>0</v>
      </c>
      <c r="AL277" s="722">
        <f t="shared" si="247"/>
        <v>0</v>
      </c>
      <c r="AM277" s="722">
        <f t="shared" si="247"/>
        <v>0</v>
      </c>
      <c r="AN277" s="722">
        <f t="shared" si="247"/>
        <v>521733.94797501888</v>
      </c>
      <c r="AO277" s="722">
        <f t="shared" si="247"/>
        <v>900881.79541138688</v>
      </c>
      <c r="AP277" s="722">
        <f t="shared" si="247"/>
        <v>402433.62685439282</v>
      </c>
      <c r="AQ277" s="722">
        <f t="shared" si="247"/>
        <v>0</v>
      </c>
      <c r="AR277" s="722">
        <f t="shared" si="247"/>
        <v>0</v>
      </c>
      <c r="AS277" s="722">
        <f t="shared" si="247"/>
        <v>0</v>
      </c>
      <c r="AT277" s="722">
        <f t="shared" si="247"/>
        <v>0</v>
      </c>
      <c r="AU277" s="722">
        <f t="shared" si="247"/>
        <v>0</v>
      </c>
      <c r="AV277" s="722">
        <f t="shared" si="247"/>
        <v>0</v>
      </c>
      <c r="AW277" s="722">
        <f t="shared" si="247"/>
        <v>0</v>
      </c>
      <c r="AX277" s="722">
        <f t="shared" si="247"/>
        <v>0</v>
      </c>
    </row>
    <row r="278" spans="2:54" x14ac:dyDescent="0.2">
      <c r="B278" s="710"/>
      <c r="C278" s="16"/>
      <c r="E278" s="722"/>
      <c r="F278" s="722"/>
      <c r="G278" s="722"/>
      <c r="H278" s="722"/>
      <c r="I278" s="724"/>
    </row>
    <row r="279" spans="2:54" x14ac:dyDescent="0.2">
      <c r="B279" s="738" t="s">
        <v>407</v>
      </c>
      <c r="C279" s="16" t="s">
        <v>410</v>
      </c>
      <c r="D279" s="725" t="s">
        <v>411</v>
      </c>
      <c r="E279" s="722">
        <f>E273+E276</f>
        <v>2155356.6975317574</v>
      </c>
      <c r="F279" s="722">
        <f t="shared" ref="F279:AX279" si="248">F273+F276</f>
        <v>15851490.188697523</v>
      </c>
      <c r="G279" s="722">
        <f t="shared" si="248"/>
        <v>31955898.9658136</v>
      </c>
      <c r="H279" s="722">
        <f t="shared" si="248"/>
        <v>13688090.522452004</v>
      </c>
      <c r="I279" s="722">
        <f t="shared" si="248"/>
        <v>0</v>
      </c>
      <c r="J279" s="722">
        <f t="shared" si="248"/>
        <v>0</v>
      </c>
      <c r="K279" s="722">
        <f t="shared" si="248"/>
        <v>0</v>
      </c>
      <c r="L279" s="722">
        <f t="shared" si="248"/>
        <v>0</v>
      </c>
      <c r="M279" s="722">
        <f t="shared" si="248"/>
        <v>0</v>
      </c>
      <c r="N279" s="722">
        <f t="shared" si="248"/>
        <v>0</v>
      </c>
      <c r="O279" s="722">
        <f t="shared" si="248"/>
        <v>0</v>
      </c>
      <c r="P279" s="722">
        <f t="shared" si="248"/>
        <v>0</v>
      </c>
      <c r="Q279" s="722">
        <f t="shared" si="248"/>
        <v>0</v>
      </c>
      <c r="R279" s="722">
        <f t="shared" si="248"/>
        <v>1964984.2773136531</v>
      </c>
      <c r="S279" s="722">
        <f t="shared" si="248"/>
        <v>2449202.0387247954</v>
      </c>
      <c r="T279" s="722">
        <f t="shared" si="248"/>
        <v>0</v>
      </c>
      <c r="U279" s="722">
        <f t="shared" si="248"/>
        <v>0</v>
      </c>
      <c r="V279" s="722">
        <f t="shared" si="248"/>
        <v>0</v>
      </c>
      <c r="W279" s="722">
        <f t="shared" si="248"/>
        <v>541857.90457785001</v>
      </c>
      <c r="X279" s="722">
        <f t="shared" si="248"/>
        <v>3858314.553684135</v>
      </c>
      <c r="Y279" s="722">
        <f t="shared" si="248"/>
        <v>1700557.3974679136</v>
      </c>
      <c r="Z279" s="722">
        <f t="shared" si="248"/>
        <v>0</v>
      </c>
      <c r="AA279" s="722">
        <f t="shared" si="248"/>
        <v>0</v>
      </c>
      <c r="AB279" s="722">
        <f t="shared" si="248"/>
        <v>0</v>
      </c>
      <c r="AC279" s="722">
        <f t="shared" si="248"/>
        <v>1964984.2773136531</v>
      </c>
      <c r="AD279" s="722">
        <f t="shared" si="248"/>
        <v>2449202.0387247954</v>
      </c>
      <c r="AE279" s="722">
        <f t="shared" si="248"/>
        <v>0</v>
      </c>
      <c r="AF279" s="722">
        <f t="shared" si="248"/>
        <v>0</v>
      </c>
      <c r="AG279" s="722">
        <f t="shared" si="248"/>
        <v>0</v>
      </c>
      <c r="AH279" s="722">
        <f t="shared" si="248"/>
        <v>0</v>
      </c>
      <c r="AI279" s="722">
        <f t="shared" si="248"/>
        <v>0</v>
      </c>
      <c r="AJ279" s="722">
        <f t="shared" si="248"/>
        <v>0</v>
      </c>
      <c r="AK279" s="722">
        <f t="shared" si="248"/>
        <v>0</v>
      </c>
      <c r="AL279" s="722">
        <f t="shared" si="248"/>
        <v>0</v>
      </c>
      <c r="AM279" s="722">
        <f t="shared" si="248"/>
        <v>0</v>
      </c>
      <c r="AN279" s="722">
        <f t="shared" si="248"/>
        <v>2506842.1818915028</v>
      </c>
      <c r="AO279" s="722">
        <f t="shared" si="248"/>
        <v>6261204.4772188663</v>
      </c>
      <c r="AP279" s="722">
        <f t="shared" si="248"/>
        <v>1685120.0257378928</v>
      </c>
      <c r="AQ279" s="722">
        <f t="shared" si="248"/>
        <v>0</v>
      </c>
      <c r="AR279" s="722">
        <f t="shared" si="248"/>
        <v>0</v>
      </c>
      <c r="AS279" s="722">
        <f t="shared" si="248"/>
        <v>0</v>
      </c>
      <c r="AT279" s="722">
        <f t="shared" si="248"/>
        <v>0</v>
      </c>
      <c r="AU279" s="722">
        <f t="shared" si="248"/>
        <v>0</v>
      </c>
      <c r="AV279" s="722">
        <f t="shared" si="248"/>
        <v>0</v>
      </c>
      <c r="AW279" s="722">
        <f t="shared" si="248"/>
        <v>0</v>
      </c>
      <c r="AX279" s="722">
        <f t="shared" si="248"/>
        <v>0</v>
      </c>
    </row>
    <row r="280" spans="2:54" x14ac:dyDescent="0.2">
      <c r="B280" s="738" t="s">
        <v>408</v>
      </c>
      <c r="C280" s="16" t="s">
        <v>410</v>
      </c>
      <c r="D280" s="725" t="s">
        <v>411</v>
      </c>
      <c r="E280" s="722">
        <f>E274+E277</f>
        <v>5813637.9554049624</v>
      </c>
      <c r="F280" s="722">
        <f t="shared" ref="F280:AX280" si="249">F274+F277</f>
        <v>14809004.509249622</v>
      </c>
      <c r="G280" s="722">
        <f t="shared" si="249"/>
        <v>47737237.708210044</v>
      </c>
      <c r="H280" s="722">
        <f t="shared" si="249"/>
        <v>18215680.927948009</v>
      </c>
      <c r="I280" s="722">
        <f t="shared" si="249"/>
        <v>0</v>
      </c>
      <c r="J280" s="722">
        <f t="shared" si="249"/>
        <v>0</v>
      </c>
      <c r="K280" s="722">
        <f t="shared" si="249"/>
        <v>0</v>
      </c>
      <c r="L280" s="722">
        <f t="shared" si="249"/>
        <v>0</v>
      </c>
      <c r="M280" s="722">
        <f t="shared" si="249"/>
        <v>0</v>
      </c>
      <c r="N280" s="722">
        <f t="shared" si="249"/>
        <v>0</v>
      </c>
      <c r="O280" s="722">
        <f t="shared" si="249"/>
        <v>0</v>
      </c>
      <c r="P280" s="722">
        <f t="shared" si="249"/>
        <v>0</v>
      </c>
      <c r="Q280" s="722">
        <f t="shared" si="249"/>
        <v>0</v>
      </c>
      <c r="R280" s="722">
        <f t="shared" si="249"/>
        <v>481530.17738200165</v>
      </c>
      <c r="S280" s="722">
        <f t="shared" si="249"/>
        <v>600190.39631392388</v>
      </c>
      <c r="T280" s="722">
        <f t="shared" si="249"/>
        <v>0</v>
      </c>
      <c r="U280" s="722">
        <f t="shared" si="249"/>
        <v>0</v>
      </c>
      <c r="V280" s="722">
        <f t="shared" si="249"/>
        <v>0</v>
      </c>
      <c r="W280" s="722">
        <f t="shared" si="249"/>
        <v>2371449.8872657977</v>
      </c>
      <c r="X280" s="722">
        <f t="shared" si="249"/>
        <v>4518883.8454281269</v>
      </c>
      <c r="Y280" s="722">
        <f t="shared" si="249"/>
        <v>2167840.691973717</v>
      </c>
      <c r="Z280" s="722">
        <f t="shared" si="249"/>
        <v>0</v>
      </c>
      <c r="AA280" s="722">
        <f t="shared" si="249"/>
        <v>0</v>
      </c>
      <c r="AB280" s="722">
        <f t="shared" si="249"/>
        <v>0</v>
      </c>
      <c r="AC280" s="722">
        <f t="shared" si="249"/>
        <v>481530.17738200165</v>
      </c>
      <c r="AD280" s="722">
        <f t="shared" si="249"/>
        <v>600190.39631392388</v>
      </c>
      <c r="AE280" s="722">
        <f t="shared" si="249"/>
        <v>0</v>
      </c>
      <c r="AF280" s="722">
        <f t="shared" si="249"/>
        <v>0</v>
      </c>
      <c r="AG280" s="722">
        <f t="shared" si="249"/>
        <v>0</v>
      </c>
      <c r="AH280" s="722">
        <f t="shared" si="249"/>
        <v>0</v>
      </c>
      <c r="AI280" s="722">
        <f t="shared" si="249"/>
        <v>0</v>
      </c>
      <c r="AJ280" s="722">
        <f t="shared" si="249"/>
        <v>0</v>
      </c>
      <c r="AK280" s="722">
        <f t="shared" si="249"/>
        <v>0</v>
      </c>
      <c r="AL280" s="722">
        <f t="shared" si="249"/>
        <v>0</v>
      </c>
      <c r="AM280" s="722">
        <f t="shared" si="249"/>
        <v>0</v>
      </c>
      <c r="AN280" s="722">
        <f t="shared" si="249"/>
        <v>2852980.0646477994</v>
      </c>
      <c r="AO280" s="722">
        <f t="shared" si="249"/>
        <v>5029616.4570455905</v>
      </c>
      <c r="AP280" s="722">
        <f t="shared" si="249"/>
        <v>2138021.4304082301</v>
      </c>
      <c r="AQ280" s="722">
        <f t="shared" si="249"/>
        <v>0</v>
      </c>
      <c r="AR280" s="722">
        <f t="shared" si="249"/>
        <v>0</v>
      </c>
      <c r="AS280" s="722">
        <f t="shared" si="249"/>
        <v>0</v>
      </c>
      <c r="AT280" s="722">
        <f t="shared" si="249"/>
        <v>0</v>
      </c>
      <c r="AU280" s="722">
        <f t="shared" si="249"/>
        <v>0</v>
      </c>
      <c r="AV280" s="722">
        <f t="shared" si="249"/>
        <v>0</v>
      </c>
      <c r="AW280" s="722">
        <f t="shared" si="249"/>
        <v>0</v>
      </c>
      <c r="AX280" s="722">
        <f t="shared" si="249"/>
        <v>0</v>
      </c>
    </row>
    <row r="281" spans="2:54" x14ac:dyDescent="0.2">
      <c r="B281" s="710"/>
      <c r="E281" s="722"/>
      <c r="F281" s="722"/>
      <c r="G281" s="722"/>
      <c r="H281" s="722"/>
      <c r="I281" s="724"/>
    </row>
    <row r="282" spans="2:54" x14ac:dyDescent="0.2">
      <c r="B282" s="710"/>
      <c r="E282" s="722"/>
      <c r="F282" s="722"/>
      <c r="G282" s="722"/>
      <c r="H282" s="721">
        <f>SUM(E279:H279)+SUM(E280:H280)</f>
        <v>150226397.47530752</v>
      </c>
      <c r="I282" s="742">
        <f>CHIFFRAGE_TC!L206</f>
        <v>150226397.47530755</v>
      </c>
      <c r="J282" s="731" t="str">
        <f>IF(H282=I282,"Check OK!","NOK!")</f>
        <v>Check OK!</v>
      </c>
    </row>
    <row r="283" spans="2:54" x14ac:dyDescent="0.2">
      <c r="B283" s="710"/>
      <c r="E283" s="722"/>
      <c r="F283" s="722"/>
      <c r="G283" s="722"/>
      <c r="H283" s="721"/>
      <c r="I283" s="724"/>
    </row>
    <row r="284" spans="2:54" x14ac:dyDescent="0.2">
      <c r="B284" s="710"/>
      <c r="E284" s="722"/>
      <c r="F284" s="722"/>
      <c r="G284" s="722"/>
      <c r="H284" s="721"/>
      <c r="I284" s="724"/>
    </row>
    <row r="285" spans="2:54" x14ac:dyDescent="0.2">
      <c r="B285" s="743" t="s">
        <v>413</v>
      </c>
      <c r="C285" s="744"/>
      <c r="D285" s="745"/>
      <c r="E285" s="746"/>
      <c r="F285" s="746"/>
      <c r="G285" s="746"/>
      <c r="H285" s="747"/>
      <c r="I285" s="748"/>
      <c r="J285" s="731"/>
      <c r="K285" s="731"/>
      <c r="L285" s="731"/>
      <c r="M285" s="731"/>
      <c r="N285" s="731"/>
      <c r="O285" s="731"/>
      <c r="P285" s="731"/>
      <c r="Q285" s="731"/>
      <c r="R285" s="731"/>
      <c r="S285" s="731"/>
      <c r="T285" s="731"/>
      <c r="U285" s="731"/>
      <c r="V285" s="731"/>
      <c r="W285" s="731"/>
      <c r="X285" s="731"/>
      <c r="Y285" s="731"/>
      <c r="Z285" s="731"/>
      <c r="AA285" s="731"/>
      <c r="AB285" s="731"/>
      <c r="AC285" s="731"/>
      <c r="AD285" s="731"/>
      <c r="AE285" s="731"/>
      <c r="AF285" s="731"/>
      <c r="AG285" s="731"/>
      <c r="AH285" s="731"/>
      <c r="AI285" s="731"/>
      <c r="AJ285" s="731"/>
      <c r="AK285" s="731"/>
      <c r="AL285" s="731"/>
      <c r="AM285" s="731"/>
      <c r="AN285" s="731"/>
      <c r="AO285" s="749"/>
      <c r="AP285" s="749"/>
      <c r="AQ285" s="749"/>
      <c r="AR285" s="749"/>
      <c r="AS285" s="749"/>
      <c r="AT285" s="749"/>
      <c r="AU285" s="749"/>
      <c r="AV285" s="749"/>
      <c r="AW285" s="749"/>
      <c r="AX285" s="749"/>
    </row>
    <row r="286" spans="2:54" s="752" customFormat="1" x14ac:dyDescent="0.2">
      <c r="B286" s="753"/>
      <c r="C286" s="16"/>
      <c r="D286" s="725"/>
      <c r="E286" s="722"/>
      <c r="F286" s="722"/>
      <c r="G286" s="722"/>
      <c r="H286" s="721"/>
      <c r="I286" s="724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</row>
    <row r="287" spans="2:54" s="752" customFormat="1" x14ac:dyDescent="0.2">
      <c r="B287" s="753"/>
      <c r="C287" s="16"/>
      <c r="D287" s="725"/>
      <c r="E287" s="754">
        <f t="shared" ref="E287:AX287" si="250">E9</f>
        <v>2015</v>
      </c>
      <c r="F287" s="754">
        <f t="shared" si="250"/>
        <v>2016</v>
      </c>
      <c r="G287" s="754">
        <f t="shared" si="250"/>
        <v>2017</v>
      </c>
      <c r="H287" s="754">
        <f t="shared" si="250"/>
        <v>2018</v>
      </c>
      <c r="I287" s="754">
        <f t="shared" si="250"/>
        <v>2019</v>
      </c>
      <c r="J287" s="754">
        <f t="shared" si="250"/>
        <v>2020</v>
      </c>
      <c r="K287" s="754">
        <f t="shared" si="250"/>
        <v>2021</v>
      </c>
      <c r="L287" s="754">
        <f t="shared" si="250"/>
        <v>2022</v>
      </c>
      <c r="M287" s="754">
        <f t="shared" si="250"/>
        <v>2023</v>
      </c>
      <c r="N287" s="754">
        <f t="shared" si="250"/>
        <v>2024</v>
      </c>
      <c r="O287" s="754">
        <f t="shared" si="250"/>
        <v>2025</v>
      </c>
      <c r="P287" s="754">
        <f t="shared" si="250"/>
        <v>2026</v>
      </c>
      <c r="Q287" s="754">
        <f t="shared" si="250"/>
        <v>2027</v>
      </c>
      <c r="R287" s="754">
        <f t="shared" si="250"/>
        <v>2028</v>
      </c>
      <c r="S287" s="754">
        <f t="shared" si="250"/>
        <v>2029</v>
      </c>
      <c r="T287" s="754">
        <f t="shared" si="250"/>
        <v>2030</v>
      </c>
      <c r="U287" s="754">
        <f t="shared" si="250"/>
        <v>2031</v>
      </c>
      <c r="V287" s="754">
        <f t="shared" si="250"/>
        <v>2032</v>
      </c>
      <c r="W287" s="754">
        <f t="shared" si="250"/>
        <v>2033</v>
      </c>
      <c r="X287" s="754">
        <f t="shared" si="250"/>
        <v>2034</v>
      </c>
      <c r="Y287" s="754">
        <f t="shared" si="250"/>
        <v>2035</v>
      </c>
      <c r="Z287" s="754">
        <f t="shared" si="250"/>
        <v>2036</v>
      </c>
      <c r="AA287" s="754">
        <f t="shared" si="250"/>
        <v>2037</v>
      </c>
      <c r="AB287" s="754">
        <f t="shared" si="250"/>
        <v>2038</v>
      </c>
      <c r="AC287" s="754">
        <f t="shared" si="250"/>
        <v>2039</v>
      </c>
      <c r="AD287" s="754">
        <f t="shared" si="250"/>
        <v>2040</v>
      </c>
      <c r="AE287" s="754">
        <f t="shared" si="250"/>
        <v>2041</v>
      </c>
      <c r="AF287" s="754">
        <f t="shared" si="250"/>
        <v>2042</v>
      </c>
      <c r="AG287" s="754">
        <f t="shared" si="250"/>
        <v>2043</v>
      </c>
      <c r="AH287" s="754">
        <f t="shared" si="250"/>
        <v>2044</v>
      </c>
      <c r="AI287" s="754">
        <f t="shared" si="250"/>
        <v>2045</v>
      </c>
      <c r="AJ287" s="754">
        <f t="shared" si="250"/>
        <v>2046</v>
      </c>
      <c r="AK287" s="754">
        <f t="shared" si="250"/>
        <v>2047</v>
      </c>
      <c r="AL287" s="754">
        <f t="shared" si="250"/>
        <v>2048</v>
      </c>
      <c r="AM287" s="754">
        <f t="shared" si="250"/>
        <v>2049</v>
      </c>
      <c r="AN287" s="754">
        <f t="shared" si="250"/>
        <v>2050</v>
      </c>
      <c r="AO287" s="754">
        <f t="shared" si="250"/>
        <v>2051</v>
      </c>
      <c r="AP287" s="754">
        <f t="shared" si="250"/>
        <v>2052</v>
      </c>
      <c r="AQ287" s="754">
        <f t="shared" si="250"/>
        <v>2053</v>
      </c>
      <c r="AR287" s="754">
        <f t="shared" si="250"/>
        <v>2054</v>
      </c>
      <c r="AS287" s="754">
        <f t="shared" si="250"/>
        <v>2055</v>
      </c>
      <c r="AT287" s="754">
        <f t="shared" si="250"/>
        <v>2056</v>
      </c>
      <c r="AU287" s="754">
        <f t="shared" si="250"/>
        <v>2057</v>
      </c>
      <c r="AV287" s="754">
        <f t="shared" si="250"/>
        <v>2058</v>
      </c>
      <c r="AW287" s="754">
        <f t="shared" si="250"/>
        <v>2059</v>
      </c>
      <c r="AX287" s="754">
        <f t="shared" si="250"/>
        <v>2060</v>
      </c>
    </row>
    <row r="288" spans="2:54" x14ac:dyDescent="0.2">
      <c r="B288" s="710"/>
      <c r="E288" s="722"/>
      <c r="F288" s="722"/>
      <c r="G288" s="1"/>
      <c r="H288" s="1"/>
      <c r="I288" s="1"/>
      <c r="J288" s="1"/>
      <c r="K288" s="755">
        <v>1</v>
      </c>
      <c r="L288" s="756">
        <v>2</v>
      </c>
      <c r="M288" s="755">
        <v>3</v>
      </c>
      <c r="N288" s="755">
        <v>4</v>
      </c>
      <c r="O288" s="756">
        <v>5</v>
      </c>
      <c r="P288" s="755">
        <v>6</v>
      </c>
      <c r="Q288" s="755">
        <v>7</v>
      </c>
      <c r="R288" s="756">
        <v>8</v>
      </c>
      <c r="S288" s="755">
        <v>9</v>
      </c>
      <c r="T288" s="755">
        <v>10</v>
      </c>
      <c r="U288" s="756">
        <v>11</v>
      </c>
      <c r="V288" s="755">
        <v>12</v>
      </c>
      <c r="W288" s="755">
        <v>13</v>
      </c>
      <c r="X288" s="756">
        <v>14</v>
      </c>
      <c r="Y288" s="755">
        <v>15</v>
      </c>
      <c r="Z288" s="755">
        <v>16</v>
      </c>
      <c r="AA288" s="756">
        <v>17</v>
      </c>
      <c r="AB288" s="755">
        <v>18</v>
      </c>
      <c r="AC288" s="755">
        <v>19</v>
      </c>
      <c r="AD288" s="756">
        <v>20</v>
      </c>
      <c r="AE288" s="755">
        <v>21</v>
      </c>
      <c r="AF288" s="755">
        <v>22</v>
      </c>
      <c r="AG288" s="756">
        <v>23</v>
      </c>
      <c r="AH288" s="755">
        <v>24</v>
      </c>
      <c r="AI288" s="755">
        <v>25</v>
      </c>
      <c r="AJ288" s="756">
        <v>26</v>
      </c>
      <c r="AK288" s="755">
        <v>27</v>
      </c>
      <c r="AL288" s="755">
        <v>28</v>
      </c>
      <c r="AM288" s="756">
        <v>29</v>
      </c>
      <c r="AN288" s="755">
        <v>30</v>
      </c>
      <c r="AO288" s="755">
        <v>31</v>
      </c>
      <c r="AP288" s="756">
        <v>32</v>
      </c>
      <c r="AQ288" s="755">
        <v>33</v>
      </c>
      <c r="AR288" s="755">
        <v>34</v>
      </c>
      <c r="AS288" s="756">
        <v>35</v>
      </c>
      <c r="AT288" s="755">
        <v>36</v>
      </c>
      <c r="AU288" s="755">
        <v>37</v>
      </c>
      <c r="AV288" s="756">
        <v>38</v>
      </c>
      <c r="AW288" s="755">
        <v>39</v>
      </c>
      <c r="AX288" s="755">
        <v>40</v>
      </c>
      <c r="AY288" s="755"/>
      <c r="AZ288" s="756"/>
      <c r="BA288" s="755"/>
      <c r="BB288" s="756"/>
    </row>
    <row r="289" spans="1:50" x14ac:dyDescent="0.2">
      <c r="B289" s="737" t="s">
        <v>407</v>
      </c>
      <c r="C289" s="16" t="s">
        <v>409</v>
      </c>
      <c r="D289" s="740" t="s">
        <v>412</v>
      </c>
      <c r="E289" s="757">
        <f>E273</f>
        <v>1952150.400643446</v>
      </c>
      <c r="F289" s="757">
        <f>F273*(1+PARAMETROS!$C$88)</f>
        <v>13245866.09789185</v>
      </c>
      <c r="G289" s="757">
        <f>G273*(1+PARAMETROS!$C$88)*(1+PARAMETROS!$D$88)</f>
        <v>27023725.564630922</v>
      </c>
      <c r="H289" s="757">
        <f>H273*(1+PARAMETROS!$C$88)*(1+PARAMETROS!$D$88)*(1+PARAMETROS!$E$88)</f>
        <v>11963336.079023911</v>
      </c>
      <c r="I289" s="757">
        <f>I273*(1+PARAMETROS!$C$88)*(1+PARAMETROS!$D$88)*(1+PARAMETROS!$E$88)*(1+PARAMETROS!$F$88)</f>
        <v>0</v>
      </c>
      <c r="J289" s="757">
        <f>J273*(1+PARAMETROS!$C$88)*(1+PARAMETROS!$D$88)*(1+PARAMETROS!$E$88)*(1+PARAMETROS!$F$88)*(1+PARAMETROS!$G$88)</f>
        <v>0</v>
      </c>
      <c r="K289" s="757">
        <f>K273*(1+PARAMETROS!$C$88)*(1+PARAMETROS!$D$88)*(1+PARAMETROS!$E$88)*(1+PARAMETROS!$F$88)*(1+PARAMETROS!$G$88)*(1+PARAMETROS!$H$88)^K$288</f>
        <v>0</v>
      </c>
      <c r="L289" s="722">
        <f>L273*(1+PARAMETROS!$C$88)*(1+PARAMETROS!$D$88)*(1+PARAMETROS!$E$88)*(1+PARAMETROS!$F$88)*(1+PARAMETROS!$G$88)*(1+PARAMETROS!$H$88)^L$288</f>
        <v>0</v>
      </c>
      <c r="M289" s="722">
        <f>M273*(1+PARAMETROS!$C$88)*(1+PARAMETROS!$D$88)*(1+PARAMETROS!$E$88)*(1+PARAMETROS!$F$88)*(1+PARAMETROS!$G$88)*(1+PARAMETROS!$H$88)^M$288</f>
        <v>0</v>
      </c>
      <c r="N289" s="722">
        <f>N273*(1+PARAMETROS!$C$88)*(1+PARAMETROS!$D$88)*(1+PARAMETROS!$E$88)*(1+PARAMETROS!$F$88)*(1+PARAMETROS!$G$88)*(1+PARAMETROS!$H$88)^N$288</f>
        <v>0</v>
      </c>
      <c r="O289" s="722">
        <f>O273*(1+PARAMETROS!$C$88)*(1+PARAMETROS!$D$88)*(1+PARAMETROS!$E$88)*(1+PARAMETROS!$F$88)*(1+PARAMETROS!$G$88)*(1+PARAMETROS!$H$88)^O$288</f>
        <v>0</v>
      </c>
      <c r="P289" s="722">
        <f>P273*(1+PARAMETROS!$C$88)*(1+PARAMETROS!$D$88)*(1+PARAMETROS!$E$88)*(1+PARAMETROS!$F$88)*(1+PARAMETROS!$G$88)*(1+PARAMETROS!$H$88)^P$288</f>
        <v>0</v>
      </c>
      <c r="Q289" s="722">
        <f>Q273*(1+PARAMETROS!$C$88)*(1+PARAMETROS!$D$88)*(1+PARAMETROS!$E$88)*(1+PARAMETROS!$F$88)*(1+PARAMETROS!$G$88)*(1+PARAMETROS!$H$88)^Q$288</f>
        <v>0</v>
      </c>
      <c r="R289" s="722">
        <f>R273*(1+PARAMETROS!$C$88)*(1+PARAMETROS!$D$88)*(1+PARAMETROS!$E$88)*(1+PARAMETROS!$F$88)*(1+PARAMETROS!$G$88)*(1+PARAMETROS!$H$88)^R$288</f>
        <v>2213103.3425779492</v>
      </c>
      <c r="S289" s="722">
        <f>S273*(1+PARAMETROS!$C$88)*(1+PARAMETROS!$D$88)*(1+PARAMETROS!$E$88)*(1+PARAMETROS!$F$88)*(1+PARAMETROS!$G$88)*(1+PARAMETROS!$H$88)^S$288</f>
        <v>2813632.6721555125</v>
      </c>
      <c r="T289" s="722">
        <f>T273*(1+PARAMETROS!$C$88)*(1+PARAMETROS!$D$88)*(1+PARAMETROS!$E$88)*(1+PARAMETROS!$F$88)*(1+PARAMETROS!$G$88)*(1+PARAMETROS!$H$88)^T$288</f>
        <v>0</v>
      </c>
      <c r="U289" s="722">
        <f>U273*(1+PARAMETROS!$C$88)*(1+PARAMETROS!$D$88)*(1+PARAMETROS!$E$88)*(1+PARAMETROS!$F$88)*(1+PARAMETROS!$G$88)*(1+PARAMETROS!$H$88)^U$288</f>
        <v>0</v>
      </c>
      <c r="V289" s="722">
        <f>V273*(1+PARAMETROS!$C$88)*(1+PARAMETROS!$D$88)*(1+PARAMETROS!$E$88)*(1+PARAMETROS!$F$88)*(1+PARAMETROS!$G$88)*(1+PARAMETROS!$H$88)^V$288</f>
        <v>0</v>
      </c>
      <c r="W289" s="722">
        <f>W273*(1+PARAMETROS!$C$88)*(1+PARAMETROS!$D$88)*(1+PARAMETROS!$E$88)*(1+PARAMETROS!$F$88)*(1+PARAMETROS!$G$88)*(1+PARAMETROS!$H$88)^W$288</f>
        <v>637017.16625386942</v>
      </c>
      <c r="X289" s="722">
        <f>X273*(1+PARAMETROS!$C$88)*(1+PARAMETROS!$D$88)*(1+PARAMETROS!$E$88)*(1+PARAMETROS!$F$88)*(1+PARAMETROS!$G$88)*(1+PARAMETROS!$H$88)^X$288</f>
        <v>4617125.1489069415</v>
      </c>
      <c r="Y289" s="722">
        <f>Y273*(1+PARAMETROS!$C$88)*(1+PARAMETROS!$D$88)*(1+PARAMETROS!$E$88)*(1+PARAMETROS!$F$88)*(1+PARAMETROS!$G$88)*(1+PARAMETROS!$H$88)^Y$288</f>
        <v>2074947.130011074</v>
      </c>
      <c r="Z289" s="722">
        <f>Z273*(1+PARAMETROS!$C$88)*(1+PARAMETROS!$D$88)*(1+PARAMETROS!$E$88)*(1+PARAMETROS!$F$88)*(1+PARAMETROS!$G$88)*(1+PARAMETROS!$H$88)^Z$288</f>
        <v>0</v>
      </c>
      <c r="AA289" s="722">
        <f>AA273*(1+PARAMETROS!$C$88)*(1+PARAMETROS!$D$88)*(1+PARAMETROS!$E$88)*(1+PARAMETROS!$F$88)*(1+PARAMETROS!$G$88)*(1+PARAMETROS!$H$88)^AA$288</f>
        <v>0</v>
      </c>
      <c r="AB289" s="722">
        <f>AB273*(1+PARAMETROS!$C$88)*(1+PARAMETROS!$D$88)*(1+PARAMETROS!$E$88)*(1+PARAMETROS!$F$88)*(1+PARAMETROS!$G$88)*(1+PARAMETROS!$H$88)^AB$288</f>
        <v>0</v>
      </c>
      <c r="AC289" s="722">
        <f>AC273*(1+PARAMETROS!$C$88)*(1+PARAMETROS!$D$88)*(1+PARAMETROS!$E$88)*(1+PARAMETROS!$F$88)*(1+PARAMETROS!$G$88)*(1+PARAMETROS!$H$88)^AC$288</f>
        <v>2751715.8379837503</v>
      </c>
      <c r="AD289" s="722">
        <f>AD273*(1+PARAMETROS!$C$88)*(1+PARAMETROS!$D$88)*(1+PARAMETROS!$E$88)*(1+PARAMETROS!$F$88)*(1+PARAMETROS!$G$88)*(1+PARAMETROS!$H$88)^AD$288</f>
        <v>3498398.5778179578</v>
      </c>
      <c r="AE289" s="722">
        <f>AE273*(1+PARAMETROS!$C$88)*(1+PARAMETROS!$D$88)*(1+PARAMETROS!$E$88)*(1+PARAMETROS!$F$88)*(1+PARAMETROS!$G$88)*(1+PARAMETROS!$H$88)^AE$288</f>
        <v>0</v>
      </c>
      <c r="AF289" s="722">
        <f>AF273*(1+PARAMETROS!$C$88)*(1+PARAMETROS!$D$88)*(1+PARAMETROS!$E$88)*(1+PARAMETROS!$F$88)*(1+PARAMETROS!$G$88)*(1+PARAMETROS!$H$88)^AF$288</f>
        <v>0</v>
      </c>
      <c r="AG289" s="722">
        <f>AG273*(1+PARAMETROS!$C$88)*(1+PARAMETROS!$D$88)*(1+PARAMETROS!$E$88)*(1+PARAMETROS!$F$88)*(1+PARAMETROS!$G$88)*(1+PARAMETROS!$H$88)^AG$288</f>
        <v>0</v>
      </c>
      <c r="AH289" s="722">
        <f>AH273*(1+PARAMETROS!$C$88)*(1+PARAMETROS!$D$88)*(1+PARAMETROS!$E$88)*(1+PARAMETROS!$F$88)*(1+PARAMETROS!$G$88)*(1+PARAMETROS!$H$88)^AH$288</f>
        <v>0</v>
      </c>
      <c r="AI289" s="722">
        <f>AI273*(1+PARAMETROS!$C$88)*(1+PARAMETROS!$D$88)*(1+PARAMETROS!$E$88)*(1+PARAMETROS!$F$88)*(1+PARAMETROS!$G$88)*(1+PARAMETROS!$H$88)^AI$288</f>
        <v>0</v>
      </c>
      <c r="AJ289" s="722">
        <f>AJ273*(1+PARAMETROS!$C$88)*(1+PARAMETROS!$D$88)*(1+PARAMETROS!$E$88)*(1+PARAMETROS!$F$88)*(1+PARAMETROS!$G$88)*(1+PARAMETROS!$H$88)^AJ$288</f>
        <v>0</v>
      </c>
      <c r="AK289" s="722">
        <f>AK273*(1+PARAMETROS!$C$88)*(1+PARAMETROS!$D$88)*(1+PARAMETROS!$E$88)*(1+PARAMETROS!$F$88)*(1+PARAMETROS!$G$88)*(1+PARAMETROS!$H$88)^AK$288</f>
        <v>0</v>
      </c>
      <c r="AL289" s="722">
        <f>AL273*(1+PARAMETROS!$C$88)*(1+PARAMETROS!$D$88)*(1+PARAMETROS!$E$88)*(1+PARAMETROS!$F$88)*(1+PARAMETROS!$G$88)*(1+PARAMETROS!$H$88)^AL$288</f>
        <v>0</v>
      </c>
      <c r="AM289" s="722">
        <f>AM273*(1+PARAMETROS!$C$88)*(1+PARAMETROS!$D$88)*(1+PARAMETROS!$E$88)*(1+PARAMETROS!$F$88)*(1+PARAMETROS!$G$88)*(1+PARAMETROS!$H$88)^AM$288</f>
        <v>0</v>
      </c>
      <c r="AN289" s="722">
        <f>AN273*(1+PARAMETROS!$C$88)*(1+PARAMETROS!$D$88)*(1+PARAMETROS!$E$88)*(1+PARAMETROS!$F$88)*(1+PARAMETROS!$G$88)*(1+PARAMETROS!$H$88)^AN$288</f>
        <v>4313390.5978769111</v>
      </c>
      <c r="AO289" s="722">
        <f>AO273*(1+PARAMETROS!$C$88)*(1+PARAMETROS!$D$88)*(1+PARAMETROS!$E$88)*(1+PARAMETROS!$F$88)*(1+PARAMETROS!$G$88)*(1+PARAMETROS!$H$88)^AO$288</f>
        <v>10737423.17358033</v>
      </c>
      <c r="AP289" s="722">
        <f>AP273*(1+PARAMETROS!$C$88)*(1+PARAMETROS!$D$88)*(1+PARAMETROS!$E$88)*(1+PARAMETROS!$F$88)*(1+PARAMETROS!$G$88)*(1+PARAMETROS!$H$88)^AP$288</f>
        <v>2879081.8067788403</v>
      </c>
      <c r="AQ289" s="722">
        <f>AQ273*(1+PARAMETROS!$C$88)*(1+PARAMETROS!$D$88)*(1+PARAMETROS!$E$88)*(1+PARAMETROS!$F$88)*(1+PARAMETROS!$G$88)*(1+PARAMETROS!$H$88)^AQ$288</f>
        <v>0</v>
      </c>
      <c r="AR289" s="722">
        <f>AR273*(1+PARAMETROS!$C$88)*(1+PARAMETROS!$D$88)*(1+PARAMETROS!$E$88)*(1+PARAMETROS!$F$88)*(1+PARAMETROS!$G$88)*(1+PARAMETROS!$H$88)^AR$288</f>
        <v>0</v>
      </c>
      <c r="AS289" s="722">
        <f>AS273*(1+PARAMETROS!$C$88)*(1+PARAMETROS!$D$88)*(1+PARAMETROS!$E$88)*(1+PARAMETROS!$F$88)*(1+PARAMETROS!$G$88)*(1+PARAMETROS!$H$88)^AS$288</f>
        <v>0</v>
      </c>
      <c r="AT289" s="722">
        <f>AT273*(1+PARAMETROS!$C$88)*(1+PARAMETROS!$D$88)*(1+PARAMETROS!$E$88)*(1+PARAMETROS!$F$88)*(1+PARAMETROS!$G$88)*(1+PARAMETROS!$H$88)^AT$288</f>
        <v>0</v>
      </c>
      <c r="AU289" s="722">
        <f>AU273*(1+PARAMETROS!$C$88)*(1+PARAMETROS!$D$88)*(1+PARAMETROS!$E$88)*(1+PARAMETROS!$F$88)*(1+PARAMETROS!$G$88)*(1+PARAMETROS!$H$88)^AU$288</f>
        <v>0</v>
      </c>
      <c r="AV289" s="722">
        <f>AV273*(1+PARAMETROS!$C$88)*(1+PARAMETROS!$D$88)*(1+PARAMETROS!$E$88)*(1+PARAMETROS!$F$88)*(1+PARAMETROS!$G$88)*(1+PARAMETROS!$H$88)^AV$288</f>
        <v>0</v>
      </c>
      <c r="AW289" s="722">
        <f>AW273*(1+PARAMETROS!$C$88)*(1+PARAMETROS!$D$88)*(1+PARAMETROS!$E$88)*(1+PARAMETROS!$F$88)*(1+PARAMETROS!$G$88)*(1+PARAMETROS!$H$88)^AW$288</f>
        <v>0</v>
      </c>
      <c r="AX289" s="722">
        <f>AX273*(1+PARAMETROS!$C$88)*(1+PARAMETROS!$D$88)*(1+PARAMETROS!$E$88)*(1+PARAMETROS!$F$88)*(1+PARAMETROS!$G$88)*(1+PARAMETROS!$H$88)^AX$288</f>
        <v>0</v>
      </c>
    </row>
    <row r="290" spans="1:50" x14ac:dyDescent="0.2">
      <c r="B290" s="737" t="s">
        <v>408</v>
      </c>
      <c r="C290" s="16" t="s">
        <v>409</v>
      </c>
      <c r="D290" s="740" t="s">
        <v>412</v>
      </c>
      <c r="E290" s="757">
        <f t="shared" ref="E290:E293" si="251">E274</f>
        <v>5265530.1448880117</v>
      </c>
      <c r="F290" s="757">
        <f>F274*(1+PARAMETROS!$C$93)</f>
        <v>12730445.67501309</v>
      </c>
      <c r="G290" s="757">
        <f>G274*(1+PARAMETROS!$C$93)*(1+PARAMETROS!$D$93)</f>
        <v>39684598.15325626</v>
      </c>
      <c r="H290" s="757">
        <f>H274*(1+PARAMETROS!$C$93)*(1+PARAMETROS!$D$93)*(1+PARAMETROS!$E$93)</f>
        <v>15417139.488844328</v>
      </c>
      <c r="I290" s="757">
        <f>I274*(1+PARAMETROS!$C$93)*(1+PARAMETROS!$D$93)*(1+PARAMETROS!$E$93)*(1+PARAMETROS!$F$93)</f>
        <v>0</v>
      </c>
      <c r="J290" s="757">
        <f>J274*(1+PARAMETROS!$C$93)*(1+PARAMETROS!$D$93)*(1+PARAMETROS!$E$93)*(1+PARAMETROS!$F$93)*(1+PARAMETROS!$G$93)</f>
        <v>0</v>
      </c>
      <c r="K290" s="757">
        <f>K274*(1+PARAMETROS!$C$93)*(1+PARAMETROS!$D$93)*(1+PARAMETROS!$E$93)*(1+PARAMETROS!$F$93)*(1+PARAMETROS!$G$93)*(1+PARAMETROS!$H$93)^K$288</f>
        <v>0</v>
      </c>
      <c r="L290" s="723">
        <f>L274*(1+PARAMETROS!$C$93)*(1+PARAMETROS!$D$93)*(1+PARAMETROS!$E$93)*(1+PARAMETROS!$F$93)*(1+PARAMETROS!$G$93)*(1+PARAMETROS!$H$93)^L$288</f>
        <v>0</v>
      </c>
      <c r="M290" s="723">
        <f>M274*(1+PARAMETROS!$C$93)*(1+PARAMETROS!$D$93)*(1+PARAMETROS!$E$93)*(1+PARAMETROS!$F$93)*(1+PARAMETROS!$G$93)*(1+PARAMETROS!$H$93)^M$288</f>
        <v>0</v>
      </c>
      <c r="N290" s="723">
        <f>N274*(1+PARAMETROS!$C$93)*(1+PARAMETROS!$D$93)*(1+PARAMETROS!$E$93)*(1+PARAMETROS!$F$93)*(1+PARAMETROS!$G$93)*(1+PARAMETROS!$H$93)^N$288</f>
        <v>0</v>
      </c>
      <c r="O290" s="723">
        <f>O274*(1+PARAMETROS!$C$93)*(1+PARAMETROS!$D$93)*(1+PARAMETROS!$E$93)*(1+PARAMETROS!$F$93)*(1+PARAMETROS!$G$93)*(1+PARAMETROS!$H$93)^O$288</f>
        <v>0</v>
      </c>
      <c r="P290" s="723">
        <f>P274*(1+PARAMETROS!$C$93)*(1+PARAMETROS!$D$93)*(1+PARAMETROS!$E$93)*(1+PARAMETROS!$F$93)*(1+PARAMETROS!$G$93)*(1+PARAMETROS!$H$93)^P$288</f>
        <v>0</v>
      </c>
      <c r="Q290" s="723">
        <f>Q274*(1+PARAMETROS!$C$93)*(1+PARAMETROS!$D$93)*(1+PARAMETROS!$E$93)*(1+PARAMETROS!$F$93)*(1+PARAMETROS!$G$93)*(1+PARAMETROS!$H$93)^Q$288</f>
        <v>0</v>
      </c>
      <c r="R290" s="723">
        <f>R274*(1+PARAMETROS!$C$93)*(1+PARAMETROS!$D$93)*(1+PARAMETROS!$E$93)*(1+PARAMETROS!$F$93)*(1+PARAMETROS!$G$93)*(1+PARAMETROS!$H$93)^R$288</f>
        <v>510438.01897615509</v>
      </c>
      <c r="S290" s="723">
        <f>S274*(1+PARAMETROS!$C$93)*(1+PARAMETROS!$D$93)*(1+PARAMETROS!$E$93)*(1+PARAMETROS!$F$93)*(1+PARAMETROS!$G$93)*(1+PARAMETROS!$H$93)^S$288</f>
        <v>648310.01567009592</v>
      </c>
      <c r="T290" s="723">
        <f>T274*(1+PARAMETROS!$C$93)*(1+PARAMETROS!$D$93)*(1+PARAMETROS!$E$93)*(1+PARAMETROS!$F$93)*(1+PARAMETROS!$G$93)*(1+PARAMETROS!$H$93)^T$288</f>
        <v>0</v>
      </c>
      <c r="U290" s="723">
        <f>U274*(1+PARAMETROS!$C$93)*(1+PARAMETROS!$D$93)*(1+PARAMETROS!$E$93)*(1+PARAMETROS!$F$93)*(1+PARAMETROS!$G$93)*(1+PARAMETROS!$H$93)^U$288</f>
        <v>0</v>
      </c>
      <c r="V290" s="723">
        <f>V274*(1+PARAMETROS!$C$93)*(1+PARAMETROS!$D$93)*(1+PARAMETROS!$E$93)*(1+PARAMETROS!$F$93)*(1+PARAMETROS!$G$93)*(1+PARAMETROS!$H$93)^V$288</f>
        <v>0</v>
      </c>
      <c r="W290" s="723">
        <f>W274*(1+PARAMETROS!$C$93)*(1+PARAMETROS!$D$93)*(1+PARAMETROS!$E$93)*(1+PARAMETROS!$F$93)*(1+PARAMETROS!$G$93)*(1+PARAMETROS!$H$93)^W$288</f>
        <v>2636382.2758361851</v>
      </c>
      <c r="X290" s="723">
        <f>X274*(1+PARAMETROS!$C$93)*(1+PARAMETROS!$D$93)*(1+PARAMETROS!$E$93)*(1+PARAMETROS!$F$93)*(1+PARAMETROS!$G$93)*(1+PARAMETROS!$H$93)^X$288</f>
        <v>5157671.9379756646</v>
      </c>
      <c r="Y290" s="723">
        <f>Y274*(1+PARAMETROS!$C$93)*(1+PARAMETROS!$D$93)*(1+PARAMETROS!$E$93)*(1+PARAMETROS!$F$93)*(1+PARAMETROS!$G$93)*(1+PARAMETROS!$H$93)^Y$288</f>
        <v>2505554.9588319897</v>
      </c>
      <c r="Z290" s="723">
        <f>Z274*(1+PARAMETROS!$C$93)*(1+PARAMETROS!$D$93)*(1+PARAMETROS!$E$93)*(1+PARAMETROS!$F$93)*(1+PARAMETROS!$G$93)*(1+PARAMETROS!$H$93)^Z$288</f>
        <v>0</v>
      </c>
      <c r="AA290" s="723">
        <f>AA274*(1+PARAMETROS!$C$93)*(1+PARAMETROS!$D$93)*(1+PARAMETROS!$E$93)*(1+PARAMETROS!$F$93)*(1+PARAMETROS!$G$93)*(1+PARAMETROS!$H$93)^AA$288</f>
        <v>0</v>
      </c>
      <c r="AB290" s="723">
        <f>AB274*(1+PARAMETROS!$C$93)*(1+PARAMETROS!$D$93)*(1+PARAMETROS!$E$93)*(1+PARAMETROS!$F$93)*(1+PARAMETROS!$G$93)*(1+PARAMETROS!$H$93)^AB$288</f>
        <v>0</v>
      </c>
      <c r="AC290" s="723">
        <f>AC274*(1+PARAMETROS!$C$93)*(1+PARAMETROS!$D$93)*(1+PARAMETROS!$E$93)*(1+PARAMETROS!$F$93)*(1+PARAMETROS!$G$93)*(1+PARAMETROS!$H$93)^AC$288</f>
        <v>627854.539408062</v>
      </c>
      <c r="AD290" s="723">
        <f>AD274*(1+PARAMETROS!$C$93)*(1+PARAMETROS!$D$93)*(1+PARAMETROS!$E$93)*(1+PARAMETROS!$F$93)*(1+PARAMETROS!$G$93)*(1+PARAMETROS!$H$93)^AD$288</f>
        <v>797441.35654048226</v>
      </c>
      <c r="AE290" s="723">
        <f>AE274*(1+PARAMETROS!$C$93)*(1+PARAMETROS!$D$93)*(1+PARAMETROS!$E$93)*(1+PARAMETROS!$F$93)*(1+PARAMETROS!$G$93)*(1+PARAMETROS!$H$93)^AE$288</f>
        <v>0</v>
      </c>
      <c r="AF290" s="723">
        <f>AF274*(1+PARAMETROS!$C$93)*(1+PARAMETROS!$D$93)*(1+PARAMETROS!$E$93)*(1+PARAMETROS!$F$93)*(1+PARAMETROS!$G$93)*(1+PARAMETROS!$H$93)^AF$288</f>
        <v>0</v>
      </c>
      <c r="AG290" s="723">
        <f>AG274*(1+PARAMETROS!$C$93)*(1+PARAMETROS!$D$93)*(1+PARAMETROS!$E$93)*(1+PARAMETROS!$F$93)*(1+PARAMETROS!$G$93)*(1+PARAMETROS!$H$93)^AG$288</f>
        <v>0</v>
      </c>
      <c r="AH290" s="723">
        <f>AH274*(1+PARAMETROS!$C$93)*(1+PARAMETROS!$D$93)*(1+PARAMETROS!$E$93)*(1+PARAMETROS!$F$93)*(1+PARAMETROS!$G$93)*(1+PARAMETROS!$H$93)^AH$288</f>
        <v>0</v>
      </c>
      <c r="AI290" s="723">
        <f>AI274*(1+PARAMETROS!$C$93)*(1+PARAMETROS!$D$93)*(1+PARAMETROS!$E$93)*(1+PARAMETROS!$F$93)*(1+PARAMETROS!$G$93)*(1+PARAMETROS!$H$93)^AI$288</f>
        <v>0</v>
      </c>
      <c r="AJ290" s="723">
        <f>AJ274*(1+PARAMETROS!$C$93)*(1+PARAMETROS!$D$93)*(1+PARAMETROS!$E$93)*(1+PARAMETROS!$F$93)*(1+PARAMETROS!$G$93)*(1+PARAMETROS!$H$93)^AJ$288</f>
        <v>0</v>
      </c>
      <c r="AK290" s="723">
        <f>AK274*(1+PARAMETROS!$C$93)*(1+PARAMETROS!$D$93)*(1+PARAMETROS!$E$93)*(1+PARAMETROS!$F$93)*(1+PARAMETROS!$G$93)*(1+PARAMETROS!$H$93)^AK$288</f>
        <v>0</v>
      </c>
      <c r="AL290" s="723">
        <f>AL274*(1+PARAMETROS!$C$93)*(1+PARAMETROS!$D$93)*(1+PARAMETROS!$E$93)*(1+PARAMETROS!$F$93)*(1+PARAMETROS!$G$93)*(1+PARAMETROS!$H$93)^AL$288</f>
        <v>0</v>
      </c>
      <c r="AM290" s="723">
        <f>AM274*(1+PARAMETROS!$C$93)*(1+PARAMETROS!$D$93)*(1+PARAMETROS!$E$93)*(1+PARAMETROS!$F$93)*(1+PARAMETROS!$G$93)*(1+PARAMETROS!$H$93)^AM$288</f>
        <v>0</v>
      </c>
      <c r="AN290" s="723">
        <f>AN274*(1+PARAMETROS!$C$93)*(1+PARAMETROS!$D$93)*(1+PARAMETROS!$E$93)*(1+PARAMETROS!$F$93)*(1+PARAMETROS!$G$93)*(1+PARAMETROS!$H$93)^AN$288</f>
        <v>4402806.1546496022</v>
      </c>
      <c r="AO290" s="723">
        <f>AO274*(1+PARAMETROS!$C$93)*(1+PARAMETROS!$D$93)*(1+PARAMETROS!$E$93)*(1+PARAMETROS!$F$93)*(1+PARAMETROS!$G$93)*(1+PARAMETROS!$H$93)^AO$288</f>
        <v>7945707.9181323545</v>
      </c>
      <c r="AP290" s="723">
        <f>AP274*(1+PARAMETROS!$C$93)*(1+PARAMETROS!$D$93)*(1+PARAMETROS!$E$93)*(1+PARAMETROS!$F$93)*(1+PARAMETROS!$G$93)*(1+PARAMETROS!$H$93)^AP$288</f>
        <v>3403583.3993416377</v>
      </c>
      <c r="AQ290" s="723">
        <f>AQ274*(1+PARAMETROS!$C$93)*(1+PARAMETROS!$D$93)*(1+PARAMETROS!$E$93)*(1+PARAMETROS!$F$93)*(1+PARAMETROS!$G$93)*(1+PARAMETROS!$H$93)^AQ$288</f>
        <v>0</v>
      </c>
      <c r="AR290" s="723">
        <f>AR274*(1+PARAMETROS!$C$93)*(1+PARAMETROS!$D$93)*(1+PARAMETROS!$E$93)*(1+PARAMETROS!$F$93)*(1+PARAMETROS!$G$93)*(1+PARAMETROS!$H$93)^AR$288</f>
        <v>0</v>
      </c>
      <c r="AS290" s="723">
        <f>AS274*(1+PARAMETROS!$C$93)*(1+PARAMETROS!$D$93)*(1+PARAMETROS!$E$93)*(1+PARAMETROS!$F$93)*(1+PARAMETROS!$G$93)*(1+PARAMETROS!$H$93)^AS$288</f>
        <v>0</v>
      </c>
      <c r="AT290" s="723">
        <f>AT274*(1+PARAMETROS!$C$93)*(1+PARAMETROS!$D$93)*(1+PARAMETROS!$E$93)*(1+PARAMETROS!$F$93)*(1+PARAMETROS!$G$93)*(1+PARAMETROS!$H$93)^AT$288</f>
        <v>0</v>
      </c>
      <c r="AU290" s="723">
        <f>AU274*(1+PARAMETROS!$C$93)*(1+PARAMETROS!$D$93)*(1+PARAMETROS!$E$93)*(1+PARAMETROS!$F$93)*(1+PARAMETROS!$G$93)*(1+PARAMETROS!$H$93)^AU$288</f>
        <v>0</v>
      </c>
      <c r="AV290" s="723">
        <f>AV274*(1+PARAMETROS!$C$93)*(1+PARAMETROS!$D$93)*(1+PARAMETROS!$E$93)*(1+PARAMETROS!$F$93)*(1+PARAMETROS!$G$93)*(1+PARAMETROS!$H$93)^AV$288</f>
        <v>0</v>
      </c>
      <c r="AW290" s="723">
        <f>AW274*(1+PARAMETROS!$C$93)*(1+PARAMETROS!$D$93)*(1+PARAMETROS!$E$93)*(1+PARAMETROS!$F$93)*(1+PARAMETROS!$G$93)*(1+PARAMETROS!$H$93)^AW$288</f>
        <v>0</v>
      </c>
      <c r="AX290" s="723">
        <f>AX274*(1+PARAMETROS!$C$93)*(1+PARAMETROS!$D$93)*(1+PARAMETROS!$E$93)*(1+PARAMETROS!$F$93)*(1+PARAMETROS!$G$93)*(1+PARAMETROS!$H$93)^AX$288</f>
        <v>0</v>
      </c>
    </row>
    <row r="291" spans="1:50" x14ac:dyDescent="0.2">
      <c r="B291" s="1"/>
      <c r="C291" s="16"/>
      <c r="D291" s="740"/>
      <c r="E291" s="722"/>
      <c r="F291" s="723"/>
      <c r="G291" s="723"/>
      <c r="H291" s="723"/>
      <c r="I291" s="723"/>
      <c r="J291" s="723"/>
      <c r="K291" s="723"/>
      <c r="L291" s="723"/>
      <c r="M291" s="723"/>
      <c r="N291" s="722"/>
      <c r="O291" s="722"/>
      <c r="P291" s="722"/>
      <c r="Q291" s="722"/>
      <c r="R291" s="722"/>
      <c r="S291" s="722"/>
      <c r="T291" s="722"/>
      <c r="U291" s="722"/>
      <c r="V291" s="722"/>
      <c r="W291" s="722"/>
      <c r="X291" s="722"/>
      <c r="Y291" s="722"/>
      <c r="Z291" s="722"/>
      <c r="AA291" s="722"/>
      <c r="AB291" s="722"/>
      <c r="AC291" s="722"/>
      <c r="AD291" s="722"/>
      <c r="AE291" s="722"/>
      <c r="AF291" s="722"/>
      <c r="AG291" s="722"/>
      <c r="AH291" s="722"/>
      <c r="AI291" s="722"/>
      <c r="AJ291" s="722"/>
      <c r="AK291" s="722"/>
      <c r="AL291" s="722"/>
      <c r="AM291" s="722"/>
      <c r="AN291" s="722"/>
      <c r="AO291" s="722"/>
      <c r="AP291" s="722"/>
      <c r="AQ291" s="722"/>
      <c r="AR291" s="722"/>
      <c r="AS291" s="722"/>
      <c r="AT291" s="722"/>
      <c r="AU291" s="722"/>
      <c r="AV291" s="722"/>
      <c r="AW291" s="722"/>
      <c r="AX291" s="722"/>
    </row>
    <row r="292" spans="1:50" x14ac:dyDescent="0.2">
      <c r="B292" s="737" t="s">
        <v>407</v>
      </c>
      <c r="C292" s="16" t="s">
        <v>180</v>
      </c>
      <c r="D292" s="740" t="s">
        <v>412</v>
      </c>
      <c r="E292" s="757">
        <f t="shared" si="251"/>
        <v>203206.29688831151</v>
      </c>
      <c r="F292" s="757">
        <f>F276*(1+PARAMETROS!$C$88)</f>
        <v>3009837.0906174607</v>
      </c>
      <c r="G292" s="757">
        <f>G276*(1+PARAMETROS!$C$88)*(1+PARAMETROS!$D$88)</f>
        <v>6566318.1845469726</v>
      </c>
      <c r="H292" s="757">
        <f>H276*(1+PARAMETROS!$C$88)*(1+PARAMETROS!$D$88)*(1+PARAMETROS!$E$88)</f>
        <v>2784430.8038085797</v>
      </c>
      <c r="I292" s="757">
        <f>I276*(1+PARAMETROS!$C$88)*(1+PARAMETROS!$D$88)*(1+PARAMETROS!$E$88)*(1+PARAMETROS!$F$88)</f>
        <v>0</v>
      </c>
      <c r="J292" s="757">
        <f>J276*(1+PARAMETROS!$C$88)*(1+PARAMETROS!$D$88)*(1+PARAMETROS!$E$88)*(1+PARAMETROS!$F$88)*(1+PARAMETROS!$G$88)</f>
        <v>0</v>
      </c>
      <c r="K292" s="757">
        <f>K276*(1+PARAMETROS!$C$88)*(1+PARAMETROS!$D$88)*(1+PARAMETROS!$E$88)*(1+PARAMETROS!$F$88)*(1+PARAMETROS!$G$88)*(1+PARAMETROS!$H$88)^K$288</f>
        <v>0</v>
      </c>
      <c r="L292" s="723">
        <f>L276*(1+PARAMETROS!$C$88)*(1+PARAMETROS!$D$88)*(1+PARAMETROS!$E$88)*(1+PARAMETROS!$F$88)*(1+PARAMETROS!$G$88)*(1+PARAMETROS!$H$88)^L$288</f>
        <v>0</v>
      </c>
      <c r="M292" s="723">
        <f>M276*(1+PARAMETROS!$C$88)*(1+PARAMETROS!$D$88)*(1+PARAMETROS!$E$88)*(1+PARAMETROS!$F$88)*(1+PARAMETROS!$G$88)*(1+PARAMETROS!$H$88)^M$288</f>
        <v>0</v>
      </c>
      <c r="N292" s="723">
        <f>N276*(1+PARAMETROS!$C$88)*(1+PARAMETROS!$D$88)*(1+PARAMETROS!$E$88)*(1+PARAMETROS!$F$88)*(1+PARAMETROS!$G$88)*(1+PARAMETROS!$H$88)^N$288</f>
        <v>0</v>
      </c>
      <c r="O292" s="723">
        <f>O276*(1+PARAMETROS!$C$88)*(1+PARAMETROS!$D$88)*(1+PARAMETROS!$E$88)*(1+PARAMETROS!$F$88)*(1+PARAMETROS!$G$88)*(1+PARAMETROS!$H$88)^O$288</f>
        <v>0</v>
      </c>
      <c r="P292" s="723">
        <f>P276*(1+PARAMETROS!$C$88)*(1+PARAMETROS!$D$88)*(1+PARAMETROS!$E$88)*(1+PARAMETROS!$F$88)*(1+PARAMETROS!$G$88)*(1+PARAMETROS!$H$88)^P$288</f>
        <v>0</v>
      </c>
      <c r="Q292" s="723">
        <f>Q276*(1+PARAMETROS!$C$88)*(1+PARAMETROS!$D$88)*(1+PARAMETROS!$E$88)*(1+PARAMETROS!$F$88)*(1+PARAMETROS!$G$88)*(1+PARAMETROS!$H$88)^Q$288</f>
        <v>0</v>
      </c>
      <c r="R292" s="723">
        <f>R276*(1+PARAMETROS!$C$88)*(1+PARAMETROS!$D$88)*(1+PARAMETROS!$E$88)*(1+PARAMETROS!$F$88)*(1+PARAMETROS!$G$88)*(1+PARAMETROS!$H$88)^R$288</f>
        <v>392999.68110309081</v>
      </c>
      <c r="S292" s="723">
        <f>S276*(1+PARAMETROS!$C$88)*(1+PARAMETROS!$D$88)*(1+PARAMETROS!$E$88)*(1+PARAMETROS!$F$88)*(1+PARAMETROS!$G$88)*(1+PARAMETROS!$H$88)^S$288</f>
        <v>499640.80828250252</v>
      </c>
      <c r="T292" s="723">
        <f>T276*(1+PARAMETROS!$C$88)*(1+PARAMETROS!$D$88)*(1+PARAMETROS!$E$88)*(1+PARAMETROS!$F$88)*(1+PARAMETROS!$G$88)*(1+PARAMETROS!$H$88)^T$288</f>
        <v>0</v>
      </c>
      <c r="U292" s="723">
        <f>U276*(1+PARAMETROS!$C$88)*(1+PARAMETROS!$D$88)*(1+PARAMETROS!$E$88)*(1+PARAMETROS!$F$88)*(1+PARAMETROS!$G$88)*(1+PARAMETROS!$H$88)^U$288</f>
        <v>0</v>
      </c>
      <c r="V292" s="723">
        <f>V276*(1+PARAMETROS!$C$88)*(1+PARAMETROS!$D$88)*(1+PARAMETROS!$E$88)*(1+PARAMETROS!$F$88)*(1+PARAMETROS!$G$88)*(1+PARAMETROS!$H$88)^V$288</f>
        <v>0</v>
      </c>
      <c r="W292" s="723">
        <f>W276*(1+PARAMETROS!$C$88)*(1+PARAMETROS!$D$88)*(1+PARAMETROS!$E$88)*(1+PARAMETROS!$F$88)*(1+PARAMETROS!$G$88)*(1+PARAMETROS!$H$88)^W$288</f>
        <v>156431.38659394803</v>
      </c>
      <c r="X292" s="723">
        <f>X276*(1+PARAMETROS!$C$88)*(1+PARAMETROS!$D$88)*(1+PARAMETROS!$E$88)*(1+PARAMETROS!$F$88)*(1+PARAMETROS!$G$88)*(1+PARAMETROS!$H$88)^X$288</f>
        <v>1145643.1980200063</v>
      </c>
      <c r="Y292" s="723">
        <f>Y276*(1+PARAMETROS!$C$88)*(1+PARAMETROS!$D$88)*(1+PARAMETROS!$E$88)*(1+PARAMETROS!$F$88)*(1+PARAMETROS!$G$88)*(1+PARAMETROS!$H$88)^Y$288</f>
        <v>515799.83217248059</v>
      </c>
      <c r="Z292" s="723">
        <f>Z276*(1+PARAMETROS!$C$88)*(1+PARAMETROS!$D$88)*(1+PARAMETROS!$E$88)*(1+PARAMETROS!$F$88)*(1+PARAMETROS!$G$88)*(1+PARAMETROS!$H$88)^Z$288</f>
        <v>0</v>
      </c>
      <c r="AA292" s="723">
        <f>AA276*(1+PARAMETROS!$C$88)*(1+PARAMETROS!$D$88)*(1+PARAMETROS!$E$88)*(1+PARAMETROS!$F$88)*(1+PARAMETROS!$G$88)*(1+PARAMETROS!$H$88)^AA$288</f>
        <v>0</v>
      </c>
      <c r="AB292" s="723">
        <f>AB276*(1+PARAMETROS!$C$88)*(1+PARAMETROS!$D$88)*(1+PARAMETROS!$E$88)*(1+PARAMETROS!$F$88)*(1+PARAMETROS!$G$88)*(1+PARAMETROS!$H$88)^AB$288</f>
        <v>0</v>
      </c>
      <c r="AC292" s="723">
        <f>AC276*(1+PARAMETROS!$C$88)*(1+PARAMETROS!$D$88)*(1+PARAMETROS!$E$88)*(1+PARAMETROS!$F$88)*(1+PARAMETROS!$G$88)*(1+PARAMETROS!$H$88)^AC$288</f>
        <v>488645.70669087442</v>
      </c>
      <c r="AD292" s="723">
        <f>AD276*(1+PARAMETROS!$C$88)*(1+PARAMETROS!$D$88)*(1+PARAMETROS!$E$88)*(1+PARAMETROS!$F$88)*(1+PARAMETROS!$G$88)*(1+PARAMETROS!$H$88)^AD$288</f>
        <v>621240.54444400163</v>
      </c>
      <c r="AE292" s="723">
        <f>AE276*(1+PARAMETROS!$C$88)*(1+PARAMETROS!$D$88)*(1+PARAMETROS!$E$88)*(1+PARAMETROS!$F$88)*(1+PARAMETROS!$G$88)*(1+PARAMETROS!$H$88)^AE$288</f>
        <v>0</v>
      </c>
      <c r="AF292" s="723">
        <f>AF276*(1+PARAMETROS!$C$88)*(1+PARAMETROS!$D$88)*(1+PARAMETROS!$E$88)*(1+PARAMETROS!$F$88)*(1+PARAMETROS!$G$88)*(1+PARAMETROS!$H$88)^AF$288</f>
        <v>0</v>
      </c>
      <c r="AG292" s="723">
        <f>AG276*(1+PARAMETROS!$C$88)*(1+PARAMETROS!$D$88)*(1+PARAMETROS!$E$88)*(1+PARAMETROS!$F$88)*(1+PARAMETROS!$G$88)*(1+PARAMETROS!$H$88)^AG$288</f>
        <v>0</v>
      </c>
      <c r="AH292" s="723">
        <f>AH276*(1+PARAMETROS!$C$88)*(1+PARAMETROS!$D$88)*(1+PARAMETROS!$E$88)*(1+PARAMETROS!$F$88)*(1+PARAMETROS!$G$88)*(1+PARAMETROS!$H$88)^AH$288</f>
        <v>0</v>
      </c>
      <c r="AI292" s="723">
        <f>AI276*(1+PARAMETROS!$C$88)*(1+PARAMETROS!$D$88)*(1+PARAMETROS!$E$88)*(1+PARAMETROS!$F$88)*(1+PARAMETROS!$G$88)*(1+PARAMETROS!$H$88)^AI$288</f>
        <v>0</v>
      </c>
      <c r="AJ292" s="723">
        <f>AJ276*(1+PARAMETROS!$C$88)*(1+PARAMETROS!$D$88)*(1+PARAMETROS!$E$88)*(1+PARAMETROS!$F$88)*(1+PARAMETROS!$G$88)*(1+PARAMETROS!$H$88)^AJ$288</f>
        <v>0</v>
      </c>
      <c r="AK292" s="723">
        <f>AK276*(1+PARAMETROS!$C$88)*(1+PARAMETROS!$D$88)*(1+PARAMETROS!$E$88)*(1+PARAMETROS!$F$88)*(1+PARAMETROS!$G$88)*(1+PARAMETROS!$H$88)^AK$288</f>
        <v>0</v>
      </c>
      <c r="AL292" s="723">
        <f>AL276*(1+PARAMETROS!$C$88)*(1+PARAMETROS!$D$88)*(1+PARAMETROS!$E$88)*(1+PARAMETROS!$F$88)*(1+PARAMETROS!$G$88)*(1+PARAMETROS!$H$88)^AL$288</f>
        <v>0</v>
      </c>
      <c r="AM292" s="723">
        <f>AM276*(1+PARAMETROS!$C$88)*(1+PARAMETROS!$D$88)*(1+PARAMETROS!$E$88)*(1+PARAMETROS!$F$88)*(1+PARAMETROS!$G$88)*(1+PARAMETROS!$H$88)^AM$288</f>
        <v>0</v>
      </c>
      <c r="AN292" s="723">
        <f>AN276*(1+PARAMETROS!$C$88)*(1+PARAMETROS!$D$88)*(1+PARAMETROS!$E$88)*(1+PARAMETROS!$F$88)*(1+PARAMETROS!$G$88)*(1+PARAMETROS!$H$88)^AN$288</f>
        <v>826611.22437733063</v>
      </c>
      <c r="AO292" s="723">
        <f>AO276*(1+PARAMETROS!$C$88)*(1+PARAMETROS!$D$88)*(1+PARAMETROS!$E$88)*(1+PARAMETROS!$F$88)*(1+PARAMETROS!$G$88)*(1+PARAMETROS!$H$88)^AO$288</f>
        <v>2357240.1873541088</v>
      </c>
      <c r="AP292" s="723">
        <f>AP276*(1+PARAMETROS!$C$88)*(1+PARAMETROS!$D$88)*(1+PARAMETROS!$E$88)*(1+PARAMETROS!$F$88)*(1+PARAMETROS!$G$88)*(1+PARAMETROS!$H$88)^AP$288</f>
        <v>715658.01219613012</v>
      </c>
      <c r="AQ292" s="723">
        <f>AQ276*(1+PARAMETROS!$C$88)*(1+PARAMETROS!$D$88)*(1+PARAMETROS!$E$88)*(1+PARAMETROS!$F$88)*(1+PARAMETROS!$G$88)*(1+PARAMETROS!$H$88)^AQ$288</f>
        <v>0</v>
      </c>
      <c r="AR292" s="723">
        <f>AR276*(1+PARAMETROS!$C$88)*(1+PARAMETROS!$D$88)*(1+PARAMETROS!$E$88)*(1+PARAMETROS!$F$88)*(1+PARAMETROS!$G$88)*(1+PARAMETROS!$H$88)^AR$288</f>
        <v>0</v>
      </c>
      <c r="AS292" s="723">
        <f>AS276*(1+PARAMETROS!$C$88)*(1+PARAMETROS!$D$88)*(1+PARAMETROS!$E$88)*(1+PARAMETROS!$F$88)*(1+PARAMETROS!$G$88)*(1+PARAMETROS!$H$88)^AS$288</f>
        <v>0</v>
      </c>
      <c r="AT292" s="723">
        <f>AT276*(1+PARAMETROS!$C$88)*(1+PARAMETROS!$D$88)*(1+PARAMETROS!$E$88)*(1+PARAMETROS!$F$88)*(1+PARAMETROS!$G$88)*(1+PARAMETROS!$H$88)^AT$288</f>
        <v>0</v>
      </c>
      <c r="AU292" s="723">
        <f>AU276*(1+PARAMETROS!$C$88)*(1+PARAMETROS!$D$88)*(1+PARAMETROS!$E$88)*(1+PARAMETROS!$F$88)*(1+PARAMETROS!$G$88)*(1+PARAMETROS!$H$88)^AU$288</f>
        <v>0</v>
      </c>
      <c r="AV292" s="723">
        <f>AV276*(1+PARAMETROS!$C$88)*(1+PARAMETROS!$D$88)*(1+PARAMETROS!$E$88)*(1+PARAMETROS!$F$88)*(1+PARAMETROS!$G$88)*(1+PARAMETROS!$H$88)^AV$288</f>
        <v>0</v>
      </c>
      <c r="AW292" s="723">
        <f>AW276*(1+PARAMETROS!$C$88)*(1+PARAMETROS!$D$88)*(1+PARAMETROS!$E$88)*(1+PARAMETROS!$F$88)*(1+PARAMETROS!$G$88)*(1+PARAMETROS!$H$88)^AW$288</f>
        <v>0</v>
      </c>
      <c r="AX292" s="723">
        <f>AX276*(1+PARAMETROS!$C$88)*(1+PARAMETROS!$D$88)*(1+PARAMETROS!$E$88)*(1+PARAMETROS!$F$88)*(1+PARAMETROS!$G$88)*(1+PARAMETROS!$H$88)^AX$288</f>
        <v>0</v>
      </c>
    </row>
    <row r="293" spans="1:50" x14ac:dyDescent="0.2">
      <c r="B293" s="737" t="s">
        <v>408</v>
      </c>
      <c r="C293" s="16" t="s">
        <v>180</v>
      </c>
      <c r="D293" s="740" t="s">
        <v>412</v>
      </c>
      <c r="E293" s="757">
        <f t="shared" si="251"/>
        <v>548107.81051695067</v>
      </c>
      <c r="F293" s="757">
        <f>F277*(1+PARAMETROS!$C$93)</f>
        <v>2251824.1869947538</v>
      </c>
      <c r="G293" s="757">
        <f>G277*(1+PARAMETROS!$C$93)*(1+PARAMETROS!$D$93)</f>
        <v>9335601.6869807821</v>
      </c>
      <c r="H293" s="757">
        <f>H277*(1+PARAMETROS!$C$93)*(1+PARAMETROS!$D$93)*(1+PARAMETROS!$E$93)</f>
        <v>3568675.5187936523</v>
      </c>
      <c r="I293" s="757">
        <f>I277*(1+PARAMETROS!$C$93)*(1+PARAMETROS!$D$93)*(1+PARAMETROS!$E$93)*(1+PARAMETROS!$F$93)</f>
        <v>0</v>
      </c>
      <c r="J293" s="757">
        <f>J277*(1+PARAMETROS!$C$93)*(1+PARAMETROS!$D$93)*(1+PARAMETROS!$E$93)*(1+PARAMETROS!$F$93)*(1+PARAMETROS!$G$93)</f>
        <v>0</v>
      </c>
      <c r="K293" s="757">
        <f>K277*(1+PARAMETROS!$C$93)*(1+PARAMETROS!$D$93)*(1+PARAMETROS!$E$93)*(1+PARAMETROS!$F$93)*(1+PARAMETROS!$G$93)*(1+PARAMETROS!$H$93)^K$288</f>
        <v>0</v>
      </c>
      <c r="L293" s="723">
        <f>L277*(1+PARAMETROS!$C$93)*(1+PARAMETROS!$D$93)*(1+PARAMETROS!$E$93)*(1+PARAMETROS!$F$93)*(1+PARAMETROS!$G$93)*(1+PARAMETROS!$H$93)^L$288</f>
        <v>0</v>
      </c>
      <c r="M293" s="723">
        <f>M277*(1+PARAMETROS!$C$93)*(1+PARAMETROS!$D$93)*(1+PARAMETROS!$E$93)*(1+PARAMETROS!$F$93)*(1+PARAMETROS!$G$93)*(1+PARAMETROS!$H$93)^M$288</f>
        <v>0</v>
      </c>
      <c r="N293" s="723">
        <f>N277*(1+PARAMETROS!$C$93)*(1+PARAMETROS!$D$93)*(1+PARAMETROS!$E$93)*(1+PARAMETROS!$F$93)*(1+PARAMETROS!$G$93)*(1+PARAMETROS!$H$93)^N$288</f>
        <v>0</v>
      </c>
      <c r="O293" s="723">
        <f>O277*(1+PARAMETROS!$C$93)*(1+PARAMETROS!$D$93)*(1+PARAMETROS!$E$93)*(1+PARAMETROS!$F$93)*(1+PARAMETROS!$G$93)*(1+PARAMETROS!$H$93)^O$288</f>
        <v>0</v>
      </c>
      <c r="P293" s="723">
        <f>P277*(1+PARAMETROS!$C$93)*(1+PARAMETROS!$D$93)*(1+PARAMETROS!$E$93)*(1+PARAMETROS!$F$93)*(1+PARAMETROS!$G$93)*(1+PARAMETROS!$H$93)^P$288</f>
        <v>0</v>
      </c>
      <c r="Q293" s="723">
        <f>Q277*(1+PARAMETROS!$C$93)*(1+PARAMETROS!$D$93)*(1+PARAMETROS!$E$93)*(1+PARAMETROS!$F$93)*(1+PARAMETROS!$G$93)*(1+PARAMETROS!$H$93)^Q$288</f>
        <v>0</v>
      </c>
      <c r="R293" s="723">
        <f>R277*(1+PARAMETROS!$C$93)*(1+PARAMETROS!$D$93)*(1+PARAMETROS!$E$93)*(1+PARAMETROS!$F$93)*(1+PARAMETROS!$G$93)*(1+PARAMETROS!$H$93)^R$288</f>
        <v>90642.842935138222</v>
      </c>
      <c r="S293" s="723">
        <f>S277*(1+PARAMETROS!$C$93)*(1+PARAMETROS!$D$93)*(1+PARAMETROS!$E$93)*(1+PARAMETROS!$F$93)*(1+PARAMETROS!$G$93)*(1+PARAMETROS!$H$93)^S$288</f>
        <v>115125.95210194691</v>
      </c>
      <c r="T293" s="723">
        <f>T277*(1+PARAMETROS!$C$93)*(1+PARAMETROS!$D$93)*(1+PARAMETROS!$E$93)*(1+PARAMETROS!$F$93)*(1+PARAMETROS!$G$93)*(1+PARAMETROS!$H$93)^T$288</f>
        <v>0</v>
      </c>
      <c r="U293" s="723">
        <f>U277*(1+PARAMETROS!$C$93)*(1+PARAMETROS!$D$93)*(1+PARAMETROS!$E$93)*(1+PARAMETROS!$F$93)*(1+PARAMETROS!$G$93)*(1+PARAMETROS!$H$93)^U$288</f>
        <v>0</v>
      </c>
      <c r="V293" s="723">
        <f>V277*(1+PARAMETROS!$C$93)*(1+PARAMETROS!$D$93)*(1+PARAMETROS!$E$93)*(1+PARAMETROS!$F$93)*(1+PARAMETROS!$G$93)*(1+PARAMETROS!$H$93)^V$288</f>
        <v>0</v>
      </c>
      <c r="W293" s="723">
        <f>W277*(1+PARAMETROS!$C$93)*(1+PARAMETROS!$D$93)*(1+PARAMETROS!$E$93)*(1+PARAMETROS!$F$93)*(1+PARAMETROS!$G$93)*(1+PARAMETROS!$H$93)^W$288</f>
        <v>615945.16020092473</v>
      </c>
      <c r="X293" s="723">
        <f>X277*(1+PARAMETROS!$C$93)*(1+PARAMETROS!$D$93)*(1+PARAMETROS!$E$93)*(1+PARAMETROS!$F$93)*(1+PARAMETROS!$G$93)*(1+PARAMETROS!$H$93)^X$288</f>
        <v>1157507.1849203384</v>
      </c>
      <c r="Y293" s="723">
        <f>Y277*(1+PARAMETROS!$C$93)*(1+PARAMETROS!$D$93)*(1+PARAMETROS!$E$93)*(1+PARAMETROS!$F$93)*(1+PARAMETROS!$G$93)*(1+PARAMETROS!$H$93)^Y$288</f>
        <v>581583.03811950574</v>
      </c>
      <c r="Z293" s="723">
        <f>Z277*(1+PARAMETROS!$C$93)*(1+PARAMETROS!$D$93)*(1+PARAMETROS!$E$93)*(1+PARAMETROS!$F$93)*(1+PARAMETROS!$G$93)*(1+PARAMETROS!$H$93)^Z$288</f>
        <v>0</v>
      </c>
      <c r="AA293" s="723">
        <f>AA277*(1+PARAMETROS!$C$93)*(1+PARAMETROS!$D$93)*(1+PARAMETROS!$E$93)*(1+PARAMETROS!$F$93)*(1+PARAMETROS!$G$93)*(1+PARAMETROS!$H$93)^AA$288</f>
        <v>0</v>
      </c>
      <c r="AB293" s="723">
        <f>AB277*(1+PARAMETROS!$C$93)*(1+PARAMETROS!$D$93)*(1+PARAMETROS!$E$93)*(1+PARAMETROS!$F$93)*(1+PARAMETROS!$G$93)*(1+PARAMETROS!$H$93)^AB$288</f>
        <v>0</v>
      </c>
      <c r="AC293" s="723">
        <f>AC277*(1+PARAMETROS!$C$93)*(1+PARAMETROS!$D$93)*(1+PARAMETROS!$E$93)*(1+PARAMETROS!$F$93)*(1+PARAMETROS!$G$93)*(1+PARAMETROS!$H$93)^AC$288</f>
        <v>111493.49830138155</v>
      </c>
      <c r="AD293" s="723">
        <f>AD277*(1+PARAMETROS!$C$93)*(1+PARAMETROS!$D$93)*(1+PARAMETROS!$E$93)*(1+PARAMETROS!$F$93)*(1+PARAMETROS!$G$93)*(1+PARAMETROS!$H$93)^AD$288</f>
        <v>141608.47927407053</v>
      </c>
      <c r="AE293" s="723">
        <f>AE277*(1+PARAMETROS!$C$93)*(1+PARAMETROS!$D$93)*(1+PARAMETROS!$E$93)*(1+PARAMETROS!$F$93)*(1+PARAMETROS!$G$93)*(1+PARAMETROS!$H$93)^AE$288</f>
        <v>0</v>
      </c>
      <c r="AF293" s="723">
        <f>AF277*(1+PARAMETROS!$C$93)*(1+PARAMETROS!$D$93)*(1+PARAMETROS!$E$93)*(1+PARAMETROS!$F$93)*(1+PARAMETROS!$G$93)*(1+PARAMETROS!$H$93)^AF$288</f>
        <v>0</v>
      </c>
      <c r="AG293" s="723">
        <f>AG277*(1+PARAMETROS!$C$93)*(1+PARAMETROS!$D$93)*(1+PARAMETROS!$E$93)*(1+PARAMETROS!$F$93)*(1+PARAMETROS!$G$93)*(1+PARAMETROS!$H$93)^AG$288</f>
        <v>0</v>
      </c>
      <c r="AH293" s="723">
        <f>AH277*(1+PARAMETROS!$C$93)*(1+PARAMETROS!$D$93)*(1+PARAMETROS!$E$93)*(1+PARAMETROS!$F$93)*(1+PARAMETROS!$G$93)*(1+PARAMETROS!$H$93)^AH$288</f>
        <v>0</v>
      </c>
      <c r="AI293" s="723">
        <f>AI277*(1+PARAMETROS!$C$93)*(1+PARAMETROS!$D$93)*(1+PARAMETROS!$E$93)*(1+PARAMETROS!$F$93)*(1+PARAMETROS!$G$93)*(1+PARAMETROS!$H$93)^AI$288</f>
        <v>0</v>
      </c>
      <c r="AJ293" s="723">
        <f>AJ277*(1+PARAMETROS!$C$93)*(1+PARAMETROS!$D$93)*(1+PARAMETROS!$E$93)*(1+PARAMETROS!$F$93)*(1+PARAMETROS!$G$93)*(1+PARAMETROS!$H$93)^AJ$288</f>
        <v>0</v>
      </c>
      <c r="AK293" s="723">
        <f>AK277*(1+PARAMETROS!$C$93)*(1+PARAMETROS!$D$93)*(1+PARAMETROS!$E$93)*(1+PARAMETROS!$F$93)*(1+PARAMETROS!$G$93)*(1+PARAMETROS!$H$93)^AK$288</f>
        <v>0</v>
      </c>
      <c r="AL293" s="723">
        <f>AL277*(1+PARAMETROS!$C$93)*(1+PARAMETROS!$D$93)*(1+PARAMETROS!$E$93)*(1+PARAMETROS!$F$93)*(1+PARAMETROS!$G$93)*(1+PARAMETROS!$H$93)^AL$288</f>
        <v>0</v>
      </c>
      <c r="AM293" s="723">
        <f>AM277*(1+PARAMETROS!$C$93)*(1+PARAMETROS!$D$93)*(1+PARAMETROS!$E$93)*(1+PARAMETROS!$F$93)*(1+PARAMETROS!$G$93)*(1+PARAMETROS!$H$93)^AM$288</f>
        <v>0</v>
      </c>
      <c r="AN293" s="723">
        <f>AN277*(1+PARAMETROS!$C$93)*(1+PARAMETROS!$D$93)*(1+PARAMETROS!$E$93)*(1+PARAMETROS!$F$93)*(1+PARAMETROS!$G$93)*(1+PARAMETROS!$H$93)^AN$288</f>
        <v>985350.03267373738</v>
      </c>
      <c r="AO293" s="723">
        <f>AO277*(1+PARAMETROS!$C$93)*(1+PARAMETROS!$D$93)*(1+PARAMETROS!$E$93)*(1+PARAMETROS!$F$93)*(1+PARAMETROS!$G$93)*(1+PARAMETROS!$H$93)^AO$288</f>
        <v>1733737.8644401112</v>
      </c>
      <c r="AP293" s="723">
        <f>AP277*(1+PARAMETROS!$C$93)*(1+PARAMETROS!$D$93)*(1+PARAMETROS!$E$93)*(1+PARAMETROS!$F$93)*(1+PARAMETROS!$G$93)*(1+PARAMETROS!$H$93)^AP$288</f>
        <v>789194.53622213157</v>
      </c>
      <c r="AQ293" s="723">
        <f>AQ277*(1+PARAMETROS!$C$93)*(1+PARAMETROS!$D$93)*(1+PARAMETROS!$E$93)*(1+PARAMETROS!$F$93)*(1+PARAMETROS!$G$93)*(1+PARAMETROS!$H$93)^AQ$288</f>
        <v>0</v>
      </c>
      <c r="AR293" s="723">
        <f>AR277*(1+PARAMETROS!$C$93)*(1+PARAMETROS!$D$93)*(1+PARAMETROS!$E$93)*(1+PARAMETROS!$F$93)*(1+PARAMETROS!$G$93)*(1+PARAMETROS!$H$93)^AR$288</f>
        <v>0</v>
      </c>
      <c r="AS293" s="723">
        <f>AS277*(1+PARAMETROS!$C$93)*(1+PARAMETROS!$D$93)*(1+PARAMETROS!$E$93)*(1+PARAMETROS!$F$93)*(1+PARAMETROS!$G$93)*(1+PARAMETROS!$H$93)^AS$288</f>
        <v>0</v>
      </c>
      <c r="AT293" s="723">
        <f>AT277*(1+PARAMETROS!$C$93)*(1+PARAMETROS!$D$93)*(1+PARAMETROS!$E$93)*(1+PARAMETROS!$F$93)*(1+PARAMETROS!$G$93)*(1+PARAMETROS!$H$93)^AT$288</f>
        <v>0</v>
      </c>
      <c r="AU293" s="723">
        <f>AU277*(1+PARAMETROS!$C$93)*(1+PARAMETROS!$D$93)*(1+PARAMETROS!$E$93)*(1+PARAMETROS!$F$93)*(1+PARAMETROS!$G$93)*(1+PARAMETROS!$H$93)^AU$288</f>
        <v>0</v>
      </c>
      <c r="AV293" s="723">
        <f>AV277*(1+PARAMETROS!$C$93)*(1+PARAMETROS!$D$93)*(1+PARAMETROS!$E$93)*(1+PARAMETROS!$F$93)*(1+PARAMETROS!$G$93)*(1+PARAMETROS!$H$93)^AV$288</f>
        <v>0</v>
      </c>
      <c r="AW293" s="723">
        <f>AW277*(1+PARAMETROS!$C$93)*(1+PARAMETROS!$D$93)*(1+PARAMETROS!$E$93)*(1+PARAMETROS!$F$93)*(1+PARAMETROS!$G$93)*(1+PARAMETROS!$H$93)^AW$288</f>
        <v>0</v>
      </c>
      <c r="AX293" s="723">
        <f>AX277*(1+PARAMETROS!$C$93)*(1+PARAMETROS!$D$93)*(1+PARAMETROS!$E$93)*(1+PARAMETROS!$F$93)*(1+PARAMETROS!$G$93)*(1+PARAMETROS!$H$93)^AX$288</f>
        <v>0</v>
      </c>
    </row>
    <row r="294" spans="1:50" x14ac:dyDescent="0.2">
      <c r="B294" s="710"/>
      <c r="C294" s="16"/>
      <c r="D294" s="740"/>
      <c r="E294" s="722"/>
      <c r="F294" s="723"/>
      <c r="G294" s="723"/>
      <c r="H294" s="723"/>
      <c r="I294" s="723"/>
      <c r="J294" s="723"/>
      <c r="K294" s="723"/>
      <c r="L294" s="722"/>
      <c r="M294" s="722"/>
      <c r="N294" s="722"/>
      <c r="O294" s="722"/>
      <c r="P294" s="722"/>
      <c r="Q294" s="722"/>
      <c r="R294" s="722"/>
      <c r="S294" s="722"/>
      <c r="T294" s="722"/>
      <c r="U294" s="722"/>
      <c r="V294" s="722"/>
      <c r="W294" s="722"/>
      <c r="X294" s="722"/>
      <c r="Y294" s="722"/>
      <c r="Z294" s="722"/>
      <c r="AA294" s="722"/>
      <c r="AB294" s="722"/>
      <c r="AC294" s="722"/>
      <c r="AD294" s="722"/>
      <c r="AE294" s="722"/>
      <c r="AF294" s="722"/>
      <c r="AG294" s="722"/>
      <c r="AH294" s="722"/>
      <c r="AI294" s="722"/>
      <c r="AJ294" s="722"/>
      <c r="AK294" s="722"/>
      <c r="AL294" s="722"/>
      <c r="AM294" s="722"/>
      <c r="AN294" s="722"/>
      <c r="AO294" s="722"/>
      <c r="AP294" s="722"/>
      <c r="AQ294" s="722"/>
      <c r="AR294" s="722"/>
      <c r="AS294" s="722"/>
      <c r="AT294" s="722"/>
      <c r="AU294" s="722"/>
      <c r="AV294" s="722"/>
      <c r="AW294" s="722"/>
      <c r="AX294" s="722"/>
    </row>
    <row r="295" spans="1:50" x14ac:dyDescent="0.2">
      <c r="B295" s="737" t="s">
        <v>407</v>
      </c>
      <c r="C295" s="16" t="s">
        <v>410</v>
      </c>
      <c r="D295" s="740" t="s">
        <v>412</v>
      </c>
      <c r="E295" s="722">
        <f>E289+E292</f>
        <v>2155356.6975317574</v>
      </c>
      <c r="F295" s="722">
        <f t="shared" ref="F295:AX295" si="252">F289+F292</f>
        <v>16255703.188509312</v>
      </c>
      <c r="G295" s="722">
        <f t="shared" si="252"/>
        <v>33590043.749177895</v>
      </c>
      <c r="H295" s="722">
        <f t="shared" si="252"/>
        <v>14747766.88283249</v>
      </c>
      <c r="I295" s="722">
        <f t="shared" si="252"/>
        <v>0</v>
      </c>
      <c r="J295" s="722">
        <f t="shared" si="252"/>
        <v>0</v>
      </c>
      <c r="K295" s="722">
        <f t="shared" si="252"/>
        <v>0</v>
      </c>
      <c r="L295" s="722">
        <f t="shared" si="252"/>
        <v>0</v>
      </c>
      <c r="M295" s="722">
        <f t="shared" si="252"/>
        <v>0</v>
      </c>
      <c r="N295" s="722">
        <f t="shared" si="252"/>
        <v>0</v>
      </c>
      <c r="O295" s="722">
        <f t="shared" si="252"/>
        <v>0</v>
      </c>
      <c r="P295" s="722">
        <f t="shared" si="252"/>
        <v>0</v>
      </c>
      <c r="Q295" s="722">
        <f t="shared" si="252"/>
        <v>0</v>
      </c>
      <c r="R295" s="722">
        <f t="shared" si="252"/>
        <v>2606103.0236810399</v>
      </c>
      <c r="S295" s="722">
        <f t="shared" si="252"/>
        <v>3313273.480438015</v>
      </c>
      <c r="T295" s="722">
        <f t="shared" si="252"/>
        <v>0</v>
      </c>
      <c r="U295" s="722">
        <f t="shared" si="252"/>
        <v>0</v>
      </c>
      <c r="V295" s="722">
        <f t="shared" si="252"/>
        <v>0</v>
      </c>
      <c r="W295" s="722">
        <f t="shared" si="252"/>
        <v>793448.55284781742</v>
      </c>
      <c r="X295" s="722">
        <f t="shared" si="252"/>
        <v>5762768.3469269481</v>
      </c>
      <c r="Y295" s="722">
        <f t="shared" si="252"/>
        <v>2590746.9621835547</v>
      </c>
      <c r="Z295" s="722">
        <f t="shared" si="252"/>
        <v>0</v>
      </c>
      <c r="AA295" s="722">
        <f t="shared" si="252"/>
        <v>0</v>
      </c>
      <c r="AB295" s="722">
        <f t="shared" si="252"/>
        <v>0</v>
      </c>
      <c r="AC295" s="722">
        <f t="shared" si="252"/>
        <v>3240361.5446746247</v>
      </c>
      <c r="AD295" s="722">
        <f t="shared" si="252"/>
        <v>4119639.1222619596</v>
      </c>
      <c r="AE295" s="722">
        <f t="shared" si="252"/>
        <v>0</v>
      </c>
      <c r="AF295" s="722">
        <f t="shared" si="252"/>
        <v>0</v>
      </c>
      <c r="AG295" s="722">
        <f t="shared" si="252"/>
        <v>0</v>
      </c>
      <c r="AH295" s="722">
        <f t="shared" si="252"/>
        <v>0</v>
      </c>
      <c r="AI295" s="722">
        <f t="shared" si="252"/>
        <v>0</v>
      </c>
      <c r="AJ295" s="722">
        <f t="shared" si="252"/>
        <v>0</v>
      </c>
      <c r="AK295" s="722">
        <f t="shared" si="252"/>
        <v>0</v>
      </c>
      <c r="AL295" s="722">
        <f t="shared" si="252"/>
        <v>0</v>
      </c>
      <c r="AM295" s="722">
        <f t="shared" si="252"/>
        <v>0</v>
      </c>
      <c r="AN295" s="722">
        <f t="shared" si="252"/>
        <v>5140001.8222542414</v>
      </c>
      <c r="AO295" s="722">
        <f t="shared" si="252"/>
        <v>13094663.360934438</v>
      </c>
      <c r="AP295" s="722">
        <f t="shared" si="252"/>
        <v>3594739.8189749704</v>
      </c>
      <c r="AQ295" s="722">
        <f t="shared" si="252"/>
        <v>0</v>
      </c>
      <c r="AR295" s="722">
        <f t="shared" si="252"/>
        <v>0</v>
      </c>
      <c r="AS295" s="722">
        <f t="shared" si="252"/>
        <v>0</v>
      </c>
      <c r="AT295" s="722">
        <f t="shared" si="252"/>
        <v>0</v>
      </c>
      <c r="AU295" s="722">
        <f t="shared" si="252"/>
        <v>0</v>
      </c>
      <c r="AV295" s="722">
        <f t="shared" si="252"/>
        <v>0</v>
      </c>
      <c r="AW295" s="722">
        <f t="shared" si="252"/>
        <v>0</v>
      </c>
      <c r="AX295" s="722">
        <f t="shared" si="252"/>
        <v>0</v>
      </c>
    </row>
    <row r="296" spans="1:50" x14ac:dyDescent="0.2">
      <c r="B296" s="737" t="s">
        <v>408</v>
      </c>
      <c r="C296" s="16" t="s">
        <v>410</v>
      </c>
      <c r="D296" s="740" t="s">
        <v>412</v>
      </c>
      <c r="E296" s="722">
        <f>E290+E293</f>
        <v>5813637.9554049624</v>
      </c>
      <c r="F296" s="722">
        <f t="shared" ref="F296:AX296" si="253">F290+F293</f>
        <v>14982269.862007843</v>
      </c>
      <c r="G296" s="722">
        <f t="shared" si="253"/>
        <v>49020199.840237044</v>
      </c>
      <c r="H296" s="722">
        <f t="shared" si="253"/>
        <v>18985815.007637981</v>
      </c>
      <c r="I296" s="722">
        <f t="shared" si="253"/>
        <v>0</v>
      </c>
      <c r="J296" s="722">
        <f t="shared" si="253"/>
        <v>0</v>
      </c>
      <c r="K296" s="722">
        <f t="shared" si="253"/>
        <v>0</v>
      </c>
      <c r="L296" s="722">
        <f t="shared" si="253"/>
        <v>0</v>
      </c>
      <c r="M296" s="722">
        <f t="shared" si="253"/>
        <v>0</v>
      </c>
      <c r="N296" s="722">
        <f t="shared" si="253"/>
        <v>0</v>
      </c>
      <c r="O296" s="722">
        <f t="shared" si="253"/>
        <v>0</v>
      </c>
      <c r="P296" s="722">
        <f t="shared" si="253"/>
        <v>0</v>
      </c>
      <c r="Q296" s="722">
        <f t="shared" si="253"/>
        <v>0</v>
      </c>
      <c r="R296" s="722">
        <f t="shared" si="253"/>
        <v>601080.86191129335</v>
      </c>
      <c r="S296" s="722">
        <f t="shared" si="253"/>
        <v>763435.96777204284</v>
      </c>
      <c r="T296" s="722">
        <f t="shared" si="253"/>
        <v>0</v>
      </c>
      <c r="U296" s="722">
        <f t="shared" si="253"/>
        <v>0</v>
      </c>
      <c r="V296" s="722">
        <f t="shared" si="253"/>
        <v>0</v>
      </c>
      <c r="W296" s="722">
        <f t="shared" si="253"/>
        <v>3252327.4360371097</v>
      </c>
      <c r="X296" s="722">
        <f t="shared" si="253"/>
        <v>6315179.1228960026</v>
      </c>
      <c r="Y296" s="722">
        <f t="shared" si="253"/>
        <v>3087137.9969514953</v>
      </c>
      <c r="Z296" s="722">
        <f t="shared" si="253"/>
        <v>0</v>
      </c>
      <c r="AA296" s="722">
        <f t="shared" si="253"/>
        <v>0</v>
      </c>
      <c r="AB296" s="722">
        <f t="shared" si="253"/>
        <v>0</v>
      </c>
      <c r="AC296" s="722">
        <f t="shared" si="253"/>
        <v>739348.0377094436</v>
      </c>
      <c r="AD296" s="722">
        <f t="shared" si="253"/>
        <v>939049.83581455285</v>
      </c>
      <c r="AE296" s="722">
        <f t="shared" si="253"/>
        <v>0</v>
      </c>
      <c r="AF296" s="722">
        <f t="shared" si="253"/>
        <v>0</v>
      </c>
      <c r="AG296" s="722">
        <f t="shared" si="253"/>
        <v>0</v>
      </c>
      <c r="AH296" s="722">
        <f t="shared" si="253"/>
        <v>0</v>
      </c>
      <c r="AI296" s="722">
        <f t="shared" si="253"/>
        <v>0</v>
      </c>
      <c r="AJ296" s="722">
        <f t="shared" si="253"/>
        <v>0</v>
      </c>
      <c r="AK296" s="722">
        <f t="shared" si="253"/>
        <v>0</v>
      </c>
      <c r="AL296" s="722">
        <f t="shared" si="253"/>
        <v>0</v>
      </c>
      <c r="AM296" s="722">
        <f t="shared" si="253"/>
        <v>0</v>
      </c>
      <c r="AN296" s="722">
        <f t="shared" si="253"/>
        <v>5388156.1873233393</v>
      </c>
      <c r="AO296" s="722">
        <f t="shared" si="253"/>
        <v>9679445.782572465</v>
      </c>
      <c r="AP296" s="722">
        <f t="shared" si="253"/>
        <v>4192777.9355637692</v>
      </c>
      <c r="AQ296" s="722">
        <f t="shared" si="253"/>
        <v>0</v>
      </c>
      <c r="AR296" s="722">
        <f t="shared" si="253"/>
        <v>0</v>
      </c>
      <c r="AS296" s="722">
        <f t="shared" si="253"/>
        <v>0</v>
      </c>
      <c r="AT296" s="722">
        <f t="shared" si="253"/>
        <v>0</v>
      </c>
      <c r="AU296" s="722">
        <f t="shared" si="253"/>
        <v>0</v>
      </c>
      <c r="AV296" s="722">
        <f t="shared" si="253"/>
        <v>0</v>
      </c>
      <c r="AW296" s="722">
        <f t="shared" si="253"/>
        <v>0</v>
      </c>
      <c r="AX296" s="722">
        <f t="shared" si="253"/>
        <v>0</v>
      </c>
    </row>
    <row r="297" spans="1:50" x14ac:dyDescent="0.2">
      <c r="B297" s="737"/>
      <c r="C297" s="16"/>
      <c r="D297" s="740"/>
      <c r="E297" s="722"/>
      <c r="F297" s="722"/>
      <c r="G297" s="722"/>
      <c r="H297" s="722"/>
      <c r="I297" s="724"/>
    </row>
    <row r="298" spans="1:50" s="750" customFormat="1" x14ac:dyDescent="0.2">
      <c r="B298" s="738" t="s">
        <v>415</v>
      </c>
      <c r="C298" s="751" t="s">
        <v>409</v>
      </c>
      <c r="D298" s="725" t="s">
        <v>412</v>
      </c>
      <c r="E298" s="741">
        <f>E289+E290</f>
        <v>7217680.5455314573</v>
      </c>
      <c r="F298" s="741">
        <f t="shared" ref="F298:AX298" si="254">F289+F290</f>
        <v>25976311.77290494</v>
      </c>
      <c r="G298" s="741">
        <f t="shared" si="254"/>
        <v>66708323.717887178</v>
      </c>
      <c r="H298" s="741">
        <f t="shared" si="254"/>
        <v>27380475.56786824</v>
      </c>
      <c r="I298" s="741">
        <f t="shared" si="254"/>
        <v>0</v>
      </c>
      <c r="J298" s="741">
        <f t="shared" si="254"/>
        <v>0</v>
      </c>
      <c r="K298" s="741">
        <f t="shared" si="254"/>
        <v>0</v>
      </c>
      <c r="L298" s="741">
        <f t="shared" si="254"/>
        <v>0</v>
      </c>
      <c r="M298" s="741">
        <f t="shared" si="254"/>
        <v>0</v>
      </c>
      <c r="N298" s="741">
        <f t="shared" si="254"/>
        <v>0</v>
      </c>
      <c r="O298" s="741">
        <f t="shared" si="254"/>
        <v>0</v>
      </c>
      <c r="P298" s="741">
        <f t="shared" si="254"/>
        <v>0</v>
      </c>
      <c r="Q298" s="741">
        <f t="shared" si="254"/>
        <v>0</v>
      </c>
      <c r="R298" s="741">
        <f t="shared" si="254"/>
        <v>2723541.3615541044</v>
      </c>
      <c r="S298" s="741">
        <f t="shared" si="254"/>
        <v>3461942.6878256085</v>
      </c>
      <c r="T298" s="741">
        <f t="shared" si="254"/>
        <v>0</v>
      </c>
      <c r="U298" s="741">
        <f t="shared" si="254"/>
        <v>0</v>
      </c>
      <c r="V298" s="741">
        <f t="shared" si="254"/>
        <v>0</v>
      </c>
      <c r="W298" s="741">
        <f t="shared" si="254"/>
        <v>3273399.4420900545</v>
      </c>
      <c r="X298" s="741">
        <f t="shared" si="254"/>
        <v>9774797.0868826061</v>
      </c>
      <c r="Y298" s="741">
        <f t="shared" si="254"/>
        <v>4580502.0888430635</v>
      </c>
      <c r="Z298" s="741">
        <f t="shared" si="254"/>
        <v>0</v>
      </c>
      <c r="AA298" s="741">
        <f t="shared" si="254"/>
        <v>0</v>
      </c>
      <c r="AB298" s="741">
        <f t="shared" si="254"/>
        <v>0</v>
      </c>
      <c r="AC298" s="741">
        <f t="shared" si="254"/>
        <v>3379570.3773918124</v>
      </c>
      <c r="AD298" s="741">
        <f t="shared" si="254"/>
        <v>4295839.9343584403</v>
      </c>
      <c r="AE298" s="741">
        <f t="shared" si="254"/>
        <v>0</v>
      </c>
      <c r="AF298" s="741">
        <f t="shared" si="254"/>
        <v>0</v>
      </c>
      <c r="AG298" s="741">
        <f t="shared" si="254"/>
        <v>0</v>
      </c>
      <c r="AH298" s="741">
        <f t="shared" si="254"/>
        <v>0</v>
      </c>
      <c r="AI298" s="741">
        <f t="shared" si="254"/>
        <v>0</v>
      </c>
      <c r="AJ298" s="741">
        <f t="shared" si="254"/>
        <v>0</v>
      </c>
      <c r="AK298" s="741">
        <f t="shared" si="254"/>
        <v>0</v>
      </c>
      <c r="AL298" s="741">
        <f t="shared" si="254"/>
        <v>0</v>
      </c>
      <c r="AM298" s="741">
        <f t="shared" si="254"/>
        <v>0</v>
      </c>
      <c r="AN298" s="741">
        <f t="shared" si="254"/>
        <v>8716196.7525265142</v>
      </c>
      <c r="AO298" s="741">
        <f t="shared" si="254"/>
        <v>18683131.091712683</v>
      </c>
      <c r="AP298" s="741">
        <f t="shared" si="254"/>
        <v>6282665.206120478</v>
      </c>
      <c r="AQ298" s="741">
        <f t="shared" si="254"/>
        <v>0</v>
      </c>
      <c r="AR298" s="741">
        <f t="shared" si="254"/>
        <v>0</v>
      </c>
      <c r="AS298" s="741">
        <f t="shared" si="254"/>
        <v>0</v>
      </c>
      <c r="AT298" s="741">
        <f t="shared" si="254"/>
        <v>0</v>
      </c>
      <c r="AU298" s="741">
        <f t="shared" si="254"/>
        <v>0</v>
      </c>
      <c r="AV298" s="741">
        <f t="shared" si="254"/>
        <v>0</v>
      </c>
      <c r="AW298" s="741">
        <f t="shared" si="254"/>
        <v>0</v>
      </c>
      <c r="AX298" s="741">
        <f t="shared" si="254"/>
        <v>0</v>
      </c>
    </row>
    <row r="299" spans="1:50" x14ac:dyDescent="0.2">
      <c r="A299" s="750"/>
      <c r="B299" s="738" t="s">
        <v>415</v>
      </c>
      <c r="C299" s="751" t="s">
        <v>410</v>
      </c>
      <c r="D299" s="725" t="s">
        <v>412</v>
      </c>
      <c r="E299" s="741">
        <f>E295+E296</f>
        <v>7968994.6529367194</v>
      </c>
      <c r="F299" s="741">
        <f t="shared" ref="F299:AX299" si="255">F295+F296</f>
        <v>31237973.050517157</v>
      </c>
      <c r="G299" s="741">
        <f t="shared" si="255"/>
        <v>82610243.589414939</v>
      </c>
      <c r="H299" s="741">
        <f t="shared" si="255"/>
        <v>33733581.890470475</v>
      </c>
      <c r="I299" s="741">
        <f t="shared" si="255"/>
        <v>0</v>
      </c>
      <c r="J299" s="741">
        <f t="shared" si="255"/>
        <v>0</v>
      </c>
      <c r="K299" s="741">
        <f t="shared" si="255"/>
        <v>0</v>
      </c>
      <c r="L299" s="741">
        <f t="shared" si="255"/>
        <v>0</v>
      </c>
      <c r="M299" s="741">
        <f t="shared" si="255"/>
        <v>0</v>
      </c>
      <c r="N299" s="741">
        <f t="shared" si="255"/>
        <v>0</v>
      </c>
      <c r="O299" s="741">
        <f t="shared" si="255"/>
        <v>0</v>
      </c>
      <c r="P299" s="741">
        <f t="shared" si="255"/>
        <v>0</v>
      </c>
      <c r="Q299" s="741">
        <f t="shared" si="255"/>
        <v>0</v>
      </c>
      <c r="R299" s="741">
        <f t="shared" si="255"/>
        <v>3207183.885592333</v>
      </c>
      <c r="S299" s="741">
        <f t="shared" si="255"/>
        <v>4076709.4482100578</v>
      </c>
      <c r="T299" s="741">
        <f t="shared" si="255"/>
        <v>0</v>
      </c>
      <c r="U299" s="741">
        <f t="shared" si="255"/>
        <v>0</v>
      </c>
      <c r="V299" s="741">
        <f t="shared" si="255"/>
        <v>0</v>
      </c>
      <c r="W299" s="741">
        <f t="shared" si="255"/>
        <v>4045775.9888849272</v>
      </c>
      <c r="X299" s="741">
        <f t="shared" si="255"/>
        <v>12077947.469822951</v>
      </c>
      <c r="Y299" s="741">
        <f t="shared" si="255"/>
        <v>5677884.95913505</v>
      </c>
      <c r="Z299" s="741">
        <f t="shared" si="255"/>
        <v>0</v>
      </c>
      <c r="AA299" s="741">
        <f t="shared" si="255"/>
        <v>0</v>
      </c>
      <c r="AB299" s="741">
        <f t="shared" si="255"/>
        <v>0</v>
      </c>
      <c r="AC299" s="741">
        <f t="shared" si="255"/>
        <v>3979709.5823840685</v>
      </c>
      <c r="AD299" s="741">
        <f t="shared" si="255"/>
        <v>5058688.9580765124</v>
      </c>
      <c r="AE299" s="741">
        <f t="shared" si="255"/>
        <v>0</v>
      </c>
      <c r="AF299" s="741">
        <f t="shared" si="255"/>
        <v>0</v>
      </c>
      <c r="AG299" s="741">
        <f t="shared" si="255"/>
        <v>0</v>
      </c>
      <c r="AH299" s="741">
        <f t="shared" si="255"/>
        <v>0</v>
      </c>
      <c r="AI299" s="741">
        <f t="shared" si="255"/>
        <v>0</v>
      </c>
      <c r="AJ299" s="741">
        <f t="shared" si="255"/>
        <v>0</v>
      </c>
      <c r="AK299" s="741">
        <f t="shared" si="255"/>
        <v>0</v>
      </c>
      <c r="AL299" s="741">
        <f t="shared" si="255"/>
        <v>0</v>
      </c>
      <c r="AM299" s="741">
        <f t="shared" si="255"/>
        <v>0</v>
      </c>
      <c r="AN299" s="741">
        <f t="shared" si="255"/>
        <v>10528158.00957758</v>
      </c>
      <c r="AO299" s="741">
        <f t="shared" si="255"/>
        <v>22774109.143506903</v>
      </c>
      <c r="AP299" s="741">
        <f t="shared" si="255"/>
        <v>7787517.7545387391</v>
      </c>
      <c r="AQ299" s="741">
        <f t="shared" si="255"/>
        <v>0</v>
      </c>
      <c r="AR299" s="741">
        <f t="shared" si="255"/>
        <v>0</v>
      </c>
      <c r="AS299" s="741">
        <f t="shared" si="255"/>
        <v>0</v>
      </c>
      <c r="AT299" s="741">
        <f t="shared" si="255"/>
        <v>0</v>
      </c>
      <c r="AU299" s="741">
        <f t="shared" si="255"/>
        <v>0</v>
      </c>
      <c r="AV299" s="741">
        <f t="shared" si="255"/>
        <v>0</v>
      </c>
      <c r="AW299" s="741">
        <f t="shared" si="255"/>
        <v>0</v>
      </c>
      <c r="AX299" s="741">
        <f t="shared" si="255"/>
        <v>0</v>
      </c>
    </row>
    <row r="300" spans="1:50" x14ac:dyDescent="0.2">
      <c r="B300" s="710"/>
      <c r="E300" s="722"/>
      <c r="F300" s="722"/>
      <c r="G300" s="722"/>
      <c r="H300" s="722"/>
      <c r="I300" s="724"/>
    </row>
    <row r="301" spans="1:50" x14ac:dyDescent="0.2">
      <c r="B301" s="710"/>
      <c r="E301" s="722"/>
      <c r="F301" s="722"/>
      <c r="G301" s="722"/>
      <c r="H301" s="722"/>
      <c r="I301" s="724"/>
    </row>
    <row r="302" spans="1:50" x14ac:dyDescent="0.2">
      <c r="B302" s="743" t="s">
        <v>414</v>
      </c>
      <c r="C302" s="744"/>
      <c r="D302" s="745"/>
      <c r="E302" s="746"/>
      <c r="F302" s="746"/>
      <c r="G302" s="746"/>
      <c r="H302" s="747"/>
      <c r="I302" s="748"/>
      <c r="J302" s="731"/>
      <c r="K302" s="731"/>
      <c r="L302" s="731"/>
      <c r="M302" s="731"/>
      <c r="N302" s="731"/>
      <c r="O302" s="731"/>
      <c r="P302" s="731"/>
      <c r="Q302" s="731"/>
      <c r="R302" s="731"/>
      <c r="S302" s="731"/>
      <c r="T302" s="731"/>
      <c r="U302" s="731"/>
      <c r="V302" s="731"/>
      <c r="W302" s="731"/>
      <c r="X302" s="731"/>
      <c r="Y302" s="731"/>
      <c r="Z302" s="731"/>
      <c r="AA302" s="731"/>
      <c r="AB302" s="731"/>
      <c r="AC302" s="731"/>
      <c r="AD302" s="731"/>
      <c r="AE302" s="731"/>
      <c r="AF302" s="731"/>
      <c r="AG302" s="731"/>
      <c r="AH302" s="731"/>
      <c r="AI302" s="731"/>
      <c r="AJ302" s="731"/>
      <c r="AK302" s="731"/>
      <c r="AL302" s="731"/>
      <c r="AM302" s="731"/>
      <c r="AN302" s="731"/>
      <c r="AO302" s="749"/>
      <c r="AP302" s="749"/>
      <c r="AQ302" s="749"/>
      <c r="AR302" s="749"/>
      <c r="AS302" s="749"/>
      <c r="AT302" s="749"/>
      <c r="AU302" s="749"/>
      <c r="AV302" s="749"/>
      <c r="AW302" s="749"/>
      <c r="AX302" s="749"/>
    </row>
    <row r="303" spans="1:50" x14ac:dyDescent="0.2">
      <c r="B303" s="710"/>
      <c r="E303" s="722"/>
      <c r="F303" s="722"/>
      <c r="G303" s="722"/>
      <c r="H303" s="722"/>
      <c r="I303" s="724"/>
    </row>
    <row r="304" spans="1:50" x14ac:dyDescent="0.2">
      <c r="B304" s="710"/>
      <c r="E304" s="754">
        <f>E287</f>
        <v>2015</v>
      </c>
      <c r="F304" s="754">
        <f t="shared" ref="F304:AX304" si="256">F287</f>
        <v>2016</v>
      </c>
      <c r="G304" s="754">
        <f t="shared" si="256"/>
        <v>2017</v>
      </c>
      <c r="H304" s="754">
        <f t="shared" si="256"/>
        <v>2018</v>
      </c>
      <c r="I304" s="754">
        <f t="shared" si="256"/>
        <v>2019</v>
      </c>
      <c r="J304" s="754">
        <f t="shared" si="256"/>
        <v>2020</v>
      </c>
      <c r="K304" s="754">
        <f t="shared" si="256"/>
        <v>2021</v>
      </c>
      <c r="L304" s="754">
        <f t="shared" si="256"/>
        <v>2022</v>
      </c>
      <c r="M304" s="754">
        <f t="shared" si="256"/>
        <v>2023</v>
      </c>
      <c r="N304" s="754">
        <f t="shared" si="256"/>
        <v>2024</v>
      </c>
      <c r="O304" s="754">
        <f t="shared" si="256"/>
        <v>2025</v>
      </c>
      <c r="P304" s="754">
        <f t="shared" si="256"/>
        <v>2026</v>
      </c>
      <c r="Q304" s="754">
        <f t="shared" si="256"/>
        <v>2027</v>
      </c>
      <c r="R304" s="754">
        <f t="shared" si="256"/>
        <v>2028</v>
      </c>
      <c r="S304" s="754">
        <f t="shared" si="256"/>
        <v>2029</v>
      </c>
      <c r="T304" s="754">
        <f t="shared" si="256"/>
        <v>2030</v>
      </c>
      <c r="U304" s="754">
        <f t="shared" si="256"/>
        <v>2031</v>
      </c>
      <c r="V304" s="754">
        <f t="shared" si="256"/>
        <v>2032</v>
      </c>
      <c r="W304" s="754">
        <f t="shared" si="256"/>
        <v>2033</v>
      </c>
      <c r="X304" s="754">
        <f t="shared" si="256"/>
        <v>2034</v>
      </c>
      <c r="Y304" s="754">
        <f t="shared" si="256"/>
        <v>2035</v>
      </c>
      <c r="Z304" s="754">
        <f t="shared" si="256"/>
        <v>2036</v>
      </c>
      <c r="AA304" s="754">
        <f t="shared" si="256"/>
        <v>2037</v>
      </c>
      <c r="AB304" s="754">
        <f t="shared" si="256"/>
        <v>2038</v>
      </c>
      <c r="AC304" s="754">
        <f t="shared" si="256"/>
        <v>2039</v>
      </c>
      <c r="AD304" s="754">
        <f t="shared" si="256"/>
        <v>2040</v>
      </c>
      <c r="AE304" s="754">
        <f t="shared" si="256"/>
        <v>2041</v>
      </c>
      <c r="AF304" s="754">
        <f t="shared" si="256"/>
        <v>2042</v>
      </c>
      <c r="AG304" s="754">
        <f t="shared" si="256"/>
        <v>2043</v>
      </c>
      <c r="AH304" s="754">
        <f t="shared" si="256"/>
        <v>2044</v>
      </c>
      <c r="AI304" s="754">
        <f t="shared" si="256"/>
        <v>2045</v>
      </c>
      <c r="AJ304" s="754">
        <f t="shared" si="256"/>
        <v>2046</v>
      </c>
      <c r="AK304" s="754">
        <f t="shared" si="256"/>
        <v>2047</v>
      </c>
      <c r="AL304" s="754">
        <f t="shared" si="256"/>
        <v>2048</v>
      </c>
      <c r="AM304" s="754">
        <f t="shared" si="256"/>
        <v>2049</v>
      </c>
      <c r="AN304" s="754">
        <f t="shared" si="256"/>
        <v>2050</v>
      </c>
      <c r="AO304" s="754">
        <f t="shared" si="256"/>
        <v>2051</v>
      </c>
      <c r="AP304" s="754">
        <f t="shared" si="256"/>
        <v>2052</v>
      </c>
      <c r="AQ304" s="754">
        <f t="shared" si="256"/>
        <v>2053</v>
      </c>
      <c r="AR304" s="754">
        <f t="shared" si="256"/>
        <v>2054</v>
      </c>
      <c r="AS304" s="754">
        <f t="shared" si="256"/>
        <v>2055</v>
      </c>
      <c r="AT304" s="754">
        <f t="shared" si="256"/>
        <v>2056</v>
      </c>
      <c r="AU304" s="754">
        <f t="shared" si="256"/>
        <v>2057</v>
      </c>
      <c r="AV304" s="754">
        <f t="shared" si="256"/>
        <v>2058</v>
      </c>
      <c r="AW304" s="754">
        <f t="shared" si="256"/>
        <v>2059</v>
      </c>
      <c r="AX304" s="754">
        <f t="shared" si="256"/>
        <v>2060</v>
      </c>
    </row>
    <row r="305" spans="2:50" x14ac:dyDescent="0.2">
      <c r="B305" s="710"/>
      <c r="E305" s="722"/>
      <c r="F305" s="722"/>
      <c r="G305" s="1"/>
      <c r="H305" s="1"/>
      <c r="I305" s="1"/>
      <c r="J305" s="1"/>
      <c r="K305" s="755">
        <v>1</v>
      </c>
      <c r="L305" s="756">
        <v>2</v>
      </c>
      <c r="M305" s="755">
        <v>3</v>
      </c>
      <c r="N305" s="755">
        <v>4</v>
      </c>
      <c r="O305" s="756">
        <v>5</v>
      </c>
      <c r="P305" s="755">
        <v>6</v>
      </c>
      <c r="Q305" s="755">
        <v>7</v>
      </c>
      <c r="R305" s="756">
        <v>8</v>
      </c>
      <c r="S305" s="755">
        <v>9</v>
      </c>
      <c r="T305" s="755">
        <v>10</v>
      </c>
      <c r="U305" s="756">
        <v>11</v>
      </c>
      <c r="V305" s="755">
        <v>12</v>
      </c>
      <c r="W305" s="755">
        <v>13</v>
      </c>
      <c r="X305" s="756">
        <v>14</v>
      </c>
      <c r="Y305" s="755">
        <v>15</v>
      </c>
      <c r="Z305" s="755">
        <v>16</v>
      </c>
      <c r="AA305" s="756">
        <v>17</v>
      </c>
      <c r="AB305" s="755">
        <v>18</v>
      </c>
      <c r="AC305" s="755">
        <v>19</v>
      </c>
      <c r="AD305" s="756">
        <v>20</v>
      </c>
      <c r="AE305" s="755">
        <v>21</v>
      </c>
      <c r="AF305" s="755">
        <v>22</v>
      </c>
      <c r="AG305" s="756">
        <v>23</v>
      </c>
      <c r="AH305" s="755">
        <v>24</v>
      </c>
      <c r="AI305" s="755">
        <v>25</v>
      </c>
      <c r="AJ305" s="756">
        <v>26</v>
      </c>
      <c r="AK305" s="755">
        <v>27</v>
      </c>
      <c r="AL305" s="755">
        <v>28</v>
      </c>
      <c r="AM305" s="756">
        <v>29</v>
      </c>
      <c r="AN305" s="755">
        <v>30</v>
      </c>
      <c r="AO305" s="755">
        <v>31</v>
      </c>
      <c r="AP305" s="756">
        <v>32</v>
      </c>
      <c r="AQ305" s="755">
        <v>33</v>
      </c>
      <c r="AR305" s="755">
        <v>34</v>
      </c>
      <c r="AS305" s="756">
        <v>35</v>
      </c>
      <c r="AT305" s="755">
        <v>36</v>
      </c>
      <c r="AU305" s="755">
        <v>37</v>
      </c>
      <c r="AV305" s="756">
        <v>38</v>
      </c>
      <c r="AW305" s="755">
        <v>39</v>
      </c>
      <c r="AX305" s="755">
        <v>40</v>
      </c>
    </row>
    <row r="306" spans="2:50" x14ac:dyDescent="0.2">
      <c r="B306" s="737" t="s">
        <v>407</v>
      </c>
      <c r="C306" s="16" t="s">
        <v>409</v>
      </c>
      <c r="D306" s="740" t="s">
        <v>412</v>
      </c>
      <c r="E306" s="757">
        <f>E273</f>
        <v>1952150.400643446</v>
      </c>
      <c r="F306" s="757">
        <f>F273*(1+PARAMETROS!$C$89)</f>
        <v>13245866.09789185</v>
      </c>
      <c r="G306" s="757">
        <f>G273*(1+PARAMETROS!$C$89)*(1+PARAMETROS!$D$89)</f>
        <v>27551017.770770062</v>
      </c>
      <c r="H306" s="757">
        <f>H273*(1+PARAMETROS!$C$89)*(1+PARAMETROS!$D$89)*(1+PARAMETROS!$E$89)</f>
        <v>12434752.724993302</v>
      </c>
      <c r="I306" s="757">
        <f>I273*(1+PARAMETROS!$C$89)*(1+PARAMETROS!$D$89)*(1+PARAMETROS!$E$89)*(1+PARAMETROS!$F$89)</f>
        <v>0</v>
      </c>
      <c r="J306" s="757">
        <f>J273*(1+PARAMETROS!$C$89)*(1+PARAMETROS!$D$89)*(1+PARAMETROS!$E$89)*(1+PARAMETROS!$F$89)*(1+PARAMETROS!$G$89)</f>
        <v>0</v>
      </c>
      <c r="K306" s="757">
        <f>K273*(1+PARAMETROS!$C$89)*(1+PARAMETROS!$D$89)*(1+PARAMETROS!$E$89)*(1+PARAMETROS!$F$89)*(1+PARAMETROS!$G$89)*(1+PARAMETROS!$H$89)^K$305</f>
        <v>0</v>
      </c>
      <c r="L306" s="723">
        <f>L273*(1+PARAMETROS!$C$89)*(1+PARAMETROS!$D$89)*(1+PARAMETROS!$E$89)*(1+PARAMETROS!$F$89)*(1+PARAMETROS!$G$89)*(1+PARAMETROS!$H$89)^L$305</f>
        <v>0</v>
      </c>
      <c r="M306" s="723">
        <f>M273*(1+PARAMETROS!$C$89)*(1+PARAMETROS!$D$89)*(1+PARAMETROS!$E$89)*(1+PARAMETROS!$F$89)*(1+PARAMETROS!$G$89)*(1+PARAMETROS!$H$89)^M$305</f>
        <v>0</v>
      </c>
      <c r="N306" s="723">
        <f>N273*(1+PARAMETROS!$C$89)*(1+PARAMETROS!$D$89)*(1+PARAMETROS!$E$89)*(1+PARAMETROS!$F$89)*(1+PARAMETROS!$G$89)*(1+PARAMETROS!$H$89)^N$305</f>
        <v>0</v>
      </c>
      <c r="O306" s="723">
        <f>O273*(1+PARAMETROS!$C$89)*(1+PARAMETROS!$D$89)*(1+PARAMETROS!$E$89)*(1+PARAMETROS!$F$89)*(1+PARAMETROS!$G$89)*(1+PARAMETROS!$H$89)^O$305</f>
        <v>0</v>
      </c>
      <c r="P306" s="723">
        <f>P273*(1+PARAMETROS!$C$89)*(1+PARAMETROS!$D$89)*(1+PARAMETROS!$E$89)*(1+PARAMETROS!$F$89)*(1+PARAMETROS!$G$89)*(1+PARAMETROS!$H$89)^P$305</f>
        <v>0</v>
      </c>
      <c r="Q306" s="723">
        <f>Q273*(1+PARAMETROS!$C$89)*(1+PARAMETROS!$D$89)*(1+PARAMETROS!$E$89)*(1+PARAMETROS!$F$89)*(1+PARAMETROS!$G$89)*(1+PARAMETROS!$H$89)^Q$305</f>
        <v>0</v>
      </c>
      <c r="R306" s="723">
        <f>R273*(1+PARAMETROS!$C$89)*(1+PARAMETROS!$D$89)*(1+PARAMETROS!$E$89)*(1+PARAMETROS!$F$89)*(1+PARAMETROS!$G$89)*(1+PARAMETROS!$H$89)^R$305</f>
        <v>2792780.0574933239</v>
      </c>
      <c r="S306" s="723">
        <f>S273*(1+PARAMETROS!$C$89)*(1+PARAMETROS!$D$89)*(1+PARAMETROS!$E$89)*(1+PARAMETROS!$F$89)*(1+PARAMETROS!$G$89)*(1+PARAMETROS!$H$89)^S$305</f>
        <v>3620225.3611253751</v>
      </c>
      <c r="T306" s="723">
        <f>T273*(1+PARAMETROS!$C$89)*(1+PARAMETROS!$D$89)*(1+PARAMETROS!$E$89)*(1+PARAMETROS!$F$89)*(1+PARAMETROS!$G$89)*(1+PARAMETROS!$H$89)^T$305</f>
        <v>0</v>
      </c>
      <c r="U306" s="723">
        <f>U273*(1+PARAMETROS!$C$89)*(1+PARAMETROS!$D$89)*(1+PARAMETROS!$E$89)*(1+PARAMETROS!$F$89)*(1+PARAMETROS!$G$89)*(1+PARAMETROS!$H$89)^U$305</f>
        <v>0</v>
      </c>
      <c r="V306" s="723">
        <f>V273*(1+PARAMETROS!$C$89)*(1+PARAMETROS!$D$89)*(1+PARAMETROS!$E$89)*(1+PARAMETROS!$F$89)*(1+PARAMETROS!$G$89)*(1+PARAMETROS!$H$89)^V$305</f>
        <v>0</v>
      </c>
      <c r="W306" s="723">
        <f>W273*(1+PARAMETROS!$C$89)*(1+PARAMETROS!$D$89)*(1+PARAMETROS!$E$89)*(1+PARAMETROS!$F$89)*(1+PARAMETROS!$G$89)*(1+PARAMETROS!$H$89)^W$305</f>
        <v>885833.32421119662</v>
      </c>
      <c r="X306" s="723">
        <f>X273*(1+PARAMETROS!$C$89)*(1+PARAMETROS!$D$89)*(1+PARAMETROS!$E$89)*(1+PARAMETROS!$F$89)*(1+PARAMETROS!$G$89)*(1+PARAMETROS!$H$89)^X$305</f>
        <v>6546447.5423607929</v>
      </c>
      <c r="Y306" s="723">
        <f>Y273*(1+PARAMETROS!$C$89)*(1+PARAMETROS!$D$89)*(1+PARAMETROS!$E$89)*(1+PARAMETROS!$F$89)*(1+PARAMETROS!$G$89)*(1+PARAMETROS!$H$89)^Y$305</f>
        <v>2999675.310589836</v>
      </c>
      <c r="Z306" s="723">
        <f>Z273*(1+PARAMETROS!$C$89)*(1+PARAMETROS!$D$89)*(1+PARAMETROS!$E$89)*(1+PARAMETROS!$F$89)*(1+PARAMETROS!$G$89)*(1+PARAMETROS!$H$89)^Z$305</f>
        <v>0</v>
      </c>
      <c r="AA306" s="723">
        <f>AA273*(1+PARAMETROS!$C$89)*(1+PARAMETROS!$D$89)*(1+PARAMETROS!$E$89)*(1+PARAMETROS!$F$89)*(1+PARAMETROS!$G$89)*(1+PARAMETROS!$H$89)^AA$305</f>
        <v>0</v>
      </c>
      <c r="AB306" s="723">
        <f>AB273*(1+PARAMETROS!$C$89)*(1+PARAMETROS!$D$89)*(1+PARAMETROS!$E$89)*(1+PARAMETROS!$F$89)*(1+PARAMETROS!$G$89)*(1+PARAMETROS!$H$89)^AB$305</f>
        <v>0</v>
      </c>
      <c r="AC306" s="723">
        <f>AC273*(1+PARAMETROS!$C$89)*(1+PARAMETROS!$D$89)*(1+PARAMETROS!$E$89)*(1+PARAMETROS!$F$89)*(1+PARAMETROS!$G$89)*(1+PARAMETROS!$H$89)^AC$305</f>
        <v>4299356.587903955</v>
      </c>
      <c r="AD306" s="723">
        <f>AD273*(1+PARAMETROS!$C$89)*(1+PARAMETROS!$D$89)*(1+PARAMETROS!$E$89)*(1+PARAMETROS!$F$89)*(1+PARAMETROS!$G$89)*(1+PARAMETROS!$H$89)^AD$305</f>
        <v>5573170.6169591779</v>
      </c>
      <c r="AE306" s="723">
        <f>AE273*(1+PARAMETROS!$C$89)*(1+PARAMETROS!$D$89)*(1+PARAMETROS!$E$89)*(1+PARAMETROS!$F$89)*(1+PARAMETROS!$G$89)*(1+PARAMETROS!$H$89)^AE$305</f>
        <v>0</v>
      </c>
      <c r="AF306" s="723">
        <f>AF273*(1+PARAMETROS!$C$89)*(1+PARAMETROS!$D$89)*(1+PARAMETROS!$E$89)*(1+PARAMETROS!$F$89)*(1+PARAMETROS!$G$89)*(1+PARAMETROS!$H$89)^AF$305</f>
        <v>0</v>
      </c>
      <c r="AG306" s="723">
        <f>AG273*(1+PARAMETROS!$C$89)*(1+PARAMETROS!$D$89)*(1+PARAMETROS!$E$89)*(1+PARAMETROS!$F$89)*(1+PARAMETROS!$G$89)*(1+PARAMETROS!$H$89)^AG$305</f>
        <v>0</v>
      </c>
      <c r="AH306" s="723">
        <f>AH273*(1+PARAMETROS!$C$89)*(1+PARAMETROS!$D$89)*(1+PARAMETROS!$E$89)*(1+PARAMETROS!$F$89)*(1+PARAMETROS!$G$89)*(1+PARAMETROS!$H$89)^AH$305</f>
        <v>0</v>
      </c>
      <c r="AI306" s="723">
        <f>AI273*(1+PARAMETROS!$C$89)*(1+PARAMETROS!$D$89)*(1+PARAMETROS!$E$89)*(1+PARAMETROS!$F$89)*(1+PARAMETROS!$G$89)*(1+PARAMETROS!$H$89)^AI$305</f>
        <v>0</v>
      </c>
      <c r="AJ306" s="723">
        <f>AJ273*(1+PARAMETROS!$C$89)*(1+PARAMETROS!$D$89)*(1+PARAMETROS!$E$89)*(1+PARAMETROS!$F$89)*(1+PARAMETROS!$G$89)*(1+PARAMETROS!$H$89)^AJ$305</f>
        <v>0</v>
      </c>
      <c r="AK306" s="723">
        <f>AK273*(1+PARAMETROS!$C$89)*(1+PARAMETROS!$D$89)*(1+PARAMETROS!$E$89)*(1+PARAMETROS!$F$89)*(1+PARAMETROS!$G$89)*(1+PARAMETROS!$H$89)^AK$305</f>
        <v>0</v>
      </c>
      <c r="AL306" s="723">
        <f>AL273*(1+PARAMETROS!$C$89)*(1+PARAMETROS!$D$89)*(1+PARAMETROS!$E$89)*(1+PARAMETROS!$F$89)*(1+PARAMETROS!$G$89)*(1+PARAMETROS!$H$89)^AL$305</f>
        <v>0</v>
      </c>
      <c r="AM306" s="723">
        <f>AM273*(1+PARAMETROS!$C$89)*(1+PARAMETROS!$D$89)*(1+PARAMETROS!$E$89)*(1+PARAMETROS!$F$89)*(1+PARAMETROS!$G$89)*(1+PARAMETROS!$H$89)^AM$305</f>
        <v>0</v>
      </c>
      <c r="AN306" s="723">
        <f>AN273*(1+PARAMETROS!$C$89)*(1+PARAMETROS!$D$89)*(1+PARAMETROS!$E$89)*(1+PARAMETROS!$F$89)*(1+PARAMETROS!$G$89)*(1+PARAMETROS!$H$89)^AN$305</f>
        <v>8344177.1100049568</v>
      </c>
      <c r="AO306" s="723">
        <f>AO273*(1+PARAMETROS!$C$89)*(1+PARAMETROS!$D$89)*(1+PARAMETROS!$E$89)*(1+PARAMETROS!$F$89)*(1+PARAMETROS!$G$89)*(1+PARAMETROS!$H$89)^AO$305</f>
        <v>21178634.887600046</v>
      </c>
      <c r="AP306" s="723">
        <f>AP273*(1+PARAMETROS!$C$89)*(1+PARAMETROS!$D$89)*(1+PARAMETROS!$E$89)*(1+PARAMETROS!$F$89)*(1+PARAMETROS!$G$89)*(1+PARAMETROS!$H$89)^AP$305</f>
        <v>5790086.6964738769</v>
      </c>
      <c r="AQ306" s="723">
        <f>AQ273*(1+PARAMETROS!$C$89)*(1+PARAMETROS!$D$89)*(1+PARAMETROS!$E$89)*(1+PARAMETROS!$F$89)*(1+PARAMETROS!$G$89)*(1+PARAMETROS!$H$89)^AQ$305</f>
        <v>0</v>
      </c>
      <c r="AR306" s="723">
        <f>AR273*(1+PARAMETROS!$C$89)*(1+PARAMETROS!$D$89)*(1+PARAMETROS!$E$89)*(1+PARAMETROS!$F$89)*(1+PARAMETROS!$G$89)*(1+PARAMETROS!$H$89)^AR$305</f>
        <v>0</v>
      </c>
      <c r="AS306" s="723">
        <f>AS273*(1+PARAMETROS!$C$89)*(1+PARAMETROS!$D$89)*(1+PARAMETROS!$E$89)*(1+PARAMETROS!$F$89)*(1+PARAMETROS!$G$89)*(1+PARAMETROS!$H$89)^AS$305</f>
        <v>0</v>
      </c>
      <c r="AT306" s="723">
        <f>AT273*(1+PARAMETROS!$C$89)*(1+PARAMETROS!$D$89)*(1+PARAMETROS!$E$89)*(1+PARAMETROS!$F$89)*(1+PARAMETROS!$G$89)*(1+PARAMETROS!$H$89)^AT$305</f>
        <v>0</v>
      </c>
      <c r="AU306" s="723">
        <f>AU273*(1+PARAMETROS!$C$89)*(1+PARAMETROS!$D$89)*(1+PARAMETROS!$E$89)*(1+PARAMETROS!$F$89)*(1+PARAMETROS!$G$89)*(1+PARAMETROS!$H$89)^AU$305</f>
        <v>0</v>
      </c>
      <c r="AV306" s="723">
        <f>AV273*(1+PARAMETROS!$C$89)*(1+PARAMETROS!$D$89)*(1+PARAMETROS!$E$89)*(1+PARAMETROS!$F$89)*(1+PARAMETROS!$G$89)*(1+PARAMETROS!$H$89)^AV$305</f>
        <v>0</v>
      </c>
      <c r="AW306" s="723">
        <f>AW273*(1+PARAMETROS!$C$89)*(1+PARAMETROS!$D$89)*(1+PARAMETROS!$E$89)*(1+PARAMETROS!$F$89)*(1+PARAMETROS!$G$89)*(1+PARAMETROS!$H$89)^AW$305</f>
        <v>0</v>
      </c>
      <c r="AX306" s="723">
        <f>AX273*(1+PARAMETROS!$C$89)*(1+PARAMETROS!$D$89)*(1+PARAMETROS!$E$89)*(1+PARAMETROS!$F$89)*(1+PARAMETROS!$G$89)*(1+PARAMETROS!$H$89)^AX$305</f>
        <v>0</v>
      </c>
    </row>
    <row r="307" spans="2:50" x14ac:dyDescent="0.2">
      <c r="B307" s="737" t="s">
        <v>408</v>
      </c>
      <c r="C307" s="16" t="s">
        <v>409</v>
      </c>
      <c r="D307" s="740" t="s">
        <v>412</v>
      </c>
      <c r="E307" s="757">
        <f>E274</f>
        <v>5265530.1448880117</v>
      </c>
      <c r="F307" s="757">
        <f>F274*(1+PARAMETROS!$C$93)</f>
        <v>12730445.67501309</v>
      </c>
      <c r="G307" s="757">
        <f>G274*(1+PARAMETROS!$C$93)*(1+PARAMETROS!$D$93)</f>
        <v>39684598.15325626</v>
      </c>
      <c r="H307" s="757">
        <f>H274*(1+PARAMETROS!$C$93)*(1+PARAMETROS!$D$93)*(1+PARAMETROS!$E$93)</f>
        <v>15417139.488844328</v>
      </c>
      <c r="I307" s="757">
        <f>I274*(1+PARAMETROS!$C$93)*(1+PARAMETROS!$D$93)*(1+PARAMETROS!$E$93)*(1+PARAMETROS!$F$93)</f>
        <v>0</v>
      </c>
      <c r="J307" s="757">
        <f>J274*(1+PARAMETROS!$C$93)*(1+PARAMETROS!$D$93)*(1+PARAMETROS!$E$93)*(1+PARAMETROS!$F$93)*(1+PARAMETROS!$G$93)</f>
        <v>0</v>
      </c>
      <c r="K307" s="757">
        <f>K274*(1+PARAMETROS!$C$93)*(1+PARAMETROS!$D$93)*(1+PARAMETROS!$E$93)*(1+PARAMETROS!$F$93)*(1+PARAMETROS!$G$93)*(1+PARAMETROS!$H$93)^K$305</f>
        <v>0</v>
      </c>
      <c r="L307" s="723">
        <f>L274*(1+PARAMETROS!$C$93)*(1+PARAMETROS!$D$93)*(1+PARAMETROS!$E$93)*(1+PARAMETROS!$F$93)*(1+PARAMETROS!$G$93)*(1+PARAMETROS!$H$93)^L$305</f>
        <v>0</v>
      </c>
      <c r="M307" s="723">
        <f>M274*(1+PARAMETROS!$C$93)*(1+PARAMETROS!$D$93)*(1+PARAMETROS!$E$93)*(1+PARAMETROS!$F$93)*(1+PARAMETROS!$G$93)*(1+PARAMETROS!$H$93)^M$305</f>
        <v>0</v>
      </c>
      <c r="N307" s="723">
        <f>N274*(1+PARAMETROS!$C$93)*(1+PARAMETROS!$D$93)*(1+PARAMETROS!$E$93)*(1+PARAMETROS!$F$93)*(1+PARAMETROS!$G$93)*(1+PARAMETROS!$H$93)^N$305</f>
        <v>0</v>
      </c>
      <c r="O307" s="723">
        <f>O274*(1+PARAMETROS!$C$93)*(1+PARAMETROS!$D$93)*(1+PARAMETROS!$E$93)*(1+PARAMETROS!$F$93)*(1+PARAMETROS!$G$93)*(1+PARAMETROS!$H$93)^O$305</f>
        <v>0</v>
      </c>
      <c r="P307" s="723">
        <f>P274*(1+PARAMETROS!$C$93)*(1+PARAMETROS!$D$93)*(1+PARAMETROS!$E$93)*(1+PARAMETROS!$F$93)*(1+PARAMETROS!$G$93)*(1+PARAMETROS!$H$93)^P$305</f>
        <v>0</v>
      </c>
      <c r="Q307" s="723">
        <f>Q274*(1+PARAMETROS!$C$93)*(1+PARAMETROS!$D$93)*(1+PARAMETROS!$E$93)*(1+PARAMETROS!$F$93)*(1+PARAMETROS!$G$93)*(1+PARAMETROS!$H$93)^Q$305</f>
        <v>0</v>
      </c>
      <c r="R307" s="723">
        <f>R274*(1+PARAMETROS!$C$93)*(1+PARAMETROS!$D$93)*(1+PARAMETROS!$E$93)*(1+PARAMETROS!$F$93)*(1+PARAMETROS!$G$93)*(1+PARAMETROS!$H$93)^R$305</f>
        <v>510438.01897615509</v>
      </c>
      <c r="S307" s="723">
        <f>S274*(1+PARAMETROS!$C$93)*(1+PARAMETROS!$D$93)*(1+PARAMETROS!$E$93)*(1+PARAMETROS!$F$93)*(1+PARAMETROS!$G$93)*(1+PARAMETROS!$H$93)^S$305</f>
        <v>648310.01567009592</v>
      </c>
      <c r="T307" s="723">
        <f>T274*(1+PARAMETROS!$C$93)*(1+PARAMETROS!$D$93)*(1+PARAMETROS!$E$93)*(1+PARAMETROS!$F$93)*(1+PARAMETROS!$G$93)*(1+PARAMETROS!$H$93)^T$305</f>
        <v>0</v>
      </c>
      <c r="U307" s="723">
        <f>U274*(1+PARAMETROS!$C$93)*(1+PARAMETROS!$D$93)*(1+PARAMETROS!$E$93)*(1+PARAMETROS!$F$93)*(1+PARAMETROS!$G$93)*(1+PARAMETROS!$H$93)^U$305</f>
        <v>0</v>
      </c>
      <c r="V307" s="723">
        <f>V274*(1+PARAMETROS!$C$93)*(1+PARAMETROS!$D$93)*(1+PARAMETROS!$E$93)*(1+PARAMETROS!$F$93)*(1+PARAMETROS!$G$93)*(1+PARAMETROS!$H$93)^V$305</f>
        <v>0</v>
      </c>
      <c r="W307" s="723">
        <f>W274*(1+PARAMETROS!$C$93)*(1+PARAMETROS!$D$93)*(1+PARAMETROS!$E$93)*(1+PARAMETROS!$F$93)*(1+PARAMETROS!$G$93)*(1+PARAMETROS!$H$93)^W$305</f>
        <v>2636382.2758361851</v>
      </c>
      <c r="X307" s="723">
        <f>X274*(1+PARAMETROS!$C$93)*(1+PARAMETROS!$D$93)*(1+PARAMETROS!$E$93)*(1+PARAMETROS!$F$93)*(1+PARAMETROS!$G$93)*(1+PARAMETROS!$H$93)^X$305</f>
        <v>5157671.9379756646</v>
      </c>
      <c r="Y307" s="723">
        <f>Y274*(1+PARAMETROS!$C$93)*(1+PARAMETROS!$D$93)*(1+PARAMETROS!$E$93)*(1+PARAMETROS!$F$93)*(1+PARAMETROS!$G$93)*(1+PARAMETROS!$H$93)^Y$305</f>
        <v>2505554.9588319897</v>
      </c>
      <c r="Z307" s="723">
        <f>Z274*(1+PARAMETROS!$C$93)*(1+PARAMETROS!$D$93)*(1+PARAMETROS!$E$93)*(1+PARAMETROS!$F$93)*(1+PARAMETROS!$G$93)*(1+PARAMETROS!$H$93)^Z$305</f>
        <v>0</v>
      </c>
      <c r="AA307" s="723">
        <f>AA274*(1+PARAMETROS!$C$93)*(1+PARAMETROS!$D$93)*(1+PARAMETROS!$E$93)*(1+PARAMETROS!$F$93)*(1+PARAMETROS!$G$93)*(1+PARAMETROS!$H$93)^AA$305</f>
        <v>0</v>
      </c>
      <c r="AB307" s="723">
        <f>AB274*(1+PARAMETROS!$C$93)*(1+PARAMETROS!$D$93)*(1+PARAMETROS!$E$93)*(1+PARAMETROS!$F$93)*(1+PARAMETROS!$G$93)*(1+PARAMETROS!$H$93)^AB$305</f>
        <v>0</v>
      </c>
      <c r="AC307" s="723">
        <f>AC274*(1+PARAMETROS!$C$93)*(1+PARAMETROS!$D$93)*(1+PARAMETROS!$E$93)*(1+PARAMETROS!$F$93)*(1+PARAMETROS!$G$93)*(1+PARAMETROS!$H$93)^AC$305</f>
        <v>627854.539408062</v>
      </c>
      <c r="AD307" s="723">
        <f>AD274*(1+PARAMETROS!$C$93)*(1+PARAMETROS!$D$93)*(1+PARAMETROS!$E$93)*(1+PARAMETROS!$F$93)*(1+PARAMETROS!$G$93)*(1+PARAMETROS!$H$93)^AD$305</f>
        <v>797441.35654048226</v>
      </c>
      <c r="AE307" s="723">
        <f>AE274*(1+PARAMETROS!$C$93)*(1+PARAMETROS!$D$93)*(1+PARAMETROS!$E$93)*(1+PARAMETROS!$F$93)*(1+PARAMETROS!$G$93)*(1+PARAMETROS!$H$93)^AE$305</f>
        <v>0</v>
      </c>
      <c r="AF307" s="723">
        <f>AF274*(1+PARAMETROS!$C$93)*(1+PARAMETROS!$D$93)*(1+PARAMETROS!$E$93)*(1+PARAMETROS!$F$93)*(1+PARAMETROS!$G$93)*(1+PARAMETROS!$H$93)^AF$305</f>
        <v>0</v>
      </c>
      <c r="AG307" s="723">
        <f>AG274*(1+PARAMETROS!$C$93)*(1+PARAMETROS!$D$93)*(1+PARAMETROS!$E$93)*(1+PARAMETROS!$F$93)*(1+PARAMETROS!$G$93)*(1+PARAMETROS!$H$93)^AG$305</f>
        <v>0</v>
      </c>
      <c r="AH307" s="723">
        <f>AH274*(1+PARAMETROS!$C$93)*(1+PARAMETROS!$D$93)*(1+PARAMETROS!$E$93)*(1+PARAMETROS!$F$93)*(1+PARAMETROS!$G$93)*(1+PARAMETROS!$H$93)^AH$305</f>
        <v>0</v>
      </c>
      <c r="AI307" s="723">
        <f>AI274*(1+PARAMETROS!$C$93)*(1+PARAMETROS!$D$93)*(1+PARAMETROS!$E$93)*(1+PARAMETROS!$F$93)*(1+PARAMETROS!$G$93)*(1+PARAMETROS!$H$93)^AI$305</f>
        <v>0</v>
      </c>
      <c r="AJ307" s="723">
        <f>AJ274*(1+PARAMETROS!$C$93)*(1+PARAMETROS!$D$93)*(1+PARAMETROS!$E$93)*(1+PARAMETROS!$F$93)*(1+PARAMETROS!$G$93)*(1+PARAMETROS!$H$93)^AJ$305</f>
        <v>0</v>
      </c>
      <c r="AK307" s="723">
        <f>AK274*(1+PARAMETROS!$C$93)*(1+PARAMETROS!$D$93)*(1+PARAMETROS!$E$93)*(1+PARAMETROS!$F$93)*(1+PARAMETROS!$G$93)*(1+PARAMETROS!$H$93)^AK$305</f>
        <v>0</v>
      </c>
      <c r="AL307" s="723">
        <f>AL274*(1+PARAMETROS!$C$93)*(1+PARAMETROS!$D$93)*(1+PARAMETROS!$E$93)*(1+PARAMETROS!$F$93)*(1+PARAMETROS!$G$93)*(1+PARAMETROS!$H$93)^AL$305</f>
        <v>0</v>
      </c>
      <c r="AM307" s="723">
        <f>AM274*(1+PARAMETROS!$C$93)*(1+PARAMETROS!$D$93)*(1+PARAMETROS!$E$93)*(1+PARAMETROS!$F$93)*(1+PARAMETROS!$G$93)*(1+PARAMETROS!$H$93)^AM$305</f>
        <v>0</v>
      </c>
      <c r="AN307" s="723">
        <f>AN274*(1+PARAMETROS!$C$93)*(1+PARAMETROS!$D$93)*(1+PARAMETROS!$E$93)*(1+PARAMETROS!$F$93)*(1+PARAMETROS!$G$93)*(1+PARAMETROS!$H$93)^AN$305</f>
        <v>4402806.1546496022</v>
      </c>
      <c r="AO307" s="723">
        <f>AO274*(1+PARAMETROS!$C$93)*(1+PARAMETROS!$D$93)*(1+PARAMETROS!$E$93)*(1+PARAMETROS!$F$93)*(1+PARAMETROS!$G$93)*(1+PARAMETROS!$H$93)^AO$305</f>
        <v>7945707.9181323545</v>
      </c>
      <c r="AP307" s="723">
        <f>AP274*(1+PARAMETROS!$C$93)*(1+PARAMETROS!$D$93)*(1+PARAMETROS!$E$93)*(1+PARAMETROS!$F$93)*(1+PARAMETROS!$G$93)*(1+PARAMETROS!$H$93)^AP$305</f>
        <v>3403583.3993416377</v>
      </c>
      <c r="AQ307" s="723">
        <f>AQ274*(1+PARAMETROS!$C$93)*(1+PARAMETROS!$D$93)*(1+PARAMETROS!$E$93)*(1+PARAMETROS!$F$93)*(1+PARAMETROS!$G$93)*(1+PARAMETROS!$H$93)^AQ$305</f>
        <v>0</v>
      </c>
      <c r="AR307" s="723">
        <f>AR274*(1+PARAMETROS!$C$93)*(1+PARAMETROS!$D$93)*(1+PARAMETROS!$E$93)*(1+PARAMETROS!$F$93)*(1+PARAMETROS!$G$93)*(1+PARAMETROS!$H$93)^AR$305</f>
        <v>0</v>
      </c>
      <c r="AS307" s="723">
        <f>AS274*(1+PARAMETROS!$C$93)*(1+PARAMETROS!$D$93)*(1+PARAMETROS!$E$93)*(1+PARAMETROS!$F$93)*(1+PARAMETROS!$G$93)*(1+PARAMETROS!$H$93)^AS$305</f>
        <v>0</v>
      </c>
      <c r="AT307" s="723">
        <f>AT274*(1+PARAMETROS!$C$93)*(1+PARAMETROS!$D$93)*(1+PARAMETROS!$E$93)*(1+PARAMETROS!$F$93)*(1+PARAMETROS!$G$93)*(1+PARAMETROS!$H$93)^AT$305</f>
        <v>0</v>
      </c>
      <c r="AU307" s="723">
        <f>AU274*(1+PARAMETROS!$C$93)*(1+PARAMETROS!$D$93)*(1+PARAMETROS!$E$93)*(1+PARAMETROS!$F$93)*(1+PARAMETROS!$G$93)*(1+PARAMETROS!$H$93)^AU$305</f>
        <v>0</v>
      </c>
      <c r="AV307" s="723">
        <f>AV274*(1+PARAMETROS!$C$93)*(1+PARAMETROS!$D$93)*(1+PARAMETROS!$E$93)*(1+PARAMETROS!$F$93)*(1+PARAMETROS!$G$93)*(1+PARAMETROS!$H$93)^AV$305</f>
        <v>0</v>
      </c>
      <c r="AW307" s="723">
        <f>AW274*(1+PARAMETROS!$C$93)*(1+PARAMETROS!$D$93)*(1+PARAMETROS!$E$93)*(1+PARAMETROS!$F$93)*(1+PARAMETROS!$G$93)*(1+PARAMETROS!$H$93)^AW$305</f>
        <v>0</v>
      </c>
      <c r="AX307" s="723">
        <f>AX274*(1+PARAMETROS!$C$93)*(1+PARAMETROS!$D$93)*(1+PARAMETROS!$E$93)*(1+PARAMETROS!$F$93)*(1+PARAMETROS!$G$93)*(1+PARAMETROS!$H$93)^AX$305</f>
        <v>0</v>
      </c>
    </row>
    <row r="308" spans="2:50" x14ac:dyDescent="0.2">
      <c r="B308" s="1"/>
      <c r="C308" s="16"/>
      <c r="D308" s="740"/>
      <c r="E308" s="722"/>
      <c r="F308" s="723"/>
      <c r="G308" s="723"/>
      <c r="H308" s="723"/>
      <c r="I308" s="723"/>
      <c r="J308" s="723"/>
      <c r="K308" s="723"/>
      <c r="L308" s="723"/>
      <c r="M308" s="723"/>
      <c r="N308" s="723"/>
      <c r="O308" s="723"/>
      <c r="P308" s="723"/>
      <c r="Q308" s="723"/>
      <c r="R308" s="723"/>
      <c r="S308" s="723"/>
      <c r="T308" s="723"/>
      <c r="U308" s="723"/>
      <c r="V308" s="723"/>
      <c r="W308" s="723"/>
      <c r="X308" s="723"/>
      <c r="Y308" s="723"/>
      <c r="Z308" s="723"/>
      <c r="AA308" s="723"/>
      <c r="AB308" s="723"/>
      <c r="AC308" s="723"/>
      <c r="AD308" s="723"/>
      <c r="AE308" s="723"/>
      <c r="AF308" s="723"/>
      <c r="AG308" s="723"/>
      <c r="AH308" s="723"/>
      <c r="AI308" s="723"/>
      <c r="AJ308" s="723"/>
      <c r="AK308" s="723"/>
      <c r="AL308" s="723"/>
      <c r="AM308" s="723"/>
      <c r="AN308" s="723"/>
      <c r="AO308" s="723"/>
      <c r="AP308" s="723"/>
      <c r="AQ308" s="723"/>
      <c r="AR308" s="723"/>
      <c r="AS308" s="723"/>
      <c r="AT308" s="723"/>
      <c r="AU308" s="723"/>
      <c r="AV308" s="723"/>
      <c r="AW308" s="723"/>
      <c r="AX308" s="723"/>
    </row>
    <row r="309" spans="2:50" x14ac:dyDescent="0.2">
      <c r="B309" s="737" t="s">
        <v>407</v>
      </c>
      <c r="C309" s="16" t="s">
        <v>180</v>
      </c>
      <c r="D309" s="740" t="s">
        <v>412</v>
      </c>
      <c r="E309" s="757">
        <f>E276</f>
        <v>203206.29688831151</v>
      </c>
      <c r="F309" s="757">
        <f>F276*(1+PARAMETROS!$C$89)</f>
        <v>3009837.0906174607</v>
      </c>
      <c r="G309" s="757">
        <f>G276*(1+PARAMETROS!$C$89)*(1+PARAMETROS!$D$89)</f>
        <v>6694441.4661966693</v>
      </c>
      <c r="H309" s="757">
        <f>H276*(1+PARAMETROS!$C$88)*(1+PARAMETROS!$D$89)*(1+PARAMETROS!$E$89)</f>
        <v>2894151.622633256</v>
      </c>
      <c r="I309" s="757">
        <f>I276*(1+PARAMETROS!$C$89)*(1+PARAMETROS!$D$89)*(1+PARAMETROS!$E$89)*(1+PARAMETROS!$F$89)</f>
        <v>0</v>
      </c>
      <c r="J309" s="757">
        <f>J276*(1+PARAMETROS!$C$89)*(1+PARAMETROS!$D$89)*(1+PARAMETROS!$E$89)*(1+PARAMETROS!$F$89)*(1+PARAMETROS!$G$89)</f>
        <v>0</v>
      </c>
      <c r="K309" s="757">
        <f>K276*(1+PARAMETROS!$C$89)*(1+PARAMETROS!$D$89)*(1+PARAMETROS!$E$89)*(1+PARAMETROS!$F$89)*(1+PARAMETROS!$G$89)*(1+PARAMETROS!$H$89)^K$305</f>
        <v>0</v>
      </c>
      <c r="L309" s="723">
        <f>L276*(1+PARAMETROS!$C$89)*(1+PARAMETROS!$D$89)*(1+PARAMETROS!$E$89)*(1+PARAMETROS!$F$89)*(1+PARAMETROS!$G$89)*(1+PARAMETROS!$H$89)^L$305</f>
        <v>0</v>
      </c>
      <c r="M309" s="723">
        <f>M276*(1+PARAMETROS!$C$89)*(1+PARAMETROS!$D$89)*(1+PARAMETROS!$E$89)*(1+PARAMETROS!$F$89)*(1+PARAMETROS!$G$89)*(1+PARAMETROS!$H$89)^M$305</f>
        <v>0</v>
      </c>
      <c r="N309" s="723">
        <f>N276*(1+PARAMETROS!$C$89)*(1+PARAMETROS!$D$89)*(1+PARAMETROS!$E$89)*(1+PARAMETROS!$F$89)*(1+PARAMETROS!$G$89)*(1+PARAMETROS!$H$89)^N$305</f>
        <v>0</v>
      </c>
      <c r="O309" s="723">
        <f>O276*(1+PARAMETROS!$C$89)*(1+PARAMETROS!$D$89)*(1+PARAMETROS!$E$89)*(1+PARAMETROS!$F$89)*(1+PARAMETROS!$G$89)*(1+PARAMETROS!$H$89)^O$305</f>
        <v>0</v>
      </c>
      <c r="P309" s="723">
        <f>P276*(1+PARAMETROS!$C$89)*(1+PARAMETROS!$D$89)*(1+PARAMETROS!$E$89)*(1+PARAMETROS!$F$89)*(1+PARAMETROS!$G$89)*(1+PARAMETROS!$H$89)^P$305</f>
        <v>0</v>
      </c>
      <c r="Q309" s="723">
        <f>Q276*(1+PARAMETROS!$C$89)*(1+PARAMETROS!$D$89)*(1+PARAMETROS!$E$89)*(1+PARAMETROS!$F$89)*(1+PARAMETROS!$G$89)*(1+PARAMETROS!$H$89)^Q$305</f>
        <v>0</v>
      </c>
      <c r="R309" s="723">
        <f>R276*(1+PARAMETROS!$C$89)*(1+PARAMETROS!$D$89)*(1+PARAMETROS!$E$89)*(1+PARAMETROS!$F$89)*(1+PARAMETROS!$G$89)*(1+PARAMETROS!$H$89)^R$305</f>
        <v>495937.83122095204</v>
      </c>
      <c r="S309" s="723">
        <f>S276*(1+PARAMETROS!$C$89)*(1+PARAMETROS!$D$89)*(1+PARAMETROS!$E$89)*(1+PARAMETROS!$F$89)*(1+PARAMETROS!$G$89)*(1+PARAMETROS!$H$89)^S$305</f>
        <v>642874.36789386312</v>
      </c>
      <c r="T309" s="723">
        <f>T276*(1+PARAMETROS!$C$89)*(1+PARAMETROS!$D$89)*(1+PARAMETROS!$E$89)*(1+PARAMETROS!$F$89)*(1+PARAMETROS!$G$89)*(1+PARAMETROS!$H$89)^T$305</f>
        <v>0</v>
      </c>
      <c r="U309" s="723">
        <f>U276*(1+PARAMETROS!$C$89)*(1+PARAMETROS!$D$89)*(1+PARAMETROS!$E$89)*(1+PARAMETROS!$F$89)*(1+PARAMETROS!$G$89)*(1+PARAMETROS!$H$89)^U$305</f>
        <v>0</v>
      </c>
      <c r="V309" s="723">
        <f>V276*(1+PARAMETROS!$C$89)*(1+PARAMETROS!$D$89)*(1+PARAMETROS!$E$89)*(1+PARAMETROS!$F$89)*(1+PARAMETROS!$G$89)*(1+PARAMETROS!$H$89)^V$305</f>
        <v>0</v>
      </c>
      <c r="W309" s="723">
        <f>W276*(1+PARAMETROS!$C$89)*(1+PARAMETROS!$D$89)*(1+PARAMETROS!$E$89)*(1+PARAMETROS!$F$89)*(1+PARAMETROS!$G$89)*(1+PARAMETROS!$H$89)^W$305</f>
        <v>217532.81157616226</v>
      </c>
      <c r="X309" s="723">
        <f>X276*(1+PARAMETROS!$C$89)*(1+PARAMETROS!$D$89)*(1+PARAMETROS!$E$89)*(1+PARAMETROS!$F$89)*(1+PARAMETROS!$G$89)*(1+PARAMETROS!$H$89)^X$305</f>
        <v>1624364.2648230914</v>
      </c>
      <c r="Y309" s="723">
        <f>Y276*(1+PARAMETROS!$C$89)*(1+PARAMETROS!$D$89)*(1+PARAMETROS!$E$89)*(1+PARAMETROS!$F$89)*(1+PARAMETROS!$G$89)*(1+PARAMETROS!$H$89)^Y$305</f>
        <v>745672.98578152852</v>
      </c>
      <c r="Z309" s="723">
        <f>Z276*(1+PARAMETROS!$C$89)*(1+PARAMETROS!$D$89)*(1+PARAMETROS!$E$89)*(1+PARAMETROS!$F$89)*(1+PARAMETROS!$G$89)*(1+PARAMETROS!$H$89)^Z$305</f>
        <v>0</v>
      </c>
      <c r="AA309" s="723">
        <f>AA276*(1+PARAMETROS!$C$89)*(1+PARAMETROS!$D$89)*(1+PARAMETROS!$E$89)*(1+PARAMETROS!$F$89)*(1+PARAMETROS!$G$89)*(1+PARAMETROS!$H$89)^AA$305</f>
        <v>0</v>
      </c>
      <c r="AB309" s="723">
        <f>AB276*(1+PARAMETROS!$C$89)*(1+PARAMETROS!$D$89)*(1+PARAMETROS!$E$89)*(1+PARAMETROS!$F$89)*(1+PARAMETROS!$G$89)*(1+PARAMETROS!$H$89)^AB$305</f>
        <v>0</v>
      </c>
      <c r="AC309" s="723">
        <f>AC276*(1+PARAMETROS!$C$89)*(1+PARAMETROS!$D$89)*(1+PARAMETROS!$E$89)*(1+PARAMETROS!$F$89)*(1+PARAMETROS!$G$89)*(1+PARAMETROS!$H$89)^AC$305</f>
        <v>763473.50595319737</v>
      </c>
      <c r="AD309" s="723">
        <f>AD276*(1+PARAMETROS!$C$89)*(1+PARAMETROS!$D$89)*(1+PARAMETROS!$E$89)*(1+PARAMETROS!$F$89)*(1+PARAMETROS!$G$89)*(1+PARAMETROS!$H$89)^AD$305</f>
        <v>989675.55335519952</v>
      </c>
      <c r="AE309" s="723">
        <f>AE276*(1+PARAMETROS!$C$89)*(1+PARAMETROS!$D$89)*(1+PARAMETROS!$E$89)*(1+PARAMETROS!$F$89)*(1+PARAMETROS!$G$89)*(1+PARAMETROS!$H$89)^AE$305</f>
        <v>0</v>
      </c>
      <c r="AF309" s="723">
        <f>AF276*(1+PARAMETROS!$C$89)*(1+PARAMETROS!$D$89)*(1+PARAMETROS!$E$89)*(1+PARAMETROS!$F$89)*(1+PARAMETROS!$G$89)*(1+PARAMETROS!$H$89)^AF$305</f>
        <v>0</v>
      </c>
      <c r="AG309" s="723">
        <f>AG276*(1+PARAMETROS!$C$89)*(1+PARAMETROS!$D$89)*(1+PARAMETROS!$E$89)*(1+PARAMETROS!$F$89)*(1+PARAMETROS!$G$89)*(1+PARAMETROS!$H$89)^AG$305</f>
        <v>0</v>
      </c>
      <c r="AH309" s="723">
        <f>AH276*(1+PARAMETROS!$C$89)*(1+PARAMETROS!$D$89)*(1+PARAMETROS!$E$89)*(1+PARAMETROS!$F$89)*(1+PARAMETROS!$G$89)*(1+PARAMETROS!$H$89)^AH$305</f>
        <v>0</v>
      </c>
      <c r="AI309" s="723">
        <f>AI276*(1+PARAMETROS!$C$89)*(1+PARAMETROS!$D$89)*(1+PARAMETROS!$E$89)*(1+PARAMETROS!$F$89)*(1+PARAMETROS!$G$89)*(1+PARAMETROS!$H$89)^AI$305</f>
        <v>0</v>
      </c>
      <c r="AJ309" s="723">
        <f>AJ276*(1+PARAMETROS!$C$89)*(1+PARAMETROS!$D$89)*(1+PARAMETROS!$E$89)*(1+PARAMETROS!$F$89)*(1+PARAMETROS!$G$89)*(1+PARAMETROS!$H$89)^AJ$305</f>
        <v>0</v>
      </c>
      <c r="AK309" s="723">
        <f>AK276*(1+PARAMETROS!$C$89)*(1+PARAMETROS!$D$89)*(1+PARAMETROS!$E$89)*(1+PARAMETROS!$F$89)*(1+PARAMETROS!$G$89)*(1+PARAMETROS!$H$89)^AK$305</f>
        <v>0</v>
      </c>
      <c r="AL309" s="723">
        <f>AL276*(1+PARAMETROS!$C$89)*(1+PARAMETROS!$D$89)*(1+PARAMETROS!$E$89)*(1+PARAMETROS!$F$89)*(1+PARAMETROS!$G$89)*(1+PARAMETROS!$H$89)^AL$305</f>
        <v>0</v>
      </c>
      <c r="AM309" s="723">
        <f>AM276*(1+PARAMETROS!$C$89)*(1+PARAMETROS!$D$89)*(1+PARAMETROS!$E$89)*(1+PARAMETROS!$F$89)*(1+PARAMETROS!$G$89)*(1+PARAMETROS!$H$89)^AM$305</f>
        <v>0</v>
      </c>
      <c r="AN309" s="723">
        <f>AN276*(1+PARAMETROS!$C$89)*(1+PARAMETROS!$D$89)*(1+PARAMETROS!$E$89)*(1+PARAMETROS!$F$89)*(1+PARAMETROS!$G$89)*(1+PARAMETROS!$H$89)^AN$305</f>
        <v>1599064.6570977017</v>
      </c>
      <c r="AO309" s="723">
        <f>AO276*(1+PARAMETROS!$C$89)*(1+PARAMETROS!$D$89)*(1+PARAMETROS!$E$89)*(1+PARAMETROS!$F$89)*(1+PARAMETROS!$G$89)*(1+PARAMETROS!$H$89)^AO$305</f>
        <v>4649451.5921834577</v>
      </c>
      <c r="AP309" s="723">
        <f>AP276*(1+PARAMETROS!$C$89)*(1+PARAMETROS!$D$89)*(1+PARAMETROS!$E$89)*(1+PARAMETROS!$F$89)*(1+PARAMETROS!$G$89)*(1+PARAMETROS!$H$89)^AP$305</f>
        <v>1439251.19664377</v>
      </c>
      <c r="AQ309" s="723">
        <f>AQ276*(1+PARAMETROS!$C$89)*(1+PARAMETROS!$D$89)*(1+PARAMETROS!$E$89)*(1+PARAMETROS!$F$89)*(1+PARAMETROS!$G$89)*(1+PARAMETROS!$H$89)^AQ$305</f>
        <v>0</v>
      </c>
      <c r="AR309" s="723">
        <f>AR276*(1+PARAMETROS!$C$89)*(1+PARAMETROS!$D$89)*(1+PARAMETROS!$E$89)*(1+PARAMETROS!$F$89)*(1+PARAMETROS!$G$89)*(1+PARAMETROS!$H$89)^AR$305</f>
        <v>0</v>
      </c>
      <c r="AS309" s="723">
        <f>AS276*(1+PARAMETROS!$C$89)*(1+PARAMETROS!$D$89)*(1+PARAMETROS!$E$89)*(1+PARAMETROS!$F$89)*(1+PARAMETROS!$G$89)*(1+PARAMETROS!$H$89)^AS$305</f>
        <v>0</v>
      </c>
      <c r="AT309" s="723">
        <f>AT276*(1+PARAMETROS!$C$89)*(1+PARAMETROS!$D$89)*(1+PARAMETROS!$E$89)*(1+PARAMETROS!$F$89)*(1+PARAMETROS!$G$89)*(1+PARAMETROS!$H$89)^AT$305</f>
        <v>0</v>
      </c>
      <c r="AU309" s="723">
        <f>AU276*(1+PARAMETROS!$C$89)*(1+PARAMETROS!$D$89)*(1+PARAMETROS!$E$89)*(1+PARAMETROS!$F$89)*(1+PARAMETROS!$G$89)*(1+PARAMETROS!$H$89)^AU$305</f>
        <v>0</v>
      </c>
      <c r="AV309" s="723">
        <f>AV276*(1+PARAMETROS!$C$89)*(1+PARAMETROS!$D$89)*(1+PARAMETROS!$E$89)*(1+PARAMETROS!$F$89)*(1+PARAMETROS!$G$89)*(1+PARAMETROS!$H$89)^AV$305</f>
        <v>0</v>
      </c>
      <c r="AW309" s="723">
        <f>AW276*(1+PARAMETROS!$C$89)*(1+PARAMETROS!$D$89)*(1+PARAMETROS!$E$89)*(1+PARAMETROS!$F$89)*(1+PARAMETROS!$G$89)*(1+PARAMETROS!$H$89)^AW$305</f>
        <v>0</v>
      </c>
      <c r="AX309" s="723">
        <f>AX276*(1+PARAMETROS!$C$89)*(1+PARAMETROS!$D$89)*(1+PARAMETROS!$E$89)*(1+PARAMETROS!$F$89)*(1+PARAMETROS!$G$89)*(1+PARAMETROS!$H$89)^AX$305</f>
        <v>0</v>
      </c>
    </row>
    <row r="310" spans="2:50" x14ac:dyDescent="0.2">
      <c r="B310" s="737" t="s">
        <v>408</v>
      </c>
      <c r="C310" s="16" t="s">
        <v>180</v>
      </c>
      <c r="D310" s="740" t="s">
        <v>412</v>
      </c>
      <c r="E310" s="757">
        <f>E277</f>
        <v>548107.81051695067</v>
      </c>
      <c r="F310" s="757">
        <f>F277*(1+PARAMETROS!$C$93)</f>
        <v>2251824.1869947538</v>
      </c>
      <c r="G310" s="757">
        <f>G277*(1+PARAMETROS!$C$93)*(1+PARAMETROS!$D$93)</f>
        <v>9335601.6869807821</v>
      </c>
      <c r="H310" s="757">
        <f>H277*(1+PARAMETROS!$C$93)*(1+PARAMETROS!$D$93)*(1+PARAMETROS!$E$93)</f>
        <v>3568675.5187936523</v>
      </c>
      <c r="I310" s="757">
        <f>I277*(1+PARAMETROS!$C$93)*(1+PARAMETROS!$D$93)*(1+PARAMETROS!$E$93)*(1+PARAMETROS!$F$93)</f>
        <v>0</v>
      </c>
      <c r="J310" s="757">
        <f>J277*(1+PARAMETROS!$C$93)*(1+PARAMETROS!$D$93)*(1+PARAMETROS!$E$93)*(1+PARAMETROS!$F$93)*(1+PARAMETROS!$G$93)</f>
        <v>0</v>
      </c>
      <c r="K310" s="757">
        <f>K277*(1+PARAMETROS!$C$93)*(1+PARAMETROS!$D$93)*(1+PARAMETROS!$E$93)*(1+PARAMETROS!$F$93)*(1+PARAMETROS!$G$93)*(1+PARAMETROS!$H$93)^K$305</f>
        <v>0</v>
      </c>
      <c r="L310" s="723">
        <f>L277*(1+PARAMETROS!$C$93)*(1+PARAMETROS!$D$93)*(1+PARAMETROS!$E$93)*(1+PARAMETROS!$F$93)*(1+PARAMETROS!$G$93)*(1+PARAMETROS!$H$93)^L$305</f>
        <v>0</v>
      </c>
      <c r="M310" s="723">
        <f>M277*(1+PARAMETROS!$C$93)*(1+PARAMETROS!$D$93)*(1+PARAMETROS!$E$93)*(1+PARAMETROS!$F$93)*(1+PARAMETROS!$G$93)*(1+PARAMETROS!$H$93)^M$305</f>
        <v>0</v>
      </c>
      <c r="N310" s="723">
        <f>N277*(1+PARAMETROS!$C$93)*(1+PARAMETROS!$D$93)*(1+PARAMETROS!$E$93)*(1+PARAMETROS!$F$93)*(1+PARAMETROS!$G$93)*(1+PARAMETROS!$H$93)^N$305</f>
        <v>0</v>
      </c>
      <c r="O310" s="723">
        <f>O277*(1+PARAMETROS!$C$93)*(1+PARAMETROS!$D$93)*(1+PARAMETROS!$E$93)*(1+PARAMETROS!$F$93)*(1+PARAMETROS!$G$93)*(1+PARAMETROS!$H$93)^O$305</f>
        <v>0</v>
      </c>
      <c r="P310" s="723">
        <f>P277*(1+PARAMETROS!$C$93)*(1+PARAMETROS!$D$93)*(1+PARAMETROS!$E$93)*(1+PARAMETROS!$F$93)*(1+PARAMETROS!$G$93)*(1+PARAMETROS!$H$93)^P$305</f>
        <v>0</v>
      </c>
      <c r="Q310" s="723">
        <f>Q277*(1+PARAMETROS!$C$93)*(1+PARAMETROS!$D$93)*(1+PARAMETROS!$E$93)*(1+PARAMETROS!$F$93)*(1+PARAMETROS!$G$93)*(1+PARAMETROS!$H$93)^Q$305</f>
        <v>0</v>
      </c>
      <c r="R310" s="723">
        <f>R277*(1+PARAMETROS!$C$93)*(1+PARAMETROS!$D$93)*(1+PARAMETROS!$E$93)*(1+PARAMETROS!$F$93)*(1+PARAMETROS!$G$93)*(1+PARAMETROS!$H$93)^R$305</f>
        <v>90642.842935138222</v>
      </c>
      <c r="S310" s="723">
        <f>S277*(1+PARAMETROS!$C$93)*(1+PARAMETROS!$D$93)*(1+PARAMETROS!$E$93)*(1+PARAMETROS!$F$93)*(1+PARAMETROS!$G$93)*(1+PARAMETROS!$H$93)^S$305</f>
        <v>115125.95210194691</v>
      </c>
      <c r="T310" s="723">
        <f>T277*(1+PARAMETROS!$C$93)*(1+PARAMETROS!$D$93)*(1+PARAMETROS!$E$93)*(1+PARAMETROS!$F$93)*(1+PARAMETROS!$G$93)*(1+PARAMETROS!$H$93)^T$305</f>
        <v>0</v>
      </c>
      <c r="U310" s="723">
        <f>U277*(1+PARAMETROS!$C$93)*(1+PARAMETROS!$D$93)*(1+PARAMETROS!$E$93)*(1+PARAMETROS!$F$93)*(1+PARAMETROS!$G$93)*(1+PARAMETROS!$H$93)^U$305</f>
        <v>0</v>
      </c>
      <c r="V310" s="723">
        <f>V277*(1+PARAMETROS!$C$93)*(1+PARAMETROS!$D$93)*(1+PARAMETROS!$E$93)*(1+PARAMETROS!$F$93)*(1+PARAMETROS!$G$93)*(1+PARAMETROS!$H$93)^V$305</f>
        <v>0</v>
      </c>
      <c r="W310" s="723">
        <f>W277*(1+PARAMETROS!$C$93)*(1+PARAMETROS!$D$93)*(1+PARAMETROS!$E$93)*(1+PARAMETROS!$F$93)*(1+PARAMETROS!$G$93)*(1+PARAMETROS!$H$93)^W$305</f>
        <v>615945.16020092473</v>
      </c>
      <c r="X310" s="723">
        <f>X277*(1+PARAMETROS!$C$93)*(1+PARAMETROS!$D$93)*(1+PARAMETROS!$E$93)*(1+PARAMETROS!$F$93)*(1+PARAMETROS!$G$93)*(1+PARAMETROS!$H$93)^X$305</f>
        <v>1157507.1849203384</v>
      </c>
      <c r="Y310" s="723">
        <f>Y277*(1+PARAMETROS!$C$93)*(1+PARAMETROS!$D$93)*(1+PARAMETROS!$E$93)*(1+PARAMETROS!$F$93)*(1+PARAMETROS!$G$93)*(1+PARAMETROS!$H$93)^Y$305</f>
        <v>581583.03811950574</v>
      </c>
      <c r="Z310" s="723">
        <f>Z277*(1+PARAMETROS!$C$93)*(1+PARAMETROS!$D$93)*(1+PARAMETROS!$E$93)*(1+PARAMETROS!$F$93)*(1+PARAMETROS!$G$93)*(1+PARAMETROS!$H$93)^Z$305</f>
        <v>0</v>
      </c>
      <c r="AA310" s="723">
        <f>AA277*(1+PARAMETROS!$C$93)*(1+PARAMETROS!$D$93)*(1+PARAMETROS!$E$93)*(1+PARAMETROS!$F$93)*(1+PARAMETROS!$G$93)*(1+PARAMETROS!$H$93)^AA$305</f>
        <v>0</v>
      </c>
      <c r="AB310" s="723">
        <f>AB277*(1+PARAMETROS!$C$93)*(1+PARAMETROS!$D$93)*(1+PARAMETROS!$E$93)*(1+PARAMETROS!$F$93)*(1+PARAMETROS!$G$93)*(1+PARAMETROS!$H$93)^AB$305</f>
        <v>0</v>
      </c>
      <c r="AC310" s="723">
        <f>AC277*(1+PARAMETROS!$C$93)*(1+PARAMETROS!$D$93)*(1+PARAMETROS!$E$93)*(1+PARAMETROS!$F$93)*(1+PARAMETROS!$G$93)*(1+PARAMETROS!$H$93)^AC$305</f>
        <v>111493.49830138155</v>
      </c>
      <c r="AD310" s="723">
        <f>AD277*(1+PARAMETROS!$C$93)*(1+PARAMETROS!$D$93)*(1+PARAMETROS!$E$93)*(1+PARAMETROS!$F$93)*(1+PARAMETROS!$G$93)*(1+PARAMETROS!$H$93)^AD$305</f>
        <v>141608.47927407053</v>
      </c>
      <c r="AE310" s="723">
        <f>AE277*(1+PARAMETROS!$C$93)*(1+PARAMETROS!$D$93)*(1+PARAMETROS!$E$93)*(1+PARAMETROS!$F$93)*(1+PARAMETROS!$G$93)*(1+PARAMETROS!$H$93)^AE$305</f>
        <v>0</v>
      </c>
      <c r="AF310" s="723">
        <f>AF277*(1+PARAMETROS!$C$93)*(1+PARAMETROS!$D$93)*(1+PARAMETROS!$E$93)*(1+PARAMETROS!$F$93)*(1+PARAMETROS!$G$93)*(1+PARAMETROS!$H$93)^AF$305</f>
        <v>0</v>
      </c>
      <c r="AG310" s="723">
        <f>AG277*(1+PARAMETROS!$C$93)*(1+PARAMETROS!$D$93)*(1+PARAMETROS!$E$93)*(1+PARAMETROS!$F$93)*(1+PARAMETROS!$G$93)*(1+PARAMETROS!$H$93)^AG$305</f>
        <v>0</v>
      </c>
      <c r="AH310" s="723">
        <f>AH277*(1+PARAMETROS!$C$93)*(1+PARAMETROS!$D$93)*(1+PARAMETROS!$E$93)*(1+PARAMETROS!$F$93)*(1+PARAMETROS!$G$93)*(1+PARAMETROS!$H$93)^AH$305</f>
        <v>0</v>
      </c>
      <c r="AI310" s="723">
        <f>AI277*(1+PARAMETROS!$C$93)*(1+PARAMETROS!$D$93)*(1+PARAMETROS!$E$93)*(1+PARAMETROS!$F$93)*(1+PARAMETROS!$G$93)*(1+PARAMETROS!$H$93)^AI$305</f>
        <v>0</v>
      </c>
      <c r="AJ310" s="723">
        <f>AJ277*(1+PARAMETROS!$C$93)*(1+PARAMETROS!$D$93)*(1+PARAMETROS!$E$93)*(1+PARAMETROS!$F$93)*(1+PARAMETROS!$G$93)*(1+PARAMETROS!$H$93)^AJ$305</f>
        <v>0</v>
      </c>
      <c r="AK310" s="723">
        <f>AK277*(1+PARAMETROS!$C$93)*(1+PARAMETROS!$D$93)*(1+PARAMETROS!$E$93)*(1+PARAMETROS!$F$93)*(1+PARAMETROS!$G$93)*(1+PARAMETROS!$H$93)^AK$305</f>
        <v>0</v>
      </c>
      <c r="AL310" s="723">
        <f>AL277*(1+PARAMETROS!$C$93)*(1+PARAMETROS!$D$93)*(1+PARAMETROS!$E$93)*(1+PARAMETROS!$F$93)*(1+PARAMETROS!$G$93)*(1+PARAMETROS!$H$93)^AL$305</f>
        <v>0</v>
      </c>
      <c r="AM310" s="723">
        <f>AM277*(1+PARAMETROS!$C$93)*(1+PARAMETROS!$D$93)*(1+PARAMETROS!$E$93)*(1+PARAMETROS!$F$93)*(1+PARAMETROS!$G$93)*(1+PARAMETROS!$H$93)^AM$305</f>
        <v>0</v>
      </c>
      <c r="AN310" s="723">
        <f>AN277*(1+PARAMETROS!$C$93)*(1+PARAMETROS!$D$93)*(1+PARAMETROS!$E$93)*(1+PARAMETROS!$F$93)*(1+PARAMETROS!$G$93)*(1+PARAMETROS!$H$93)^AN$305</f>
        <v>985350.03267373738</v>
      </c>
      <c r="AO310" s="723">
        <f>AO277*(1+PARAMETROS!$C$93)*(1+PARAMETROS!$D$93)*(1+PARAMETROS!$E$93)*(1+PARAMETROS!$F$93)*(1+PARAMETROS!$G$93)*(1+PARAMETROS!$H$93)^AO$305</f>
        <v>1733737.8644401112</v>
      </c>
      <c r="AP310" s="723">
        <f>AP277*(1+PARAMETROS!$C$93)*(1+PARAMETROS!$D$93)*(1+PARAMETROS!$E$93)*(1+PARAMETROS!$F$93)*(1+PARAMETROS!$G$93)*(1+PARAMETROS!$H$93)^AP$305</f>
        <v>789194.53622213157</v>
      </c>
      <c r="AQ310" s="723">
        <f>AQ277*(1+PARAMETROS!$C$93)*(1+PARAMETROS!$D$93)*(1+PARAMETROS!$E$93)*(1+PARAMETROS!$F$93)*(1+PARAMETROS!$G$93)*(1+PARAMETROS!$H$93)^AQ$305</f>
        <v>0</v>
      </c>
      <c r="AR310" s="723">
        <f>AR277*(1+PARAMETROS!$C$93)*(1+PARAMETROS!$D$93)*(1+PARAMETROS!$E$93)*(1+PARAMETROS!$F$93)*(1+PARAMETROS!$G$93)*(1+PARAMETROS!$H$93)^AR$305</f>
        <v>0</v>
      </c>
      <c r="AS310" s="723">
        <f>AS277*(1+PARAMETROS!$C$93)*(1+PARAMETROS!$D$93)*(1+PARAMETROS!$E$93)*(1+PARAMETROS!$F$93)*(1+PARAMETROS!$G$93)*(1+PARAMETROS!$H$93)^AS$305</f>
        <v>0</v>
      </c>
      <c r="AT310" s="723">
        <f>AT277*(1+PARAMETROS!$C$93)*(1+PARAMETROS!$D$93)*(1+PARAMETROS!$E$93)*(1+PARAMETROS!$F$93)*(1+PARAMETROS!$G$93)*(1+PARAMETROS!$H$93)^AT$305</f>
        <v>0</v>
      </c>
      <c r="AU310" s="723">
        <f>AU277*(1+PARAMETROS!$C$93)*(1+PARAMETROS!$D$93)*(1+PARAMETROS!$E$93)*(1+PARAMETROS!$F$93)*(1+PARAMETROS!$G$93)*(1+PARAMETROS!$H$93)^AU$305</f>
        <v>0</v>
      </c>
      <c r="AV310" s="723">
        <f>AV277*(1+PARAMETROS!$C$93)*(1+PARAMETROS!$D$93)*(1+PARAMETROS!$E$93)*(1+PARAMETROS!$F$93)*(1+PARAMETROS!$G$93)*(1+PARAMETROS!$H$93)^AV$305</f>
        <v>0</v>
      </c>
      <c r="AW310" s="723">
        <f>AW277*(1+PARAMETROS!$C$93)*(1+PARAMETROS!$D$93)*(1+PARAMETROS!$E$93)*(1+PARAMETROS!$F$93)*(1+PARAMETROS!$G$93)*(1+PARAMETROS!$H$93)^AW$305</f>
        <v>0</v>
      </c>
      <c r="AX310" s="723">
        <f>AX277*(1+PARAMETROS!$C$93)*(1+PARAMETROS!$D$93)*(1+PARAMETROS!$E$93)*(1+PARAMETROS!$F$93)*(1+PARAMETROS!$G$93)*(1+PARAMETROS!$H$93)^AX$305</f>
        <v>0</v>
      </c>
    </row>
    <row r="311" spans="2:50" x14ac:dyDescent="0.2">
      <c r="B311" s="710"/>
      <c r="C311" s="16"/>
      <c r="D311" s="740"/>
      <c r="E311" s="722"/>
      <c r="F311" s="723"/>
      <c r="G311" s="723"/>
      <c r="H311" s="723"/>
      <c r="I311" s="723"/>
      <c r="J311" s="723"/>
      <c r="K311" s="723"/>
      <c r="L311" s="723"/>
      <c r="M311" s="723"/>
      <c r="N311" s="723"/>
      <c r="O311" s="723"/>
      <c r="P311" s="723"/>
      <c r="Q311" s="723"/>
      <c r="R311" s="723"/>
      <c r="S311" s="723"/>
      <c r="T311" s="723"/>
      <c r="U311" s="723"/>
      <c r="V311" s="723"/>
      <c r="W311" s="723"/>
      <c r="X311" s="723"/>
      <c r="Y311" s="723"/>
      <c r="Z311" s="723"/>
      <c r="AA311" s="723"/>
      <c r="AB311" s="723"/>
      <c r="AC311" s="723"/>
      <c r="AD311" s="723"/>
      <c r="AE311" s="723"/>
      <c r="AF311" s="723"/>
      <c r="AG311" s="723"/>
      <c r="AH311" s="723"/>
      <c r="AI311" s="723"/>
      <c r="AJ311" s="723"/>
      <c r="AK311" s="723"/>
      <c r="AL311" s="723"/>
      <c r="AM311" s="723"/>
      <c r="AN311" s="723"/>
      <c r="AO311" s="723"/>
      <c r="AP311" s="723"/>
      <c r="AQ311" s="723"/>
      <c r="AR311" s="723"/>
      <c r="AS311" s="723"/>
      <c r="AT311" s="723"/>
      <c r="AU311" s="723"/>
      <c r="AV311" s="723"/>
      <c r="AW311" s="723"/>
      <c r="AX311" s="723"/>
    </row>
    <row r="312" spans="2:50" x14ac:dyDescent="0.2">
      <c r="B312" s="737" t="s">
        <v>407</v>
      </c>
      <c r="C312" s="16" t="s">
        <v>410</v>
      </c>
      <c r="D312" s="740" t="s">
        <v>412</v>
      </c>
      <c r="E312" s="722">
        <f>E306+E309</f>
        <v>2155356.6975317574</v>
      </c>
      <c r="F312" s="722">
        <f t="shared" ref="F312:K312" si="257">F306+F309</f>
        <v>16255703.188509312</v>
      </c>
      <c r="G312" s="722">
        <f t="shared" si="257"/>
        <v>34245459.236966729</v>
      </c>
      <c r="H312" s="722">
        <f t="shared" si="257"/>
        <v>15328904.347626558</v>
      </c>
      <c r="I312" s="722">
        <f t="shared" si="257"/>
        <v>0</v>
      </c>
      <c r="J312" s="722">
        <f t="shared" si="257"/>
        <v>0</v>
      </c>
      <c r="K312" s="722">
        <f t="shared" si="257"/>
        <v>0</v>
      </c>
      <c r="L312" s="722">
        <f t="shared" ref="L312:AX312" si="258">L306+L309</f>
        <v>0</v>
      </c>
      <c r="M312" s="722">
        <f t="shared" si="258"/>
        <v>0</v>
      </c>
      <c r="N312" s="722">
        <f t="shared" si="258"/>
        <v>0</v>
      </c>
      <c r="O312" s="722">
        <f t="shared" si="258"/>
        <v>0</v>
      </c>
      <c r="P312" s="722">
        <f t="shared" si="258"/>
        <v>0</v>
      </c>
      <c r="Q312" s="722">
        <f t="shared" si="258"/>
        <v>0</v>
      </c>
      <c r="R312" s="722">
        <f t="shared" si="258"/>
        <v>3288717.8887142758</v>
      </c>
      <c r="S312" s="722">
        <f t="shared" si="258"/>
        <v>4263099.7290192386</v>
      </c>
      <c r="T312" s="722">
        <f t="shared" si="258"/>
        <v>0</v>
      </c>
      <c r="U312" s="722">
        <f t="shared" si="258"/>
        <v>0</v>
      </c>
      <c r="V312" s="722">
        <f t="shared" si="258"/>
        <v>0</v>
      </c>
      <c r="W312" s="722">
        <f t="shared" si="258"/>
        <v>1103366.135787359</v>
      </c>
      <c r="X312" s="722">
        <f t="shared" si="258"/>
        <v>8170811.8071838841</v>
      </c>
      <c r="Y312" s="722">
        <f t="shared" si="258"/>
        <v>3745348.2963713645</v>
      </c>
      <c r="Z312" s="722">
        <f t="shared" si="258"/>
        <v>0</v>
      </c>
      <c r="AA312" s="722">
        <f t="shared" si="258"/>
        <v>0</v>
      </c>
      <c r="AB312" s="722">
        <f t="shared" si="258"/>
        <v>0</v>
      </c>
      <c r="AC312" s="722">
        <f t="shared" si="258"/>
        <v>5062830.0938571524</v>
      </c>
      <c r="AD312" s="722">
        <f t="shared" si="258"/>
        <v>6562846.1703143772</v>
      </c>
      <c r="AE312" s="722">
        <f t="shared" si="258"/>
        <v>0</v>
      </c>
      <c r="AF312" s="722">
        <f t="shared" si="258"/>
        <v>0</v>
      </c>
      <c r="AG312" s="722">
        <f t="shared" si="258"/>
        <v>0</v>
      </c>
      <c r="AH312" s="722">
        <f t="shared" si="258"/>
        <v>0</v>
      </c>
      <c r="AI312" s="722">
        <f t="shared" si="258"/>
        <v>0</v>
      </c>
      <c r="AJ312" s="722">
        <f t="shared" si="258"/>
        <v>0</v>
      </c>
      <c r="AK312" s="722">
        <f t="shared" si="258"/>
        <v>0</v>
      </c>
      <c r="AL312" s="722">
        <f t="shared" si="258"/>
        <v>0</v>
      </c>
      <c r="AM312" s="722">
        <f t="shared" si="258"/>
        <v>0</v>
      </c>
      <c r="AN312" s="722">
        <f t="shared" si="258"/>
        <v>9943241.7671026587</v>
      </c>
      <c r="AO312" s="722">
        <f t="shared" si="258"/>
        <v>25828086.479783505</v>
      </c>
      <c r="AP312" s="722">
        <f t="shared" si="258"/>
        <v>7229337.8931176467</v>
      </c>
      <c r="AQ312" s="722">
        <f t="shared" si="258"/>
        <v>0</v>
      </c>
      <c r="AR312" s="722">
        <f t="shared" si="258"/>
        <v>0</v>
      </c>
      <c r="AS312" s="722">
        <f t="shared" si="258"/>
        <v>0</v>
      </c>
      <c r="AT312" s="722">
        <f t="shared" si="258"/>
        <v>0</v>
      </c>
      <c r="AU312" s="722">
        <f t="shared" si="258"/>
        <v>0</v>
      </c>
      <c r="AV312" s="722">
        <f t="shared" si="258"/>
        <v>0</v>
      </c>
      <c r="AW312" s="722">
        <f t="shared" si="258"/>
        <v>0</v>
      </c>
      <c r="AX312" s="722">
        <f t="shared" si="258"/>
        <v>0</v>
      </c>
    </row>
    <row r="313" spans="2:50" x14ac:dyDescent="0.2">
      <c r="B313" s="737" t="s">
        <v>408</v>
      </c>
      <c r="C313" s="16" t="s">
        <v>410</v>
      </c>
      <c r="D313" s="740" t="s">
        <v>412</v>
      </c>
      <c r="E313" s="722">
        <f>E307+E310</f>
        <v>5813637.9554049624</v>
      </c>
      <c r="F313" s="722">
        <f t="shared" ref="F313:K313" si="259">F307+F310</f>
        <v>14982269.862007843</v>
      </c>
      <c r="G313" s="722">
        <f t="shared" si="259"/>
        <v>49020199.840237044</v>
      </c>
      <c r="H313" s="722">
        <f t="shared" si="259"/>
        <v>18985815.007637981</v>
      </c>
      <c r="I313" s="722">
        <f t="shared" si="259"/>
        <v>0</v>
      </c>
      <c r="J313" s="722">
        <f t="shared" si="259"/>
        <v>0</v>
      </c>
      <c r="K313" s="722">
        <f t="shared" si="259"/>
        <v>0</v>
      </c>
      <c r="L313" s="722">
        <f t="shared" ref="L313:AX313" si="260">L307+L310</f>
        <v>0</v>
      </c>
      <c r="M313" s="722">
        <f t="shared" si="260"/>
        <v>0</v>
      </c>
      <c r="N313" s="722">
        <f t="shared" si="260"/>
        <v>0</v>
      </c>
      <c r="O313" s="722">
        <f t="shared" si="260"/>
        <v>0</v>
      </c>
      <c r="P313" s="722">
        <f t="shared" si="260"/>
        <v>0</v>
      </c>
      <c r="Q313" s="722">
        <f t="shared" si="260"/>
        <v>0</v>
      </c>
      <c r="R313" s="722">
        <f t="shared" si="260"/>
        <v>601080.86191129335</v>
      </c>
      <c r="S313" s="722">
        <f t="shared" si="260"/>
        <v>763435.96777204284</v>
      </c>
      <c r="T313" s="722">
        <f t="shared" si="260"/>
        <v>0</v>
      </c>
      <c r="U313" s="722">
        <f t="shared" si="260"/>
        <v>0</v>
      </c>
      <c r="V313" s="722">
        <f t="shared" si="260"/>
        <v>0</v>
      </c>
      <c r="W313" s="722">
        <f t="shared" si="260"/>
        <v>3252327.4360371097</v>
      </c>
      <c r="X313" s="722">
        <f t="shared" si="260"/>
        <v>6315179.1228960026</v>
      </c>
      <c r="Y313" s="722">
        <f t="shared" si="260"/>
        <v>3087137.9969514953</v>
      </c>
      <c r="Z313" s="722">
        <f t="shared" si="260"/>
        <v>0</v>
      </c>
      <c r="AA313" s="722">
        <f t="shared" si="260"/>
        <v>0</v>
      </c>
      <c r="AB313" s="722">
        <f t="shared" si="260"/>
        <v>0</v>
      </c>
      <c r="AC313" s="722">
        <f t="shared" si="260"/>
        <v>739348.0377094436</v>
      </c>
      <c r="AD313" s="722">
        <f t="shared" si="260"/>
        <v>939049.83581455285</v>
      </c>
      <c r="AE313" s="722">
        <f t="shared" si="260"/>
        <v>0</v>
      </c>
      <c r="AF313" s="722">
        <f t="shared" si="260"/>
        <v>0</v>
      </c>
      <c r="AG313" s="722">
        <f t="shared" si="260"/>
        <v>0</v>
      </c>
      <c r="AH313" s="722">
        <f t="shared" si="260"/>
        <v>0</v>
      </c>
      <c r="AI313" s="722">
        <f t="shared" si="260"/>
        <v>0</v>
      </c>
      <c r="AJ313" s="722">
        <f t="shared" si="260"/>
        <v>0</v>
      </c>
      <c r="AK313" s="722">
        <f t="shared" si="260"/>
        <v>0</v>
      </c>
      <c r="AL313" s="722">
        <f t="shared" si="260"/>
        <v>0</v>
      </c>
      <c r="AM313" s="722">
        <f t="shared" si="260"/>
        <v>0</v>
      </c>
      <c r="AN313" s="722">
        <f t="shared" si="260"/>
        <v>5388156.1873233393</v>
      </c>
      <c r="AO313" s="722">
        <f t="shared" si="260"/>
        <v>9679445.782572465</v>
      </c>
      <c r="AP313" s="722">
        <f t="shared" si="260"/>
        <v>4192777.9355637692</v>
      </c>
      <c r="AQ313" s="722">
        <f t="shared" si="260"/>
        <v>0</v>
      </c>
      <c r="AR313" s="722">
        <f t="shared" si="260"/>
        <v>0</v>
      </c>
      <c r="AS313" s="722">
        <f t="shared" si="260"/>
        <v>0</v>
      </c>
      <c r="AT313" s="722">
        <f t="shared" si="260"/>
        <v>0</v>
      </c>
      <c r="AU313" s="722">
        <f t="shared" si="260"/>
        <v>0</v>
      </c>
      <c r="AV313" s="722">
        <f t="shared" si="260"/>
        <v>0</v>
      </c>
      <c r="AW313" s="722">
        <f t="shared" si="260"/>
        <v>0</v>
      </c>
      <c r="AX313" s="722">
        <f t="shared" si="260"/>
        <v>0</v>
      </c>
    </row>
    <row r="314" spans="2:50" x14ac:dyDescent="0.2">
      <c r="B314" s="737"/>
      <c r="C314" s="16"/>
      <c r="D314" s="740"/>
      <c r="E314" s="722"/>
      <c r="F314" s="722"/>
      <c r="G314" s="722"/>
      <c r="H314" s="722"/>
      <c r="I314" s="724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</row>
    <row r="315" spans="2:50" x14ac:dyDescent="0.2">
      <c r="B315" s="738" t="s">
        <v>415</v>
      </c>
      <c r="C315" s="751" t="s">
        <v>409</v>
      </c>
      <c r="D315" s="740" t="s">
        <v>412</v>
      </c>
      <c r="E315" s="741">
        <f>E306+E307</f>
        <v>7217680.5455314573</v>
      </c>
      <c r="F315" s="741">
        <f t="shared" ref="F315:K315" si="261">F306+F307</f>
        <v>25976311.77290494</v>
      </c>
      <c r="G315" s="741">
        <f t="shared" si="261"/>
        <v>67235615.924026325</v>
      </c>
      <c r="H315" s="741">
        <f t="shared" si="261"/>
        <v>27851892.213837631</v>
      </c>
      <c r="I315" s="741">
        <f t="shared" si="261"/>
        <v>0</v>
      </c>
      <c r="J315" s="741">
        <f t="shared" si="261"/>
        <v>0</v>
      </c>
      <c r="K315" s="741">
        <f t="shared" si="261"/>
        <v>0</v>
      </c>
      <c r="L315" s="741">
        <f t="shared" ref="L315:AX315" si="262">L306+L307</f>
        <v>0</v>
      </c>
      <c r="M315" s="741">
        <f t="shared" si="262"/>
        <v>0</v>
      </c>
      <c r="N315" s="741">
        <f t="shared" si="262"/>
        <v>0</v>
      </c>
      <c r="O315" s="741">
        <f t="shared" si="262"/>
        <v>0</v>
      </c>
      <c r="P315" s="741">
        <f t="shared" si="262"/>
        <v>0</v>
      </c>
      <c r="Q315" s="741">
        <f t="shared" si="262"/>
        <v>0</v>
      </c>
      <c r="R315" s="741">
        <f t="shared" si="262"/>
        <v>3303218.0764694791</v>
      </c>
      <c r="S315" s="741">
        <f t="shared" si="262"/>
        <v>4268535.3767954707</v>
      </c>
      <c r="T315" s="741">
        <f t="shared" si="262"/>
        <v>0</v>
      </c>
      <c r="U315" s="741">
        <f t="shared" si="262"/>
        <v>0</v>
      </c>
      <c r="V315" s="741">
        <f t="shared" si="262"/>
        <v>0</v>
      </c>
      <c r="W315" s="741">
        <f t="shared" si="262"/>
        <v>3522215.6000473816</v>
      </c>
      <c r="X315" s="741">
        <f t="shared" si="262"/>
        <v>11704119.480336457</v>
      </c>
      <c r="Y315" s="741">
        <f t="shared" si="262"/>
        <v>5505230.2694218252</v>
      </c>
      <c r="Z315" s="741">
        <f t="shared" si="262"/>
        <v>0</v>
      </c>
      <c r="AA315" s="741">
        <f t="shared" si="262"/>
        <v>0</v>
      </c>
      <c r="AB315" s="741">
        <f t="shared" si="262"/>
        <v>0</v>
      </c>
      <c r="AC315" s="741">
        <f t="shared" si="262"/>
        <v>4927211.1273120167</v>
      </c>
      <c r="AD315" s="741">
        <f t="shared" si="262"/>
        <v>6370611.9734996604</v>
      </c>
      <c r="AE315" s="741">
        <f t="shared" si="262"/>
        <v>0</v>
      </c>
      <c r="AF315" s="741">
        <f t="shared" si="262"/>
        <v>0</v>
      </c>
      <c r="AG315" s="741">
        <f t="shared" si="262"/>
        <v>0</v>
      </c>
      <c r="AH315" s="741">
        <f t="shared" si="262"/>
        <v>0</v>
      </c>
      <c r="AI315" s="741">
        <f t="shared" si="262"/>
        <v>0</v>
      </c>
      <c r="AJ315" s="741">
        <f t="shared" si="262"/>
        <v>0</v>
      </c>
      <c r="AK315" s="741">
        <f t="shared" si="262"/>
        <v>0</v>
      </c>
      <c r="AL315" s="741">
        <f t="shared" si="262"/>
        <v>0</v>
      </c>
      <c r="AM315" s="741">
        <f t="shared" si="262"/>
        <v>0</v>
      </c>
      <c r="AN315" s="741">
        <f t="shared" si="262"/>
        <v>12746983.264654558</v>
      </c>
      <c r="AO315" s="741">
        <f t="shared" si="262"/>
        <v>29124342.805732399</v>
      </c>
      <c r="AP315" s="741">
        <f t="shared" si="262"/>
        <v>9193670.0958155151</v>
      </c>
      <c r="AQ315" s="741">
        <f t="shared" si="262"/>
        <v>0</v>
      </c>
      <c r="AR315" s="741">
        <f t="shared" si="262"/>
        <v>0</v>
      </c>
      <c r="AS315" s="741">
        <f t="shared" si="262"/>
        <v>0</v>
      </c>
      <c r="AT315" s="741">
        <f t="shared" si="262"/>
        <v>0</v>
      </c>
      <c r="AU315" s="741">
        <f t="shared" si="262"/>
        <v>0</v>
      </c>
      <c r="AV315" s="741">
        <f t="shared" si="262"/>
        <v>0</v>
      </c>
      <c r="AW315" s="741">
        <f t="shared" si="262"/>
        <v>0</v>
      </c>
      <c r="AX315" s="741">
        <f t="shared" si="262"/>
        <v>0</v>
      </c>
    </row>
    <row r="316" spans="2:50" x14ac:dyDescent="0.2">
      <c r="B316" s="738" t="s">
        <v>415</v>
      </c>
      <c r="C316" s="751" t="s">
        <v>410</v>
      </c>
      <c r="D316" s="740" t="s">
        <v>412</v>
      </c>
      <c r="E316" s="741">
        <f>E312+E313</f>
        <v>7968994.6529367194</v>
      </c>
      <c r="F316" s="741">
        <f t="shared" ref="F316:K316" si="263">F312+F313</f>
        <v>31237973.050517157</v>
      </c>
      <c r="G316" s="741">
        <f t="shared" si="263"/>
        <v>83265659.07720378</v>
      </c>
      <c r="H316" s="741">
        <f t="shared" si="263"/>
        <v>34314719.355264537</v>
      </c>
      <c r="I316" s="741">
        <f t="shared" si="263"/>
        <v>0</v>
      </c>
      <c r="J316" s="741">
        <f t="shared" si="263"/>
        <v>0</v>
      </c>
      <c r="K316" s="741">
        <f t="shared" si="263"/>
        <v>0</v>
      </c>
      <c r="L316" s="741">
        <f t="shared" ref="L316:AX316" si="264">L312+L313</f>
        <v>0</v>
      </c>
      <c r="M316" s="741">
        <f t="shared" si="264"/>
        <v>0</v>
      </c>
      <c r="N316" s="741">
        <f t="shared" si="264"/>
        <v>0</v>
      </c>
      <c r="O316" s="741">
        <f t="shared" si="264"/>
        <v>0</v>
      </c>
      <c r="P316" s="741">
        <f t="shared" si="264"/>
        <v>0</v>
      </c>
      <c r="Q316" s="741">
        <f t="shared" si="264"/>
        <v>0</v>
      </c>
      <c r="R316" s="741">
        <f t="shared" si="264"/>
        <v>3889798.7506255694</v>
      </c>
      <c r="S316" s="741">
        <f t="shared" si="264"/>
        <v>5026535.6967912819</v>
      </c>
      <c r="T316" s="741">
        <f t="shared" si="264"/>
        <v>0</v>
      </c>
      <c r="U316" s="741">
        <f t="shared" si="264"/>
        <v>0</v>
      </c>
      <c r="V316" s="741">
        <f t="shared" si="264"/>
        <v>0</v>
      </c>
      <c r="W316" s="741">
        <f t="shared" si="264"/>
        <v>4355693.5718244687</v>
      </c>
      <c r="X316" s="741">
        <f t="shared" si="264"/>
        <v>14485990.930079887</v>
      </c>
      <c r="Y316" s="741">
        <f t="shared" si="264"/>
        <v>6832486.2933228593</v>
      </c>
      <c r="Z316" s="741">
        <f t="shared" si="264"/>
        <v>0</v>
      </c>
      <c r="AA316" s="741">
        <f t="shared" si="264"/>
        <v>0</v>
      </c>
      <c r="AB316" s="741">
        <f t="shared" si="264"/>
        <v>0</v>
      </c>
      <c r="AC316" s="741">
        <f t="shared" si="264"/>
        <v>5802178.1315665962</v>
      </c>
      <c r="AD316" s="741">
        <f t="shared" si="264"/>
        <v>7501896.0061289296</v>
      </c>
      <c r="AE316" s="741">
        <f t="shared" si="264"/>
        <v>0</v>
      </c>
      <c r="AF316" s="741">
        <f t="shared" si="264"/>
        <v>0</v>
      </c>
      <c r="AG316" s="741">
        <f t="shared" si="264"/>
        <v>0</v>
      </c>
      <c r="AH316" s="741">
        <f t="shared" si="264"/>
        <v>0</v>
      </c>
      <c r="AI316" s="741">
        <f t="shared" si="264"/>
        <v>0</v>
      </c>
      <c r="AJ316" s="741">
        <f t="shared" si="264"/>
        <v>0</v>
      </c>
      <c r="AK316" s="741">
        <f t="shared" si="264"/>
        <v>0</v>
      </c>
      <c r="AL316" s="741">
        <f t="shared" si="264"/>
        <v>0</v>
      </c>
      <c r="AM316" s="741">
        <f t="shared" si="264"/>
        <v>0</v>
      </c>
      <c r="AN316" s="741">
        <f t="shared" si="264"/>
        <v>15331397.954425998</v>
      </c>
      <c r="AO316" s="741">
        <f t="shared" si="264"/>
        <v>35507532.262355968</v>
      </c>
      <c r="AP316" s="741">
        <f t="shared" si="264"/>
        <v>11422115.828681417</v>
      </c>
      <c r="AQ316" s="741">
        <f t="shared" si="264"/>
        <v>0</v>
      </c>
      <c r="AR316" s="741">
        <f t="shared" si="264"/>
        <v>0</v>
      </c>
      <c r="AS316" s="741">
        <f t="shared" si="264"/>
        <v>0</v>
      </c>
      <c r="AT316" s="741">
        <f t="shared" si="264"/>
        <v>0</v>
      </c>
      <c r="AU316" s="741">
        <f t="shared" si="264"/>
        <v>0</v>
      </c>
      <c r="AV316" s="741">
        <f t="shared" si="264"/>
        <v>0</v>
      </c>
      <c r="AW316" s="741">
        <f t="shared" si="264"/>
        <v>0</v>
      </c>
      <c r="AX316" s="741">
        <f t="shared" si="264"/>
        <v>0</v>
      </c>
    </row>
    <row r="317" spans="2:50" x14ac:dyDescent="0.2">
      <c r="B317" s="710"/>
      <c r="C317" s="128"/>
      <c r="D317" s="726"/>
      <c r="E317" s="722"/>
      <c r="F317" s="722"/>
      <c r="G317" s="722"/>
      <c r="H317" s="722"/>
      <c r="I317" s="724"/>
    </row>
    <row r="318" spans="2:50" x14ac:dyDescent="0.2">
      <c r="B318" s="710"/>
      <c r="C318" s="128"/>
      <c r="D318" s="726"/>
      <c r="E318" s="722"/>
      <c r="F318" s="722"/>
      <c r="G318" s="722"/>
      <c r="H318" s="722"/>
      <c r="I318" s="724"/>
    </row>
    <row r="319" spans="2:50" x14ac:dyDescent="0.2">
      <c r="B319" s="710"/>
      <c r="C319" s="128"/>
      <c r="D319" s="726"/>
      <c r="E319" s="722"/>
      <c r="F319" s="722"/>
      <c r="G319" s="722"/>
      <c r="H319" s="722"/>
      <c r="I319" s="724"/>
    </row>
    <row r="320" spans="2:50" x14ac:dyDescent="0.2">
      <c r="B320" s="710"/>
      <c r="C320" s="128"/>
      <c r="D320" s="726"/>
      <c r="E320" s="722"/>
      <c r="F320" s="722"/>
      <c r="G320" s="722"/>
      <c r="H320" s="722"/>
      <c r="I320" s="724"/>
    </row>
    <row r="321" spans="2:9" x14ac:dyDescent="0.2">
      <c r="B321" s="710"/>
      <c r="C321" s="128"/>
      <c r="D321" s="726"/>
      <c r="E321" s="722"/>
      <c r="F321" s="722"/>
      <c r="G321" s="722"/>
      <c r="H321" s="722"/>
      <c r="I321" s="724"/>
    </row>
    <row r="322" spans="2:9" x14ac:dyDescent="0.2">
      <c r="B322" s="710"/>
      <c r="C322" s="128"/>
      <c r="D322" s="726"/>
      <c r="E322" s="722"/>
      <c r="F322" s="722"/>
      <c r="G322" s="722"/>
      <c r="H322" s="722"/>
      <c r="I322" s="724"/>
    </row>
    <row r="323" spans="2:9" x14ac:dyDescent="0.2">
      <c r="B323" s="710"/>
      <c r="C323" s="128"/>
      <c r="D323" s="726"/>
      <c r="E323" s="722"/>
      <c r="F323" s="722"/>
      <c r="G323" s="722"/>
      <c r="H323" s="722"/>
      <c r="I323" s="724"/>
    </row>
    <row r="324" spans="2:9" x14ac:dyDescent="0.2">
      <c r="B324" s="710"/>
      <c r="C324" s="128"/>
      <c r="D324" s="726"/>
      <c r="E324" s="722"/>
      <c r="F324" s="722"/>
      <c r="G324" s="722"/>
      <c r="H324" s="722"/>
      <c r="I324" s="724"/>
    </row>
    <row r="325" spans="2:9" x14ac:dyDescent="0.2">
      <c r="B325" s="710"/>
      <c r="C325" s="128"/>
      <c r="D325" s="726"/>
      <c r="E325" s="722"/>
      <c r="F325" s="722"/>
      <c r="G325" s="722"/>
      <c r="H325" s="722"/>
      <c r="I325" s="724"/>
    </row>
    <row r="326" spans="2:9" x14ac:dyDescent="0.2">
      <c r="B326" s="710"/>
      <c r="C326" s="128"/>
      <c r="D326" s="726"/>
      <c r="E326" s="722"/>
      <c r="F326" s="722"/>
      <c r="G326" s="722"/>
      <c r="H326" s="722"/>
      <c r="I326" s="724"/>
    </row>
    <row r="327" spans="2:9" x14ac:dyDescent="0.2">
      <c r="B327" s="710"/>
      <c r="C327" s="128"/>
      <c r="D327" s="726"/>
      <c r="E327" s="722"/>
      <c r="F327" s="722"/>
      <c r="G327" s="722"/>
      <c r="H327" s="722"/>
      <c r="I327" s="724"/>
    </row>
    <row r="328" spans="2:9" x14ac:dyDescent="0.2">
      <c r="B328" s="710"/>
      <c r="C328" s="128"/>
      <c r="D328" s="726"/>
      <c r="E328" s="722"/>
      <c r="F328" s="722"/>
      <c r="G328" s="722"/>
      <c r="H328" s="722"/>
      <c r="I328" s="724"/>
    </row>
    <row r="329" spans="2:9" x14ac:dyDescent="0.2">
      <c r="B329" s="710"/>
      <c r="C329" s="128"/>
      <c r="D329" s="726"/>
      <c r="E329" s="722"/>
      <c r="F329" s="722"/>
      <c r="G329" s="722"/>
      <c r="H329" s="722"/>
      <c r="I329" s="724"/>
    </row>
    <row r="330" spans="2:9" x14ac:dyDescent="0.2">
      <c r="B330" s="710"/>
      <c r="C330" s="128"/>
      <c r="D330" s="726"/>
      <c r="E330" s="722"/>
      <c r="F330" s="722"/>
      <c r="G330" s="722"/>
      <c r="H330" s="722"/>
      <c r="I330" s="724"/>
    </row>
    <row r="331" spans="2:9" x14ac:dyDescent="0.2">
      <c r="B331" s="710"/>
      <c r="C331" s="128"/>
      <c r="D331" s="726"/>
      <c r="E331" s="722"/>
      <c r="F331" s="722"/>
      <c r="G331" s="722"/>
      <c r="H331" s="722"/>
      <c r="I331" s="724"/>
    </row>
    <row r="332" spans="2:9" x14ac:dyDescent="0.2">
      <c r="B332" s="710"/>
      <c r="C332" s="128"/>
      <c r="D332" s="726"/>
      <c r="E332" s="722"/>
      <c r="F332" s="722"/>
      <c r="G332" s="722"/>
      <c r="H332" s="722"/>
      <c r="I332" s="724"/>
    </row>
    <row r="333" spans="2:9" x14ac:dyDescent="0.2">
      <c r="B333" s="710"/>
      <c r="C333" s="128"/>
      <c r="D333" s="726"/>
      <c r="E333" s="722"/>
      <c r="F333" s="722"/>
      <c r="G333" s="722"/>
      <c r="H333" s="722"/>
      <c r="I333" s="724"/>
    </row>
    <row r="334" spans="2:9" x14ac:dyDescent="0.2">
      <c r="B334" s="710"/>
      <c r="C334" s="128"/>
      <c r="D334" s="726"/>
      <c r="E334" s="722"/>
      <c r="F334" s="722"/>
      <c r="G334" s="722"/>
      <c r="H334" s="722"/>
      <c r="I334" s="724"/>
    </row>
    <row r="335" spans="2:9" x14ac:dyDescent="0.2">
      <c r="B335" s="710"/>
      <c r="C335" s="128"/>
      <c r="D335" s="726"/>
      <c r="E335" s="722"/>
      <c r="F335" s="722"/>
      <c r="G335" s="722"/>
      <c r="H335" s="722"/>
      <c r="I335" s="724"/>
    </row>
    <row r="336" spans="2:9" x14ac:dyDescent="0.2">
      <c r="B336" s="710"/>
      <c r="C336" s="128"/>
      <c r="D336" s="726"/>
      <c r="E336" s="722"/>
      <c r="F336" s="722"/>
      <c r="G336" s="722"/>
      <c r="H336" s="722"/>
      <c r="I336" s="724"/>
    </row>
    <row r="337" spans="2:9" x14ac:dyDescent="0.2">
      <c r="B337" s="710"/>
      <c r="C337" s="128"/>
      <c r="D337" s="726"/>
      <c r="E337" s="722"/>
      <c r="F337" s="722"/>
      <c r="G337" s="722"/>
      <c r="H337" s="722"/>
      <c r="I337" s="724"/>
    </row>
    <row r="338" spans="2:9" x14ac:dyDescent="0.2">
      <c r="B338" s="710"/>
      <c r="C338" s="128"/>
      <c r="D338" s="726"/>
      <c r="E338" s="724"/>
      <c r="F338" s="724"/>
      <c r="G338" s="724"/>
      <c r="H338" s="724"/>
      <c r="I338" s="724"/>
    </row>
    <row r="339" spans="2:9" x14ac:dyDescent="0.2">
      <c r="B339" s="710"/>
      <c r="C339" s="128"/>
      <c r="D339" s="726"/>
      <c r="E339" s="724"/>
      <c r="F339" s="724"/>
      <c r="G339" s="724"/>
      <c r="H339" s="724"/>
      <c r="I339" s="724"/>
    </row>
    <row r="340" spans="2:9" x14ac:dyDescent="0.2">
      <c r="B340" s="710"/>
      <c r="C340" s="128"/>
      <c r="D340" s="726"/>
      <c r="E340" s="724"/>
      <c r="F340" s="724"/>
      <c r="G340" s="724"/>
      <c r="H340" s="724"/>
      <c r="I340" s="724"/>
    </row>
    <row r="341" spans="2:9" x14ac:dyDescent="0.2">
      <c r="B341" s="710"/>
      <c r="C341" s="128"/>
      <c r="D341" s="726"/>
      <c r="E341" s="724"/>
      <c r="F341" s="724"/>
      <c r="G341" s="724"/>
      <c r="H341" s="724"/>
      <c r="I341" s="724"/>
    </row>
    <row r="342" spans="2:9" x14ac:dyDescent="0.2">
      <c r="B342" s="710"/>
      <c r="C342" s="128"/>
      <c r="D342" s="726"/>
      <c r="E342" s="724"/>
      <c r="F342" s="724"/>
      <c r="G342" s="724"/>
      <c r="H342" s="724"/>
      <c r="I342" s="724"/>
    </row>
    <row r="343" spans="2:9" x14ac:dyDescent="0.2">
      <c r="B343" s="710"/>
    </row>
    <row r="344" spans="2:9" x14ac:dyDescent="0.2">
      <c r="B344" s="710"/>
    </row>
    <row r="345" spans="2:9" x14ac:dyDescent="0.2">
      <c r="B345" s="710"/>
    </row>
    <row r="346" spans="2:9" x14ac:dyDescent="0.2">
      <c r="B346" s="710"/>
    </row>
    <row r="347" spans="2:9" x14ac:dyDescent="0.2">
      <c r="B347" s="710"/>
    </row>
    <row r="348" spans="2:9" x14ac:dyDescent="0.2">
      <c r="B348" s="710"/>
    </row>
    <row r="349" spans="2:9" x14ac:dyDescent="0.2">
      <c r="B349" s="710"/>
    </row>
    <row r="350" spans="2:9" x14ac:dyDescent="0.2">
      <c r="B350" s="710"/>
    </row>
    <row r="351" spans="2:9" x14ac:dyDescent="0.2">
      <c r="B351" s="710"/>
    </row>
    <row r="352" spans="2:9" x14ac:dyDescent="0.2">
      <c r="B352" s="710"/>
    </row>
    <row r="353" spans="2:2" x14ac:dyDescent="0.2">
      <c r="B353" s="710"/>
    </row>
    <row r="354" spans="2:2" x14ac:dyDescent="0.2">
      <c r="B354" s="710"/>
    </row>
    <row r="355" spans="2:2" x14ac:dyDescent="0.2">
      <c r="B355" s="710"/>
    </row>
    <row r="356" spans="2:2" x14ac:dyDescent="0.2">
      <c r="B356" s="710"/>
    </row>
    <row r="357" spans="2:2" x14ac:dyDescent="0.2">
      <c r="B357" s="710"/>
    </row>
    <row r="358" spans="2:2" x14ac:dyDescent="0.2">
      <c r="B358" s="710"/>
    </row>
    <row r="359" spans="2:2" x14ac:dyDescent="0.2">
      <c r="B359" s="710"/>
    </row>
    <row r="360" spans="2:2" x14ac:dyDescent="0.2">
      <c r="B360" s="710"/>
    </row>
    <row r="361" spans="2:2" x14ac:dyDescent="0.2">
      <c r="B361" s="710"/>
    </row>
    <row r="362" spans="2:2" x14ac:dyDescent="0.2">
      <c r="B362" s="710"/>
    </row>
    <row r="363" spans="2:2" x14ac:dyDescent="0.2">
      <c r="B363" s="710"/>
    </row>
    <row r="364" spans="2:2" x14ac:dyDescent="0.2">
      <c r="B364" s="710"/>
    </row>
    <row r="365" spans="2:2" x14ac:dyDescent="0.2">
      <c r="B365" s="710"/>
    </row>
    <row r="366" spans="2:2" x14ac:dyDescent="0.2">
      <c r="B366" s="710"/>
    </row>
    <row r="367" spans="2:2" x14ac:dyDescent="0.2">
      <c r="B367" s="710"/>
    </row>
    <row r="368" spans="2:2" x14ac:dyDescent="0.2">
      <c r="B368" s="710"/>
    </row>
    <row r="369" spans="2:2" x14ac:dyDescent="0.2">
      <c r="B369" s="710"/>
    </row>
    <row r="370" spans="2:2" x14ac:dyDescent="0.2">
      <c r="B370" s="710"/>
    </row>
    <row r="371" spans="2:2" x14ac:dyDescent="0.2">
      <c r="B371" s="710"/>
    </row>
    <row r="372" spans="2:2" x14ac:dyDescent="0.2">
      <c r="B372" s="710"/>
    </row>
    <row r="373" spans="2:2" x14ac:dyDescent="0.2">
      <c r="B373" s="710"/>
    </row>
    <row r="374" spans="2:2" x14ac:dyDescent="0.2">
      <c r="B374" s="710"/>
    </row>
    <row r="375" spans="2:2" x14ac:dyDescent="0.2">
      <c r="B375" s="710"/>
    </row>
    <row r="376" spans="2:2" x14ac:dyDescent="0.2">
      <c r="B376" s="710"/>
    </row>
    <row r="377" spans="2:2" x14ac:dyDescent="0.2">
      <c r="B377" s="710"/>
    </row>
    <row r="378" spans="2:2" x14ac:dyDescent="0.2">
      <c r="B378" s="710"/>
    </row>
    <row r="379" spans="2:2" x14ac:dyDescent="0.2">
      <c r="B379" s="710"/>
    </row>
    <row r="380" spans="2:2" x14ac:dyDescent="0.2">
      <c r="B380" s="710"/>
    </row>
    <row r="381" spans="2:2" x14ac:dyDescent="0.2">
      <c r="B381" s="710"/>
    </row>
    <row r="382" spans="2:2" x14ac:dyDescent="0.2">
      <c r="B382" s="710"/>
    </row>
    <row r="383" spans="2:2" x14ac:dyDescent="0.2">
      <c r="B383" s="710"/>
    </row>
    <row r="384" spans="2:2" x14ac:dyDescent="0.2">
      <c r="B384" s="710"/>
    </row>
    <row r="385" spans="2:2" x14ac:dyDescent="0.2">
      <c r="B385" s="710"/>
    </row>
    <row r="386" spans="2:2" x14ac:dyDescent="0.2">
      <c r="B386" s="710"/>
    </row>
    <row r="387" spans="2:2" x14ac:dyDescent="0.2">
      <c r="B387" s="710"/>
    </row>
    <row r="388" spans="2:2" x14ac:dyDescent="0.2">
      <c r="B388" s="710"/>
    </row>
    <row r="389" spans="2:2" x14ac:dyDescent="0.2">
      <c r="B389" s="710"/>
    </row>
    <row r="390" spans="2:2" x14ac:dyDescent="0.2">
      <c r="B390" s="710"/>
    </row>
    <row r="391" spans="2:2" x14ac:dyDescent="0.2">
      <c r="B391" s="710"/>
    </row>
    <row r="392" spans="2:2" x14ac:dyDescent="0.2">
      <c r="B392" s="710"/>
    </row>
    <row r="393" spans="2:2" x14ac:dyDescent="0.2">
      <c r="B393" s="710"/>
    </row>
    <row r="394" spans="2:2" x14ac:dyDescent="0.2">
      <c r="B394" s="710"/>
    </row>
    <row r="395" spans="2:2" x14ac:dyDescent="0.2">
      <c r="B395" s="710"/>
    </row>
    <row r="396" spans="2:2" x14ac:dyDescent="0.2">
      <c r="B396" s="710"/>
    </row>
    <row r="397" spans="2:2" x14ac:dyDescent="0.2">
      <c r="B397" s="710"/>
    </row>
    <row r="398" spans="2:2" x14ac:dyDescent="0.2">
      <c r="B398" s="710"/>
    </row>
    <row r="399" spans="2:2" x14ac:dyDescent="0.2">
      <c r="B399" s="710"/>
    </row>
    <row r="400" spans="2:2" x14ac:dyDescent="0.2">
      <c r="B400" s="710"/>
    </row>
    <row r="401" spans="2:2" x14ac:dyDescent="0.2">
      <c r="B401" s="710"/>
    </row>
    <row r="402" spans="2:2" x14ac:dyDescent="0.2">
      <c r="B402" s="710"/>
    </row>
    <row r="403" spans="2:2" x14ac:dyDescent="0.2">
      <c r="B403" s="710"/>
    </row>
    <row r="404" spans="2:2" x14ac:dyDescent="0.2">
      <c r="B404" s="710"/>
    </row>
    <row r="405" spans="2:2" x14ac:dyDescent="0.2">
      <c r="B405" s="710"/>
    </row>
    <row r="406" spans="2:2" x14ac:dyDescent="0.2">
      <c r="B406" s="710"/>
    </row>
    <row r="407" spans="2:2" x14ac:dyDescent="0.2">
      <c r="B407" s="710"/>
    </row>
    <row r="408" spans="2:2" x14ac:dyDescent="0.2">
      <c r="B408" s="710"/>
    </row>
    <row r="409" spans="2:2" x14ac:dyDescent="0.2">
      <c r="B409" s="710"/>
    </row>
    <row r="410" spans="2:2" x14ac:dyDescent="0.2">
      <c r="B410" s="710"/>
    </row>
    <row r="411" spans="2:2" x14ac:dyDescent="0.2">
      <c r="B411" s="710"/>
    </row>
    <row r="412" spans="2:2" x14ac:dyDescent="0.2">
      <c r="B412" s="710"/>
    </row>
    <row r="413" spans="2:2" x14ac:dyDescent="0.2">
      <c r="B413" s="710"/>
    </row>
    <row r="414" spans="2:2" x14ac:dyDescent="0.2">
      <c r="B414" s="710"/>
    </row>
    <row r="415" spans="2:2" x14ac:dyDescent="0.2">
      <c r="B415" s="710"/>
    </row>
    <row r="416" spans="2:2" x14ac:dyDescent="0.2">
      <c r="B416" s="710"/>
    </row>
    <row r="417" spans="2:2" x14ac:dyDescent="0.2">
      <c r="B417" s="710"/>
    </row>
    <row r="418" spans="2:2" x14ac:dyDescent="0.2">
      <c r="B418" s="710"/>
    </row>
    <row r="419" spans="2:2" x14ac:dyDescent="0.2">
      <c r="B419" s="710"/>
    </row>
    <row r="420" spans="2:2" x14ac:dyDescent="0.2">
      <c r="B420" s="710"/>
    </row>
    <row r="421" spans="2:2" x14ac:dyDescent="0.2">
      <c r="B421" s="710"/>
    </row>
    <row r="422" spans="2:2" x14ac:dyDescent="0.2">
      <c r="B422" s="710"/>
    </row>
    <row r="423" spans="2:2" x14ac:dyDescent="0.2">
      <c r="B423" s="710"/>
    </row>
    <row r="424" spans="2:2" x14ac:dyDescent="0.2">
      <c r="B424" s="710"/>
    </row>
    <row r="425" spans="2:2" x14ac:dyDescent="0.2">
      <c r="B425" s="710"/>
    </row>
    <row r="426" spans="2:2" x14ac:dyDescent="0.2">
      <c r="B426" s="710"/>
    </row>
    <row r="427" spans="2:2" x14ac:dyDescent="0.2">
      <c r="B427" s="710"/>
    </row>
    <row r="428" spans="2:2" x14ac:dyDescent="0.2">
      <c r="B428" s="710"/>
    </row>
    <row r="429" spans="2:2" x14ac:dyDescent="0.2">
      <c r="B429" s="710"/>
    </row>
    <row r="430" spans="2:2" x14ac:dyDescent="0.2">
      <c r="B430" s="710"/>
    </row>
    <row r="431" spans="2:2" x14ac:dyDescent="0.2">
      <c r="B431" s="710"/>
    </row>
    <row r="432" spans="2:2" x14ac:dyDescent="0.2">
      <c r="B432" s="710"/>
    </row>
    <row r="433" spans="2:2" x14ac:dyDescent="0.2">
      <c r="B433" s="710"/>
    </row>
    <row r="434" spans="2:2" x14ac:dyDescent="0.2">
      <c r="B434" s="710"/>
    </row>
    <row r="435" spans="2:2" x14ac:dyDescent="0.2">
      <c r="B435" s="710"/>
    </row>
    <row r="436" spans="2:2" x14ac:dyDescent="0.2">
      <c r="B436" s="710"/>
    </row>
    <row r="437" spans="2:2" x14ac:dyDescent="0.2">
      <c r="B437" s="710"/>
    </row>
    <row r="438" spans="2:2" x14ac:dyDescent="0.2">
      <c r="B438" s="710"/>
    </row>
    <row r="439" spans="2:2" x14ac:dyDescent="0.2">
      <c r="B439" s="710"/>
    </row>
    <row r="440" spans="2:2" x14ac:dyDescent="0.2">
      <c r="B440" s="710"/>
    </row>
    <row r="441" spans="2:2" x14ac:dyDescent="0.2">
      <c r="B441" s="710"/>
    </row>
    <row r="442" spans="2:2" x14ac:dyDescent="0.2">
      <c r="B442" s="710"/>
    </row>
    <row r="443" spans="2:2" x14ac:dyDescent="0.2">
      <c r="B443" s="710"/>
    </row>
    <row r="444" spans="2:2" x14ac:dyDescent="0.2">
      <c r="B444" s="710"/>
    </row>
    <row r="445" spans="2:2" x14ac:dyDescent="0.2">
      <c r="B445" s="710"/>
    </row>
    <row r="446" spans="2:2" x14ac:dyDescent="0.2">
      <c r="B446" s="710"/>
    </row>
    <row r="447" spans="2:2" x14ac:dyDescent="0.2">
      <c r="B447" s="710"/>
    </row>
    <row r="448" spans="2:2" x14ac:dyDescent="0.2">
      <c r="B448" s="710"/>
    </row>
    <row r="449" spans="2:2" x14ac:dyDescent="0.2">
      <c r="B449" s="710"/>
    </row>
    <row r="450" spans="2:2" x14ac:dyDescent="0.2">
      <c r="B450" s="710"/>
    </row>
    <row r="451" spans="2:2" x14ac:dyDescent="0.2">
      <c r="B451" s="710"/>
    </row>
    <row r="452" spans="2:2" x14ac:dyDescent="0.2">
      <c r="B452" s="710"/>
    </row>
    <row r="453" spans="2:2" x14ac:dyDescent="0.2">
      <c r="B453" s="710"/>
    </row>
    <row r="454" spans="2:2" x14ac:dyDescent="0.2">
      <c r="B454" s="710"/>
    </row>
    <row r="455" spans="2:2" x14ac:dyDescent="0.2">
      <c r="B455" s="710"/>
    </row>
    <row r="456" spans="2:2" x14ac:dyDescent="0.2">
      <c r="B456" s="710"/>
    </row>
    <row r="457" spans="2:2" x14ac:dyDescent="0.2">
      <c r="B457" s="710"/>
    </row>
    <row r="458" spans="2:2" x14ac:dyDescent="0.2">
      <c r="B458" s="710"/>
    </row>
    <row r="459" spans="2:2" x14ac:dyDescent="0.2">
      <c r="B459" s="710"/>
    </row>
    <row r="460" spans="2:2" x14ac:dyDescent="0.2">
      <c r="B460" s="710"/>
    </row>
    <row r="461" spans="2:2" x14ac:dyDescent="0.2">
      <c r="B461" s="710"/>
    </row>
    <row r="462" spans="2:2" x14ac:dyDescent="0.2">
      <c r="B462" s="710"/>
    </row>
    <row r="463" spans="2:2" x14ac:dyDescent="0.2">
      <c r="B463" s="710"/>
    </row>
    <row r="464" spans="2:2" x14ac:dyDescent="0.2">
      <c r="B464" s="710"/>
    </row>
    <row r="465" spans="2:2" x14ac:dyDescent="0.2">
      <c r="B465" s="710"/>
    </row>
    <row r="466" spans="2:2" x14ac:dyDescent="0.2">
      <c r="B466" s="710"/>
    </row>
    <row r="467" spans="2:2" x14ac:dyDescent="0.2">
      <c r="B467" s="710"/>
    </row>
    <row r="468" spans="2:2" x14ac:dyDescent="0.2">
      <c r="B468" s="710"/>
    </row>
    <row r="469" spans="2:2" x14ac:dyDescent="0.2">
      <c r="B469" s="710"/>
    </row>
    <row r="470" spans="2:2" x14ac:dyDescent="0.2">
      <c r="B470" s="710"/>
    </row>
    <row r="471" spans="2:2" x14ac:dyDescent="0.2">
      <c r="B471" s="710"/>
    </row>
    <row r="472" spans="2:2" x14ac:dyDescent="0.2">
      <c r="B472" s="710"/>
    </row>
    <row r="473" spans="2:2" x14ac:dyDescent="0.2">
      <c r="B473" s="710"/>
    </row>
    <row r="474" spans="2:2" x14ac:dyDescent="0.2">
      <c r="B474" s="710"/>
    </row>
    <row r="475" spans="2:2" x14ac:dyDescent="0.2">
      <c r="B475" s="710"/>
    </row>
    <row r="476" spans="2:2" x14ac:dyDescent="0.2">
      <c r="B476" s="710"/>
    </row>
    <row r="477" spans="2:2" x14ac:dyDescent="0.2">
      <c r="B477" s="710"/>
    </row>
    <row r="478" spans="2:2" x14ac:dyDescent="0.2">
      <c r="B478" s="710"/>
    </row>
    <row r="479" spans="2:2" x14ac:dyDescent="0.2">
      <c r="B479" s="710"/>
    </row>
    <row r="480" spans="2:2" x14ac:dyDescent="0.2">
      <c r="B480" s="710"/>
    </row>
    <row r="481" spans="2:2" x14ac:dyDescent="0.2">
      <c r="B481" s="710"/>
    </row>
    <row r="482" spans="2:2" x14ac:dyDescent="0.2">
      <c r="B482" s="710"/>
    </row>
    <row r="483" spans="2:2" x14ac:dyDescent="0.2">
      <c r="B483" s="710"/>
    </row>
    <row r="484" spans="2:2" x14ac:dyDescent="0.2">
      <c r="B484" s="710"/>
    </row>
    <row r="485" spans="2:2" x14ac:dyDescent="0.2">
      <c r="B485" s="710"/>
    </row>
    <row r="486" spans="2:2" x14ac:dyDescent="0.2">
      <c r="B486" s="710"/>
    </row>
    <row r="487" spans="2:2" x14ac:dyDescent="0.2">
      <c r="B487" s="710"/>
    </row>
    <row r="488" spans="2:2" x14ac:dyDescent="0.2">
      <c r="B488" s="710"/>
    </row>
    <row r="489" spans="2:2" x14ac:dyDescent="0.2">
      <c r="B489" s="710"/>
    </row>
    <row r="490" spans="2:2" x14ac:dyDescent="0.2">
      <c r="B490" s="710"/>
    </row>
    <row r="491" spans="2:2" x14ac:dyDescent="0.2">
      <c r="B491" s="710"/>
    </row>
    <row r="492" spans="2:2" x14ac:dyDescent="0.2">
      <c r="B492" s="710"/>
    </row>
    <row r="493" spans="2:2" x14ac:dyDescent="0.2">
      <c r="B493" s="710"/>
    </row>
    <row r="494" spans="2:2" x14ac:dyDescent="0.2">
      <c r="B494" s="710"/>
    </row>
    <row r="495" spans="2:2" x14ac:dyDescent="0.2">
      <c r="B495" s="710"/>
    </row>
    <row r="496" spans="2:2" x14ac:dyDescent="0.2">
      <c r="B496" s="710"/>
    </row>
    <row r="497" spans="2:2" x14ac:dyDescent="0.2">
      <c r="B497" s="710"/>
    </row>
    <row r="498" spans="2:2" x14ac:dyDescent="0.2">
      <c r="B498" s="710"/>
    </row>
    <row r="499" spans="2:2" x14ac:dyDescent="0.2">
      <c r="B499" s="710"/>
    </row>
    <row r="500" spans="2:2" x14ac:dyDescent="0.2">
      <c r="B500" s="710"/>
    </row>
    <row r="501" spans="2:2" x14ac:dyDescent="0.2">
      <c r="B501" s="710"/>
    </row>
    <row r="502" spans="2:2" x14ac:dyDescent="0.2">
      <c r="B502" s="710"/>
    </row>
    <row r="503" spans="2:2" x14ac:dyDescent="0.2">
      <c r="B503" s="710"/>
    </row>
    <row r="504" spans="2:2" x14ac:dyDescent="0.2">
      <c r="B504" s="710"/>
    </row>
    <row r="505" spans="2:2" x14ac:dyDescent="0.2">
      <c r="B505" s="710"/>
    </row>
    <row r="506" spans="2:2" x14ac:dyDescent="0.2">
      <c r="B506" s="710"/>
    </row>
    <row r="507" spans="2:2" x14ac:dyDescent="0.2">
      <c r="B507" s="710"/>
    </row>
    <row r="508" spans="2:2" x14ac:dyDescent="0.2">
      <c r="B508" s="710"/>
    </row>
    <row r="509" spans="2:2" x14ac:dyDescent="0.2">
      <c r="B509" s="710"/>
    </row>
    <row r="510" spans="2:2" x14ac:dyDescent="0.2">
      <c r="B510" s="710"/>
    </row>
    <row r="511" spans="2:2" x14ac:dyDescent="0.2">
      <c r="B511" s="710"/>
    </row>
    <row r="512" spans="2:2" x14ac:dyDescent="0.2">
      <c r="B512" s="710"/>
    </row>
    <row r="513" spans="2:2" x14ac:dyDescent="0.2">
      <c r="B513" s="710"/>
    </row>
    <row r="514" spans="2:2" x14ac:dyDescent="0.2">
      <c r="B514" s="710"/>
    </row>
    <row r="515" spans="2:2" x14ac:dyDescent="0.2">
      <c r="B515" s="710"/>
    </row>
    <row r="516" spans="2:2" x14ac:dyDescent="0.2">
      <c r="B516" s="710"/>
    </row>
    <row r="517" spans="2:2" x14ac:dyDescent="0.2">
      <c r="B517" s="710"/>
    </row>
    <row r="518" spans="2:2" x14ac:dyDescent="0.2">
      <c r="B518" s="710"/>
    </row>
    <row r="519" spans="2:2" x14ac:dyDescent="0.2">
      <c r="B519" s="710"/>
    </row>
    <row r="520" spans="2:2" x14ac:dyDescent="0.2">
      <c r="B520" s="710"/>
    </row>
    <row r="521" spans="2:2" x14ac:dyDescent="0.2">
      <c r="B521" s="710"/>
    </row>
    <row r="522" spans="2:2" x14ac:dyDescent="0.2">
      <c r="B522" s="710"/>
    </row>
    <row r="523" spans="2:2" x14ac:dyDescent="0.2">
      <c r="B523" s="710"/>
    </row>
    <row r="524" spans="2:2" x14ac:dyDescent="0.2">
      <c r="B524" s="710"/>
    </row>
    <row r="525" spans="2:2" x14ac:dyDescent="0.2">
      <c r="B525" s="710"/>
    </row>
    <row r="526" spans="2:2" x14ac:dyDescent="0.2">
      <c r="B526" s="710"/>
    </row>
    <row r="527" spans="2:2" x14ac:dyDescent="0.2">
      <c r="B527" s="710"/>
    </row>
    <row r="528" spans="2:2" x14ac:dyDescent="0.2">
      <c r="B528" s="710"/>
    </row>
    <row r="529" spans="2:2" x14ac:dyDescent="0.2">
      <c r="B529" s="710"/>
    </row>
    <row r="530" spans="2:2" x14ac:dyDescent="0.2">
      <c r="B530" s="710"/>
    </row>
    <row r="531" spans="2:2" x14ac:dyDescent="0.2">
      <c r="B531" s="710"/>
    </row>
    <row r="532" spans="2:2" x14ac:dyDescent="0.2">
      <c r="B532" s="710"/>
    </row>
    <row r="533" spans="2:2" x14ac:dyDescent="0.2">
      <c r="B533" s="710"/>
    </row>
    <row r="534" spans="2:2" x14ac:dyDescent="0.2">
      <c r="B534" s="710"/>
    </row>
    <row r="535" spans="2:2" x14ac:dyDescent="0.2">
      <c r="B535" s="710"/>
    </row>
    <row r="536" spans="2:2" x14ac:dyDescent="0.2">
      <c r="B536" s="710"/>
    </row>
    <row r="537" spans="2:2" x14ac:dyDescent="0.2">
      <c r="B537" s="710"/>
    </row>
    <row r="538" spans="2:2" x14ac:dyDescent="0.2">
      <c r="B538" s="710"/>
    </row>
    <row r="539" spans="2:2" x14ac:dyDescent="0.2">
      <c r="B539" s="710"/>
    </row>
    <row r="540" spans="2:2" x14ac:dyDescent="0.2">
      <c r="B540" s="710"/>
    </row>
    <row r="541" spans="2:2" x14ac:dyDescent="0.2">
      <c r="B541" s="710"/>
    </row>
    <row r="542" spans="2:2" x14ac:dyDescent="0.2">
      <c r="B542" s="710"/>
    </row>
    <row r="543" spans="2:2" x14ac:dyDescent="0.2">
      <c r="B543" s="710"/>
    </row>
    <row r="544" spans="2:2" x14ac:dyDescent="0.2">
      <c r="B544" s="710"/>
    </row>
    <row r="545" spans="2:2" x14ac:dyDescent="0.2">
      <c r="B545" s="710"/>
    </row>
    <row r="546" spans="2:2" x14ac:dyDescent="0.2">
      <c r="B546" s="710"/>
    </row>
    <row r="547" spans="2:2" x14ac:dyDescent="0.2">
      <c r="B547" s="710"/>
    </row>
    <row r="548" spans="2:2" x14ac:dyDescent="0.2">
      <c r="B548" s="710"/>
    </row>
    <row r="549" spans="2:2" x14ac:dyDescent="0.2">
      <c r="B549" s="710"/>
    </row>
    <row r="550" spans="2:2" x14ac:dyDescent="0.2">
      <c r="B550" s="710"/>
    </row>
    <row r="551" spans="2:2" x14ac:dyDescent="0.2">
      <c r="B551" s="710"/>
    </row>
    <row r="552" spans="2:2" x14ac:dyDescent="0.2">
      <c r="B552" s="710"/>
    </row>
    <row r="553" spans="2:2" x14ac:dyDescent="0.2">
      <c r="B553" s="710"/>
    </row>
    <row r="554" spans="2:2" x14ac:dyDescent="0.2">
      <c r="B554" s="710"/>
    </row>
    <row r="555" spans="2:2" x14ac:dyDescent="0.2">
      <c r="B555" s="710"/>
    </row>
    <row r="556" spans="2:2" x14ac:dyDescent="0.2">
      <c r="B556" s="710"/>
    </row>
    <row r="557" spans="2:2" x14ac:dyDescent="0.2">
      <c r="B557" s="710"/>
    </row>
    <row r="558" spans="2:2" x14ac:dyDescent="0.2">
      <c r="B558" s="710"/>
    </row>
    <row r="559" spans="2:2" x14ac:dyDescent="0.2">
      <c r="B559" s="710"/>
    </row>
    <row r="560" spans="2:2" x14ac:dyDescent="0.2">
      <c r="B560" s="710"/>
    </row>
    <row r="561" spans="2:2" x14ac:dyDescent="0.2">
      <c r="B561" s="710"/>
    </row>
    <row r="562" spans="2:2" x14ac:dyDescent="0.2">
      <c r="B562" s="710"/>
    </row>
    <row r="563" spans="2:2" x14ac:dyDescent="0.2">
      <c r="B563" s="710"/>
    </row>
    <row r="564" spans="2:2" x14ac:dyDescent="0.2">
      <c r="B564" s="710"/>
    </row>
    <row r="565" spans="2:2" x14ac:dyDescent="0.2">
      <c r="B565" s="710"/>
    </row>
    <row r="566" spans="2:2" x14ac:dyDescent="0.2">
      <c r="B566" s="710"/>
    </row>
    <row r="567" spans="2:2" x14ac:dyDescent="0.2">
      <c r="B567" s="710"/>
    </row>
    <row r="568" spans="2:2" x14ac:dyDescent="0.2">
      <c r="B568" s="710"/>
    </row>
    <row r="569" spans="2:2" x14ac:dyDescent="0.2">
      <c r="B569" s="710"/>
    </row>
    <row r="570" spans="2:2" x14ac:dyDescent="0.2">
      <c r="B570" s="710"/>
    </row>
    <row r="571" spans="2:2" x14ac:dyDescent="0.2">
      <c r="B571" s="710"/>
    </row>
    <row r="572" spans="2:2" x14ac:dyDescent="0.2">
      <c r="B572" s="710"/>
    </row>
    <row r="573" spans="2:2" x14ac:dyDescent="0.2">
      <c r="B573" s="710"/>
    </row>
    <row r="574" spans="2:2" x14ac:dyDescent="0.2">
      <c r="B574" s="710"/>
    </row>
    <row r="575" spans="2:2" x14ac:dyDescent="0.2">
      <c r="B575" s="710"/>
    </row>
    <row r="576" spans="2:2" x14ac:dyDescent="0.2">
      <c r="B576" s="710"/>
    </row>
    <row r="577" spans="2:2" x14ac:dyDescent="0.2">
      <c r="B577" s="710"/>
    </row>
    <row r="578" spans="2:2" x14ac:dyDescent="0.2">
      <c r="B578" s="710"/>
    </row>
    <row r="579" spans="2:2" x14ac:dyDescent="0.2">
      <c r="B579" s="710"/>
    </row>
    <row r="580" spans="2:2" x14ac:dyDescent="0.2">
      <c r="B580" s="710"/>
    </row>
    <row r="581" spans="2:2" x14ac:dyDescent="0.2">
      <c r="B581" s="710"/>
    </row>
    <row r="582" spans="2:2" x14ac:dyDescent="0.2">
      <c r="B582" s="710"/>
    </row>
    <row r="583" spans="2:2" x14ac:dyDescent="0.2">
      <c r="B583" s="710"/>
    </row>
    <row r="584" spans="2:2" x14ac:dyDescent="0.2">
      <c r="B584" s="710"/>
    </row>
    <row r="585" spans="2:2" x14ac:dyDescent="0.2">
      <c r="B585" s="710"/>
    </row>
    <row r="586" spans="2:2" x14ac:dyDescent="0.2">
      <c r="B586" s="710"/>
    </row>
    <row r="587" spans="2:2" x14ac:dyDescent="0.2">
      <c r="B587" s="710"/>
    </row>
    <row r="588" spans="2:2" x14ac:dyDescent="0.2">
      <c r="B588" s="710"/>
    </row>
    <row r="589" spans="2:2" x14ac:dyDescent="0.2">
      <c r="B589" s="710"/>
    </row>
    <row r="590" spans="2:2" x14ac:dyDescent="0.2">
      <c r="B590" s="710"/>
    </row>
    <row r="591" spans="2:2" x14ac:dyDescent="0.2">
      <c r="B591" s="710"/>
    </row>
    <row r="592" spans="2:2" x14ac:dyDescent="0.2">
      <c r="B592" s="710"/>
    </row>
    <row r="593" spans="2:2" x14ac:dyDescent="0.2">
      <c r="B593" s="710"/>
    </row>
    <row r="594" spans="2:2" x14ac:dyDescent="0.2">
      <c r="B594" s="710"/>
    </row>
    <row r="595" spans="2:2" x14ac:dyDescent="0.2">
      <c r="B595" s="710"/>
    </row>
    <row r="596" spans="2:2" x14ac:dyDescent="0.2">
      <c r="B596" s="710"/>
    </row>
    <row r="597" spans="2:2" x14ac:dyDescent="0.2">
      <c r="B597" s="710"/>
    </row>
    <row r="598" spans="2:2" x14ac:dyDescent="0.2">
      <c r="B598" s="710"/>
    </row>
    <row r="599" spans="2:2" x14ac:dyDescent="0.2">
      <c r="B599" s="710"/>
    </row>
    <row r="600" spans="2:2" x14ac:dyDescent="0.2">
      <c r="B600" s="710"/>
    </row>
    <row r="601" spans="2:2" x14ac:dyDescent="0.2">
      <c r="B601" s="710"/>
    </row>
    <row r="602" spans="2:2" x14ac:dyDescent="0.2">
      <c r="B602" s="710"/>
    </row>
    <row r="603" spans="2:2" x14ac:dyDescent="0.2">
      <c r="B603" s="710"/>
    </row>
    <row r="604" spans="2:2" x14ac:dyDescent="0.2">
      <c r="B604" s="710"/>
    </row>
    <row r="605" spans="2:2" x14ac:dyDescent="0.2">
      <c r="B605" s="710"/>
    </row>
    <row r="606" spans="2:2" x14ac:dyDescent="0.2">
      <c r="B606" s="710"/>
    </row>
    <row r="607" spans="2:2" x14ac:dyDescent="0.2">
      <c r="B607" s="710"/>
    </row>
    <row r="608" spans="2:2" x14ac:dyDescent="0.2">
      <c r="B608" s="710"/>
    </row>
    <row r="609" spans="2:2" x14ac:dyDescent="0.2">
      <c r="B609" s="710"/>
    </row>
    <row r="610" spans="2:2" x14ac:dyDescent="0.2">
      <c r="B610" s="710"/>
    </row>
    <row r="611" spans="2:2" x14ac:dyDescent="0.2">
      <c r="B611" s="710"/>
    </row>
    <row r="612" spans="2:2" x14ac:dyDescent="0.2">
      <c r="B612" s="710"/>
    </row>
    <row r="613" spans="2:2" x14ac:dyDescent="0.2">
      <c r="B613" s="710"/>
    </row>
    <row r="614" spans="2:2" x14ac:dyDescent="0.2">
      <c r="B614" s="710"/>
    </row>
    <row r="615" spans="2:2" x14ac:dyDescent="0.2">
      <c r="B615" s="710"/>
    </row>
    <row r="616" spans="2:2" x14ac:dyDescent="0.2">
      <c r="B616" s="710"/>
    </row>
    <row r="617" spans="2:2" x14ac:dyDescent="0.2">
      <c r="B617" s="710"/>
    </row>
    <row r="618" spans="2:2" x14ac:dyDescent="0.2">
      <c r="B618" s="710"/>
    </row>
    <row r="619" spans="2:2" x14ac:dyDescent="0.2">
      <c r="B619" s="710"/>
    </row>
    <row r="620" spans="2:2" x14ac:dyDescent="0.2">
      <c r="B620" s="710"/>
    </row>
    <row r="621" spans="2:2" x14ac:dyDescent="0.2">
      <c r="B621" s="710"/>
    </row>
    <row r="622" spans="2:2" x14ac:dyDescent="0.2">
      <c r="B622" s="710"/>
    </row>
    <row r="623" spans="2:2" x14ac:dyDescent="0.2">
      <c r="B623" s="710"/>
    </row>
    <row r="624" spans="2:2" x14ac:dyDescent="0.2">
      <c r="B624" s="710"/>
    </row>
    <row r="625" spans="2:2" x14ac:dyDescent="0.2">
      <c r="B625" s="710"/>
    </row>
    <row r="626" spans="2:2" x14ac:dyDescent="0.2">
      <c r="B626" s="710"/>
    </row>
    <row r="627" spans="2:2" x14ac:dyDescent="0.2">
      <c r="B627" s="710"/>
    </row>
    <row r="628" spans="2:2" x14ac:dyDescent="0.2">
      <c r="B628" s="710"/>
    </row>
    <row r="629" spans="2:2" x14ac:dyDescent="0.2">
      <c r="B629" s="710"/>
    </row>
    <row r="630" spans="2:2" x14ac:dyDescent="0.2">
      <c r="B630" s="710"/>
    </row>
    <row r="631" spans="2:2" x14ac:dyDescent="0.2">
      <c r="B631" s="710"/>
    </row>
    <row r="632" spans="2:2" x14ac:dyDescent="0.2">
      <c r="B632" s="710"/>
    </row>
    <row r="633" spans="2:2" x14ac:dyDescent="0.2">
      <c r="B633" s="710"/>
    </row>
    <row r="634" spans="2:2" x14ac:dyDescent="0.2">
      <c r="B634" s="710"/>
    </row>
    <row r="635" spans="2:2" x14ac:dyDescent="0.2">
      <c r="B635" s="710"/>
    </row>
    <row r="636" spans="2:2" x14ac:dyDescent="0.2">
      <c r="B636" s="710"/>
    </row>
    <row r="637" spans="2:2" x14ac:dyDescent="0.2">
      <c r="B637" s="710"/>
    </row>
    <row r="638" spans="2:2" x14ac:dyDescent="0.2">
      <c r="B638" s="710"/>
    </row>
    <row r="639" spans="2:2" x14ac:dyDescent="0.2">
      <c r="B639" s="710"/>
    </row>
    <row r="640" spans="2:2" x14ac:dyDescent="0.2">
      <c r="B640" s="710"/>
    </row>
    <row r="641" spans="2:2" x14ac:dyDescent="0.2">
      <c r="B641" s="710"/>
    </row>
    <row r="642" spans="2:2" x14ac:dyDescent="0.2">
      <c r="B642" s="710"/>
    </row>
    <row r="643" spans="2:2" x14ac:dyDescent="0.2">
      <c r="B643" s="710"/>
    </row>
    <row r="644" spans="2:2" x14ac:dyDescent="0.2">
      <c r="B644" s="710"/>
    </row>
    <row r="645" spans="2:2" x14ac:dyDescent="0.2">
      <c r="B645" s="710"/>
    </row>
    <row r="646" spans="2:2" x14ac:dyDescent="0.2">
      <c r="B646" s="710"/>
    </row>
    <row r="647" spans="2:2" x14ac:dyDescent="0.2">
      <c r="B647" s="710"/>
    </row>
    <row r="648" spans="2:2" x14ac:dyDescent="0.2">
      <c r="B648" s="710"/>
    </row>
    <row r="649" spans="2:2" x14ac:dyDescent="0.2">
      <c r="B649" s="710"/>
    </row>
    <row r="650" spans="2:2" x14ac:dyDescent="0.2">
      <c r="B650" s="710"/>
    </row>
    <row r="651" spans="2:2" x14ac:dyDescent="0.2">
      <c r="B651" s="710"/>
    </row>
    <row r="652" spans="2:2" x14ac:dyDescent="0.2">
      <c r="B652" s="710"/>
    </row>
    <row r="653" spans="2:2" x14ac:dyDescent="0.2">
      <c r="B653" s="710"/>
    </row>
    <row r="654" spans="2:2" x14ac:dyDescent="0.2">
      <c r="B654" s="710"/>
    </row>
    <row r="655" spans="2:2" x14ac:dyDescent="0.2">
      <c r="B655" s="710"/>
    </row>
    <row r="656" spans="2:2" x14ac:dyDescent="0.2">
      <c r="B656" s="710"/>
    </row>
    <row r="657" spans="2:2" x14ac:dyDescent="0.2">
      <c r="B657" s="710"/>
    </row>
    <row r="658" spans="2:2" x14ac:dyDescent="0.2">
      <c r="B658" s="710"/>
    </row>
    <row r="659" spans="2:2" x14ac:dyDescent="0.2">
      <c r="B659" s="710"/>
    </row>
    <row r="660" spans="2:2" x14ac:dyDescent="0.2">
      <c r="B660" s="710"/>
    </row>
    <row r="661" spans="2:2" x14ac:dyDescent="0.2">
      <c r="B661" s="710"/>
    </row>
    <row r="662" spans="2:2" x14ac:dyDescent="0.2">
      <c r="B662" s="710"/>
    </row>
    <row r="663" spans="2:2" x14ac:dyDescent="0.2">
      <c r="B663" s="710"/>
    </row>
    <row r="664" spans="2:2" x14ac:dyDescent="0.2">
      <c r="B664" s="710"/>
    </row>
    <row r="665" spans="2:2" x14ac:dyDescent="0.2">
      <c r="B665" s="710"/>
    </row>
    <row r="666" spans="2:2" x14ac:dyDescent="0.2">
      <c r="B666" s="710"/>
    </row>
    <row r="667" spans="2:2" x14ac:dyDescent="0.2">
      <c r="B667" s="710"/>
    </row>
    <row r="668" spans="2:2" x14ac:dyDescent="0.2">
      <c r="B668" s="710"/>
    </row>
    <row r="669" spans="2:2" x14ac:dyDescent="0.2">
      <c r="B669" s="710"/>
    </row>
    <row r="670" spans="2:2" x14ac:dyDescent="0.2">
      <c r="B670" s="710"/>
    </row>
    <row r="671" spans="2:2" x14ac:dyDescent="0.2">
      <c r="B671" s="710"/>
    </row>
    <row r="672" spans="2:2" x14ac:dyDescent="0.2">
      <c r="B672" s="710"/>
    </row>
    <row r="673" spans="2:2" x14ac:dyDescent="0.2">
      <c r="B673" s="710"/>
    </row>
    <row r="674" spans="2:2" x14ac:dyDescent="0.2">
      <c r="B674" s="710"/>
    </row>
    <row r="675" spans="2:2" x14ac:dyDescent="0.2">
      <c r="B675" s="710"/>
    </row>
    <row r="676" spans="2:2" x14ac:dyDescent="0.2">
      <c r="B676" s="710"/>
    </row>
    <row r="677" spans="2:2" x14ac:dyDescent="0.2">
      <c r="B677" s="710"/>
    </row>
    <row r="678" spans="2:2" x14ac:dyDescent="0.2">
      <c r="B678" s="710"/>
    </row>
    <row r="679" spans="2:2" x14ac:dyDescent="0.2">
      <c r="B679" s="710"/>
    </row>
    <row r="680" spans="2:2" x14ac:dyDescent="0.2">
      <c r="B680" s="710"/>
    </row>
    <row r="681" spans="2:2" x14ac:dyDescent="0.2">
      <c r="B681" s="710"/>
    </row>
    <row r="682" spans="2:2" x14ac:dyDescent="0.2">
      <c r="B682" s="710"/>
    </row>
    <row r="683" spans="2:2" x14ac:dyDescent="0.2">
      <c r="B683" s="710"/>
    </row>
    <row r="684" spans="2:2" x14ac:dyDescent="0.2">
      <c r="B684" s="710"/>
    </row>
    <row r="685" spans="2:2" x14ac:dyDescent="0.2">
      <c r="B685" s="710"/>
    </row>
    <row r="686" spans="2:2" x14ac:dyDescent="0.2">
      <c r="B686" s="710"/>
    </row>
    <row r="687" spans="2:2" x14ac:dyDescent="0.2">
      <c r="B687" s="710"/>
    </row>
    <row r="688" spans="2:2" x14ac:dyDescent="0.2">
      <c r="B688" s="710"/>
    </row>
    <row r="689" spans="2:2" x14ac:dyDescent="0.2">
      <c r="B689" s="710"/>
    </row>
    <row r="690" spans="2:2" x14ac:dyDescent="0.2">
      <c r="B690" s="710"/>
    </row>
    <row r="691" spans="2:2" x14ac:dyDescent="0.2">
      <c r="B691" s="710"/>
    </row>
    <row r="692" spans="2:2" x14ac:dyDescent="0.2">
      <c r="B692" s="710"/>
    </row>
    <row r="693" spans="2:2" x14ac:dyDescent="0.2">
      <c r="B693" s="710"/>
    </row>
    <row r="694" spans="2:2" x14ac:dyDescent="0.2">
      <c r="B694" s="710"/>
    </row>
    <row r="695" spans="2:2" x14ac:dyDescent="0.2">
      <c r="B695" s="710"/>
    </row>
    <row r="696" spans="2:2" x14ac:dyDescent="0.2">
      <c r="B696" s="710"/>
    </row>
    <row r="697" spans="2:2" x14ac:dyDescent="0.2">
      <c r="B697" s="710"/>
    </row>
    <row r="698" spans="2:2" x14ac:dyDescent="0.2">
      <c r="B698" s="710"/>
    </row>
    <row r="699" spans="2:2" x14ac:dyDescent="0.2">
      <c r="B699" s="710"/>
    </row>
    <row r="700" spans="2:2" x14ac:dyDescent="0.2">
      <c r="B700" s="710"/>
    </row>
    <row r="701" spans="2:2" x14ac:dyDescent="0.2">
      <c r="B701" s="710"/>
    </row>
    <row r="702" spans="2:2" x14ac:dyDescent="0.2">
      <c r="B702" s="710"/>
    </row>
    <row r="703" spans="2:2" x14ac:dyDescent="0.2">
      <c r="B703" s="710"/>
    </row>
    <row r="704" spans="2:2" x14ac:dyDescent="0.2">
      <c r="B704" s="710"/>
    </row>
    <row r="705" spans="2:2" x14ac:dyDescent="0.2">
      <c r="B705" s="710"/>
    </row>
    <row r="706" spans="2:2" x14ac:dyDescent="0.2">
      <c r="B706" s="710"/>
    </row>
    <row r="707" spans="2:2" x14ac:dyDescent="0.2">
      <c r="B707" s="710"/>
    </row>
    <row r="708" spans="2:2" x14ac:dyDescent="0.2">
      <c r="B708" s="710"/>
    </row>
    <row r="709" spans="2:2" x14ac:dyDescent="0.2">
      <c r="B709" s="710"/>
    </row>
    <row r="710" spans="2:2" x14ac:dyDescent="0.2">
      <c r="B710" s="710"/>
    </row>
    <row r="711" spans="2:2" x14ac:dyDescent="0.2">
      <c r="B711" s="710"/>
    </row>
    <row r="712" spans="2:2" x14ac:dyDescent="0.2">
      <c r="B712" s="710"/>
    </row>
    <row r="713" spans="2:2" x14ac:dyDescent="0.2">
      <c r="B713" s="710"/>
    </row>
    <row r="714" spans="2:2" x14ac:dyDescent="0.2">
      <c r="B714" s="710"/>
    </row>
    <row r="715" spans="2:2" x14ac:dyDescent="0.2">
      <c r="B715" s="710"/>
    </row>
    <row r="716" spans="2:2" x14ac:dyDescent="0.2">
      <c r="B716" s="710"/>
    </row>
    <row r="717" spans="2:2" x14ac:dyDescent="0.2">
      <c r="B717" s="710"/>
    </row>
    <row r="718" spans="2:2" x14ac:dyDescent="0.2">
      <c r="B718" s="710"/>
    </row>
    <row r="719" spans="2:2" x14ac:dyDescent="0.2">
      <c r="B719" s="710"/>
    </row>
    <row r="720" spans="2:2" x14ac:dyDescent="0.2">
      <c r="B720" s="710"/>
    </row>
    <row r="721" spans="2:2" x14ac:dyDescent="0.2">
      <c r="B721" s="710"/>
    </row>
    <row r="722" spans="2:2" x14ac:dyDescent="0.2">
      <c r="B722" s="710"/>
    </row>
    <row r="723" spans="2:2" x14ac:dyDescent="0.2">
      <c r="B723" s="710"/>
    </row>
    <row r="724" spans="2:2" x14ac:dyDescent="0.2">
      <c r="B724" s="710"/>
    </row>
    <row r="725" spans="2:2" x14ac:dyDescent="0.2">
      <c r="B725" s="710"/>
    </row>
    <row r="726" spans="2:2" x14ac:dyDescent="0.2">
      <c r="B726" s="710"/>
    </row>
    <row r="727" spans="2:2" x14ac:dyDescent="0.2">
      <c r="B727" s="710"/>
    </row>
    <row r="728" spans="2:2" x14ac:dyDescent="0.2">
      <c r="B728" s="710"/>
    </row>
    <row r="729" spans="2:2" x14ac:dyDescent="0.2">
      <c r="B729" s="710"/>
    </row>
    <row r="730" spans="2:2" x14ac:dyDescent="0.2">
      <c r="B730" s="710"/>
    </row>
    <row r="731" spans="2:2" x14ac:dyDescent="0.2">
      <c r="B731" s="710"/>
    </row>
    <row r="732" spans="2:2" x14ac:dyDescent="0.2">
      <c r="B732" s="710"/>
    </row>
    <row r="733" spans="2:2" x14ac:dyDescent="0.2">
      <c r="B733" s="710"/>
    </row>
    <row r="734" spans="2:2" x14ac:dyDescent="0.2">
      <c r="B734" s="710"/>
    </row>
    <row r="735" spans="2:2" x14ac:dyDescent="0.2">
      <c r="B735" s="710"/>
    </row>
    <row r="736" spans="2:2" x14ac:dyDescent="0.2">
      <c r="B736" s="710"/>
    </row>
    <row r="737" spans="2:2" x14ac:dyDescent="0.2">
      <c r="B737" s="710"/>
    </row>
    <row r="738" spans="2:2" x14ac:dyDescent="0.2">
      <c r="B738" s="710"/>
    </row>
    <row r="739" spans="2:2" x14ac:dyDescent="0.2">
      <c r="B739" s="710"/>
    </row>
    <row r="740" spans="2:2" x14ac:dyDescent="0.2">
      <c r="B740" s="710"/>
    </row>
    <row r="741" spans="2:2" x14ac:dyDescent="0.2">
      <c r="B741" s="710"/>
    </row>
    <row r="742" spans="2:2" x14ac:dyDescent="0.2">
      <c r="B742" s="710"/>
    </row>
    <row r="743" spans="2:2" x14ac:dyDescent="0.2">
      <c r="B743" s="710"/>
    </row>
    <row r="744" spans="2:2" x14ac:dyDescent="0.2">
      <c r="B744" s="710"/>
    </row>
    <row r="745" spans="2:2" x14ac:dyDescent="0.2">
      <c r="B745" s="710"/>
    </row>
    <row r="746" spans="2:2" x14ac:dyDescent="0.2">
      <c r="B746" s="710"/>
    </row>
    <row r="747" spans="2:2" x14ac:dyDescent="0.2">
      <c r="B747" s="710"/>
    </row>
    <row r="748" spans="2:2" x14ac:dyDescent="0.2">
      <c r="B748" s="710"/>
    </row>
    <row r="749" spans="2:2" x14ac:dyDescent="0.2">
      <c r="B749" s="710"/>
    </row>
    <row r="750" spans="2:2" x14ac:dyDescent="0.2">
      <c r="B750" s="710"/>
    </row>
    <row r="751" spans="2:2" x14ac:dyDescent="0.2">
      <c r="B751" s="710"/>
    </row>
    <row r="752" spans="2:2" x14ac:dyDescent="0.2">
      <c r="B752" s="710"/>
    </row>
    <row r="753" spans="2:2" x14ac:dyDescent="0.2">
      <c r="B753" s="710"/>
    </row>
    <row r="754" spans="2:2" x14ac:dyDescent="0.2">
      <c r="B754" s="710"/>
    </row>
    <row r="755" spans="2:2" x14ac:dyDescent="0.2">
      <c r="B755" s="710"/>
    </row>
    <row r="756" spans="2:2" x14ac:dyDescent="0.2">
      <c r="B756" s="710"/>
    </row>
    <row r="757" spans="2:2" x14ac:dyDescent="0.2">
      <c r="B757" s="710"/>
    </row>
    <row r="758" spans="2:2" x14ac:dyDescent="0.2">
      <c r="B758" s="710"/>
    </row>
    <row r="759" spans="2:2" x14ac:dyDescent="0.2">
      <c r="B759" s="710"/>
    </row>
    <row r="760" spans="2:2" x14ac:dyDescent="0.2">
      <c r="B760" s="710"/>
    </row>
    <row r="761" spans="2:2" x14ac:dyDescent="0.2">
      <c r="B761" s="710"/>
    </row>
    <row r="762" spans="2:2" x14ac:dyDescent="0.2">
      <c r="B762" s="710"/>
    </row>
    <row r="763" spans="2:2" x14ac:dyDescent="0.2">
      <c r="B763" s="710"/>
    </row>
    <row r="764" spans="2:2" x14ac:dyDescent="0.2">
      <c r="B764" s="710"/>
    </row>
    <row r="765" spans="2:2" x14ac:dyDescent="0.2">
      <c r="B765" s="710"/>
    </row>
    <row r="766" spans="2:2" x14ac:dyDescent="0.2">
      <c r="B766" s="710"/>
    </row>
    <row r="767" spans="2:2" x14ac:dyDescent="0.2">
      <c r="B767" s="711"/>
    </row>
    <row r="768" spans="2:2" x14ac:dyDescent="0.2">
      <c r="B768" s="711"/>
    </row>
    <row r="769" spans="2:2" x14ac:dyDescent="0.2">
      <c r="B769" s="711"/>
    </row>
    <row r="770" spans="2:2" x14ac:dyDescent="0.2">
      <c r="B770" s="711"/>
    </row>
    <row r="771" spans="2:2" x14ac:dyDescent="0.2">
      <c r="B771" s="711"/>
    </row>
    <row r="772" spans="2:2" x14ac:dyDescent="0.2">
      <c r="B772" s="711"/>
    </row>
  </sheetData>
  <sheetProtection algorithmName="SHA-512" hashValue="RouzsELXKZvTwzZzPts0ce9x7ghjqKI6RpvSgmVyJ4PlC+yHzXmsAygITSIXnm7Pp0DExz+7Wij9sN1bdDqflw==" saltValue="ivaB8cB4jArTdaK+zbBeiQ==" spinCount="100000" sheet="1" objects="1" scenarios="1"/>
  <mergeCells count="2">
    <mergeCell ref="B2:B5"/>
    <mergeCell ref="E8:AX8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002060"/>
  </sheetPr>
  <dimension ref="A2:AX766"/>
  <sheetViews>
    <sheetView zoomScale="70" zoomScaleNormal="70" workbookViewId="0">
      <selection activeCell="B120" sqref="B120"/>
    </sheetView>
  </sheetViews>
  <sheetFormatPr baseColWidth="10" defaultColWidth="11.44140625" defaultRowHeight="12.6" outlineLevelRow="2" x14ac:dyDescent="0.2"/>
  <cols>
    <col min="1" max="1" width="3.6640625" style="1" customWidth="1"/>
    <col min="2" max="2" width="72.33203125" style="15" bestFit="1" customWidth="1"/>
    <col min="3" max="3" width="24.5546875" style="1" bestFit="1" customWidth="1"/>
    <col min="4" max="4" width="20.88671875" style="1" bestFit="1" customWidth="1"/>
    <col min="5" max="8" width="15.33203125" style="1" bestFit="1" customWidth="1"/>
    <col min="9" max="9" width="14.109375" style="1" bestFit="1" customWidth="1"/>
    <col min="10" max="16384" width="11.44140625" style="1"/>
  </cols>
  <sheetData>
    <row r="2" spans="1:50" ht="14.4" x14ac:dyDescent="0.2">
      <c r="B2" s="1078" t="s">
        <v>260</v>
      </c>
      <c r="C2" s="366" t="s">
        <v>312</v>
      </c>
    </row>
    <row r="3" spans="1:50" ht="14.4" x14ac:dyDescent="0.2">
      <c r="B3" s="1079"/>
      <c r="C3" s="498" t="s">
        <v>325</v>
      </c>
    </row>
    <row r="4" spans="1:50" ht="14.4" x14ac:dyDescent="0.2">
      <c r="B4" s="1079"/>
      <c r="C4" s="499" t="s">
        <v>324</v>
      </c>
    </row>
    <row r="5" spans="1:50" ht="14.4" x14ac:dyDescent="0.2">
      <c r="B5" s="1080"/>
      <c r="C5" s="367" t="s">
        <v>261</v>
      </c>
    </row>
    <row r="7" spans="1:50" ht="13.2" thickBot="1" x14ac:dyDescent="0.25"/>
    <row r="8" spans="1:50" ht="38.25" customHeight="1" thickBot="1" x14ac:dyDescent="0.25">
      <c r="C8" s="43"/>
      <c r="D8" s="43"/>
      <c r="E8" s="1114" t="s">
        <v>496</v>
      </c>
      <c r="F8" s="1115"/>
      <c r="G8" s="1115"/>
      <c r="H8" s="1115"/>
      <c r="I8" s="1115"/>
      <c r="J8" s="1115"/>
      <c r="K8" s="1115"/>
      <c r="L8" s="1115"/>
      <c r="M8" s="1115"/>
      <c r="N8" s="1115"/>
      <c r="O8" s="1115"/>
      <c r="P8" s="1115"/>
      <c r="Q8" s="1115"/>
      <c r="R8" s="1115"/>
      <c r="S8" s="1115"/>
      <c r="T8" s="1115"/>
      <c r="U8" s="1115"/>
      <c r="V8" s="1115"/>
      <c r="W8" s="1115"/>
      <c r="X8" s="1115"/>
      <c r="Y8" s="1115"/>
      <c r="Z8" s="1115"/>
      <c r="AA8" s="1115"/>
      <c r="AB8" s="1115"/>
      <c r="AC8" s="1115"/>
      <c r="AD8" s="1115"/>
      <c r="AE8" s="1115"/>
      <c r="AF8" s="1115"/>
      <c r="AG8" s="1115"/>
      <c r="AH8" s="1115"/>
      <c r="AI8" s="1115"/>
      <c r="AJ8" s="1115"/>
      <c r="AK8" s="1115"/>
      <c r="AL8" s="1115"/>
      <c r="AM8" s="1115"/>
      <c r="AN8" s="1115"/>
      <c r="AO8" s="1115"/>
      <c r="AP8" s="1115"/>
      <c r="AQ8" s="1115"/>
      <c r="AR8" s="1115"/>
      <c r="AS8" s="1115"/>
      <c r="AT8" s="1115"/>
      <c r="AU8" s="1115"/>
      <c r="AV8" s="1115"/>
      <c r="AW8" s="1115"/>
      <c r="AX8" s="1116"/>
    </row>
    <row r="9" spans="1:50" ht="24" customHeight="1" x14ac:dyDescent="0.2">
      <c r="A9" s="199"/>
      <c r="B9" s="286"/>
      <c r="C9" s="963" t="s">
        <v>502</v>
      </c>
      <c r="D9" s="725" t="s">
        <v>180</v>
      </c>
      <c r="E9" s="207">
        <v>2015</v>
      </c>
      <c r="F9" s="200">
        <v>2016</v>
      </c>
      <c r="G9" s="200">
        <v>2017</v>
      </c>
      <c r="H9" s="201">
        <v>2018</v>
      </c>
      <c r="I9" s="200">
        <v>2019</v>
      </c>
      <c r="J9" s="201">
        <v>2020</v>
      </c>
      <c r="K9" s="200">
        <v>2021</v>
      </c>
      <c r="L9" s="201">
        <v>2022</v>
      </c>
      <c r="M9" s="200">
        <v>2023</v>
      </c>
      <c r="N9" s="201">
        <v>2024</v>
      </c>
      <c r="O9" s="200">
        <v>2025</v>
      </c>
      <c r="P9" s="201">
        <v>2026</v>
      </c>
      <c r="Q9" s="200">
        <v>2027</v>
      </c>
      <c r="R9" s="201">
        <v>2028</v>
      </c>
      <c r="S9" s="200">
        <v>2029</v>
      </c>
      <c r="T9" s="201">
        <v>2030</v>
      </c>
      <c r="U9" s="200">
        <v>2031</v>
      </c>
      <c r="V9" s="201">
        <v>2032</v>
      </c>
      <c r="W9" s="200">
        <v>2033</v>
      </c>
      <c r="X9" s="201">
        <v>2034</v>
      </c>
      <c r="Y9" s="200">
        <v>2035</v>
      </c>
      <c r="Z9" s="201">
        <v>2036</v>
      </c>
      <c r="AA9" s="200">
        <v>2037</v>
      </c>
      <c r="AB9" s="201">
        <v>2038</v>
      </c>
      <c r="AC9" s="200">
        <v>2039</v>
      </c>
      <c r="AD9" s="201">
        <v>2040</v>
      </c>
      <c r="AE9" s="200">
        <v>2041</v>
      </c>
      <c r="AF9" s="201">
        <v>2042</v>
      </c>
      <c r="AG9" s="200">
        <v>2043</v>
      </c>
      <c r="AH9" s="201">
        <v>2044</v>
      </c>
      <c r="AI9" s="200">
        <v>2045</v>
      </c>
      <c r="AJ9" s="201">
        <v>2046</v>
      </c>
      <c r="AK9" s="200">
        <v>2047</v>
      </c>
      <c r="AL9" s="201">
        <v>2048</v>
      </c>
      <c r="AM9" s="200">
        <v>2049</v>
      </c>
      <c r="AN9" s="201">
        <v>2050</v>
      </c>
      <c r="AO9" s="201">
        <v>2051</v>
      </c>
      <c r="AP9" s="201">
        <v>2052</v>
      </c>
      <c r="AQ9" s="201">
        <v>2053</v>
      </c>
      <c r="AR9" s="201">
        <v>2054</v>
      </c>
      <c r="AS9" s="201">
        <v>2055</v>
      </c>
      <c r="AT9" s="201">
        <v>2056</v>
      </c>
      <c r="AU9" s="201">
        <v>2057</v>
      </c>
      <c r="AV9" s="201">
        <v>2058</v>
      </c>
      <c r="AW9" s="201">
        <v>2059</v>
      </c>
      <c r="AX9" s="201">
        <v>2060</v>
      </c>
    </row>
    <row r="10" spans="1:50" ht="13.2" thickBot="1" x14ac:dyDescent="0.25">
      <c r="B10" s="287"/>
      <c r="C10" s="43"/>
      <c r="D10" s="725"/>
      <c r="E10" s="208"/>
      <c r="F10" s="18"/>
      <c r="G10" s="18"/>
      <c r="H10" s="202"/>
      <c r="I10" s="69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</row>
    <row r="11" spans="1:50" ht="16.2" thickBot="1" x14ac:dyDescent="0.25">
      <c r="B11" s="288" t="str">
        <f>CHIFFRAGE_TC!B12</f>
        <v>Compra de terrenos para estaciones y servidumbres</v>
      </c>
      <c r="C11" s="214"/>
      <c r="D11" s="725">
        <f>CHIFFRAGE_TC!K12</f>
        <v>0.25</v>
      </c>
      <c r="E11" s="209">
        <f t="shared" ref="E11:AX11" si="0">SUM(E12:E20)</f>
        <v>0</v>
      </c>
      <c r="F11" s="196">
        <f t="shared" si="0"/>
        <v>0</v>
      </c>
      <c r="G11" s="196">
        <f t="shared" si="0"/>
        <v>0</v>
      </c>
      <c r="H11" s="197">
        <f t="shared" si="0"/>
        <v>0</v>
      </c>
      <c r="I11" s="698">
        <f t="shared" si="0"/>
        <v>0</v>
      </c>
      <c r="J11" s="699">
        <f t="shared" si="0"/>
        <v>0</v>
      </c>
      <c r="K11" s="699">
        <f t="shared" si="0"/>
        <v>0</v>
      </c>
      <c r="L11" s="699">
        <f t="shared" si="0"/>
        <v>0</v>
      </c>
      <c r="M11" s="699">
        <f t="shared" si="0"/>
        <v>0</v>
      </c>
      <c r="N11" s="699">
        <f t="shared" si="0"/>
        <v>0</v>
      </c>
      <c r="O11" s="699">
        <f t="shared" si="0"/>
        <v>0</v>
      </c>
      <c r="P11" s="699">
        <f t="shared" si="0"/>
        <v>0</v>
      </c>
      <c r="Q11" s="699">
        <f t="shared" si="0"/>
        <v>0</v>
      </c>
      <c r="R11" s="699">
        <f t="shared" si="0"/>
        <v>0</v>
      </c>
      <c r="S11" s="699">
        <f t="shared" si="0"/>
        <v>0</v>
      </c>
      <c r="T11" s="699">
        <f t="shared" si="0"/>
        <v>0</v>
      </c>
      <c r="U11" s="699">
        <f t="shared" si="0"/>
        <v>0</v>
      </c>
      <c r="V11" s="699">
        <f t="shared" si="0"/>
        <v>0</v>
      </c>
      <c r="W11" s="699">
        <f t="shared" si="0"/>
        <v>0</v>
      </c>
      <c r="X11" s="699">
        <f t="shared" si="0"/>
        <v>0</v>
      </c>
      <c r="Y11" s="699">
        <f t="shared" si="0"/>
        <v>0</v>
      </c>
      <c r="Z11" s="699">
        <f t="shared" si="0"/>
        <v>0</v>
      </c>
      <c r="AA11" s="699">
        <f t="shared" si="0"/>
        <v>0</v>
      </c>
      <c r="AB11" s="699">
        <f t="shared" si="0"/>
        <v>0</v>
      </c>
      <c r="AC11" s="699">
        <f t="shared" si="0"/>
        <v>0</v>
      </c>
      <c r="AD11" s="699">
        <f t="shared" si="0"/>
        <v>0</v>
      </c>
      <c r="AE11" s="699">
        <f t="shared" si="0"/>
        <v>0</v>
      </c>
      <c r="AF11" s="699">
        <f t="shared" si="0"/>
        <v>0</v>
      </c>
      <c r="AG11" s="699">
        <f t="shared" si="0"/>
        <v>0</v>
      </c>
      <c r="AH11" s="699">
        <f t="shared" si="0"/>
        <v>0</v>
      </c>
      <c r="AI11" s="699">
        <f t="shared" si="0"/>
        <v>0</v>
      </c>
      <c r="AJ11" s="699">
        <f t="shared" si="0"/>
        <v>0</v>
      </c>
      <c r="AK11" s="699">
        <f t="shared" si="0"/>
        <v>0</v>
      </c>
      <c r="AL11" s="699">
        <f t="shared" si="0"/>
        <v>0</v>
      </c>
      <c r="AM11" s="699">
        <f t="shared" si="0"/>
        <v>0</v>
      </c>
      <c r="AN11" s="700">
        <f t="shared" si="0"/>
        <v>0</v>
      </c>
      <c r="AO11" s="700">
        <f t="shared" si="0"/>
        <v>0</v>
      </c>
      <c r="AP11" s="700">
        <f t="shared" si="0"/>
        <v>0</v>
      </c>
      <c r="AQ11" s="700">
        <f t="shared" si="0"/>
        <v>0</v>
      </c>
      <c r="AR11" s="700">
        <f t="shared" si="0"/>
        <v>0</v>
      </c>
      <c r="AS11" s="700">
        <f t="shared" si="0"/>
        <v>0</v>
      </c>
      <c r="AT11" s="700">
        <f t="shared" si="0"/>
        <v>0</v>
      </c>
      <c r="AU11" s="700">
        <f t="shared" si="0"/>
        <v>0</v>
      </c>
      <c r="AV11" s="700">
        <f t="shared" si="0"/>
        <v>0</v>
      </c>
      <c r="AW11" s="700">
        <f t="shared" si="0"/>
        <v>0</v>
      </c>
      <c r="AX11" s="700">
        <f t="shared" si="0"/>
        <v>0</v>
      </c>
    </row>
    <row r="12" spans="1:50" ht="13.2" outlineLevel="1" x14ac:dyDescent="0.2">
      <c r="B12" s="290" t="str">
        <f>CHIFFRAGE_TC!B13</f>
        <v>Estacion Duran (Terminal)</v>
      </c>
      <c r="C12" s="964" t="str">
        <f>CHIFFRAGE_TC!D13</f>
        <v>Infinida</v>
      </c>
      <c r="D12" s="725"/>
      <c r="E12" s="1000"/>
      <c r="F12" s="1001"/>
      <c r="G12" s="1001"/>
      <c r="H12" s="1002"/>
      <c r="I12" s="709">
        <v>0</v>
      </c>
      <c r="J12" s="709">
        <v>0</v>
      </c>
      <c r="K12" s="709">
        <v>0</v>
      </c>
      <c r="L12" s="709">
        <v>0</v>
      </c>
      <c r="M12" s="709">
        <v>0</v>
      </c>
      <c r="N12" s="709">
        <v>0</v>
      </c>
      <c r="O12" s="709">
        <v>0</v>
      </c>
      <c r="P12" s="709">
        <v>0</v>
      </c>
      <c r="Q12" s="709">
        <v>0</v>
      </c>
      <c r="R12" s="709">
        <v>0</v>
      </c>
      <c r="S12" s="709">
        <v>0</v>
      </c>
      <c r="T12" s="709">
        <v>0</v>
      </c>
      <c r="U12" s="709">
        <v>0</v>
      </c>
      <c r="V12" s="709">
        <v>0</v>
      </c>
      <c r="W12" s="709">
        <v>0</v>
      </c>
      <c r="X12" s="709">
        <v>0</v>
      </c>
      <c r="Y12" s="709">
        <v>0</v>
      </c>
      <c r="Z12" s="709">
        <v>0</v>
      </c>
      <c r="AA12" s="709">
        <v>0</v>
      </c>
      <c r="AB12" s="709">
        <v>0</v>
      </c>
      <c r="AC12" s="709">
        <v>0</v>
      </c>
      <c r="AD12" s="709">
        <v>0</v>
      </c>
      <c r="AE12" s="709">
        <v>0</v>
      </c>
      <c r="AF12" s="709">
        <v>0</v>
      </c>
      <c r="AG12" s="709">
        <v>0</v>
      </c>
      <c r="AH12" s="709">
        <v>0</v>
      </c>
      <c r="AI12" s="709">
        <v>0</v>
      </c>
      <c r="AJ12" s="709">
        <v>0</v>
      </c>
      <c r="AK12" s="709">
        <v>0</v>
      </c>
      <c r="AL12" s="709">
        <v>0</v>
      </c>
      <c r="AM12" s="709">
        <v>0</v>
      </c>
      <c r="AN12" s="709">
        <v>0</v>
      </c>
      <c r="AO12" s="709">
        <v>0</v>
      </c>
      <c r="AP12" s="709">
        <v>0</v>
      </c>
      <c r="AQ12" s="709">
        <v>0</v>
      </c>
      <c r="AR12" s="709">
        <v>0</v>
      </c>
      <c r="AS12" s="709">
        <v>0</v>
      </c>
      <c r="AT12" s="709">
        <v>0</v>
      </c>
      <c r="AU12" s="709">
        <v>0</v>
      </c>
      <c r="AV12" s="709">
        <v>0</v>
      </c>
      <c r="AW12" s="709">
        <v>0</v>
      </c>
      <c r="AX12" s="709">
        <v>0</v>
      </c>
    </row>
    <row r="13" spans="1:50" ht="13.2" outlineLevel="1" x14ac:dyDescent="0.2">
      <c r="B13" s="290" t="str">
        <f>CHIFFRAGE_TC!B14</f>
        <v>Estacion Samborondon</v>
      </c>
      <c r="C13" s="964" t="str">
        <f>CHIFFRAGE_TC!D14</f>
        <v>Infinida</v>
      </c>
      <c r="D13" s="725"/>
      <c r="E13" s="1000"/>
      <c r="F13" s="1001"/>
      <c r="G13" s="1001"/>
      <c r="H13" s="1002"/>
      <c r="I13" s="709">
        <v>0</v>
      </c>
      <c r="J13" s="709">
        <v>0</v>
      </c>
      <c r="K13" s="709">
        <v>0</v>
      </c>
      <c r="L13" s="709">
        <v>0</v>
      </c>
      <c r="M13" s="709">
        <v>0</v>
      </c>
      <c r="N13" s="709">
        <v>0</v>
      </c>
      <c r="O13" s="709">
        <v>0</v>
      </c>
      <c r="P13" s="709">
        <v>0</v>
      </c>
      <c r="Q13" s="709">
        <v>0</v>
      </c>
      <c r="R13" s="709">
        <v>0</v>
      </c>
      <c r="S13" s="709">
        <v>0</v>
      </c>
      <c r="T13" s="709">
        <v>0</v>
      </c>
      <c r="U13" s="709">
        <v>0</v>
      </c>
      <c r="V13" s="709">
        <v>0</v>
      </c>
      <c r="W13" s="709">
        <v>0</v>
      </c>
      <c r="X13" s="709">
        <v>0</v>
      </c>
      <c r="Y13" s="709">
        <v>0</v>
      </c>
      <c r="Z13" s="709">
        <v>0</v>
      </c>
      <c r="AA13" s="709">
        <v>0</v>
      </c>
      <c r="AB13" s="709">
        <v>0</v>
      </c>
      <c r="AC13" s="709">
        <v>0</v>
      </c>
      <c r="AD13" s="709">
        <v>0</v>
      </c>
      <c r="AE13" s="709">
        <v>0</v>
      </c>
      <c r="AF13" s="709">
        <v>0</v>
      </c>
      <c r="AG13" s="709">
        <v>0</v>
      </c>
      <c r="AH13" s="709">
        <v>0</v>
      </c>
      <c r="AI13" s="709">
        <v>0</v>
      </c>
      <c r="AJ13" s="709">
        <v>0</v>
      </c>
      <c r="AK13" s="709">
        <v>0</v>
      </c>
      <c r="AL13" s="709">
        <v>0</v>
      </c>
      <c r="AM13" s="709">
        <v>0</v>
      </c>
      <c r="AN13" s="709">
        <v>0</v>
      </c>
      <c r="AO13" s="709">
        <v>0</v>
      </c>
      <c r="AP13" s="709">
        <v>0</v>
      </c>
      <c r="AQ13" s="709">
        <v>0</v>
      </c>
      <c r="AR13" s="709">
        <v>0</v>
      </c>
      <c r="AS13" s="709">
        <v>0</v>
      </c>
      <c r="AT13" s="709">
        <v>0</v>
      </c>
      <c r="AU13" s="709">
        <v>0</v>
      </c>
      <c r="AV13" s="709">
        <v>0</v>
      </c>
      <c r="AW13" s="709">
        <v>0</v>
      </c>
      <c r="AX13" s="709">
        <v>0</v>
      </c>
    </row>
    <row r="14" spans="1:50" ht="13.2" outlineLevel="1" x14ac:dyDescent="0.2">
      <c r="B14" s="290" t="str">
        <f>CHIFFRAGE_TC!B15</f>
        <v>Estacion Puerto Santa Ana (Norte)</v>
      </c>
      <c r="C14" s="964" t="str">
        <f>CHIFFRAGE_TC!D15</f>
        <v>Infinida</v>
      </c>
      <c r="D14" s="725"/>
      <c r="E14" s="1000"/>
      <c r="F14" s="1001"/>
      <c r="G14" s="1001"/>
      <c r="H14" s="1002"/>
      <c r="I14" s="709">
        <v>0</v>
      </c>
      <c r="J14" s="709">
        <v>0</v>
      </c>
      <c r="K14" s="709">
        <v>0</v>
      </c>
      <c r="L14" s="709">
        <v>0</v>
      </c>
      <c r="M14" s="709">
        <v>0</v>
      </c>
      <c r="N14" s="709">
        <v>0</v>
      </c>
      <c r="O14" s="709">
        <v>0</v>
      </c>
      <c r="P14" s="709">
        <v>0</v>
      </c>
      <c r="Q14" s="709">
        <v>0</v>
      </c>
      <c r="R14" s="709">
        <v>0</v>
      </c>
      <c r="S14" s="709">
        <v>0</v>
      </c>
      <c r="T14" s="709">
        <v>0</v>
      </c>
      <c r="U14" s="709">
        <v>0</v>
      </c>
      <c r="V14" s="709">
        <v>0</v>
      </c>
      <c r="W14" s="709">
        <v>0</v>
      </c>
      <c r="X14" s="709">
        <v>0</v>
      </c>
      <c r="Y14" s="709">
        <v>0</v>
      </c>
      <c r="Z14" s="709">
        <v>0</v>
      </c>
      <c r="AA14" s="709">
        <v>0</v>
      </c>
      <c r="AB14" s="709">
        <v>0</v>
      </c>
      <c r="AC14" s="709">
        <v>0</v>
      </c>
      <c r="AD14" s="709">
        <v>0</v>
      </c>
      <c r="AE14" s="709">
        <v>0</v>
      </c>
      <c r="AF14" s="709">
        <v>0</v>
      </c>
      <c r="AG14" s="709">
        <v>0</v>
      </c>
      <c r="AH14" s="709">
        <v>0</v>
      </c>
      <c r="AI14" s="709">
        <v>0</v>
      </c>
      <c r="AJ14" s="709">
        <v>0</v>
      </c>
      <c r="AK14" s="709">
        <v>0</v>
      </c>
      <c r="AL14" s="709">
        <v>0</v>
      </c>
      <c r="AM14" s="709">
        <v>0</v>
      </c>
      <c r="AN14" s="709">
        <v>0</v>
      </c>
      <c r="AO14" s="709">
        <v>0</v>
      </c>
      <c r="AP14" s="709">
        <v>0</v>
      </c>
      <c r="AQ14" s="709">
        <v>0</v>
      </c>
      <c r="AR14" s="709">
        <v>0</v>
      </c>
      <c r="AS14" s="709">
        <v>0</v>
      </c>
      <c r="AT14" s="709">
        <v>0</v>
      </c>
      <c r="AU14" s="709">
        <v>0</v>
      </c>
      <c r="AV14" s="709">
        <v>0</v>
      </c>
      <c r="AW14" s="709">
        <v>0</v>
      </c>
      <c r="AX14" s="709">
        <v>0</v>
      </c>
    </row>
    <row r="15" spans="1:50" ht="13.2" outlineLevel="1" x14ac:dyDescent="0.2">
      <c r="A15" s="19"/>
      <c r="B15" s="290" t="str">
        <f>CHIFFRAGE_TC!B16</f>
        <v>Estacion Puerto Santa Ana (Sur)</v>
      </c>
      <c r="C15" s="964" t="str">
        <f>CHIFFRAGE_TC!D16</f>
        <v>Infinida</v>
      </c>
      <c r="D15" s="725"/>
      <c r="E15" s="1000"/>
      <c r="F15" s="1001"/>
      <c r="G15" s="1001"/>
      <c r="H15" s="1002"/>
      <c r="I15" s="709">
        <v>0</v>
      </c>
      <c r="J15" s="709">
        <v>0</v>
      </c>
      <c r="K15" s="709">
        <v>0</v>
      </c>
      <c r="L15" s="709">
        <v>0</v>
      </c>
      <c r="M15" s="709">
        <v>0</v>
      </c>
      <c r="N15" s="709">
        <v>0</v>
      </c>
      <c r="O15" s="709">
        <v>0</v>
      </c>
      <c r="P15" s="709">
        <v>0</v>
      </c>
      <c r="Q15" s="709">
        <v>0</v>
      </c>
      <c r="R15" s="709">
        <v>0</v>
      </c>
      <c r="S15" s="709">
        <v>0</v>
      </c>
      <c r="T15" s="709">
        <v>0</v>
      </c>
      <c r="U15" s="709">
        <v>0</v>
      </c>
      <c r="V15" s="709">
        <v>0</v>
      </c>
      <c r="W15" s="709">
        <v>0</v>
      </c>
      <c r="X15" s="709">
        <v>0</v>
      </c>
      <c r="Y15" s="709">
        <v>0</v>
      </c>
      <c r="Z15" s="709">
        <v>0</v>
      </c>
      <c r="AA15" s="709">
        <v>0</v>
      </c>
      <c r="AB15" s="709">
        <v>0</v>
      </c>
      <c r="AC15" s="709">
        <v>0</v>
      </c>
      <c r="AD15" s="709">
        <v>0</v>
      </c>
      <c r="AE15" s="709">
        <v>0</v>
      </c>
      <c r="AF15" s="709">
        <v>0</v>
      </c>
      <c r="AG15" s="709">
        <v>0</v>
      </c>
      <c r="AH15" s="709">
        <v>0</v>
      </c>
      <c r="AI15" s="709">
        <v>0</v>
      </c>
      <c r="AJ15" s="709">
        <v>0</v>
      </c>
      <c r="AK15" s="709">
        <v>0</v>
      </c>
      <c r="AL15" s="709">
        <v>0</v>
      </c>
      <c r="AM15" s="709">
        <v>0</v>
      </c>
      <c r="AN15" s="709">
        <v>0</v>
      </c>
      <c r="AO15" s="709">
        <v>0</v>
      </c>
      <c r="AP15" s="709">
        <v>0</v>
      </c>
      <c r="AQ15" s="709">
        <v>0</v>
      </c>
      <c r="AR15" s="709">
        <v>0</v>
      </c>
      <c r="AS15" s="709">
        <v>0</v>
      </c>
      <c r="AT15" s="709">
        <v>0</v>
      </c>
      <c r="AU15" s="709">
        <v>0</v>
      </c>
      <c r="AV15" s="709">
        <v>0</v>
      </c>
      <c r="AW15" s="709">
        <v>0</v>
      </c>
      <c r="AX15" s="709">
        <v>0</v>
      </c>
    </row>
    <row r="16" spans="1:50" ht="13.2" outlineLevel="1" x14ac:dyDescent="0.2">
      <c r="B16" s="290" t="str">
        <f>CHIFFRAGE_TC!B17</f>
        <v>Estacion Malecon Centro Cultural</v>
      </c>
      <c r="C16" s="964" t="str">
        <f>CHIFFRAGE_TC!D17</f>
        <v>Infinida</v>
      </c>
      <c r="D16" s="725"/>
      <c r="E16" s="1000"/>
      <c r="F16" s="1001"/>
      <c r="G16" s="1001"/>
      <c r="H16" s="1002"/>
      <c r="I16" s="709">
        <v>0</v>
      </c>
      <c r="J16" s="709">
        <v>0</v>
      </c>
      <c r="K16" s="709">
        <v>0</v>
      </c>
      <c r="L16" s="709">
        <v>0</v>
      </c>
      <c r="M16" s="709">
        <v>0</v>
      </c>
      <c r="N16" s="709">
        <v>0</v>
      </c>
      <c r="O16" s="709">
        <v>0</v>
      </c>
      <c r="P16" s="709">
        <v>0</v>
      </c>
      <c r="Q16" s="709">
        <v>0</v>
      </c>
      <c r="R16" s="709">
        <v>0</v>
      </c>
      <c r="S16" s="709">
        <v>0</v>
      </c>
      <c r="T16" s="709">
        <v>0</v>
      </c>
      <c r="U16" s="709">
        <v>0</v>
      </c>
      <c r="V16" s="709">
        <v>0</v>
      </c>
      <c r="W16" s="709">
        <v>0</v>
      </c>
      <c r="X16" s="709">
        <v>0</v>
      </c>
      <c r="Y16" s="709">
        <v>0</v>
      </c>
      <c r="Z16" s="709">
        <v>0</v>
      </c>
      <c r="AA16" s="709">
        <v>0</v>
      </c>
      <c r="AB16" s="709">
        <v>0</v>
      </c>
      <c r="AC16" s="709">
        <v>0</v>
      </c>
      <c r="AD16" s="709">
        <v>0</v>
      </c>
      <c r="AE16" s="709">
        <v>0</v>
      </c>
      <c r="AF16" s="709">
        <v>0</v>
      </c>
      <c r="AG16" s="709">
        <v>0</v>
      </c>
      <c r="AH16" s="709">
        <v>0</v>
      </c>
      <c r="AI16" s="709">
        <v>0</v>
      </c>
      <c r="AJ16" s="709">
        <v>0</v>
      </c>
      <c r="AK16" s="709">
        <v>0</v>
      </c>
      <c r="AL16" s="709">
        <v>0</v>
      </c>
      <c r="AM16" s="709">
        <v>0</v>
      </c>
      <c r="AN16" s="709">
        <v>0</v>
      </c>
      <c r="AO16" s="709">
        <v>0</v>
      </c>
      <c r="AP16" s="709">
        <v>0</v>
      </c>
      <c r="AQ16" s="709">
        <v>0</v>
      </c>
      <c r="AR16" s="709">
        <v>0</v>
      </c>
      <c r="AS16" s="709">
        <v>0</v>
      </c>
      <c r="AT16" s="709">
        <v>0</v>
      </c>
      <c r="AU16" s="709">
        <v>0</v>
      </c>
      <c r="AV16" s="709">
        <v>0</v>
      </c>
      <c r="AW16" s="709">
        <v>0</v>
      </c>
      <c r="AX16" s="709">
        <v>0</v>
      </c>
    </row>
    <row r="17" spans="1:50" ht="16.2" outlineLevel="1" x14ac:dyDescent="0.3">
      <c r="A17" s="21"/>
      <c r="B17" s="290" t="str">
        <f>CHIFFRAGE_TC!B18</f>
        <v>Estacion Cimentero (Tecnica)</v>
      </c>
      <c r="C17" s="964" t="str">
        <f>CHIFFRAGE_TC!D18</f>
        <v>Infinida</v>
      </c>
      <c r="D17" s="725"/>
      <c r="E17" s="1000"/>
      <c r="F17" s="1001"/>
      <c r="G17" s="1001"/>
      <c r="H17" s="1002"/>
      <c r="I17" s="709">
        <v>0</v>
      </c>
      <c r="J17" s="709">
        <v>0</v>
      </c>
      <c r="K17" s="709">
        <v>0</v>
      </c>
      <c r="L17" s="709">
        <v>0</v>
      </c>
      <c r="M17" s="709">
        <v>0</v>
      </c>
      <c r="N17" s="709">
        <v>0</v>
      </c>
      <c r="O17" s="709">
        <v>0</v>
      </c>
      <c r="P17" s="709">
        <v>0</v>
      </c>
      <c r="Q17" s="709">
        <v>0</v>
      </c>
      <c r="R17" s="709">
        <v>0</v>
      </c>
      <c r="S17" s="709">
        <v>0</v>
      </c>
      <c r="T17" s="709">
        <v>0</v>
      </c>
      <c r="U17" s="709">
        <v>0</v>
      </c>
      <c r="V17" s="709">
        <v>0</v>
      </c>
      <c r="W17" s="709">
        <v>0</v>
      </c>
      <c r="X17" s="709">
        <v>0</v>
      </c>
      <c r="Y17" s="709">
        <v>0</v>
      </c>
      <c r="Z17" s="709">
        <v>0</v>
      </c>
      <c r="AA17" s="709">
        <v>0</v>
      </c>
      <c r="AB17" s="709">
        <v>0</v>
      </c>
      <c r="AC17" s="709">
        <v>0</v>
      </c>
      <c r="AD17" s="709">
        <v>0</v>
      </c>
      <c r="AE17" s="709">
        <v>0</v>
      </c>
      <c r="AF17" s="709">
        <v>0</v>
      </c>
      <c r="AG17" s="709">
        <v>0</v>
      </c>
      <c r="AH17" s="709">
        <v>0</v>
      </c>
      <c r="AI17" s="709">
        <v>0</v>
      </c>
      <c r="AJ17" s="709">
        <v>0</v>
      </c>
      <c r="AK17" s="709">
        <v>0</v>
      </c>
      <c r="AL17" s="709">
        <v>0</v>
      </c>
      <c r="AM17" s="709">
        <v>0</v>
      </c>
      <c r="AN17" s="709">
        <v>0</v>
      </c>
      <c r="AO17" s="709">
        <v>0</v>
      </c>
      <c r="AP17" s="709">
        <v>0</v>
      </c>
      <c r="AQ17" s="709">
        <v>0</v>
      </c>
      <c r="AR17" s="709">
        <v>0</v>
      </c>
      <c r="AS17" s="709">
        <v>0</v>
      </c>
      <c r="AT17" s="709">
        <v>0</v>
      </c>
      <c r="AU17" s="709">
        <v>0</v>
      </c>
      <c r="AV17" s="709">
        <v>0</v>
      </c>
      <c r="AW17" s="709">
        <v>0</v>
      </c>
      <c r="AX17" s="709">
        <v>0</v>
      </c>
    </row>
    <row r="18" spans="1:50" ht="13.2" outlineLevel="1" x14ac:dyDescent="0.2">
      <c r="A18" s="20"/>
      <c r="B18" s="290" t="str">
        <f>CHIFFRAGE_TC!B19</f>
        <v>Estacion Avenida Quito</v>
      </c>
      <c r="C18" s="964" t="str">
        <f>CHIFFRAGE_TC!D19</f>
        <v>Infinida</v>
      </c>
      <c r="D18" s="725"/>
      <c r="E18" s="1000"/>
      <c r="F18" s="1001"/>
      <c r="G18" s="1001"/>
      <c r="H18" s="1002"/>
      <c r="I18" s="709">
        <v>0</v>
      </c>
      <c r="J18" s="709">
        <v>0</v>
      </c>
      <c r="K18" s="709">
        <v>0</v>
      </c>
      <c r="L18" s="709">
        <v>0</v>
      </c>
      <c r="M18" s="709">
        <v>0</v>
      </c>
      <c r="N18" s="709">
        <v>0</v>
      </c>
      <c r="O18" s="709">
        <v>0</v>
      </c>
      <c r="P18" s="709">
        <v>0</v>
      </c>
      <c r="Q18" s="709">
        <v>0</v>
      </c>
      <c r="R18" s="709">
        <v>0</v>
      </c>
      <c r="S18" s="709">
        <v>0</v>
      </c>
      <c r="T18" s="709">
        <v>0</v>
      </c>
      <c r="U18" s="709">
        <v>0</v>
      </c>
      <c r="V18" s="709">
        <v>0</v>
      </c>
      <c r="W18" s="709">
        <v>0</v>
      </c>
      <c r="X18" s="709">
        <v>0</v>
      </c>
      <c r="Y18" s="709">
        <v>0</v>
      </c>
      <c r="Z18" s="709">
        <v>0</v>
      </c>
      <c r="AA18" s="709">
        <v>0</v>
      </c>
      <c r="AB18" s="709">
        <v>0</v>
      </c>
      <c r="AC18" s="709">
        <v>0</v>
      </c>
      <c r="AD18" s="709">
        <v>0</v>
      </c>
      <c r="AE18" s="709">
        <v>0</v>
      </c>
      <c r="AF18" s="709">
        <v>0</v>
      </c>
      <c r="AG18" s="709">
        <v>0</v>
      </c>
      <c r="AH18" s="709">
        <v>0</v>
      </c>
      <c r="AI18" s="709">
        <v>0</v>
      </c>
      <c r="AJ18" s="709">
        <v>0</v>
      </c>
      <c r="AK18" s="709">
        <v>0</v>
      </c>
      <c r="AL18" s="709">
        <v>0</v>
      </c>
      <c r="AM18" s="709">
        <v>0</v>
      </c>
      <c r="AN18" s="709">
        <v>0</v>
      </c>
      <c r="AO18" s="709">
        <v>0</v>
      </c>
      <c r="AP18" s="709">
        <v>0</v>
      </c>
      <c r="AQ18" s="709">
        <v>0</v>
      </c>
      <c r="AR18" s="709">
        <v>0</v>
      </c>
      <c r="AS18" s="709">
        <v>0</v>
      </c>
      <c r="AT18" s="709">
        <v>0</v>
      </c>
      <c r="AU18" s="709">
        <v>0</v>
      </c>
      <c r="AV18" s="709">
        <v>0</v>
      </c>
      <c r="AW18" s="709">
        <v>0</v>
      </c>
      <c r="AX18" s="709">
        <v>0</v>
      </c>
    </row>
    <row r="19" spans="1:50" ht="13.2" outlineLevel="1" x14ac:dyDescent="0.2">
      <c r="A19" s="20"/>
      <c r="B19" s="290" t="str">
        <f>CHIFFRAGE_TC!B20</f>
        <v>Estacion Centenario (Terminal)</v>
      </c>
      <c r="C19" s="964" t="str">
        <f>CHIFFRAGE_TC!D20</f>
        <v>Infinida</v>
      </c>
      <c r="D19" s="725"/>
      <c r="E19" s="1000"/>
      <c r="F19" s="1001"/>
      <c r="G19" s="1001"/>
      <c r="H19" s="1002"/>
      <c r="I19" s="709">
        <v>0</v>
      </c>
      <c r="J19" s="709">
        <v>0</v>
      </c>
      <c r="K19" s="709">
        <v>0</v>
      </c>
      <c r="L19" s="709">
        <v>0</v>
      </c>
      <c r="M19" s="709">
        <v>0</v>
      </c>
      <c r="N19" s="709">
        <v>0</v>
      </c>
      <c r="O19" s="709">
        <v>0</v>
      </c>
      <c r="P19" s="709">
        <v>0</v>
      </c>
      <c r="Q19" s="709">
        <v>0</v>
      </c>
      <c r="R19" s="709">
        <v>0</v>
      </c>
      <c r="S19" s="709">
        <v>0</v>
      </c>
      <c r="T19" s="709">
        <v>0</v>
      </c>
      <c r="U19" s="709">
        <v>0</v>
      </c>
      <c r="V19" s="709">
        <v>0</v>
      </c>
      <c r="W19" s="709">
        <v>0</v>
      </c>
      <c r="X19" s="709">
        <v>0</v>
      </c>
      <c r="Y19" s="709">
        <v>0</v>
      </c>
      <c r="Z19" s="709">
        <v>0</v>
      </c>
      <c r="AA19" s="709">
        <v>0</v>
      </c>
      <c r="AB19" s="709">
        <v>0</v>
      </c>
      <c r="AC19" s="709">
        <v>0</v>
      </c>
      <c r="AD19" s="709">
        <v>0</v>
      </c>
      <c r="AE19" s="709">
        <v>0</v>
      </c>
      <c r="AF19" s="709">
        <v>0</v>
      </c>
      <c r="AG19" s="709">
        <v>0</v>
      </c>
      <c r="AH19" s="709">
        <v>0</v>
      </c>
      <c r="AI19" s="709">
        <v>0</v>
      </c>
      <c r="AJ19" s="709">
        <v>0</v>
      </c>
      <c r="AK19" s="709">
        <v>0</v>
      </c>
      <c r="AL19" s="709">
        <v>0</v>
      </c>
      <c r="AM19" s="709">
        <v>0</v>
      </c>
      <c r="AN19" s="709">
        <v>0</v>
      </c>
      <c r="AO19" s="709">
        <v>0</v>
      </c>
      <c r="AP19" s="709">
        <v>0</v>
      </c>
      <c r="AQ19" s="709">
        <v>0</v>
      </c>
      <c r="AR19" s="709">
        <v>0</v>
      </c>
      <c r="AS19" s="709">
        <v>0</v>
      </c>
      <c r="AT19" s="709">
        <v>0</v>
      </c>
      <c r="AU19" s="709">
        <v>0</v>
      </c>
      <c r="AV19" s="709">
        <v>0</v>
      </c>
      <c r="AW19" s="709">
        <v>0</v>
      </c>
      <c r="AX19" s="709">
        <v>0</v>
      </c>
    </row>
    <row r="20" spans="1:50" ht="13.2" outlineLevel="1" x14ac:dyDescent="0.2">
      <c r="B20" s="289" t="str">
        <f>CHIFFRAGE_TC!B21</f>
        <v>Servidumbres en linea</v>
      </c>
      <c r="C20" s="964" t="str">
        <f>CHIFFRAGE_TC!D21</f>
        <v>Infinida</v>
      </c>
      <c r="D20" s="725"/>
      <c r="E20" s="1000"/>
      <c r="F20" s="1001"/>
      <c r="G20" s="1001"/>
      <c r="H20" s="1002"/>
      <c r="I20" s="709">
        <v>0</v>
      </c>
      <c r="J20" s="709">
        <v>0</v>
      </c>
      <c r="K20" s="709">
        <v>0</v>
      </c>
      <c r="L20" s="709">
        <v>0</v>
      </c>
      <c r="M20" s="709">
        <v>0</v>
      </c>
      <c r="N20" s="709">
        <v>0</v>
      </c>
      <c r="O20" s="709">
        <v>0</v>
      </c>
      <c r="P20" s="709">
        <v>0</v>
      </c>
      <c r="Q20" s="709">
        <v>0</v>
      </c>
      <c r="R20" s="709">
        <v>0</v>
      </c>
      <c r="S20" s="709">
        <v>0</v>
      </c>
      <c r="T20" s="709">
        <v>0</v>
      </c>
      <c r="U20" s="709">
        <v>0</v>
      </c>
      <c r="V20" s="709">
        <v>0</v>
      </c>
      <c r="W20" s="709">
        <v>0</v>
      </c>
      <c r="X20" s="709">
        <v>0</v>
      </c>
      <c r="Y20" s="709">
        <v>0</v>
      </c>
      <c r="Z20" s="709">
        <v>0</v>
      </c>
      <c r="AA20" s="709">
        <v>0</v>
      </c>
      <c r="AB20" s="709">
        <v>0</v>
      </c>
      <c r="AC20" s="709">
        <v>0</v>
      </c>
      <c r="AD20" s="709">
        <v>0</v>
      </c>
      <c r="AE20" s="709">
        <v>0</v>
      </c>
      <c r="AF20" s="709">
        <v>0</v>
      </c>
      <c r="AG20" s="709">
        <v>0</v>
      </c>
      <c r="AH20" s="709">
        <v>0</v>
      </c>
      <c r="AI20" s="709">
        <v>0</v>
      </c>
      <c r="AJ20" s="709">
        <v>0</v>
      </c>
      <c r="AK20" s="709">
        <v>0</v>
      </c>
      <c r="AL20" s="709">
        <v>0</v>
      </c>
      <c r="AM20" s="709">
        <v>0</v>
      </c>
      <c r="AN20" s="709">
        <v>0</v>
      </c>
      <c r="AO20" s="709">
        <v>0</v>
      </c>
      <c r="AP20" s="709">
        <v>0</v>
      </c>
      <c r="AQ20" s="709">
        <v>0</v>
      </c>
      <c r="AR20" s="709">
        <v>0</v>
      </c>
      <c r="AS20" s="709">
        <v>0</v>
      </c>
      <c r="AT20" s="709">
        <v>0</v>
      </c>
      <c r="AU20" s="709">
        <v>0</v>
      </c>
      <c r="AV20" s="709">
        <v>0</v>
      </c>
      <c r="AW20" s="709">
        <v>0</v>
      </c>
      <c r="AX20" s="709">
        <v>0</v>
      </c>
    </row>
    <row r="21" spans="1:50" ht="13.8" thickBot="1" x14ac:dyDescent="0.25">
      <c r="B21" s="290"/>
      <c r="C21" s="964"/>
      <c r="D21" s="725"/>
      <c r="E21" s="208"/>
      <c r="F21" s="17"/>
      <c r="G21" s="17"/>
      <c r="H21" s="204"/>
      <c r="I21" s="69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</row>
    <row r="22" spans="1:50" ht="16.2" thickBot="1" x14ac:dyDescent="0.25">
      <c r="B22" s="288" t="str">
        <f>CHIFFRAGE_TC!B23</f>
        <v>Compra de terrenos para estacionamiento (operacion adicional)</v>
      </c>
      <c r="C22" s="964"/>
      <c r="D22" s="725">
        <f>CHIFFRAGE_TC!K23</f>
        <v>0</v>
      </c>
      <c r="E22" s="209"/>
      <c r="F22" s="196"/>
      <c r="G22" s="196"/>
      <c r="H22" s="197"/>
      <c r="I22" s="698">
        <f t="shared" ref="I22:AX22" si="1">SUM(I23:I30)</f>
        <v>0</v>
      </c>
      <c r="J22" s="699">
        <f t="shared" si="1"/>
        <v>0</v>
      </c>
      <c r="K22" s="699">
        <f t="shared" si="1"/>
        <v>0</v>
      </c>
      <c r="L22" s="699">
        <f t="shared" si="1"/>
        <v>0</v>
      </c>
      <c r="M22" s="699">
        <f t="shared" si="1"/>
        <v>0</v>
      </c>
      <c r="N22" s="699">
        <f t="shared" si="1"/>
        <v>0</v>
      </c>
      <c r="O22" s="699">
        <f t="shared" si="1"/>
        <v>0</v>
      </c>
      <c r="P22" s="699">
        <f t="shared" si="1"/>
        <v>0</v>
      </c>
      <c r="Q22" s="699">
        <f t="shared" si="1"/>
        <v>0</v>
      </c>
      <c r="R22" s="699">
        <f t="shared" si="1"/>
        <v>0</v>
      </c>
      <c r="S22" s="699">
        <f t="shared" si="1"/>
        <v>0</v>
      </c>
      <c r="T22" s="699">
        <f t="shared" si="1"/>
        <v>0</v>
      </c>
      <c r="U22" s="699">
        <f t="shared" si="1"/>
        <v>0</v>
      </c>
      <c r="V22" s="699">
        <f t="shared" si="1"/>
        <v>0</v>
      </c>
      <c r="W22" s="699">
        <f t="shared" si="1"/>
        <v>0</v>
      </c>
      <c r="X22" s="699">
        <f t="shared" si="1"/>
        <v>0</v>
      </c>
      <c r="Y22" s="699">
        <f t="shared" si="1"/>
        <v>0</v>
      </c>
      <c r="Z22" s="699">
        <f t="shared" si="1"/>
        <v>0</v>
      </c>
      <c r="AA22" s="699">
        <f t="shared" si="1"/>
        <v>0</v>
      </c>
      <c r="AB22" s="699">
        <f t="shared" si="1"/>
        <v>0</v>
      </c>
      <c r="AC22" s="699">
        <f t="shared" si="1"/>
        <v>0</v>
      </c>
      <c r="AD22" s="699">
        <f t="shared" si="1"/>
        <v>0</v>
      </c>
      <c r="AE22" s="699">
        <f t="shared" si="1"/>
        <v>0</v>
      </c>
      <c r="AF22" s="699">
        <f t="shared" si="1"/>
        <v>0</v>
      </c>
      <c r="AG22" s="699">
        <f t="shared" si="1"/>
        <v>0</v>
      </c>
      <c r="AH22" s="699">
        <f t="shared" si="1"/>
        <v>0</v>
      </c>
      <c r="AI22" s="699">
        <f t="shared" si="1"/>
        <v>0</v>
      </c>
      <c r="AJ22" s="699">
        <f t="shared" si="1"/>
        <v>0</v>
      </c>
      <c r="AK22" s="699">
        <f t="shared" si="1"/>
        <v>0</v>
      </c>
      <c r="AL22" s="699">
        <f t="shared" si="1"/>
        <v>0</v>
      </c>
      <c r="AM22" s="699">
        <f t="shared" si="1"/>
        <v>0</v>
      </c>
      <c r="AN22" s="700">
        <f t="shared" si="1"/>
        <v>0</v>
      </c>
      <c r="AO22" s="700">
        <f t="shared" si="1"/>
        <v>0</v>
      </c>
      <c r="AP22" s="700">
        <f t="shared" si="1"/>
        <v>0</v>
      </c>
      <c r="AQ22" s="700">
        <f t="shared" si="1"/>
        <v>0</v>
      </c>
      <c r="AR22" s="700">
        <f t="shared" si="1"/>
        <v>0</v>
      </c>
      <c r="AS22" s="700">
        <f t="shared" si="1"/>
        <v>0</v>
      </c>
      <c r="AT22" s="700">
        <f t="shared" si="1"/>
        <v>0</v>
      </c>
      <c r="AU22" s="700">
        <f t="shared" si="1"/>
        <v>0</v>
      </c>
      <c r="AV22" s="700">
        <f t="shared" si="1"/>
        <v>0</v>
      </c>
      <c r="AW22" s="700">
        <f t="shared" si="1"/>
        <v>0</v>
      </c>
      <c r="AX22" s="700">
        <f t="shared" si="1"/>
        <v>0</v>
      </c>
    </row>
    <row r="23" spans="1:50" ht="13.2" outlineLevel="1" x14ac:dyDescent="0.2">
      <c r="B23" s="291" t="str">
        <f>CHIFFRAGE_TC!B24</f>
        <v>Estacion Duran (Terminal)</v>
      </c>
      <c r="C23" s="964" t="str">
        <f>CHIFFRAGE_TC!D24</f>
        <v>Infinida</v>
      </c>
      <c r="D23" s="725"/>
      <c r="E23" s="1000"/>
      <c r="F23" s="1001"/>
      <c r="G23" s="1001"/>
      <c r="H23" s="1002"/>
      <c r="I23" s="709">
        <v>0</v>
      </c>
      <c r="J23" s="709">
        <v>0</v>
      </c>
      <c r="K23" s="709">
        <v>0</v>
      </c>
      <c r="L23" s="709">
        <v>0</v>
      </c>
      <c r="M23" s="709">
        <v>0</v>
      </c>
      <c r="N23" s="709">
        <v>0</v>
      </c>
      <c r="O23" s="709">
        <v>0</v>
      </c>
      <c r="P23" s="709">
        <v>0</v>
      </c>
      <c r="Q23" s="709">
        <v>0</v>
      </c>
      <c r="R23" s="709">
        <v>0</v>
      </c>
      <c r="S23" s="709">
        <v>0</v>
      </c>
      <c r="T23" s="709">
        <v>0</v>
      </c>
      <c r="U23" s="709">
        <v>0</v>
      </c>
      <c r="V23" s="709">
        <v>0</v>
      </c>
      <c r="W23" s="709">
        <v>0</v>
      </c>
      <c r="X23" s="709">
        <v>0</v>
      </c>
      <c r="Y23" s="709">
        <v>0</v>
      </c>
      <c r="Z23" s="709">
        <v>0</v>
      </c>
      <c r="AA23" s="709">
        <v>0</v>
      </c>
      <c r="AB23" s="709">
        <v>0</v>
      </c>
      <c r="AC23" s="709">
        <v>0</v>
      </c>
      <c r="AD23" s="709">
        <v>0</v>
      </c>
      <c r="AE23" s="709">
        <v>0</v>
      </c>
      <c r="AF23" s="709">
        <v>0</v>
      </c>
      <c r="AG23" s="709">
        <v>0</v>
      </c>
      <c r="AH23" s="709">
        <v>0</v>
      </c>
      <c r="AI23" s="709">
        <v>0</v>
      </c>
      <c r="AJ23" s="709">
        <v>0</v>
      </c>
      <c r="AK23" s="709">
        <v>0</v>
      </c>
      <c r="AL23" s="709">
        <v>0</v>
      </c>
      <c r="AM23" s="709">
        <v>0</v>
      </c>
      <c r="AN23" s="709">
        <v>0</v>
      </c>
      <c r="AO23" s="709">
        <v>0</v>
      </c>
      <c r="AP23" s="709">
        <v>0</v>
      </c>
      <c r="AQ23" s="709">
        <v>0</v>
      </c>
      <c r="AR23" s="709">
        <v>0</v>
      </c>
      <c r="AS23" s="709">
        <v>0</v>
      </c>
      <c r="AT23" s="709">
        <v>0</v>
      </c>
      <c r="AU23" s="709">
        <v>0</v>
      </c>
      <c r="AV23" s="709">
        <v>0</v>
      </c>
      <c r="AW23" s="709">
        <v>0</v>
      </c>
      <c r="AX23" s="709">
        <v>0</v>
      </c>
    </row>
    <row r="24" spans="1:50" ht="13.2" outlineLevel="1" x14ac:dyDescent="0.2">
      <c r="B24" s="290" t="str">
        <f>CHIFFRAGE_TC!B25</f>
        <v>Estacion Samborondon</v>
      </c>
      <c r="C24" s="964" t="str">
        <f>CHIFFRAGE_TC!D25</f>
        <v>Infinida</v>
      </c>
      <c r="D24" s="725"/>
      <c r="E24" s="1000"/>
      <c r="F24" s="1001"/>
      <c r="G24" s="1001"/>
      <c r="H24" s="1002"/>
      <c r="I24" s="709">
        <v>0</v>
      </c>
      <c r="J24" s="709">
        <v>0</v>
      </c>
      <c r="K24" s="709">
        <v>0</v>
      </c>
      <c r="L24" s="709">
        <v>0</v>
      </c>
      <c r="M24" s="709">
        <v>0</v>
      </c>
      <c r="N24" s="709">
        <v>0</v>
      </c>
      <c r="O24" s="709">
        <v>0</v>
      </c>
      <c r="P24" s="709">
        <v>0</v>
      </c>
      <c r="Q24" s="709">
        <v>0</v>
      </c>
      <c r="R24" s="709">
        <v>0</v>
      </c>
      <c r="S24" s="709">
        <v>0</v>
      </c>
      <c r="T24" s="709">
        <v>0</v>
      </c>
      <c r="U24" s="709">
        <v>0</v>
      </c>
      <c r="V24" s="709">
        <v>0</v>
      </c>
      <c r="W24" s="709">
        <v>0</v>
      </c>
      <c r="X24" s="709">
        <v>0</v>
      </c>
      <c r="Y24" s="709">
        <v>0</v>
      </c>
      <c r="Z24" s="709">
        <v>0</v>
      </c>
      <c r="AA24" s="709">
        <v>0</v>
      </c>
      <c r="AB24" s="709">
        <v>0</v>
      </c>
      <c r="AC24" s="709">
        <v>0</v>
      </c>
      <c r="AD24" s="709">
        <v>0</v>
      </c>
      <c r="AE24" s="709">
        <v>0</v>
      </c>
      <c r="AF24" s="709">
        <v>0</v>
      </c>
      <c r="AG24" s="709">
        <v>0</v>
      </c>
      <c r="AH24" s="709">
        <v>0</v>
      </c>
      <c r="AI24" s="709">
        <v>0</v>
      </c>
      <c r="AJ24" s="709">
        <v>0</v>
      </c>
      <c r="AK24" s="709">
        <v>0</v>
      </c>
      <c r="AL24" s="709">
        <v>0</v>
      </c>
      <c r="AM24" s="709">
        <v>0</v>
      </c>
      <c r="AN24" s="709">
        <v>0</v>
      </c>
      <c r="AO24" s="709">
        <v>0</v>
      </c>
      <c r="AP24" s="709">
        <v>0</v>
      </c>
      <c r="AQ24" s="709">
        <v>0</v>
      </c>
      <c r="AR24" s="709">
        <v>0</v>
      </c>
      <c r="AS24" s="709">
        <v>0</v>
      </c>
      <c r="AT24" s="709">
        <v>0</v>
      </c>
      <c r="AU24" s="709">
        <v>0</v>
      </c>
      <c r="AV24" s="709">
        <v>0</v>
      </c>
      <c r="AW24" s="709">
        <v>0</v>
      </c>
      <c r="AX24" s="709">
        <v>0</v>
      </c>
    </row>
    <row r="25" spans="1:50" ht="13.2" outlineLevel="1" x14ac:dyDescent="0.2">
      <c r="B25" s="290" t="str">
        <f>CHIFFRAGE_TC!B26</f>
        <v>Estacion Puerto Santa Ana (Norte)</v>
      </c>
      <c r="C25" s="964" t="str">
        <f>CHIFFRAGE_TC!D26</f>
        <v>Infinida</v>
      </c>
      <c r="D25" s="725"/>
      <c r="E25" s="1000"/>
      <c r="F25" s="1001"/>
      <c r="G25" s="1001"/>
      <c r="H25" s="1002"/>
      <c r="I25" s="709">
        <v>0</v>
      </c>
      <c r="J25" s="709">
        <v>0</v>
      </c>
      <c r="K25" s="709">
        <v>0</v>
      </c>
      <c r="L25" s="709">
        <v>0</v>
      </c>
      <c r="M25" s="709">
        <v>0</v>
      </c>
      <c r="N25" s="709">
        <v>0</v>
      </c>
      <c r="O25" s="709">
        <v>0</v>
      </c>
      <c r="P25" s="709">
        <v>0</v>
      </c>
      <c r="Q25" s="709">
        <v>0</v>
      </c>
      <c r="R25" s="709">
        <v>0</v>
      </c>
      <c r="S25" s="709">
        <v>0</v>
      </c>
      <c r="T25" s="709">
        <v>0</v>
      </c>
      <c r="U25" s="709">
        <v>0</v>
      </c>
      <c r="V25" s="709">
        <v>0</v>
      </c>
      <c r="W25" s="709">
        <v>0</v>
      </c>
      <c r="X25" s="709">
        <v>0</v>
      </c>
      <c r="Y25" s="709">
        <v>0</v>
      </c>
      <c r="Z25" s="709">
        <v>0</v>
      </c>
      <c r="AA25" s="709">
        <v>0</v>
      </c>
      <c r="AB25" s="709">
        <v>0</v>
      </c>
      <c r="AC25" s="709">
        <v>0</v>
      </c>
      <c r="AD25" s="709">
        <v>0</v>
      </c>
      <c r="AE25" s="709">
        <v>0</v>
      </c>
      <c r="AF25" s="709">
        <v>0</v>
      </c>
      <c r="AG25" s="709">
        <v>0</v>
      </c>
      <c r="AH25" s="709">
        <v>0</v>
      </c>
      <c r="AI25" s="709">
        <v>0</v>
      </c>
      <c r="AJ25" s="709">
        <v>0</v>
      </c>
      <c r="AK25" s="709">
        <v>0</v>
      </c>
      <c r="AL25" s="709">
        <v>0</v>
      </c>
      <c r="AM25" s="709">
        <v>0</v>
      </c>
      <c r="AN25" s="709">
        <v>0</v>
      </c>
      <c r="AO25" s="709">
        <v>0</v>
      </c>
      <c r="AP25" s="709">
        <v>0</v>
      </c>
      <c r="AQ25" s="709">
        <v>0</v>
      </c>
      <c r="AR25" s="709">
        <v>0</v>
      </c>
      <c r="AS25" s="709">
        <v>0</v>
      </c>
      <c r="AT25" s="709">
        <v>0</v>
      </c>
      <c r="AU25" s="709">
        <v>0</v>
      </c>
      <c r="AV25" s="709">
        <v>0</v>
      </c>
      <c r="AW25" s="709">
        <v>0</v>
      </c>
      <c r="AX25" s="709">
        <v>0</v>
      </c>
    </row>
    <row r="26" spans="1:50" ht="13.2" outlineLevel="1" x14ac:dyDescent="0.2">
      <c r="B26" s="290" t="str">
        <f>CHIFFRAGE_TC!B27</f>
        <v>Estacion Puerto Santa Ana (Sur)</v>
      </c>
      <c r="C26" s="964" t="str">
        <f>CHIFFRAGE_TC!D27</f>
        <v>Infinida</v>
      </c>
      <c r="D26" s="725"/>
      <c r="E26" s="1000"/>
      <c r="F26" s="1001"/>
      <c r="G26" s="1001"/>
      <c r="H26" s="1002"/>
      <c r="I26" s="709">
        <v>0</v>
      </c>
      <c r="J26" s="709">
        <v>0</v>
      </c>
      <c r="K26" s="709">
        <v>0</v>
      </c>
      <c r="L26" s="709">
        <v>0</v>
      </c>
      <c r="M26" s="709">
        <v>0</v>
      </c>
      <c r="N26" s="709">
        <v>0</v>
      </c>
      <c r="O26" s="709">
        <v>0</v>
      </c>
      <c r="P26" s="709">
        <v>0</v>
      </c>
      <c r="Q26" s="709">
        <v>0</v>
      </c>
      <c r="R26" s="709">
        <v>0</v>
      </c>
      <c r="S26" s="709">
        <v>0</v>
      </c>
      <c r="T26" s="709">
        <v>0</v>
      </c>
      <c r="U26" s="709">
        <v>0</v>
      </c>
      <c r="V26" s="709">
        <v>0</v>
      </c>
      <c r="W26" s="709">
        <v>0</v>
      </c>
      <c r="X26" s="709">
        <v>0</v>
      </c>
      <c r="Y26" s="709">
        <v>0</v>
      </c>
      <c r="Z26" s="709">
        <v>0</v>
      </c>
      <c r="AA26" s="709">
        <v>0</v>
      </c>
      <c r="AB26" s="709">
        <v>0</v>
      </c>
      <c r="AC26" s="709">
        <v>0</v>
      </c>
      <c r="AD26" s="709">
        <v>0</v>
      </c>
      <c r="AE26" s="709">
        <v>0</v>
      </c>
      <c r="AF26" s="709">
        <v>0</v>
      </c>
      <c r="AG26" s="709">
        <v>0</v>
      </c>
      <c r="AH26" s="709">
        <v>0</v>
      </c>
      <c r="AI26" s="709">
        <v>0</v>
      </c>
      <c r="AJ26" s="709">
        <v>0</v>
      </c>
      <c r="AK26" s="709">
        <v>0</v>
      </c>
      <c r="AL26" s="709">
        <v>0</v>
      </c>
      <c r="AM26" s="709">
        <v>0</v>
      </c>
      <c r="AN26" s="709">
        <v>0</v>
      </c>
      <c r="AO26" s="709">
        <v>0</v>
      </c>
      <c r="AP26" s="709">
        <v>0</v>
      </c>
      <c r="AQ26" s="709">
        <v>0</v>
      </c>
      <c r="AR26" s="709">
        <v>0</v>
      </c>
      <c r="AS26" s="709">
        <v>0</v>
      </c>
      <c r="AT26" s="709">
        <v>0</v>
      </c>
      <c r="AU26" s="709">
        <v>0</v>
      </c>
      <c r="AV26" s="709">
        <v>0</v>
      </c>
      <c r="AW26" s="709">
        <v>0</v>
      </c>
      <c r="AX26" s="709">
        <v>0</v>
      </c>
    </row>
    <row r="27" spans="1:50" ht="13.2" outlineLevel="1" x14ac:dyDescent="0.2">
      <c r="B27" s="290" t="str">
        <f>CHIFFRAGE_TC!B28</f>
        <v>Estacion Malecon Centro Cultural</v>
      </c>
      <c r="C27" s="964" t="str">
        <f>CHIFFRAGE_TC!D28</f>
        <v>Infinida</v>
      </c>
      <c r="D27" s="725"/>
      <c r="E27" s="1000"/>
      <c r="F27" s="1001"/>
      <c r="G27" s="1001"/>
      <c r="H27" s="1002"/>
      <c r="I27" s="709">
        <v>0</v>
      </c>
      <c r="J27" s="709">
        <v>0</v>
      </c>
      <c r="K27" s="709">
        <v>0</v>
      </c>
      <c r="L27" s="709">
        <v>0</v>
      </c>
      <c r="M27" s="709">
        <v>0</v>
      </c>
      <c r="N27" s="709">
        <v>0</v>
      </c>
      <c r="O27" s="709">
        <v>0</v>
      </c>
      <c r="P27" s="709">
        <v>0</v>
      </c>
      <c r="Q27" s="709">
        <v>0</v>
      </c>
      <c r="R27" s="709">
        <v>0</v>
      </c>
      <c r="S27" s="709">
        <v>0</v>
      </c>
      <c r="T27" s="709">
        <v>0</v>
      </c>
      <c r="U27" s="709">
        <v>0</v>
      </c>
      <c r="V27" s="709">
        <v>0</v>
      </c>
      <c r="W27" s="709">
        <v>0</v>
      </c>
      <c r="X27" s="709">
        <v>0</v>
      </c>
      <c r="Y27" s="709">
        <v>0</v>
      </c>
      <c r="Z27" s="709">
        <v>0</v>
      </c>
      <c r="AA27" s="709">
        <v>0</v>
      </c>
      <c r="AB27" s="709">
        <v>0</v>
      </c>
      <c r="AC27" s="709">
        <v>0</v>
      </c>
      <c r="AD27" s="709">
        <v>0</v>
      </c>
      <c r="AE27" s="709">
        <v>0</v>
      </c>
      <c r="AF27" s="709">
        <v>0</v>
      </c>
      <c r="AG27" s="709">
        <v>0</v>
      </c>
      <c r="AH27" s="709">
        <v>0</v>
      </c>
      <c r="AI27" s="709">
        <v>0</v>
      </c>
      <c r="AJ27" s="709">
        <v>0</v>
      </c>
      <c r="AK27" s="709">
        <v>0</v>
      </c>
      <c r="AL27" s="709">
        <v>0</v>
      </c>
      <c r="AM27" s="709">
        <v>0</v>
      </c>
      <c r="AN27" s="709">
        <v>0</v>
      </c>
      <c r="AO27" s="709">
        <v>0</v>
      </c>
      <c r="AP27" s="709">
        <v>0</v>
      </c>
      <c r="AQ27" s="709">
        <v>0</v>
      </c>
      <c r="AR27" s="709">
        <v>0</v>
      </c>
      <c r="AS27" s="709">
        <v>0</v>
      </c>
      <c r="AT27" s="709">
        <v>0</v>
      </c>
      <c r="AU27" s="709">
        <v>0</v>
      </c>
      <c r="AV27" s="709">
        <v>0</v>
      </c>
      <c r="AW27" s="709">
        <v>0</v>
      </c>
      <c r="AX27" s="709">
        <v>0</v>
      </c>
    </row>
    <row r="28" spans="1:50" ht="13.2" outlineLevel="1" x14ac:dyDescent="0.2">
      <c r="B28" s="290" t="str">
        <f>CHIFFRAGE_TC!B29</f>
        <v>Estacion Cimentero (Tecnica)</v>
      </c>
      <c r="C28" s="964" t="str">
        <f>CHIFFRAGE_TC!D29</f>
        <v>Infinida</v>
      </c>
      <c r="D28" s="725"/>
      <c r="E28" s="1000"/>
      <c r="F28" s="1001"/>
      <c r="G28" s="1001"/>
      <c r="H28" s="1002"/>
      <c r="I28" s="709">
        <v>0</v>
      </c>
      <c r="J28" s="709">
        <v>0</v>
      </c>
      <c r="K28" s="709">
        <v>0</v>
      </c>
      <c r="L28" s="709">
        <v>0</v>
      </c>
      <c r="M28" s="709">
        <v>0</v>
      </c>
      <c r="N28" s="709">
        <v>0</v>
      </c>
      <c r="O28" s="709">
        <v>0</v>
      </c>
      <c r="P28" s="709">
        <v>0</v>
      </c>
      <c r="Q28" s="709">
        <v>0</v>
      </c>
      <c r="R28" s="709">
        <v>0</v>
      </c>
      <c r="S28" s="709">
        <v>0</v>
      </c>
      <c r="T28" s="709">
        <v>0</v>
      </c>
      <c r="U28" s="709">
        <v>0</v>
      </c>
      <c r="V28" s="709">
        <v>0</v>
      </c>
      <c r="W28" s="709">
        <v>0</v>
      </c>
      <c r="X28" s="709">
        <v>0</v>
      </c>
      <c r="Y28" s="709">
        <v>0</v>
      </c>
      <c r="Z28" s="709">
        <v>0</v>
      </c>
      <c r="AA28" s="709">
        <v>0</v>
      </c>
      <c r="AB28" s="709">
        <v>0</v>
      </c>
      <c r="AC28" s="709">
        <v>0</v>
      </c>
      <c r="AD28" s="709">
        <v>0</v>
      </c>
      <c r="AE28" s="709">
        <v>0</v>
      </c>
      <c r="AF28" s="709">
        <v>0</v>
      </c>
      <c r="AG28" s="709">
        <v>0</v>
      </c>
      <c r="AH28" s="709">
        <v>0</v>
      </c>
      <c r="AI28" s="709">
        <v>0</v>
      </c>
      <c r="AJ28" s="709">
        <v>0</v>
      </c>
      <c r="AK28" s="709">
        <v>0</v>
      </c>
      <c r="AL28" s="709">
        <v>0</v>
      </c>
      <c r="AM28" s="709">
        <v>0</v>
      </c>
      <c r="AN28" s="709">
        <v>0</v>
      </c>
      <c r="AO28" s="709">
        <v>0</v>
      </c>
      <c r="AP28" s="709">
        <v>0</v>
      </c>
      <c r="AQ28" s="709">
        <v>0</v>
      </c>
      <c r="AR28" s="709">
        <v>0</v>
      </c>
      <c r="AS28" s="709">
        <v>0</v>
      </c>
      <c r="AT28" s="709">
        <v>0</v>
      </c>
      <c r="AU28" s="709">
        <v>0</v>
      </c>
      <c r="AV28" s="709">
        <v>0</v>
      </c>
      <c r="AW28" s="709">
        <v>0</v>
      </c>
      <c r="AX28" s="709">
        <v>0</v>
      </c>
    </row>
    <row r="29" spans="1:50" ht="13.2" outlineLevel="1" x14ac:dyDescent="0.2">
      <c r="B29" s="290" t="str">
        <f>CHIFFRAGE_TC!B30</f>
        <v>Estacion Avenida Quito</v>
      </c>
      <c r="C29" s="964" t="str">
        <f>CHIFFRAGE_TC!D30</f>
        <v>Infinida</v>
      </c>
      <c r="D29" s="725"/>
      <c r="E29" s="1000"/>
      <c r="F29" s="1001"/>
      <c r="G29" s="1001"/>
      <c r="H29" s="1002"/>
      <c r="I29" s="709">
        <v>0</v>
      </c>
      <c r="J29" s="709">
        <v>0</v>
      </c>
      <c r="K29" s="709">
        <v>0</v>
      </c>
      <c r="L29" s="709">
        <v>0</v>
      </c>
      <c r="M29" s="709">
        <v>0</v>
      </c>
      <c r="N29" s="709">
        <v>0</v>
      </c>
      <c r="O29" s="709">
        <v>0</v>
      </c>
      <c r="P29" s="709">
        <v>0</v>
      </c>
      <c r="Q29" s="709">
        <v>0</v>
      </c>
      <c r="R29" s="709">
        <v>0</v>
      </c>
      <c r="S29" s="709">
        <v>0</v>
      </c>
      <c r="T29" s="709">
        <v>0</v>
      </c>
      <c r="U29" s="709">
        <v>0</v>
      </c>
      <c r="V29" s="709">
        <v>0</v>
      </c>
      <c r="W29" s="709">
        <v>0</v>
      </c>
      <c r="X29" s="709">
        <v>0</v>
      </c>
      <c r="Y29" s="709">
        <v>0</v>
      </c>
      <c r="Z29" s="709">
        <v>0</v>
      </c>
      <c r="AA29" s="709">
        <v>0</v>
      </c>
      <c r="AB29" s="709">
        <v>0</v>
      </c>
      <c r="AC29" s="709">
        <v>0</v>
      </c>
      <c r="AD29" s="709">
        <v>0</v>
      </c>
      <c r="AE29" s="709">
        <v>0</v>
      </c>
      <c r="AF29" s="709">
        <v>0</v>
      </c>
      <c r="AG29" s="709">
        <v>0</v>
      </c>
      <c r="AH29" s="709">
        <v>0</v>
      </c>
      <c r="AI29" s="709">
        <v>0</v>
      </c>
      <c r="AJ29" s="709">
        <v>0</v>
      </c>
      <c r="AK29" s="709">
        <v>0</v>
      </c>
      <c r="AL29" s="709">
        <v>0</v>
      </c>
      <c r="AM29" s="709">
        <v>0</v>
      </c>
      <c r="AN29" s="709">
        <v>0</v>
      </c>
      <c r="AO29" s="709">
        <v>0</v>
      </c>
      <c r="AP29" s="709">
        <v>0</v>
      </c>
      <c r="AQ29" s="709">
        <v>0</v>
      </c>
      <c r="AR29" s="709">
        <v>0</v>
      </c>
      <c r="AS29" s="709">
        <v>0</v>
      </c>
      <c r="AT29" s="709">
        <v>0</v>
      </c>
      <c r="AU29" s="709">
        <v>0</v>
      </c>
      <c r="AV29" s="709">
        <v>0</v>
      </c>
      <c r="AW29" s="709">
        <v>0</v>
      </c>
      <c r="AX29" s="709">
        <v>0</v>
      </c>
    </row>
    <row r="30" spans="1:50" ht="13.2" outlineLevel="1" x14ac:dyDescent="0.2">
      <c r="B30" s="290" t="str">
        <f>CHIFFRAGE_TC!B31</f>
        <v>Estacion Centenario (Terminal)</v>
      </c>
      <c r="C30" s="964" t="str">
        <f>CHIFFRAGE_TC!D31</f>
        <v>Infinida</v>
      </c>
      <c r="D30" s="725"/>
      <c r="E30" s="1000"/>
      <c r="F30" s="1001"/>
      <c r="G30" s="1001"/>
      <c r="H30" s="1002"/>
      <c r="I30" s="709">
        <v>0</v>
      </c>
      <c r="J30" s="709">
        <v>0</v>
      </c>
      <c r="K30" s="709">
        <v>0</v>
      </c>
      <c r="L30" s="709">
        <v>0</v>
      </c>
      <c r="M30" s="709">
        <v>0</v>
      </c>
      <c r="N30" s="709">
        <v>0</v>
      </c>
      <c r="O30" s="709">
        <v>0</v>
      </c>
      <c r="P30" s="709">
        <v>0</v>
      </c>
      <c r="Q30" s="709">
        <v>0</v>
      </c>
      <c r="R30" s="709">
        <v>0</v>
      </c>
      <c r="S30" s="709">
        <v>0</v>
      </c>
      <c r="T30" s="709">
        <v>0</v>
      </c>
      <c r="U30" s="709">
        <v>0</v>
      </c>
      <c r="V30" s="709">
        <v>0</v>
      </c>
      <c r="W30" s="709">
        <v>0</v>
      </c>
      <c r="X30" s="709">
        <v>0</v>
      </c>
      <c r="Y30" s="709">
        <v>0</v>
      </c>
      <c r="Z30" s="709">
        <v>0</v>
      </c>
      <c r="AA30" s="709">
        <v>0</v>
      </c>
      <c r="AB30" s="709">
        <v>0</v>
      </c>
      <c r="AC30" s="709">
        <v>0</v>
      </c>
      <c r="AD30" s="709">
        <v>0</v>
      </c>
      <c r="AE30" s="709">
        <v>0</v>
      </c>
      <c r="AF30" s="709">
        <v>0</v>
      </c>
      <c r="AG30" s="709">
        <v>0</v>
      </c>
      <c r="AH30" s="709">
        <v>0</v>
      </c>
      <c r="AI30" s="709">
        <v>0</v>
      </c>
      <c r="AJ30" s="709">
        <v>0</v>
      </c>
      <c r="AK30" s="709">
        <v>0</v>
      </c>
      <c r="AL30" s="709">
        <v>0</v>
      </c>
      <c r="AM30" s="709">
        <v>0</v>
      </c>
      <c r="AN30" s="709">
        <v>0</v>
      </c>
      <c r="AO30" s="709">
        <v>0</v>
      </c>
      <c r="AP30" s="709">
        <v>0</v>
      </c>
      <c r="AQ30" s="709">
        <v>0</v>
      </c>
      <c r="AR30" s="709">
        <v>0</v>
      </c>
      <c r="AS30" s="709">
        <v>0</v>
      </c>
      <c r="AT30" s="709">
        <v>0</v>
      </c>
      <c r="AU30" s="709">
        <v>0</v>
      </c>
      <c r="AV30" s="709">
        <v>0</v>
      </c>
      <c r="AW30" s="709">
        <v>0</v>
      </c>
      <c r="AX30" s="709">
        <v>0</v>
      </c>
    </row>
    <row r="31" spans="1:50" ht="13.8" thickBot="1" x14ac:dyDescent="0.25">
      <c r="B31" s="290"/>
      <c r="C31" s="964"/>
      <c r="D31" s="725"/>
      <c r="E31" s="208"/>
      <c r="F31" s="17"/>
      <c r="G31" s="17"/>
      <c r="H31" s="204"/>
      <c r="I31" s="69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</row>
    <row r="32" spans="1:50" ht="16.2" thickBot="1" x14ac:dyDescent="0.25">
      <c r="B32" s="288" t="str">
        <f>CHIFFRAGE_TC!B33</f>
        <v>Decontaminacion y proteccion</v>
      </c>
      <c r="C32" s="964"/>
      <c r="D32" s="725">
        <f>CHIFFRAGE_TC!K33</f>
        <v>0.25</v>
      </c>
      <c r="E32" s="209">
        <f>SUM(E33:E35)</f>
        <v>0</v>
      </c>
      <c r="F32" s="196">
        <f>SUM(F33:F35)</f>
        <v>1044207.8897851558</v>
      </c>
      <c r="G32" s="196">
        <f>SUM(G33:G35)</f>
        <v>949051.15766015579</v>
      </c>
      <c r="H32" s="197">
        <f>SUM(H33:H35)</f>
        <v>1898102.3153203116</v>
      </c>
      <c r="I32" s="698">
        <f t="shared" ref="I32:AX32" si="2">SUM(I33:I35)</f>
        <v>0</v>
      </c>
      <c r="J32" s="699">
        <f t="shared" si="2"/>
        <v>0</v>
      </c>
      <c r="K32" s="699">
        <f t="shared" si="2"/>
        <v>0</v>
      </c>
      <c r="L32" s="699">
        <f t="shared" si="2"/>
        <v>0</v>
      </c>
      <c r="M32" s="699">
        <f t="shared" si="2"/>
        <v>0</v>
      </c>
      <c r="N32" s="699">
        <f t="shared" si="2"/>
        <v>0</v>
      </c>
      <c r="O32" s="699">
        <f t="shared" si="2"/>
        <v>0</v>
      </c>
      <c r="P32" s="699">
        <f t="shared" si="2"/>
        <v>0</v>
      </c>
      <c r="Q32" s="699">
        <f t="shared" si="2"/>
        <v>0</v>
      </c>
      <c r="R32" s="699">
        <f t="shared" si="2"/>
        <v>0</v>
      </c>
      <c r="S32" s="699">
        <f t="shared" si="2"/>
        <v>0</v>
      </c>
      <c r="T32" s="699">
        <f t="shared" si="2"/>
        <v>0</v>
      </c>
      <c r="U32" s="699">
        <f t="shared" si="2"/>
        <v>0</v>
      </c>
      <c r="V32" s="699">
        <f t="shared" si="2"/>
        <v>0</v>
      </c>
      <c r="W32" s="699">
        <f t="shared" si="2"/>
        <v>0</v>
      </c>
      <c r="X32" s="699">
        <f t="shared" si="2"/>
        <v>0</v>
      </c>
      <c r="Y32" s="699">
        <f t="shared" si="2"/>
        <v>0</v>
      </c>
      <c r="Z32" s="699">
        <f t="shared" si="2"/>
        <v>0</v>
      </c>
      <c r="AA32" s="699">
        <f t="shared" si="2"/>
        <v>0</v>
      </c>
      <c r="AB32" s="699">
        <f t="shared" si="2"/>
        <v>0</v>
      </c>
      <c r="AC32" s="699">
        <f t="shared" si="2"/>
        <v>0</v>
      </c>
      <c r="AD32" s="699">
        <f t="shared" si="2"/>
        <v>0</v>
      </c>
      <c r="AE32" s="699">
        <f t="shared" si="2"/>
        <v>0</v>
      </c>
      <c r="AF32" s="699">
        <f t="shared" si="2"/>
        <v>0</v>
      </c>
      <c r="AG32" s="699">
        <f t="shared" si="2"/>
        <v>0</v>
      </c>
      <c r="AH32" s="699">
        <f t="shared" si="2"/>
        <v>0</v>
      </c>
      <c r="AI32" s="699">
        <f t="shared" si="2"/>
        <v>0</v>
      </c>
      <c r="AJ32" s="699">
        <f t="shared" si="2"/>
        <v>0</v>
      </c>
      <c r="AK32" s="699">
        <f t="shared" si="2"/>
        <v>0</v>
      </c>
      <c r="AL32" s="699">
        <f t="shared" si="2"/>
        <v>0</v>
      </c>
      <c r="AM32" s="699">
        <f t="shared" si="2"/>
        <v>0</v>
      </c>
      <c r="AN32" s="700">
        <f t="shared" si="2"/>
        <v>0</v>
      </c>
      <c r="AO32" s="700">
        <f t="shared" si="2"/>
        <v>0</v>
      </c>
      <c r="AP32" s="700">
        <f t="shared" si="2"/>
        <v>0</v>
      </c>
      <c r="AQ32" s="700">
        <f t="shared" si="2"/>
        <v>0</v>
      </c>
      <c r="AR32" s="700">
        <f t="shared" si="2"/>
        <v>0</v>
      </c>
      <c r="AS32" s="700">
        <f t="shared" si="2"/>
        <v>0</v>
      </c>
      <c r="AT32" s="700">
        <f t="shared" si="2"/>
        <v>0</v>
      </c>
      <c r="AU32" s="700">
        <f t="shared" si="2"/>
        <v>0</v>
      </c>
      <c r="AV32" s="700">
        <f t="shared" si="2"/>
        <v>0</v>
      </c>
      <c r="AW32" s="700">
        <f t="shared" si="2"/>
        <v>0</v>
      </c>
      <c r="AX32" s="700">
        <f t="shared" si="2"/>
        <v>0</v>
      </c>
    </row>
    <row r="33" spans="2:50" ht="13.2" outlineLevel="1" x14ac:dyDescent="0.2">
      <c r="B33" s="290" t="str">
        <f>CHIFFRAGE_TC!B34</f>
        <v>Proteccion contra incendios (techos)</v>
      </c>
      <c r="C33" s="964">
        <f>CHIFFRAGE_TC!D34</f>
        <v>40</v>
      </c>
      <c r="D33" s="725"/>
      <c r="E33" s="208">
        <f>CHIFFRAGE_TC!$M34*CHIFFRAGE_TC!$T34</f>
        <v>0</v>
      </c>
      <c r="F33" s="17">
        <f>CHIFFRAGE_TC!$M34*CHIFFRAGE_TC!$U34</f>
        <v>444674.72896874975</v>
      </c>
      <c r="G33" s="17">
        <f>CHIFFRAGE_TC!$M34*CHIFFRAGE_TC!$V34</f>
        <v>444674.72896874975</v>
      </c>
      <c r="H33" s="204">
        <f>CHIFFRAGE_TC!$M34*CHIFFRAGE_TC!$W34</f>
        <v>889349.45793749951</v>
      </c>
      <c r="I33" s="709">
        <v>0</v>
      </c>
      <c r="J33" s="709">
        <v>0</v>
      </c>
      <c r="K33" s="709">
        <v>0</v>
      </c>
      <c r="L33" s="709">
        <v>0</v>
      </c>
      <c r="M33" s="709">
        <v>0</v>
      </c>
      <c r="N33" s="709">
        <v>0</v>
      </c>
      <c r="O33" s="709">
        <v>0</v>
      </c>
      <c r="P33" s="709">
        <v>0</v>
      </c>
      <c r="Q33" s="709">
        <v>0</v>
      </c>
      <c r="R33" s="709">
        <v>0</v>
      </c>
      <c r="S33" s="709">
        <v>0</v>
      </c>
      <c r="T33" s="709">
        <v>0</v>
      </c>
      <c r="U33" s="709">
        <v>0</v>
      </c>
      <c r="V33" s="709">
        <v>0</v>
      </c>
      <c r="W33" s="709">
        <v>0</v>
      </c>
      <c r="X33" s="709">
        <v>0</v>
      </c>
      <c r="Y33" s="709">
        <v>0</v>
      </c>
      <c r="Z33" s="709">
        <v>0</v>
      </c>
      <c r="AA33" s="709">
        <v>0</v>
      </c>
      <c r="AB33" s="709">
        <v>0</v>
      </c>
      <c r="AC33" s="709">
        <v>0</v>
      </c>
      <c r="AD33" s="709">
        <v>0</v>
      </c>
      <c r="AE33" s="709">
        <v>0</v>
      </c>
      <c r="AF33" s="709">
        <v>0</v>
      </c>
      <c r="AG33" s="709">
        <v>0</v>
      </c>
      <c r="AH33" s="709">
        <v>0</v>
      </c>
      <c r="AI33" s="709">
        <v>0</v>
      </c>
      <c r="AJ33" s="709">
        <v>0</v>
      </c>
      <c r="AK33" s="709">
        <v>0</v>
      </c>
      <c r="AL33" s="709">
        <v>0</v>
      </c>
      <c r="AM33" s="709">
        <v>0</v>
      </c>
      <c r="AN33" s="709">
        <v>0</v>
      </c>
      <c r="AO33" s="709">
        <v>0</v>
      </c>
      <c r="AP33" s="709">
        <v>0</v>
      </c>
      <c r="AQ33" s="709">
        <v>0</v>
      </c>
      <c r="AR33" s="709">
        <v>0</v>
      </c>
      <c r="AS33" s="709">
        <v>0</v>
      </c>
      <c r="AT33" s="709">
        <v>0</v>
      </c>
      <c r="AU33" s="709">
        <v>0</v>
      </c>
      <c r="AV33" s="709">
        <v>0</v>
      </c>
      <c r="AW33" s="709">
        <v>0</v>
      </c>
      <c r="AX33" s="709">
        <v>0</v>
      </c>
    </row>
    <row r="34" spans="2:50" ht="13.2" outlineLevel="1" x14ac:dyDescent="0.2">
      <c r="B34" s="290" t="str">
        <f>CHIFFRAGE_TC!B35</f>
        <v>Proteccion contra incendios (fachadas)</v>
      </c>
      <c r="C34" s="964">
        <f>CHIFFRAGE_TC!D35</f>
        <v>40</v>
      </c>
      <c r="D34" s="725"/>
      <c r="E34" s="208">
        <f>CHIFFRAGE_TC!$M35*CHIFFRAGE_TC!$T35</f>
        <v>0</v>
      </c>
      <c r="F34" s="17">
        <f>CHIFFRAGE_TC!$M35*CHIFFRAGE_TC!$U35</f>
        <v>504376.42869140598</v>
      </c>
      <c r="G34" s="17">
        <f>CHIFFRAGE_TC!$M35*CHIFFRAGE_TC!$V35</f>
        <v>504376.42869140598</v>
      </c>
      <c r="H34" s="204">
        <f>CHIFFRAGE_TC!$M35*CHIFFRAGE_TC!$W35</f>
        <v>1008752.857382812</v>
      </c>
      <c r="I34" s="709">
        <v>0</v>
      </c>
      <c r="J34" s="709">
        <v>0</v>
      </c>
      <c r="K34" s="709">
        <v>0</v>
      </c>
      <c r="L34" s="709">
        <v>0</v>
      </c>
      <c r="M34" s="709">
        <v>0</v>
      </c>
      <c r="N34" s="709">
        <v>0</v>
      </c>
      <c r="O34" s="709">
        <v>0</v>
      </c>
      <c r="P34" s="709">
        <v>0</v>
      </c>
      <c r="Q34" s="709">
        <v>0</v>
      </c>
      <c r="R34" s="709">
        <v>0</v>
      </c>
      <c r="S34" s="709">
        <v>0</v>
      </c>
      <c r="T34" s="709">
        <v>0</v>
      </c>
      <c r="U34" s="709">
        <v>0</v>
      </c>
      <c r="V34" s="709">
        <v>0</v>
      </c>
      <c r="W34" s="709">
        <v>0</v>
      </c>
      <c r="X34" s="709">
        <v>0</v>
      </c>
      <c r="Y34" s="709">
        <v>0</v>
      </c>
      <c r="Z34" s="709">
        <v>0</v>
      </c>
      <c r="AA34" s="709">
        <v>0</v>
      </c>
      <c r="AB34" s="709">
        <v>0</v>
      </c>
      <c r="AC34" s="709">
        <v>0</v>
      </c>
      <c r="AD34" s="709">
        <v>0</v>
      </c>
      <c r="AE34" s="709">
        <v>0</v>
      </c>
      <c r="AF34" s="709">
        <v>0</v>
      </c>
      <c r="AG34" s="709">
        <v>0</v>
      </c>
      <c r="AH34" s="709">
        <v>0</v>
      </c>
      <c r="AI34" s="709">
        <v>0</v>
      </c>
      <c r="AJ34" s="709">
        <v>0</v>
      </c>
      <c r="AK34" s="709">
        <v>0</v>
      </c>
      <c r="AL34" s="709">
        <v>0</v>
      </c>
      <c r="AM34" s="709">
        <v>0</v>
      </c>
      <c r="AN34" s="709">
        <v>0</v>
      </c>
      <c r="AO34" s="709">
        <v>0</v>
      </c>
      <c r="AP34" s="709">
        <v>0</v>
      </c>
      <c r="AQ34" s="709">
        <v>0</v>
      </c>
      <c r="AR34" s="709">
        <v>0</v>
      </c>
      <c r="AS34" s="709">
        <v>0</v>
      </c>
      <c r="AT34" s="709">
        <v>0</v>
      </c>
      <c r="AU34" s="709">
        <v>0</v>
      </c>
      <c r="AV34" s="709">
        <v>0</v>
      </c>
      <c r="AW34" s="709">
        <v>0</v>
      </c>
      <c r="AX34" s="709">
        <v>0</v>
      </c>
    </row>
    <row r="35" spans="2:50" ht="13.2" outlineLevel="1" x14ac:dyDescent="0.2">
      <c r="B35" s="289" t="str">
        <f>CHIFFRAGE_TC!B36</f>
        <v>Decontaminacion de suelo</v>
      </c>
      <c r="C35" s="964" t="str">
        <f>CHIFFRAGE_TC!D36</f>
        <v>Infinida</v>
      </c>
      <c r="D35" s="725"/>
      <c r="E35" s="208">
        <f>CHIFFRAGE_TC!$M36*CHIFFRAGE_TC!$T36</f>
        <v>0</v>
      </c>
      <c r="F35" s="17">
        <f>CHIFFRAGE_TC!$M36*CHIFFRAGE_TC!$U36</f>
        <v>95156.732124999966</v>
      </c>
      <c r="G35" s="17">
        <f>CHIFFRAGE_TC!$M36*CHIFFRAGE_TC!$V36</f>
        <v>0</v>
      </c>
      <c r="H35" s="204">
        <f>CHIFFRAGE_TC!$M36*CHIFFRAGE_TC!$W36</f>
        <v>0</v>
      </c>
      <c r="I35" s="709">
        <v>0</v>
      </c>
      <c r="J35" s="709">
        <v>0</v>
      </c>
      <c r="K35" s="709">
        <v>0</v>
      </c>
      <c r="L35" s="709">
        <v>0</v>
      </c>
      <c r="M35" s="709">
        <v>0</v>
      </c>
      <c r="N35" s="709">
        <v>0</v>
      </c>
      <c r="O35" s="709">
        <v>0</v>
      </c>
      <c r="P35" s="709">
        <v>0</v>
      </c>
      <c r="Q35" s="709">
        <v>0</v>
      </c>
      <c r="R35" s="709">
        <v>0</v>
      </c>
      <c r="S35" s="709">
        <v>0</v>
      </c>
      <c r="T35" s="709">
        <v>0</v>
      </c>
      <c r="U35" s="709">
        <v>0</v>
      </c>
      <c r="V35" s="709">
        <v>0</v>
      </c>
      <c r="W35" s="709">
        <v>0</v>
      </c>
      <c r="X35" s="709">
        <v>0</v>
      </c>
      <c r="Y35" s="709">
        <v>0</v>
      </c>
      <c r="Z35" s="709">
        <v>0</v>
      </c>
      <c r="AA35" s="709">
        <v>0</v>
      </c>
      <c r="AB35" s="709">
        <v>0</v>
      </c>
      <c r="AC35" s="709">
        <v>0</v>
      </c>
      <c r="AD35" s="709">
        <v>0</v>
      </c>
      <c r="AE35" s="709">
        <v>0</v>
      </c>
      <c r="AF35" s="709">
        <v>0</v>
      </c>
      <c r="AG35" s="709">
        <v>0</v>
      </c>
      <c r="AH35" s="709">
        <v>0</v>
      </c>
      <c r="AI35" s="709">
        <v>0</v>
      </c>
      <c r="AJ35" s="709">
        <v>0</v>
      </c>
      <c r="AK35" s="709">
        <v>0</v>
      </c>
      <c r="AL35" s="709">
        <v>0</v>
      </c>
      <c r="AM35" s="709">
        <v>0</v>
      </c>
      <c r="AN35" s="709">
        <v>0</v>
      </c>
      <c r="AO35" s="709">
        <v>0</v>
      </c>
      <c r="AP35" s="709">
        <v>0</v>
      </c>
      <c r="AQ35" s="709">
        <v>0</v>
      </c>
      <c r="AR35" s="709">
        <v>0</v>
      </c>
      <c r="AS35" s="709">
        <v>0</v>
      </c>
      <c r="AT35" s="709">
        <v>0</v>
      </c>
      <c r="AU35" s="709">
        <v>0</v>
      </c>
      <c r="AV35" s="709">
        <v>0</v>
      </c>
      <c r="AW35" s="709">
        <v>0</v>
      </c>
      <c r="AX35" s="709">
        <v>0</v>
      </c>
    </row>
    <row r="36" spans="2:50" ht="13.8" thickBot="1" x14ac:dyDescent="0.25">
      <c r="B36" s="290"/>
      <c r="C36" s="964"/>
      <c r="D36" s="725"/>
      <c r="E36" s="208"/>
      <c r="F36" s="17"/>
      <c r="G36" s="17"/>
      <c r="H36" s="204"/>
      <c r="I36" s="69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</row>
    <row r="37" spans="2:50" ht="16.2" thickBot="1" x14ac:dyDescent="0.25">
      <c r="B37" s="288" t="str">
        <f>CHIFFRAGE_TC!B38</f>
        <v>Infraestructura y estructuras de lineas</v>
      </c>
      <c r="C37" s="964"/>
      <c r="D37" s="725">
        <f>CHIFFRAGE_TC!K38</f>
        <v>0.25</v>
      </c>
      <c r="E37" s="209">
        <f>SUM(E38:E42)</f>
        <v>0</v>
      </c>
      <c r="F37" s="196">
        <f t="shared" ref="F37:AX37" si="3">SUM(F38:F42)</f>
        <v>1892261.1569586764</v>
      </c>
      <c r="G37" s="196">
        <f t="shared" si="3"/>
        <v>5676783.4708760297</v>
      </c>
      <c r="H37" s="197">
        <f t="shared" si="3"/>
        <v>1892261.1569586764</v>
      </c>
      <c r="I37" s="698">
        <f t="shared" si="3"/>
        <v>0</v>
      </c>
      <c r="J37" s="699">
        <f t="shared" si="3"/>
        <v>0</v>
      </c>
      <c r="K37" s="699">
        <f t="shared" si="3"/>
        <v>0</v>
      </c>
      <c r="L37" s="699">
        <f t="shared" si="3"/>
        <v>0</v>
      </c>
      <c r="M37" s="699">
        <f t="shared" si="3"/>
        <v>0</v>
      </c>
      <c r="N37" s="699">
        <f t="shared" si="3"/>
        <v>0</v>
      </c>
      <c r="O37" s="699">
        <f t="shared" si="3"/>
        <v>0</v>
      </c>
      <c r="P37" s="699">
        <f t="shared" si="3"/>
        <v>0</v>
      </c>
      <c r="Q37" s="699">
        <f t="shared" si="3"/>
        <v>0</v>
      </c>
      <c r="R37" s="699">
        <f t="shared" si="3"/>
        <v>0</v>
      </c>
      <c r="S37" s="699">
        <f t="shared" si="3"/>
        <v>0</v>
      </c>
      <c r="T37" s="699">
        <f t="shared" si="3"/>
        <v>0</v>
      </c>
      <c r="U37" s="699">
        <f t="shared" si="3"/>
        <v>0</v>
      </c>
      <c r="V37" s="699">
        <f t="shared" si="3"/>
        <v>0</v>
      </c>
      <c r="W37" s="699">
        <f t="shared" si="3"/>
        <v>0</v>
      </c>
      <c r="X37" s="699">
        <f t="shared" si="3"/>
        <v>0</v>
      </c>
      <c r="Y37" s="699">
        <f t="shared" si="3"/>
        <v>0</v>
      </c>
      <c r="Z37" s="699">
        <f t="shared" si="3"/>
        <v>0</v>
      </c>
      <c r="AA37" s="699">
        <f t="shared" si="3"/>
        <v>0</v>
      </c>
      <c r="AB37" s="699">
        <f t="shared" si="3"/>
        <v>0</v>
      </c>
      <c r="AC37" s="699">
        <f t="shared" si="3"/>
        <v>0</v>
      </c>
      <c r="AD37" s="699">
        <f t="shared" si="3"/>
        <v>0</v>
      </c>
      <c r="AE37" s="699">
        <f t="shared" si="3"/>
        <v>0</v>
      </c>
      <c r="AF37" s="699">
        <f t="shared" si="3"/>
        <v>0</v>
      </c>
      <c r="AG37" s="699">
        <f t="shared" si="3"/>
        <v>0</v>
      </c>
      <c r="AH37" s="699">
        <f t="shared" si="3"/>
        <v>0</v>
      </c>
      <c r="AI37" s="699">
        <f t="shared" si="3"/>
        <v>0</v>
      </c>
      <c r="AJ37" s="699">
        <f t="shared" si="3"/>
        <v>0</v>
      </c>
      <c r="AK37" s="699">
        <f t="shared" si="3"/>
        <v>0</v>
      </c>
      <c r="AL37" s="699">
        <f t="shared" si="3"/>
        <v>0</v>
      </c>
      <c r="AM37" s="699">
        <f t="shared" si="3"/>
        <v>0</v>
      </c>
      <c r="AN37" s="700">
        <f t="shared" si="3"/>
        <v>0</v>
      </c>
      <c r="AO37" s="700">
        <f t="shared" si="3"/>
        <v>0</v>
      </c>
      <c r="AP37" s="700">
        <f t="shared" si="3"/>
        <v>0</v>
      </c>
      <c r="AQ37" s="700">
        <f t="shared" si="3"/>
        <v>0</v>
      </c>
      <c r="AR37" s="700">
        <f t="shared" si="3"/>
        <v>0</v>
      </c>
      <c r="AS37" s="700">
        <f t="shared" si="3"/>
        <v>0</v>
      </c>
      <c r="AT37" s="700">
        <f t="shared" si="3"/>
        <v>0</v>
      </c>
      <c r="AU37" s="700">
        <f t="shared" si="3"/>
        <v>0</v>
      </c>
      <c r="AV37" s="700">
        <f t="shared" si="3"/>
        <v>0</v>
      </c>
      <c r="AW37" s="700">
        <f t="shared" si="3"/>
        <v>0</v>
      </c>
      <c r="AX37" s="700">
        <f t="shared" si="3"/>
        <v>0</v>
      </c>
    </row>
    <row r="38" spans="2:50" ht="13.2" outlineLevel="2" x14ac:dyDescent="0.2">
      <c r="B38" s="290" t="str">
        <f>CHIFFRAGE_TC!B39</f>
        <v>Cables de soportes</v>
      </c>
      <c r="C38" s="964">
        <f>CHIFFRAGE_TC!D39</f>
        <v>10</v>
      </c>
      <c r="D38" s="725"/>
      <c r="E38" s="208">
        <f>CHIFFRAGE_TC!$M39*CHIFFRAGE_TC!$T39</f>
        <v>0</v>
      </c>
      <c r="F38" s="17">
        <f>CHIFFRAGE_TC!$M39*CHIFFRAGE_TC!$U39</f>
        <v>0</v>
      </c>
      <c r="G38" s="17">
        <f>CHIFFRAGE_TC!$M39*CHIFFRAGE_TC!$V39</f>
        <v>0</v>
      </c>
      <c r="H38" s="204">
        <f>CHIFFRAGE_TC!$M39*CHIFFRAGE_TC!$W39</f>
        <v>0</v>
      </c>
      <c r="I38" s="709">
        <v>0</v>
      </c>
      <c r="J38" s="709">
        <v>0</v>
      </c>
      <c r="K38" s="709">
        <v>0</v>
      </c>
      <c r="L38" s="709">
        <v>0</v>
      </c>
      <c r="M38" s="709">
        <v>0</v>
      </c>
      <c r="N38" s="709">
        <v>0</v>
      </c>
      <c r="O38" s="709">
        <v>0</v>
      </c>
      <c r="P38" s="709">
        <v>0</v>
      </c>
      <c r="Q38" s="709">
        <v>0</v>
      </c>
      <c r="R38" s="709">
        <v>0</v>
      </c>
      <c r="S38" s="709">
        <v>0</v>
      </c>
      <c r="T38" s="709">
        <v>0</v>
      </c>
      <c r="U38" s="709">
        <v>0</v>
      </c>
      <c r="V38" s="709">
        <v>0</v>
      </c>
      <c r="W38" s="709">
        <v>0</v>
      </c>
      <c r="X38" s="709">
        <v>0</v>
      </c>
      <c r="Y38" s="709">
        <v>0</v>
      </c>
      <c r="Z38" s="709">
        <v>0</v>
      </c>
      <c r="AA38" s="709">
        <v>0</v>
      </c>
      <c r="AB38" s="709">
        <v>0</v>
      </c>
      <c r="AC38" s="709">
        <v>0</v>
      </c>
      <c r="AD38" s="709">
        <v>0</v>
      </c>
      <c r="AE38" s="709">
        <v>0</v>
      </c>
      <c r="AF38" s="709">
        <v>0</v>
      </c>
      <c r="AG38" s="709">
        <v>0</v>
      </c>
      <c r="AH38" s="709">
        <v>0</v>
      </c>
      <c r="AI38" s="709">
        <v>0</v>
      </c>
      <c r="AJ38" s="709">
        <v>0</v>
      </c>
      <c r="AK38" s="709">
        <v>0</v>
      </c>
      <c r="AL38" s="709">
        <v>0</v>
      </c>
      <c r="AM38" s="709">
        <v>0</v>
      </c>
      <c r="AN38" s="709">
        <v>0</v>
      </c>
      <c r="AO38" s="709">
        <v>0</v>
      </c>
      <c r="AP38" s="709">
        <v>0</v>
      </c>
      <c r="AQ38" s="709">
        <v>0</v>
      </c>
      <c r="AR38" s="709">
        <v>0</v>
      </c>
      <c r="AS38" s="709">
        <v>0</v>
      </c>
      <c r="AT38" s="709">
        <v>0</v>
      </c>
      <c r="AU38" s="709">
        <v>0</v>
      </c>
      <c r="AV38" s="709">
        <v>0</v>
      </c>
      <c r="AW38" s="709">
        <v>0</v>
      </c>
      <c r="AX38" s="709">
        <v>0</v>
      </c>
    </row>
    <row r="39" spans="2:50" ht="13.2" outlineLevel="2" x14ac:dyDescent="0.2">
      <c r="B39" s="290" t="str">
        <f>CHIFFRAGE_TC!B40</f>
        <v>Cable de traccion</v>
      </c>
      <c r="C39" s="964">
        <f>CHIFFRAGE_TC!D40</f>
        <v>5</v>
      </c>
      <c r="D39" s="725"/>
      <c r="E39" s="208">
        <f>CHIFFRAGE_TC!$M40*CHIFFRAGE_TC!$T40</f>
        <v>0</v>
      </c>
      <c r="F39" s="17">
        <f>CHIFFRAGE_TC!$M40*CHIFFRAGE_TC!$U40</f>
        <v>136259.28729996798</v>
      </c>
      <c r="G39" s="17">
        <f>CHIFFRAGE_TC!$M40*CHIFFRAGE_TC!$V40</f>
        <v>408777.86189990392</v>
      </c>
      <c r="H39" s="204">
        <f>CHIFFRAGE_TC!$M40*CHIFFRAGE_TC!$W40</f>
        <v>136259.28729996798</v>
      </c>
      <c r="I39" s="709">
        <v>0</v>
      </c>
      <c r="J39" s="709">
        <v>0</v>
      </c>
      <c r="K39" s="709">
        <v>0</v>
      </c>
      <c r="L39" s="709">
        <v>0</v>
      </c>
      <c r="M39" s="709">
        <v>0</v>
      </c>
      <c r="N39" s="709">
        <v>0</v>
      </c>
      <c r="O39" s="709">
        <v>0</v>
      </c>
      <c r="P39" s="709">
        <v>0</v>
      </c>
      <c r="Q39" s="709">
        <v>0</v>
      </c>
      <c r="R39" s="709">
        <v>0</v>
      </c>
      <c r="S39" s="709">
        <v>0</v>
      </c>
      <c r="T39" s="709">
        <v>0</v>
      </c>
      <c r="U39" s="709">
        <v>0</v>
      </c>
      <c r="V39" s="709">
        <v>0</v>
      </c>
      <c r="W39" s="709">
        <v>0</v>
      </c>
      <c r="X39" s="709">
        <v>0</v>
      </c>
      <c r="Y39" s="709">
        <v>0</v>
      </c>
      <c r="Z39" s="709">
        <v>0</v>
      </c>
      <c r="AA39" s="709">
        <v>0</v>
      </c>
      <c r="AB39" s="709">
        <v>0</v>
      </c>
      <c r="AC39" s="709">
        <v>0</v>
      </c>
      <c r="AD39" s="709">
        <v>0</v>
      </c>
      <c r="AE39" s="709">
        <v>0</v>
      </c>
      <c r="AF39" s="709">
        <v>0</v>
      </c>
      <c r="AG39" s="709">
        <v>0</v>
      </c>
      <c r="AH39" s="709">
        <v>0</v>
      </c>
      <c r="AI39" s="709">
        <v>0</v>
      </c>
      <c r="AJ39" s="709">
        <v>0</v>
      </c>
      <c r="AK39" s="709">
        <v>0</v>
      </c>
      <c r="AL39" s="709">
        <v>0</v>
      </c>
      <c r="AM39" s="709">
        <v>0</v>
      </c>
      <c r="AN39" s="709">
        <v>0</v>
      </c>
      <c r="AO39" s="709">
        <v>0</v>
      </c>
      <c r="AP39" s="709">
        <v>0</v>
      </c>
      <c r="AQ39" s="709">
        <v>0</v>
      </c>
      <c r="AR39" s="709">
        <v>0</v>
      </c>
      <c r="AS39" s="709">
        <v>0</v>
      </c>
      <c r="AT39" s="709">
        <v>0</v>
      </c>
      <c r="AU39" s="709">
        <v>0</v>
      </c>
      <c r="AV39" s="709">
        <v>0</v>
      </c>
      <c r="AW39" s="709">
        <v>0</v>
      </c>
      <c r="AX39" s="709">
        <v>0</v>
      </c>
    </row>
    <row r="40" spans="2:50" ht="13.2" outlineLevel="2" x14ac:dyDescent="0.2">
      <c r="B40" s="290" t="str">
        <f>CHIFFRAGE_TC!B41</f>
        <v>Cabeza de poste (patibulo + pendulos y equipamientos)</v>
      </c>
      <c r="C40" s="964">
        <f>CHIFFRAGE_TC!D41</f>
        <v>40</v>
      </c>
      <c r="D40" s="725"/>
      <c r="E40" s="208">
        <f>CHIFFRAGE_TC!$M41*CHIFFRAGE_TC!$T41</f>
        <v>0</v>
      </c>
      <c r="F40" s="17">
        <f>CHIFFRAGE_TC!$M41*CHIFFRAGE_TC!$U41</f>
        <v>500001.72614933358</v>
      </c>
      <c r="G40" s="17">
        <f>CHIFFRAGE_TC!$M41*CHIFFRAGE_TC!$V41</f>
        <v>1500005.1784480007</v>
      </c>
      <c r="H40" s="204">
        <f>CHIFFRAGE_TC!$M41*CHIFFRAGE_TC!$W41</f>
        <v>500001.72614933358</v>
      </c>
      <c r="I40" s="709">
        <v>0</v>
      </c>
      <c r="J40" s="709">
        <v>0</v>
      </c>
      <c r="K40" s="709">
        <v>0</v>
      </c>
      <c r="L40" s="709">
        <v>0</v>
      </c>
      <c r="M40" s="709">
        <v>0</v>
      </c>
      <c r="N40" s="709">
        <v>0</v>
      </c>
      <c r="O40" s="709">
        <v>0</v>
      </c>
      <c r="P40" s="709">
        <v>0</v>
      </c>
      <c r="Q40" s="709">
        <v>0</v>
      </c>
      <c r="R40" s="709">
        <v>0</v>
      </c>
      <c r="S40" s="709">
        <v>0</v>
      </c>
      <c r="T40" s="709">
        <v>0</v>
      </c>
      <c r="U40" s="709">
        <v>0</v>
      </c>
      <c r="V40" s="709">
        <v>0</v>
      </c>
      <c r="W40" s="709">
        <v>0</v>
      </c>
      <c r="X40" s="709">
        <v>0</v>
      </c>
      <c r="Y40" s="709">
        <v>0</v>
      </c>
      <c r="Z40" s="709">
        <v>0</v>
      </c>
      <c r="AA40" s="709">
        <v>0</v>
      </c>
      <c r="AB40" s="709">
        <v>0</v>
      </c>
      <c r="AC40" s="709">
        <v>0</v>
      </c>
      <c r="AD40" s="709">
        <v>0</v>
      </c>
      <c r="AE40" s="709">
        <v>0</v>
      </c>
      <c r="AF40" s="709">
        <v>0</v>
      </c>
      <c r="AG40" s="709">
        <v>0</v>
      </c>
      <c r="AH40" s="709">
        <v>0</v>
      </c>
      <c r="AI40" s="709">
        <v>0</v>
      </c>
      <c r="AJ40" s="709">
        <v>0</v>
      </c>
      <c r="AK40" s="709">
        <v>0</v>
      </c>
      <c r="AL40" s="709">
        <v>0</v>
      </c>
      <c r="AM40" s="709">
        <v>0</v>
      </c>
      <c r="AN40" s="709">
        <v>0</v>
      </c>
      <c r="AO40" s="709">
        <v>0</v>
      </c>
      <c r="AP40" s="709">
        <v>0</v>
      </c>
      <c r="AQ40" s="709">
        <v>0</v>
      </c>
      <c r="AR40" s="709">
        <v>0</v>
      </c>
      <c r="AS40" s="709">
        <v>0</v>
      </c>
      <c r="AT40" s="709">
        <v>0</v>
      </c>
      <c r="AU40" s="709">
        <v>0</v>
      </c>
      <c r="AV40" s="709">
        <v>0</v>
      </c>
      <c r="AW40" s="709">
        <v>0</v>
      </c>
      <c r="AX40" s="709">
        <v>0</v>
      </c>
    </row>
    <row r="41" spans="2:50" ht="13.2" outlineLevel="2" x14ac:dyDescent="0.2">
      <c r="B41" s="290" t="str">
        <f>CHIFFRAGE_TC!B42</f>
        <v>Postes y fundaciones</v>
      </c>
      <c r="C41" s="964">
        <f>CHIFFRAGE_TC!D42</f>
        <v>50</v>
      </c>
      <c r="D41" s="725"/>
      <c r="E41" s="208">
        <f>CHIFFRAGE_TC!$M42*CHIFFRAGE_TC!$T42</f>
        <v>0</v>
      </c>
      <c r="F41" s="17">
        <f>CHIFFRAGE_TC!$M42*CHIFFRAGE_TC!$U42</f>
        <v>500000.14350937493</v>
      </c>
      <c r="G41" s="17">
        <f>CHIFFRAGE_TC!$M42*CHIFFRAGE_TC!$V42</f>
        <v>1500000.4305281248</v>
      </c>
      <c r="H41" s="204">
        <f>CHIFFRAGE_TC!$M42*CHIFFRAGE_TC!$W42</f>
        <v>500000.14350937493</v>
      </c>
      <c r="I41" s="709">
        <v>0</v>
      </c>
      <c r="J41" s="709">
        <v>0</v>
      </c>
      <c r="K41" s="709">
        <v>0</v>
      </c>
      <c r="L41" s="709">
        <v>0</v>
      </c>
      <c r="M41" s="709">
        <v>0</v>
      </c>
      <c r="N41" s="709">
        <v>0</v>
      </c>
      <c r="O41" s="709">
        <v>0</v>
      </c>
      <c r="P41" s="709">
        <v>0</v>
      </c>
      <c r="Q41" s="709">
        <v>0</v>
      </c>
      <c r="R41" s="709">
        <v>0</v>
      </c>
      <c r="S41" s="709">
        <v>0</v>
      </c>
      <c r="T41" s="709">
        <v>0</v>
      </c>
      <c r="U41" s="709">
        <v>0</v>
      </c>
      <c r="V41" s="709">
        <v>0</v>
      </c>
      <c r="W41" s="709">
        <v>0</v>
      </c>
      <c r="X41" s="709">
        <v>0</v>
      </c>
      <c r="Y41" s="709">
        <v>0</v>
      </c>
      <c r="Z41" s="709">
        <v>0</v>
      </c>
      <c r="AA41" s="709">
        <v>0</v>
      </c>
      <c r="AB41" s="709">
        <v>0</v>
      </c>
      <c r="AC41" s="709">
        <v>0</v>
      </c>
      <c r="AD41" s="709">
        <v>0</v>
      </c>
      <c r="AE41" s="709">
        <v>0</v>
      </c>
      <c r="AF41" s="709">
        <v>0</v>
      </c>
      <c r="AG41" s="709">
        <v>0</v>
      </c>
      <c r="AH41" s="709">
        <v>0</v>
      </c>
      <c r="AI41" s="709">
        <v>0</v>
      </c>
      <c r="AJ41" s="709">
        <v>0</v>
      </c>
      <c r="AK41" s="709">
        <v>0</v>
      </c>
      <c r="AL41" s="709">
        <v>0</v>
      </c>
      <c r="AM41" s="709">
        <v>0</v>
      </c>
      <c r="AN41" s="709">
        <v>0</v>
      </c>
      <c r="AO41" s="709">
        <v>0</v>
      </c>
      <c r="AP41" s="709">
        <v>0</v>
      </c>
      <c r="AQ41" s="709">
        <v>0</v>
      </c>
      <c r="AR41" s="709">
        <v>0</v>
      </c>
      <c r="AS41" s="709">
        <v>0</v>
      </c>
      <c r="AT41" s="709">
        <v>0</v>
      </c>
      <c r="AU41" s="709">
        <v>0</v>
      </c>
      <c r="AV41" s="709">
        <v>0</v>
      </c>
      <c r="AW41" s="709">
        <v>0</v>
      </c>
      <c r="AX41" s="709">
        <v>0</v>
      </c>
    </row>
    <row r="42" spans="2:50" ht="13.2" outlineLevel="2" x14ac:dyDescent="0.2">
      <c r="B42" s="289" t="str">
        <f>CHIFFRAGE_TC!B43</f>
        <v>Sobrecostos para fundaciones con pilotes</v>
      </c>
      <c r="C42" s="964">
        <f>CHIFFRAGE_TC!D43</f>
        <v>50</v>
      </c>
      <c r="D42" s="725"/>
      <c r="E42" s="208">
        <f>CHIFFRAGE_TC!$M43*CHIFFRAGE_TC!$T43</f>
        <v>0</v>
      </c>
      <c r="F42" s="17">
        <f>CHIFFRAGE_TC!$M43*CHIFFRAGE_TC!$U43</f>
        <v>756000</v>
      </c>
      <c r="G42" s="17">
        <f>CHIFFRAGE_TC!$M43*CHIFFRAGE_TC!$V43</f>
        <v>2268000</v>
      </c>
      <c r="H42" s="204">
        <f>CHIFFRAGE_TC!$M43*CHIFFRAGE_TC!$W43</f>
        <v>756000</v>
      </c>
      <c r="I42" s="709">
        <v>0</v>
      </c>
      <c r="J42" s="709">
        <v>0</v>
      </c>
      <c r="K42" s="709">
        <v>0</v>
      </c>
      <c r="L42" s="709">
        <v>0</v>
      </c>
      <c r="M42" s="709">
        <v>0</v>
      </c>
      <c r="N42" s="709">
        <v>0</v>
      </c>
      <c r="O42" s="709">
        <v>0</v>
      </c>
      <c r="P42" s="709">
        <v>0</v>
      </c>
      <c r="Q42" s="709">
        <v>0</v>
      </c>
      <c r="R42" s="709">
        <v>0</v>
      </c>
      <c r="S42" s="709">
        <v>0</v>
      </c>
      <c r="T42" s="709">
        <v>0</v>
      </c>
      <c r="U42" s="709">
        <v>0</v>
      </c>
      <c r="V42" s="709">
        <v>0</v>
      </c>
      <c r="W42" s="709">
        <v>0</v>
      </c>
      <c r="X42" s="709">
        <v>0</v>
      </c>
      <c r="Y42" s="709">
        <v>0</v>
      </c>
      <c r="Z42" s="709">
        <v>0</v>
      </c>
      <c r="AA42" s="709">
        <v>0</v>
      </c>
      <c r="AB42" s="709">
        <v>0</v>
      </c>
      <c r="AC42" s="709">
        <v>0</v>
      </c>
      <c r="AD42" s="709">
        <v>0</v>
      </c>
      <c r="AE42" s="709">
        <v>0</v>
      </c>
      <c r="AF42" s="709">
        <v>0</v>
      </c>
      <c r="AG42" s="709">
        <v>0</v>
      </c>
      <c r="AH42" s="709">
        <v>0</v>
      </c>
      <c r="AI42" s="709">
        <v>0</v>
      </c>
      <c r="AJ42" s="709">
        <v>0</v>
      </c>
      <c r="AK42" s="709">
        <v>0</v>
      </c>
      <c r="AL42" s="709">
        <v>0</v>
      </c>
      <c r="AM42" s="709">
        <v>0</v>
      </c>
      <c r="AN42" s="709">
        <v>0</v>
      </c>
      <c r="AO42" s="709">
        <v>0</v>
      </c>
      <c r="AP42" s="709">
        <v>0</v>
      </c>
      <c r="AQ42" s="709">
        <v>0</v>
      </c>
      <c r="AR42" s="709">
        <v>0</v>
      </c>
      <c r="AS42" s="709">
        <v>0</v>
      </c>
      <c r="AT42" s="709">
        <v>0</v>
      </c>
      <c r="AU42" s="709">
        <v>0</v>
      </c>
      <c r="AV42" s="709">
        <v>0</v>
      </c>
      <c r="AW42" s="709">
        <v>0</v>
      </c>
      <c r="AX42" s="709">
        <v>0</v>
      </c>
    </row>
    <row r="43" spans="2:50" ht="13.8" thickBot="1" x14ac:dyDescent="0.25">
      <c r="B43" s="290"/>
      <c r="C43" s="964"/>
      <c r="D43" s="725"/>
      <c r="E43" s="208"/>
      <c r="F43" s="17"/>
      <c r="G43" s="17"/>
      <c r="H43" s="204"/>
      <c r="I43" s="69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</row>
    <row r="44" spans="2:50" ht="16.2" thickBot="1" x14ac:dyDescent="0.25">
      <c r="B44" s="288" t="str">
        <f>CHIFFRAGE_TC!B45</f>
        <v>Obras de via y reubicacion de redes</v>
      </c>
      <c r="C44" s="964"/>
      <c r="D44" s="725">
        <f>CHIFFRAGE_TC!K45</f>
        <v>0.25</v>
      </c>
      <c r="E44" s="209">
        <f>SUM(E45:E50)</f>
        <v>0</v>
      </c>
      <c r="F44" s="196">
        <f t="shared" ref="F44:AX44" si="4">SUM(F45:F50)</f>
        <v>584906.40889437497</v>
      </c>
      <c r="G44" s="196">
        <f t="shared" si="4"/>
        <v>318975.04959062487</v>
      </c>
      <c r="H44" s="197">
        <f t="shared" si="4"/>
        <v>0</v>
      </c>
      <c r="I44" s="698">
        <f t="shared" si="4"/>
        <v>0</v>
      </c>
      <c r="J44" s="699">
        <f t="shared" si="4"/>
        <v>0</v>
      </c>
      <c r="K44" s="699">
        <f t="shared" si="4"/>
        <v>0</v>
      </c>
      <c r="L44" s="699">
        <f t="shared" si="4"/>
        <v>0</v>
      </c>
      <c r="M44" s="699">
        <f t="shared" si="4"/>
        <v>0</v>
      </c>
      <c r="N44" s="699">
        <f t="shared" si="4"/>
        <v>0</v>
      </c>
      <c r="O44" s="699">
        <f t="shared" si="4"/>
        <v>0</v>
      </c>
      <c r="P44" s="699">
        <f t="shared" si="4"/>
        <v>0</v>
      </c>
      <c r="Q44" s="699">
        <f t="shared" si="4"/>
        <v>0</v>
      </c>
      <c r="R44" s="699">
        <f t="shared" si="4"/>
        <v>0</v>
      </c>
      <c r="S44" s="699">
        <f t="shared" si="4"/>
        <v>0</v>
      </c>
      <c r="T44" s="699">
        <f t="shared" si="4"/>
        <v>0</v>
      </c>
      <c r="U44" s="699">
        <f t="shared" si="4"/>
        <v>0</v>
      </c>
      <c r="V44" s="699">
        <f t="shared" si="4"/>
        <v>0</v>
      </c>
      <c r="W44" s="699">
        <f t="shared" si="4"/>
        <v>0</v>
      </c>
      <c r="X44" s="699">
        <f t="shared" si="4"/>
        <v>0</v>
      </c>
      <c r="Y44" s="699">
        <f t="shared" si="4"/>
        <v>0</v>
      </c>
      <c r="Z44" s="699">
        <f t="shared" si="4"/>
        <v>0</v>
      </c>
      <c r="AA44" s="699">
        <f t="shared" si="4"/>
        <v>0</v>
      </c>
      <c r="AB44" s="699">
        <f t="shared" si="4"/>
        <v>0</v>
      </c>
      <c r="AC44" s="699">
        <f t="shared" si="4"/>
        <v>0</v>
      </c>
      <c r="AD44" s="699">
        <f t="shared" si="4"/>
        <v>0</v>
      </c>
      <c r="AE44" s="699">
        <f t="shared" si="4"/>
        <v>0</v>
      </c>
      <c r="AF44" s="699">
        <f t="shared" si="4"/>
        <v>0</v>
      </c>
      <c r="AG44" s="699">
        <f t="shared" si="4"/>
        <v>0</v>
      </c>
      <c r="AH44" s="699">
        <f t="shared" si="4"/>
        <v>0</v>
      </c>
      <c r="AI44" s="699">
        <f t="shared" si="4"/>
        <v>0</v>
      </c>
      <c r="AJ44" s="699">
        <f t="shared" si="4"/>
        <v>0</v>
      </c>
      <c r="AK44" s="699">
        <f t="shared" si="4"/>
        <v>0</v>
      </c>
      <c r="AL44" s="699">
        <f t="shared" si="4"/>
        <v>0</v>
      </c>
      <c r="AM44" s="699">
        <f t="shared" si="4"/>
        <v>0</v>
      </c>
      <c r="AN44" s="700">
        <f t="shared" si="4"/>
        <v>0</v>
      </c>
      <c r="AO44" s="700">
        <f t="shared" si="4"/>
        <v>0</v>
      </c>
      <c r="AP44" s="700">
        <f t="shared" si="4"/>
        <v>0</v>
      </c>
      <c r="AQ44" s="700">
        <f t="shared" si="4"/>
        <v>0</v>
      </c>
      <c r="AR44" s="700">
        <f t="shared" si="4"/>
        <v>0</v>
      </c>
      <c r="AS44" s="700">
        <f t="shared" si="4"/>
        <v>0</v>
      </c>
      <c r="AT44" s="700">
        <f t="shared" si="4"/>
        <v>0</v>
      </c>
      <c r="AU44" s="700">
        <f t="shared" si="4"/>
        <v>0</v>
      </c>
      <c r="AV44" s="700">
        <f t="shared" si="4"/>
        <v>0</v>
      </c>
      <c r="AW44" s="700">
        <f t="shared" si="4"/>
        <v>0</v>
      </c>
      <c r="AX44" s="700">
        <f t="shared" si="4"/>
        <v>0</v>
      </c>
    </row>
    <row r="45" spans="2:50" ht="13.2" x14ac:dyDescent="0.2">
      <c r="B45" s="291" t="str">
        <f>CHIFFRAGE_TC!B46</f>
        <v>Obras de via</v>
      </c>
      <c r="C45" s="964">
        <f>CHIFFRAGE_TC!D46</f>
        <v>50</v>
      </c>
      <c r="D45" s="725"/>
      <c r="E45" s="208">
        <f>CHIFFRAGE_TC!$M46*CHIFFRAGE_TC!$T46</f>
        <v>0</v>
      </c>
      <c r="F45" s="17">
        <f>CHIFFRAGE_TC!$M46*CHIFFRAGE_TC!$U46</f>
        <v>242100.68577187488</v>
      </c>
      <c r="G45" s="17">
        <f>CHIFFRAGE_TC!$M46*CHIFFRAGE_TC!$V46</f>
        <v>242100.68577187488</v>
      </c>
      <c r="H45" s="204">
        <f>CHIFFRAGE_TC!$M46*CHIFFRAGE_TC!$W46</f>
        <v>0</v>
      </c>
      <c r="I45" s="709">
        <v>0</v>
      </c>
      <c r="J45" s="709">
        <v>0</v>
      </c>
      <c r="K45" s="709">
        <v>0</v>
      </c>
      <c r="L45" s="709">
        <v>0</v>
      </c>
      <c r="M45" s="709">
        <v>0</v>
      </c>
      <c r="N45" s="709">
        <v>0</v>
      </c>
      <c r="O45" s="709">
        <v>0</v>
      </c>
      <c r="P45" s="709">
        <v>0</v>
      </c>
      <c r="Q45" s="709">
        <v>0</v>
      </c>
      <c r="R45" s="709">
        <v>0</v>
      </c>
      <c r="S45" s="709">
        <v>0</v>
      </c>
      <c r="T45" s="709">
        <v>0</v>
      </c>
      <c r="U45" s="709">
        <v>0</v>
      </c>
      <c r="V45" s="709">
        <v>0</v>
      </c>
      <c r="W45" s="709">
        <v>0</v>
      </c>
      <c r="X45" s="709">
        <v>0</v>
      </c>
      <c r="Y45" s="709">
        <v>0</v>
      </c>
      <c r="Z45" s="709">
        <v>0</v>
      </c>
      <c r="AA45" s="709">
        <v>0</v>
      </c>
      <c r="AB45" s="709">
        <v>0</v>
      </c>
      <c r="AC45" s="709">
        <v>0</v>
      </c>
      <c r="AD45" s="709">
        <v>0</v>
      </c>
      <c r="AE45" s="709">
        <v>0</v>
      </c>
      <c r="AF45" s="709">
        <v>0</v>
      </c>
      <c r="AG45" s="709">
        <v>0</v>
      </c>
      <c r="AH45" s="709">
        <v>0</v>
      </c>
      <c r="AI45" s="709">
        <v>0</v>
      </c>
      <c r="AJ45" s="709">
        <v>0</v>
      </c>
      <c r="AK45" s="709">
        <v>0</v>
      </c>
      <c r="AL45" s="709">
        <v>0</v>
      </c>
      <c r="AM45" s="709">
        <v>0</v>
      </c>
      <c r="AN45" s="709">
        <v>0</v>
      </c>
      <c r="AO45" s="709">
        <v>0</v>
      </c>
      <c r="AP45" s="709">
        <v>0</v>
      </c>
      <c r="AQ45" s="709">
        <v>0</v>
      </c>
      <c r="AR45" s="709">
        <v>0</v>
      </c>
      <c r="AS45" s="709">
        <v>0</v>
      </c>
      <c r="AT45" s="709">
        <v>0</v>
      </c>
      <c r="AU45" s="709">
        <v>0</v>
      </c>
      <c r="AV45" s="709">
        <v>0</v>
      </c>
      <c r="AW45" s="709">
        <v>0</v>
      </c>
      <c r="AX45" s="709">
        <v>0</v>
      </c>
    </row>
    <row r="46" spans="2:50" ht="13.2" x14ac:dyDescent="0.2">
      <c r="B46" s="290" t="str">
        <f>CHIFFRAGE_TC!B47</f>
        <v>Redes aereas de alta tension</v>
      </c>
      <c r="C46" s="964">
        <f>CHIFFRAGE_TC!D47</f>
        <v>50</v>
      </c>
      <c r="D46" s="725"/>
      <c r="E46" s="208">
        <f>CHIFFRAGE_TC!$M47*CHIFFRAGE_TC!$T47</f>
        <v>0</v>
      </c>
      <c r="F46" s="17">
        <f>CHIFFRAGE_TC!$M47*CHIFFRAGE_TC!$U47</f>
        <v>0</v>
      </c>
      <c r="G46" s="17">
        <f>CHIFFRAGE_TC!$M47*CHIFFRAGE_TC!$V47</f>
        <v>0</v>
      </c>
      <c r="H46" s="204">
        <f>CHIFFRAGE_TC!$M47*CHIFFRAGE_TC!$W47</f>
        <v>0</v>
      </c>
      <c r="I46" s="709">
        <v>0</v>
      </c>
      <c r="J46" s="709">
        <v>0</v>
      </c>
      <c r="K46" s="709">
        <v>0</v>
      </c>
      <c r="L46" s="709">
        <v>0</v>
      </c>
      <c r="M46" s="709">
        <v>0</v>
      </c>
      <c r="N46" s="709">
        <v>0</v>
      </c>
      <c r="O46" s="709">
        <v>0</v>
      </c>
      <c r="P46" s="709">
        <v>0</v>
      </c>
      <c r="Q46" s="709">
        <v>0</v>
      </c>
      <c r="R46" s="709">
        <v>0</v>
      </c>
      <c r="S46" s="709">
        <v>0</v>
      </c>
      <c r="T46" s="709">
        <v>0</v>
      </c>
      <c r="U46" s="709">
        <v>0</v>
      </c>
      <c r="V46" s="709">
        <v>0</v>
      </c>
      <c r="W46" s="709">
        <v>0</v>
      </c>
      <c r="X46" s="709">
        <v>0</v>
      </c>
      <c r="Y46" s="709">
        <v>0</v>
      </c>
      <c r="Z46" s="709">
        <v>0</v>
      </c>
      <c r="AA46" s="709">
        <v>0</v>
      </c>
      <c r="AB46" s="709">
        <v>0</v>
      </c>
      <c r="AC46" s="709">
        <v>0</v>
      </c>
      <c r="AD46" s="709">
        <v>0</v>
      </c>
      <c r="AE46" s="709">
        <v>0</v>
      </c>
      <c r="AF46" s="709">
        <v>0</v>
      </c>
      <c r="AG46" s="709">
        <v>0</v>
      </c>
      <c r="AH46" s="709">
        <v>0</v>
      </c>
      <c r="AI46" s="709">
        <v>0</v>
      </c>
      <c r="AJ46" s="709">
        <v>0</v>
      </c>
      <c r="AK46" s="709">
        <v>0</v>
      </c>
      <c r="AL46" s="709">
        <v>0</v>
      </c>
      <c r="AM46" s="709">
        <v>0</v>
      </c>
      <c r="AN46" s="709">
        <v>0</v>
      </c>
      <c r="AO46" s="709">
        <v>0</v>
      </c>
      <c r="AP46" s="709">
        <v>0</v>
      </c>
      <c r="AQ46" s="709">
        <v>0</v>
      </c>
      <c r="AR46" s="709">
        <v>0</v>
      </c>
      <c r="AS46" s="709">
        <v>0</v>
      </c>
      <c r="AT46" s="709">
        <v>0</v>
      </c>
      <c r="AU46" s="709">
        <v>0</v>
      </c>
      <c r="AV46" s="709">
        <v>0</v>
      </c>
      <c r="AW46" s="709">
        <v>0</v>
      </c>
      <c r="AX46" s="709">
        <v>0</v>
      </c>
    </row>
    <row r="47" spans="2:50" ht="13.2" x14ac:dyDescent="0.2">
      <c r="B47" s="290" t="str">
        <f>CHIFFRAGE_TC!B48</f>
        <v>Redes aereas</v>
      </c>
      <c r="C47" s="964">
        <f>CHIFFRAGE_TC!D48</f>
        <v>50</v>
      </c>
      <c r="D47" s="725"/>
      <c r="E47" s="208">
        <f>CHIFFRAGE_TC!$M48*CHIFFRAGE_TC!$T48</f>
        <v>0</v>
      </c>
      <c r="F47" s="17">
        <f>CHIFFRAGE_TC!$M48*CHIFFRAGE_TC!$U48</f>
        <v>142447.20000000001</v>
      </c>
      <c r="G47" s="17">
        <f>CHIFFRAGE_TC!$M48*CHIFFRAGE_TC!$V48</f>
        <v>0</v>
      </c>
      <c r="H47" s="204">
        <f>CHIFFRAGE_TC!$M48*CHIFFRAGE_TC!$W48</f>
        <v>0</v>
      </c>
      <c r="I47" s="709">
        <v>0</v>
      </c>
      <c r="J47" s="709">
        <v>0</v>
      </c>
      <c r="K47" s="709">
        <v>0</v>
      </c>
      <c r="L47" s="709">
        <v>0</v>
      </c>
      <c r="M47" s="709">
        <v>0</v>
      </c>
      <c r="N47" s="709">
        <v>0</v>
      </c>
      <c r="O47" s="709">
        <v>0</v>
      </c>
      <c r="P47" s="709">
        <v>0</v>
      </c>
      <c r="Q47" s="709">
        <v>0</v>
      </c>
      <c r="R47" s="709">
        <v>0</v>
      </c>
      <c r="S47" s="709">
        <v>0</v>
      </c>
      <c r="T47" s="709">
        <v>0</v>
      </c>
      <c r="U47" s="709">
        <v>0</v>
      </c>
      <c r="V47" s="709">
        <v>0</v>
      </c>
      <c r="W47" s="709">
        <v>0</v>
      </c>
      <c r="X47" s="709">
        <v>0</v>
      </c>
      <c r="Y47" s="709">
        <v>0</v>
      </c>
      <c r="Z47" s="709">
        <v>0</v>
      </c>
      <c r="AA47" s="709">
        <v>0</v>
      </c>
      <c r="AB47" s="709">
        <v>0</v>
      </c>
      <c r="AC47" s="709">
        <v>0</v>
      </c>
      <c r="AD47" s="709">
        <v>0</v>
      </c>
      <c r="AE47" s="709">
        <v>0</v>
      </c>
      <c r="AF47" s="709">
        <v>0</v>
      </c>
      <c r="AG47" s="709">
        <v>0</v>
      </c>
      <c r="AH47" s="709">
        <v>0</v>
      </c>
      <c r="AI47" s="709">
        <v>0</v>
      </c>
      <c r="AJ47" s="709">
        <v>0</v>
      </c>
      <c r="AK47" s="709">
        <v>0</v>
      </c>
      <c r="AL47" s="709">
        <v>0</v>
      </c>
      <c r="AM47" s="709">
        <v>0</v>
      </c>
      <c r="AN47" s="709">
        <v>0</v>
      </c>
      <c r="AO47" s="709">
        <v>0</v>
      </c>
      <c r="AP47" s="709">
        <v>0</v>
      </c>
      <c r="AQ47" s="709">
        <v>0</v>
      </c>
      <c r="AR47" s="709">
        <v>0</v>
      </c>
      <c r="AS47" s="709">
        <v>0</v>
      </c>
      <c r="AT47" s="709">
        <v>0</v>
      </c>
      <c r="AU47" s="709">
        <v>0</v>
      </c>
      <c r="AV47" s="709">
        <v>0</v>
      </c>
      <c r="AW47" s="709">
        <v>0</v>
      </c>
      <c r="AX47" s="709">
        <v>0</v>
      </c>
    </row>
    <row r="48" spans="2:50" ht="13.2" x14ac:dyDescent="0.2">
      <c r="B48" s="290" t="str">
        <f>CHIFFRAGE_TC!B49</f>
        <v>Desplazamiento de lamparas</v>
      </c>
      <c r="C48" s="964">
        <f>CHIFFRAGE_TC!D49</f>
        <v>50</v>
      </c>
      <c r="D48" s="725"/>
      <c r="E48" s="208">
        <f>CHIFFRAGE_TC!$M49*CHIFFRAGE_TC!$T49</f>
        <v>0</v>
      </c>
      <c r="F48" s="17">
        <f>CHIFFRAGE_TC!$M49*CHIFFRAGE_TC!$U49</f>
        <v>123484.15930374997</v>
      </c>
      <c r="G48" s="17">
        <f>CHIFFRAGE_TC!$M49*CHIFFRAGE_TC!$V49</f>
        <v>0</v>
      </c>
      <c r="H48" s="204">
        <f>CHIFFRAGE_TC!$M49*CHIFFRAGE_TC!$W49</f>
        <v>0</v>
      </c>
      <c r="I48" s="709">
        <v>0</v>
      </c>
      <c r="J48" s="709">
        <v>0</v>
      </c>
      <c r="K48" s="709">
        <v>0</v>
      </c>
      <c r="L48" s="709">
        <v>0</v>
      </c>
      <c r="M48" s="709">
        <v>0</v>
      </c>
      <c r="N48" s="709">
        <v>0</v>
      </c>
      <c r="O48" s="709">
        <v>0</v>
      </c>
      <c r="P48" s="709">
        <v>0</v>
      </c>
      <c r="Q48" s="709">
        <v>0</v>
      </c>
      <c r="R48" s="709">
        <v>0</v>
      </c>
      <c r="S48" s="709">
        <v>0</v>
      </c>
      <c r="T48" s="709">
        <v>0</v>
      </c>
      <c r="U48" s="709">
        <v>0</v>
      </c>
      <c r="V48" s="709">
        <v>0</v>
      </c>
      <c r="W48" s="709">
        <v>0</v>
      </c>
      <c r="X48" s="709">
        <v>0</v>
      </c>
      <c r="Y48" s="709">
        <v>0</v>
      </c>
      <c r="Z48" s="709">
        <v>0</v>
      </c>
      <c r="AA48" s="709">
        <v>0</v>
      </c>
      <c r="AB48" s="709">
        <v>0</v>
      </c>
      <c r="AC48" s="709">
        <v>0</v>
      </c>
      <c r="AD48" s="709">
        <v>0</v>
      </c>
      <c r="AE48" s="709">
        <v>0</v>
      </c>
      <c r="AF48" s="709">
        <v>0</v>
      </c>
      <c r="AG48" s="709">
        <v>0</v>
      </c>
      <c r="AH48" s="709">
        <v>0</v>
      </c>
      <c r="AI48" s="709">
        <v>0</v>
      </c>
      <c r="AJ48" s="709">
        <v>0</v>
      </c>
      <c r="AK48" s="709">
        <v>0</v>
      </c>
      <c r="AL48" s="709">
        <v>0</v>
      </c>
      <c r="AM48" s="709">
        <v>0</v>
      </c>
      <c r="AN48" s="709">
        <v>0</v>
      </c>
      <c r="AO48" s="709">
        <v>0</v>
      </c>
      <c r="AP48" s="709">
        <v>0</v>
      </c>
      <c r="AQ48" s="709">
        <v>0</v>
      </c>
      <c r="AR48" s="709">
        <v>0</v>
      </c>
      <c r="AS48" s="709">
        <v>0</v>
      </c>
      <c r="AT48" s="709">
        <v>0</v>
      </c>
      <c r="AU48" s="709">
        <v>0</v>
      </c>
      <c r="AV48" s="709">
        <v>0</v>
      </c>
      <c r="AW48" s="709">
        <v>0</v>
      </c>
      <c r="AX48" s="709">
        <v>0</v>
      </c>
    </row>
    <row r="49" spans="2:50" ht="13.2" x14ac:dyDescent="0.2">
      <c r="B49" s="290" t="str">
        <f>CHIFFRAGE_TC!B50</f>
        <v>Redes subterraneas</v>
      </c>
      <c r="C49" s="964">
        <f>CHIFFRAGE_TC!D50</f>
        <v>50</v>
      </c>
      <c r="D49" s="725"/>
      <c r="E49" s="208">
        <f>CHIFFRAGE_TC!$M50*CHIFFRAGE_TC!$T50</f>
        <v>0</v>
      </c>
      <c r="F49" s="17">
        <f>CHIFFRAGE_TC!$M50*CHIFFRAGE_TC!$U50</f>
        <v>45870</v>
      </c>
      <c r="G49" s="17">
        <f>CHIFFRAGE_TC!$M50*CHIFFRAGE_TC!$V50</f>
        <v>45870</v>
      </c>
      <c r="H49" s="204">
        <f>CHIFFRAGE_TC!$M50*CHIFFRAGE_TC!$W50</f>
        <v>0</v>
      </c>
      <c r="I49" s="709">
        <v>0</v>
      </c>
      <c r="J49" s="709">
        <v>0</v>
      </c>
      <c r="K49" s="709">
        <v>0</v>
      </c>
      <c r="L49" s="709">
        <v>0</v>
      </c>
      <c r="M49" s="709">
        <v>0</v>
      </c>
      <c r="N49" s="709">
        <v>0</v>
      </c>
      <c r="O49" s="709">
        <v>0</v>
      </c>
      <c r="P49" s="709">
        <v>0</v>
      </c>
      <c r="Q49" s="709">
        <v>0</v>
      </c>
      <c r="R49" s="709">
        <v>0</v>
      </c>
      <c r="S49" s="709">
        <v>0</v>
      </c>
      <c r="T49" s="709">
        <v>0</v>
      </c>
      <c r="U49" s="709">
        <v>0</v>
      </c>
      <c r="V49" s="709">
        <v>0</v>
      </c>
      <c r="W49" s="709">
        <v>0</v>
      </c>
      <c r="X49" s="709">
        <v>0</v>
      </c>
      <c r="Y49" s="709">
        <v>0</v>
      </c>
      <c r="Z49" s="709">
        <v>0</v>
      </c>
      <c r="AA49" s="709">
        <v>0</v>
      </c>
      <c r="AB49" s="709">
        <v>0</v>
      </c>
      <c r="AC49" s="709">
        <v>0</v>
      </c>
      <c r="AD49" s="709">
        <v>0</v>
      </c>
      <c r="AE49" s="709">
        <v>0</v>
      </c>
      <c r="AF49" s="709">
        <v>0</v>
      </c>
      <c r="AG49" s="709">
        <v>0</v>
      </c>
      <c r="AH49" s="709">
        <v>0</v>
      </c>
      <c r="AI49" s="709">
        <v>0</v>
      </c>
      <c r="AJ49" s="709">
        <v>0</v>
      </c>
      <c r="AK49" s="709">
        <v>0</v>
      </c>
      <c r="AL49" s="709">
        <v>0</v>
      </c>
      <c r="AM49" s="709">
        <v>0</v>
      </c>
      <c r="AN49" s="709">
        <v>0</v>
      </c>
      <c r="AO49" s="709">
        <v>0</v>
      </c>
      <c r="AP49" s="709">
        <v>0</v>
      </c>
      <c r="AQ49" s="709">
        <v>0</v>
      </c>
      <c r="AR49" s="709">
        <v>0</v>
      </c>
      <c r="AS49" s="709">
        <v>0</v>
      </c>
      <c r="AT49" s="709">
        <v>0</v>
      </c>
      <c r="AU49" s="709">
        <v>0</v>
      </c>
      <c r="AV49" s="709">
        <v>0</v>
      </c>
      <c r="AW49" s="709">
        <v>0</v>
      </c>
      <c r="AX49" s="709">
        <v>0</v>
      </c>
    </row>
    <row r="50" spans="2:50" ht="13.2" x14ac:dyDescent="0.2">
      <c r="B50" s="289" t="str">
        <f>CHIFFRAGE_TC!B51</f>
        <v>Mantenimiento de transito</v>
      </c>
      <c r="C50" s="964">
        <f>CHIFFRAGE_TC!D51</f>
        <v>50</v>
      </c>
      <c r="D50" s="725"/>
      <c r="E50" s="208">
        <f>CHIFFRAGE_TC!$M51*CHIFFRAGE_TC!$T51</f>
        <v>0</v>
      </c>
      <c r="F50" s="17">
        <f>CHIFFRAGE_TC!$M51*CHIFFRAGE_TC!$U51</f>
        <v>31004.363818749993</v>
      </c>
      <c r="G50" s="17">
        <f>CHIFFRAGE_TC!$M51*CHIFFRAGE_TC!$V51</f>
        <v>31004.363818749993</v>
      </c>
      <c r="H50" s="204">
        <f>CHIFFRAGE_TC!$M51*CHIFFRAGE_TC!$W51</f>
        <v>0</v>
      </c>
      <c r="I50" s="709">
        <v>0</v>
      </c>
      <c r="J50" s="709">
        <v>0</v>
      </c>
      <c r="K50" s="709">
        <v>0</v>
      </c>
      <c r="L50" s="709">
        <v>0</v>
      </c>
      <c r="M50" s="709">
        <v>0</v>
      </c>
      <c r="N50" s="709">
        <v>0</v>
      </c>
      <c r="O50" s="709">
        <v>0</v>
      </c>
      <c r="P50" s="709">
        <v>0</v>
      </c>
      <c r="Q50" s="709">
        <v>0</v>
      </c>
      <c r="R50" s="709">
        <v>0</v>
      </c>
      <c r="S50" s="709">
        <v>0</v>
      </c>
      <c r="T50" s="709">
        <v>0</v>
      </c>
      <c r="U50" s="709">
        <v>0</v>
      </c>
      <c r="V50" s="709">
        <v>0</v>
      </c>
      <c r="W50" s="709">
        <v>0</v>
      </c>
      <c r="X50" s="709">
        <v>0</v>
      </c>
      <c r="Y50" s="709">
        <v>0</v>
      </c>
      <c r="Z50" s="709">
        <v>0</v>
      </c>
      <c r="AA50" s="709">
        <v>0</v>
      </c>
      <c r="AB50" s="709">
        <v>0</v>
      </c>
      <c r="AC50" s="709">
        <v>0</v>
      </c>
      <c r="AD50" s="709">
        <v>0</v>
      </c>
      <c r="AE50" s="709">
        <v>0</v>
      </c>
      <c r="AF50" s="709">
        <v>0</v>
      </c>
      <c r="AG50" s="709">
        <v>0</v>
      </c>
      <c r="AH50" s="709">
        <v>0</v>
      </c>
      <c r="AI50" s="709">
        <v>0</v>
      </c>
      <c r="AJ50" s="709">
        <v>0</v>
      </c>
      <c r="AK50" s="709">
        <v>0</v>
      </c>
      <c r="AL50" s="709">
        <v>0</v>
      </c>
      <c r="AM50" s="709">
        <v>0</v>
      </c>
      <c r="AN50" s="709">
        <v>0</v>
      </c>
      <c r="AO50" s="709">
        <v>0</v>
      </c>
      <c r="AP50" s="709">
        <v>0</v>
      </c>
      <c r="AQ50" s="709">
        <v>0</v>
      </c>
      <c r="AR50" s="709">
        <v>0</v>
      </c>
      <c r="AS50" s="709">
        <v>0</v>
      </c>
      <c r="AT50" s="709">
        <v>0</v>
      </c>
      <c r="AU50" s="709">
        <v>0</v>
      </c>
      <c r="AV50" s="709">
        <v>0</v>
      </c>
      <c r="AW50" s="709">
        <v>0</v>
      </c>
      <c r="AX50" s="709">
        <v>0</v>
      </c>
    </row>
    <row r="51" spans="2:50" ht="13.8" thickBot="1" x14ac:dyDescent="0.25">
      <c r="B51" s="290"/>
      <c r="C51" s="964"/>
      <c r="D51" s="725"/>
      <c r="E51" s="208"/>
      <c r="F51" s="17"/>
      <c r="G51" s="17"/>
      <c r="H51" s="204"/>
      <c r="I51" s="69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</row>
    <row r="52" spans="2:50" ht="16.2" thickBot="1" x14ac:dyDescent="0.25">
      <c r="B52" s="288" t="str">
        <f>CHIFFRAGE_TC!B53</f>
        <v>Cabinas</v>
      </c>
      <c r="C52" s="964"/>
      <c r="D52" s="725">
        <f>CHIFFRAGE_TC!K53</f>
        <v>0.15000000000000002</v>
      </c>
      <c r="E52" s="209">
        <f>SUM(E53:E54)</f>
        <v>0</v>
      </c>
      <c r="F52" s="196">
        <f t="shared" ref="F52:AX52" si="5">SUM(F53:F54)</f>
        <v>1108375.9271065469</v>
      </c>
      <c r="G52" s="196">
        <f t="shared" si="5"/>
        <v>3325127.7813196406</v>
      </c>
      <c r="H52" s="197">
        <f t="shared" si="5"/>
        <v>1108375.9271065469</v>
      </c>
      <c r="I52" s="698">
        <f t="shared" si="5"/>
        <v>0</v>
      </c>
      <c r="J52" s="699">
        <f t="shared" si="5"/>
        <v>0</v>
      </c>
      <c r="K52" s="699">
        <f t="shared" si="5"/>
        <v>0</v>
      </c>
      <c r="L52" s="699">
        <f t="shared" si="5"/>
        <v>0</v>
      </c>
      <c r="M52" s="699">
        <f t="shared" si="5"/>
        <v>0</v>
      </c>
      <c r="N52" s="699">
        <f t="shared" si="5"/>
        <v>0</v>
      </c>
      <c r="O52" s="699">
        <f t="shared" si="5"/>
        <v>0</v>
      </c>
      <c r="P52" s="699">
        <f t="shared" si="5"/>
        <v>0</v>
      </c>
      <c r="Q52" s="699">
        <f t="shared" si="5"/>
        <v>0</v>
      </c>
      <c r="R52" s="699">
        <f t="shared" si="5"/>
        <v>0</v>
      </c>
      <c r="S52" s="699">
        <f t="shared" si="5"/>
        <v>0</v>
      </c>
      <c r="T52" s="699">
        <f t="shared" si="5"/>
        <v>0</v>
      </c>
      <c r="U52" s="699">
        <f t="shared" si="5"/>
        <v>0</v>
      </c>
      <c r="V52" s="699">
        <f t="shared" si="5"/>
        <v>0</v>
      </c>
      <c r="W52" s="699">
        <f t="shared" si="5"/>
        <v>229809.52890783479</v>
      </c>
      <c r="X52" s="699">
        <f t="shared" si="5"/>
        <v>689428.58672350436</v>
      </c>
      <c r="Y52" s="699">
        <f t="shared" si="5"/>
        <v>229809.52890783479</v>
      </c>
      <c r="Z52" s="699">
        <f t="shared" si="5"/>
        <v>0</v>
      </c>
      <c r="AA52" s="699">
        <f t="shared" si="5"/>
        <v>0</v>
      </c>
      <c r="AB52" s="699">
        <f t="shared" si="5"/>
        <v>0</v>
      </c>
      <c r="AC52" s="699">
        <f t="shared" si="5"/>
        <v>0</v>
      </c>
      <c r="AD52" s="699">
        <f t="shared" si="5"/>
        <v>0</v>
      </c>
      <c r="AE52" s="699">
        <f t="shared" si="5"/>
        <v>0</v>
      </c>
      <c r="AF52" s="699">
        <f t="shared" si="5"/>
        <v>0</v>
      </c>
      <c r="AG52" s="699">
        <f t="shared" si="5"/>
        <v>0</v>
      </c>
      <c r="AH52" s="699">
        <f t="shared" si="5"/>
        <v>0</v>
      </c>
      <c r="AI52" s="699">
        <f t="shared" si="5"/>
        <v>0</v>
      </c>
      <c r="AJ52" s="699">
        <f t="shared" si="5"/>
        <v>0</v>
      </c>
      <c r="AK52" s="699">
        <f t="shared" si="5"/>
        <v>0</v>
      </c>
      <c r="AL52" s="699">
        <f t="shared" si="5"/>
        <v>0</v>
      </c>
      <c r="AM52" s="699">
        <f t="shared" si="5"/>
        <v>0</v>
      </c>
      <c r="AN52" s="700">
        <f t="shared" si="5"/>
        <v>229809.52890783479</v>
      </c>
      <c r="AO52" s="700">
        <f t="shared" si="5"/>
        <v>689428.58672350436</v>
      </c>
      <c r="AP52" s="700">
        <f t="shared" si="5"/>
        <v>229809.52890783479</v>
      </c>
      <c r="AQ52" s="700">
        <f t="shared" si="5"/>
        <v>0</v>
      </c>
      <c r="AR52" s="700">
        <f t="shared" si="5"/>
        <v>0</v>
      </c>
      <c r="AS52" s="700">
        <f t="shared" si="5"/>
        <v>0</v>
      </c>
      <c r="AT52" s="700">
        <f t="shared" si="5"/>
        <v>0</v>
      </c>
      <c r="AU52" s="700">
        <f t="shared" si="5"/>
        <v>0</v>
      </c>
      <c r="AV52" s="700">
        <f t="shared" si="5"/>
        <v>0</v>
      </c>
      <c r="AW52" s="700">
        <f t="shared" si="5"/>
        <v>0</v>
      </c>
      <c r="AX52" s="700">
        <f t="shared" si="5"/>
        <v>0</v>
      </c>
    </row>
    <row r="53" spans="2:50" ht="13.2" x14ac:dyDescent="0.2">
      <c r="B53" s="291" t="str">
        <f>CHIFFRAGE_TC!B54</f>
        <v>Cabinas y soportes</v>
      </c>
      <c r="C53" s="964">
        <f>CHIFFRAGE_TC!D54</f>
        <v>40</v>
      </c>
      <c r="D53" s="725"/>
      <c r="E53" s="208">
        <f>CHIFFRAGE_TC!$M54*CHIFFRAGE_TC!$T54</f>
        <v>0</v>
      </c>
      <c r="F53" s="17">
        <f>CHIFFRAGE_TC!$M54*CHIFFRAGE_TC!$U54</f>
        <v>878566.39819871215</v>
      </c>
      <c r="G53" s="17">
        <f>CHIFFRAGE_TC!$M54*CHIFFRAGE_TC!$V54</f>
        <v>2635699.194596136</v>
      </c>
      <c r="H53" s="204">
        <f>CHIFFRAGE_TC!$M54*CHIFFRAGE_TC!$W54</f>
        <v>878566.39819871215</v>
      </c>
      <c r="I53" s="709">
        <v>0</v>
      </c>
      <c r="J53" s="709">
        <v>0</v>
      </c>
      <c r="K53" s="709">
        <v>0</v>
      </c>
      <c r="L53" s="709">
        <v>0</v>
      </c>
      <c r="M53" s="709">
        <v>0</v>
      </c>
      <c r="N53" s="709">
        <v>0</v>
      </c>
      <c r="O53" s="709">
        <v>0</v>
      </c>
      <c r="P53" s="709">
        <v>0</v>
      </c>
      <c r="Q53" s="709">
        <v>0</v>
      </c>
      <c r="R53" s="709">
        <v>0</v>
      </c>
      <c r="S53" s="709">
        <v>0</v>
      </c>
      <c r="T53" s="709">
        <v>0</v>
      </c>
      <c r="U53" s="709">
        <v>0</v>
      </c>
      <c r="V53" s="709">
        <v>0</v>
      </c>
      <c r="W53" s="709">
        <v>0</v>
      </c>
      <c r="X53" s="709">
        <v>0</v>
      </c>
      <c r="Y53" s="709">
        <v>0</v>
      </c>
      <c r="Z53" s="709">
        <v>0</v>
      </c>
      <c r="AA53" s="709">
        <v>0</v>
      </c>
      <c r="AB53" s="709">
        <v>0</v>
      </c>
      <c r="AC53" s="709">
        <v>0</v>
      </c>
      <c r="AD53" s="709">
        <v>0</v>
      </c>
      <c r="AE53" s="709">
        <v>0</v>
      </c>
      <c r="AF53" s="709">
        <v>0</v>
      </c>
      <c r="AG53" s="709">
        <v>0</v>
      </c>
      <c r="AH53" s="709">
        <v>0</v>
      </c>
      <c r="AI53" s="709">
        <v>0</v>
      </c>
      <c r="AJ53" s="709">
        <v>0</v>
      </c>
      <c r="AK53" s="709">
        <v>0</v>
      </c>
      <c r="AL53" s="709">
        <v>0</v>
      </c>
      <c r="AM53" s="709">
        <v>0</v>
      </c>
      <c r="AN53" s="709">
        <v>0</v>
      </c>
      <c r="AO53" s="709">
        <v>0</v>
      </c>
      <c r="AP53" s="709">
        <v>0</v>
      </c>
      <c r="AQ53" s="709">
        <v>0</v>
      </c>
      <c r="AR53" s="709">
        <v>0</v>
      </c>
      <c r="AS53" s="709">
        <v>0</v>
      </c>
      <c r="AT53" s="709">
        <v>0</v>
      </c>
      <c r="AU53" s="709">
        <v>0</v>
      </c>
      <c r="AV53" s="709">
        <v>0</v>
      </c>
      <c r="AW53" s="709">
        <v>0</v>
      </c>
      <c r="AX53" s="709">
        <v>0</v>
      </c>
    </row>
    <row r="54" spans="2:50" ht="13.2" x14ac:dyDescent="0.2">
      <c r="B54" s="289" t="str">
        <f>CHIFFRAGE_TC!B55</f>
        <v>Equipamiento de conforte en las cabinas</v>
      </c>
      <c r="C54" s="964">
        <f>CHIFFRAGE_TC!D55</f>
        <v>15</v>
      </c>
      <c r="D54" s="725"/>
      <c r="E54" s="208">
        <f>CHIFFRAGE_TC!$M55*CHIFFRAGE_TC!$T55</f>
        <v>0</v>
      </c>
      <c r="F54" s="17">
        <f>CHIFFRAGE_TC!$M55*CHIFFRAGE_TC!$U55</f>
        <v>229809.52890783479</v>
      </c>
      <c r="G54" s="17">
        <f>CHIFFRAGE_TC!$M55*CHIFFRAGE_TC!$V55</f>
        <v>689428.58672350436</v>
      </c>
      <c r="H54" s="204">
        <f>CHIFFRAGE_TC!$M55*CHIFFRAGE_TC!$W55</f>
        <v>229809.52890783479</v>
      </c>
      <c r="I54" s="709">
        <v>0</v>
      </c>
      <c r="J54" s="709">
        <v>0</v>
      </c>
      <c r="K54" s="709">
        <v>0</v>
      </c>
      <c r="L54" s="709">
        <v>0</v>
      </c>
      <c r="M54" s="709">
        <v>0</v>
      </c>
      <c r="N54" s="709">
        <v>0</v>
      </c>
      <c r="O54" s="709">
        <v>0</v>
      </c>
      <c r="P54" s="709">
        <v>0</v>
      </c>
      <c r="Q54" s="709">
        <v>0</v>
      </c>
      <c r="R54" s="709">
        <v>0</v>
      </c>
      <c r="S54" s="709">
        <v>0</v>
      </c>
      <c r="T54" s="709">
        <v>0</v>
      </c>
      <c r="U54" s="709">
        <v>0</v>
      </c>
      <c r="V54" s="709">
        <v>0</v>
      </c>
      <c r="W54" s="729">
        <f>F54</f>
        <v>229809.52890783479</v>
      </c>
      <c r="X54" s="729">
        <f t="shared" ref="X54:Y54" si="6">G54</f>
        <v>689428.58672350436</v>
      </c>
      <c r="Y54" s="729">
        <f t="shared" si="6"/>
        <v>229809.52890783479</v>
      </c>
      <c r="Z54" s="709">
        <v>0</v>
      </c>
      <c r="AA54" s="709">
        <v>0</v>
      </c>
      <c r="AB54" s="709">
        <v>0</v>
      </c>
      <c r="AC54" s="709">
        <v>0</v>
      </c>
      <c r="AD54" s="709">
        <v>0</v>
      </c>
      <c r="AE54" s="709">
        <v>0</v>
      </c>
      <c r="AF54" s="709">
        <v>0</v>
      </c>
      <c r="AG54" s="709">
        <v>0</v>
      </c>
      <c r="AH54" s="709">
        <v>0</v>
      </c>
      <c r="AI54" s="709">
        <v>0</v>
      </c>
      <c r="AJ54" s="709">
        <v>0</v>
      </c>
      <c r="AK54" s="709">
        <v>0</v>
      </c>
      <c r="AL54" s="709">
        <v>0</v>
      </c>
      <c r="AM54" s="709">
        <v>0</v>
      </c>
      <c r="AN54" s="729">
        <f>F54</f>
        <v>229809.52890783479</v>
      </c>
      <c r="AO54" s="729">
        <f t="shared" ref="AO54:AP54" si="7">G54</f>
        <v>689428.58672350436</v>
      </c>
      <c r="AP54" s="729">
        <f t="shared" si="7"/>
        <v>229809.52890783479</v>
      </c>
      <c r="AQ54" s="709">
        <v>0</v>
      </c>
      <c r="AR54" s="709">
        <v>0</v>
      </c>
      <c r="AS54" s="709">
        <v>0</v>
      </c>
      <c r="AT54" s="709">
        <v>0</v>
      </c>
      <c r="AU54" s="709">
        <v>0</v>
      </c>
      <c r="AV54" s="709">
        <v>0</v>
      </c>
      <c r="AW54" s="709">
        <v>0</v>
      </c>
      <c r="AX54" s="709">
        <v>0</v>
      </c>
    </row>
    <row r="55" spans="2:50" ht="13.8" thickBot="1" x14ac:dyDescent="0.25">
      <c r="B55" s="290"/>
      <c r="C55" s="964"/>
      <c r="D55" s="725"/>
      <c r="E55" s="208"/>
      <c r="F55" s="17"/>
      <c r="G55" s="17"/>
      <c r="H55" s="204"/>
      <c r="I55" s="69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</row>
    <row r="56" spans="2:50" ht="16.2" thickBot="1" x14ac:dyDescent="0.25">
      <c r="B56" s="288" t="str">
        <f>CHIFFRAGE_TC!B57</f>
        <v>Tecnologias en las estaciones</v>
      </c>
      <c r="C56" s="964"/>
      <c r="D56" s="725">
        <f>CHIFFRAGE_TC!K57</f>
        <v>0.25</v>
      </c>
      <c r="E56" s="209">
        <f>SUM(E57:E58)</f>
        <v>0</v>
      </c>
      <c r="F56" s="196">
        <f t="shared" ref="F56:AX56" si="8">SUM(F57:F58)</f>
        <v>0</v>
      </c>
      <c r="G56" s="196">
        <f t="shared" si="8"/>
        <v>15793816.817054302</v>
      </c>
      <c r="H56" s="197">
        <f t="shared" si="8"/>
        <v>6768778.6358804163</v>
      </c>
      <c r="I56" s="698">
        <f t="shared" si="8"/>
        <v>0</v>
      </c>
      <c r="J56" s="699">
        <f t="shared" si="8"/>
        <v>0</v>
      </c>
      <c r="K56" s="699">
        <f t="shared" si="8"/>
        <v>0</v>
      </c>
      <c r="L56" s="699">
        <f t="shared" si="8"/>
        <v>0</v>
      </c>
      <c r="M56" s="699">
        <f t="shared" si="8"/>
        <v>0</v>
      </c>
      <c r="N56" s="699">
        <f t="shared" si="8"/>
        <v>0</v>
      </c>
      <c r="O56" s="699">
        <f t="shared" si="8"/>
        <v>0</v>
      </c>
      <c r="P56" s="699">
        <f t="shared" si="8"/>
        <v>0</v>
      </c>
      <c r="Q56" s="699">
        <f t="shared" si="8"/>
        <v>0</v>
      </c>
      <c r="R56" s="699">
        <f t="shared" si="8"/>
        <v>0</v>
      </c>
      <c r="S56" s="699">
        <f t="shared" si="8"/>
        <v>0</v>
      </c>
      <c r="T56" s="699">
        <f t="shared" si="8"/>
        <v>0</v>
      </c>
      <c r="U56" s="699">
        <f t="shared" si="8"/>
        <v>0</v>
      </c>
      <c r="V56" s="699">
        <f t="shared" si="8"/>
        <v>0</v>
      </c>
      <c r="W56" s="699">
        <f t="shared" si="8"/>
        <v>0</v>
      </c>
      <c r="X56" s="699">
        <f t="shared" si="8"/>
        <v>0</v>
      </c>
      <c r="Y56" s="699">
        <f t="shared" si="8"/>
        <v>0</v>
      </c>
      <c r="Z56" s="699">
        <f t="shared" si="8"/>
        <v>0</v>
      </c>
      <c r="AA56" s="699">
        <f t="shared" si="8"/>
        <v>0</v>
      </c>
      <c r="AB56" s="699">
        <f t="shared" si="8"/>
        <v>0</v>
      </c>
      <c r="AC56" s="699">
        <f t="shared" si="8"/>
        <v>0</v>
      </c>
      <c r="AD56" s="699">
        <f t="shared" si="8"/>
        <v>0</v>
      </c>
      <c r="AE56" s="699">
        <f t="shared" si="8"/>
        <v>0</v>
      </c>
      <c r="AF56" s="699">
        <f t="shared" si="8"/>
        <v>0</v>
      </c>
      <c r="AG56" s="699">
        <f t="shared" si="8"/>
        <v>0</v>
      </c>
      <c r="AH56" s="699">
        <f t="shared" si="8"/>
        <v>0</v>
      </c>
      <c r="AI56" s="699">
        <f t="shared" si="8"/>
        <v>0</v>
      </c>
      <c r="AJ56" s="699">
        <f t="shared" si="8"/>
        <v>0</v>
      </c>
      <c r="AK56" s="699">
        <f t="shared" si="8"/>
        <v>0</v>
      </c>
      <c r="AL56" s="699">
        <f t="shared" si="8"/>
        <v>0</v>
      </c>
      <c r="AM56" s="699">
        <f t="shared" si="8"/>
        <v>0</v>
      </c>
      <c r="AN56" s="700">
        <f t="shared" si="8"/>
        <v>0</v>
      </c>
      <c r="AO56" s="700">
        <f t="shared" si="8"/>
        <v>0</v>
      </c>
      <c r="AP56" s="700">
        <f t="shared" si="8"/>
        <v>0</v>
      </c>
      <c r="AQ56" s="700">
        <f t="shared" si="8"/>
        <v>0</v>
      </c>
      <c r="AR56" s="700">
        <f t="shared" si="8"/>
        <v>0</v>
      </c>
      <c r="AS56" s="700">
        <f t="shared" si="8"/>
        <v>0</v>
      </c>
      <c r="AT56" s="700">
        <f t="shared" si="8"/>
        <v>0</v>
      </c>
      <c r="AU56" s="700">
        <f t="shared" si="8"/>
        <v>0</v>
      </c>
      <c r="AV56" s="700">
        <f t="shared" si="8"/>
        <v>0</v>
      </c>
      <c r="AW56" s="700">
        <f t="shared" si="8"/>
        <v>0</v>
      </c>
      <c r="AX56" s="700">
        <f t="shared" si="8"/>
        <v>0</v>
      </c>
    </row>
    <row r="57" spans="2:50" ht="13.2" x14ac:dyDescent="0.2">
      <c r="B57" s="290" t="str">
        <f>CHIFFRAGE_TC!B58</f>
        <v>Lanzador (por ramita y por media-estacion)</v>
      </c>
      <c r="C57" s="964">
        <f>CHIFFRAGE_TC!D58</f>
        <v>40</v>
      </c>
      <c r="D57" s="725"/>
      <c r="E57" s="208">
        <f>CHIFFRAGE_TC!$M58*CHIFFRAGE_TC!$T58</f>
        <v>0</v>
      </c>
      <c r="F57" s="17">
        <f>CHIFFRAGE_TC!$M58*CHIFFRAGE_TC!$U58</f>
        <v>0</v>
      </c>
      <c r="G57" s="17">
        <f>CHIFFRAGE_TC!$M58*CHIFFRAGE_TC!$V58</f>
        <v>7944483.5805175249</v>
      </c>
      <c r="H57" s="204">
        <f>CHIFFRAGE_TC!$M58*CHIFFRAGE_TC!$W58</f>
        <v>3404778.6773646539</v>
      </c>
      <c r="I57" s="709">
        <v>0</v>
      </c>
      <c r="J57" s="709">
        <v>0</v>
      </c>
      <c r="K57" s="709">
        <v>0</v>
      </c>
      <c r="L57" s="709">
        <v>0</v>
      </c>
      <c r="M57" s="709">
        <v>0</v>
      </c>
      <c r="N57" s="709">
        <v>0</v>
      </c>
      <c r="O57" s="709">
        <v>0</v>
      </c>
      <c r="P57" s="709">
        <v>0</v>
      </c>
      <c r="Q57" s="709">
        <v>0</v>
      </c>
      <c r="R57" s="709">
        <v>0</v>
      </c>
      <c r="S57" s="709">
        <v>0</v>
      </c>
      <c r="T57" s="709">
        <v>0</v>
      </c>
      <c r="U57" s="709">
        <v>0</v>
      </c>
      <c r="V57" s="709">
        <v>0</v>
      </c>
      <c r="W57" s="709">
        <v>0</v>
      </c>
      <c r="X57" s="709">
        <v>0</v>
      </c>
      <c r="Y57" s="709">
        <v>0</v>
      </c>
      <c r="Z57" s="709">
        <v>0</v>
      </c>
      <c r="AA57" s="709">
        <v>0</v>
      </c>
      <c r="AB57" s="709">
        <v>0</v>
      </c>
      <c r="AC57" s="709">
        <v>0</v>
      </c>
      <c r="AD57" s="709">
        <v>0</v>
      </c>
      <c r="AE57" s="709">
        <v>0</v>
      </c>
      <c r="AF57" s="709">
        <v>0</v>
      </c>
      <c r="AG57" s="709">
        <v>0</v>
      </c>
      <c r="AH57" s="709">
        <v>0</v>
      </c>
      <c r="AI57" s="709">
        <v>0</v>
      </c>
      <c r="AJ57" s="709">
        <v>0</v>
      </c>
      <c r="AK57" s="709">
        <v>0</v>
      </c>
      <c r="AL57" s="709">
        <v>0</v>
      </c>
      <c r="AM57" s="709">
        <v>0</v>
      </c>
      <c r="AN57" s="709">
        <v>0</v>
      </c>
      <c r="AO57" s="709">
        <v>0</v>
      </c>
      <c r="AP57" s="709">
        <v>0</v>
      </c>
      <c r="AQ57" s="709">
        <v>0</v>
      </c>
      <c r="AR57" s="709">
        <v>0</v>
      </c>
      <c r="AS57" s="709">
        <v>0</v>
      </c>
      <c r="AT57" s="709">
        <v>0</v>
      </c>
      <c r="AU57" s="709">
        <v>0</v>
      </c>
      <c r="AV57" s="709">
        <v>0</v>
      </c>
      <c r="AW57" s="709">
        <v>0</v>
      </c>
      <c r="AX57" s="709">
        <v>0</v>
      </c>
    </row>
    <row r="58" spans="2:50" ht="13.2" x14ac:dyDescent="0.2">
      <c r="B58" s="289" t="str">
        <f>CHIFFRAGE_TC!B59</f>
        <v>Cola y andenes (por numero de andenes, y/c puertas de anden)</v>
      </c>
      <c r="C58" s="964">
        <f>CHIFFRAGE_TC!D59</f>
        <v>40</v>
      </c>
      <c r="D58" s="725"/>
      <c r="E58" s="208">
        <f>CHIFFRAGE_TC!$M59*CHIFFRAGE_TC!$T59</f>
        <v>0</v>
      </c>
      <c r="F58" s="17">
        <f>CHIFFRAGE_TC!$M59*CHIFFRAGE_TC!$U59</f>
        <v>0</v>
      </c>
      <c r="G58" s="17">
        <f>CHIFFRAGE_TC!$M59*CHIFFRAGE_TC!$V59</f>
        <v>7849333.2365367776</v>
      </c>
      <c r="H58" s="204">
        <f>CHIFFRAGE_TC!$M59*CHIFFRAGE_TC!$W59</f>
        <v>3363999.9585157619</v>
      </c>
      <c r="I58" s="709">
        <v>0</v>
      </c>
      <c r="J58" s="709">
        <v>0</v>
      </c>
      <c r="K58" s="709">
        <v>0</v>
      </c>
      <c r="L58" s="709">
        <v>0</v>
      </c>
      <c r="M58" s="709">
        <v>0</v>
      </c>
      <c r="N58" s="709">
        <v>0</v>
      </c>
      <c r="O58" s="709">
        <v>0</v>
      </c>
      <c r="P58" s="709">
        <v>0</v>
      </c>
      <c r="Q58" s="709">
        <v>0</v>
      </c>
      <c r="R58" s="709">
        <v>0</v>
      </c>
      <c r="S58" s="709">
        <v>0</v>
      </c>
      <c r="T58" s="709">
        <v>0</v>
      </c>
      <c r="U58" s="709">
        <v>0</v>
      </c>
      <c r="V58" s="709">
        <v>0</v>
      </c>
      <c r="W58" s="709">
        <v>0</v>
      </c>
      <c r="X58" s="709">
        <v>0</v>
      </c>
      <c r="Y58" s="709">
        <v>0</v>
      </c>
      <c r="Z58" s="709">
        <v>0</v>
      </c>
      <c r="AA58" s="709">
        <v>0</v>
      </c>
      <c r="AB58" s="709">
        <v>0</v>
      </c>
      <c r="AC58" s="709">
        <v>0</v>
      </c>
      <c r="AD58" s="709">
        <v>0</v>
      </c>
      <c r="AE58" s="709">
        <v>0</v>
      </c>
      <c r="AF58" s="709">
        <v>0</v>
      </c>
      <c r="AG58" s="709">
        <v>0</v>
      </c>
      <c r="AH58" s="709">
        <v>0</v>
      </c>
      <c r="AI58" s="709">
        <v>0</v>
      </c>
      <c r="AJ58" s="709">
        <v>0</v>
      </c>
      <c r="AK58" s="709">
        <v>0</v>
      </c>
      <c r="AL58" s="709">
        <v>0</v>
      </c>
      <c r="AM58" s="709">
        <v>0</v>
      </c>
      <c r="AN58" s="709">
        <v>0</v>
      </c>
      <c r="AO58" s="709">
        <v>0</v>
      </c>
      <c r="AP58" s="709">
        <v>0</v>
      </c>
      <c r="AQ58" s="709">
        <v>0</v>
      </c>
      <c r="AR58" s="709">
        <v>0</v>
      </c>
      <c r="AS58" s="709">
        <v>0</v>
      </c>
      <c r="AT58" s="709">
        <v>0</v>
      </c>
      <c r="AU58" s="709">
        <v>0</v>
      </c>
      <c r="AV58" s="709">
        <v>0</v>
      </c>
      <c r="AW58" s="709">
        <v>0</v>
      </c>
      <c r="AX58" s="709">
        <v>0</v>
      </c>
    </row>
    <row r="59" spans="2:50" ht="13.8" thickBot="1" x14ac:dyDescent="0.25">
      <c r="B59" s="290"/>
      <c r="C59" s="964"/>
      <c r="D59" s="725"/>
      <c r="E59" s="208"/>
      <c r="F59" s="17"/>
      <c r="G59" s="17"/>
      <c r="H59" s="204"/>
      <c r="I59" s="69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</row>
    <row r="60" spans="2:50" ht="16.2" thickBot="1" x14ac:dyDescent="0.25">
      <c r="B60" s="288" t="str">
        <f>CHIFFRAGE_TC!B61</f>
        <v>Equipamiento electrico</v>
      </c>
      <c r="C60" s="964"/>
      <c r="D60" s="725">
        <f>CHIFFRAGE_TC!K61</f>
        <v>0.25</v>
      </c>
      <c r="E60" s="209">
        <f>SUM(E61:E67)</f>
        <v>0</v>
      </c>
      <c r="F60" s="196">
        <f t="shared" ref="F60:H60" si="9">SUM(F61:F67)</f>
        <v>1084215.5840216852</v>
      </c>
      <c r="G60" s="196">
        <f t="shared" si="9"/>
        <v>2730271.7823891086</v>
      </c>
      <c r="H60" s="197">
        <f t="shared" si="9"/>
        <v>556626.95702965884</v>
      </c>
      <c r="I60" s="698">
        <f t="shared" ref="I60:AX60" si="10">SUM(I61:I67)</f>
        <v>0</v>
      </c>
      <c r="J60" s="699">
        <f t="shared" si="10"/>
        <v>0</v>
      </c>
      <c r="K60" s="699">
        <f t="shared" si="10"/>
        <v>0</v>
      </c>
      <c r="L60" s="699">
        <f t="shared" si="10"/>
        <v>0</v>
      </c>
      <c r="M60" s="699">
        <f t="shared" si="10"/>
        <v>0</v>
      </c>
      <c r="N60" s="699">
        <f t="shared" si="10"/>
        <v>0</v>
      </c>
      <c r="O60" s="699">
        <f t="shared" si="10"/>
        <v>0</v>
      </c>
      <c r="P60" s="699">
        <f t="shared" si="10"/>
        <v>0</v>
      </c>
      <c r="Q60" s="699">
        <f t="shared" si="10"/>
        <v>0</v>
      </c>
      <c r="R60" s="699">
        <f t="shared" si="10"/>
        <v>0</v>
      </c>
      <c r="S60" s="699">
        <f t="shared" si="10"/>
        <v>0</v>
      </c>
      <c r="T60" s="699">
        <f t="shared" si="10"/>
        <v>0</v>
      </c>
      <c r="U60" s="699">
        <f t="shared" si="10"/>
        <v>0</v>
      </c>
      <c r="V60" s="699">
        <f t="shared" si="10"/>
        <v>0</v>
      </c>
      <c r="W60" s="699">
        <f t="shared" si="10"/>
        <v>1084215.5840216852</v>
      </c>
      <c r="X60" s="699">
        <f t="shared" si="10"/>
        <v>910870.62794782163</v>
      </c>
      <c r="Y60" s="699">
        <f t="shared" si="10"/>
        <v>556626.95702965884</v>
      </c>
      <c r="Z60" s="699">
        <f t="shared" si="10"/>
        <v>0</v>
      </c>
      <c r="AA60" s="699">
        <f t="shared" si="10"/>
        <v>0</v>
      </c>
      <c r="AB60" s="699">
        <f t="shared" si="10"/>
        <v>0</v>
      </c>
      <c r="AC60" s="699">
        <f t="shared" si="10"/>
        <v>0</v>
      </c>
      <c r="AD60" s="699">
        <f t="shared" si="10"/>
        <v>0</v>
      </c>
      <c r="AE60" s="699">
        <f t="shared" si="10"/>
        <v>0</v>
      </c>
      <c r="AF60" s="699">
        <f t="shared" si="10"/>
        <v>0</v>
      </c>
      <c r="AG60" s="699">
        <f t="shared" si="10"/>
        <v>0</v>
      </c>
      <c r="AH60" s="699">
        <f t="shared" si="10"/>
        <v>0</v>
      </c>
      <c r="AI60" s="699">
        <f t="shared" si="10"/>
        <v>0</v>
      </c>
      <c r="AJ60" s="699">
        <f t="shared" si="10"/>
        <v>0</v>
      </c>
      <c r="AK60" s="699">
        <f t="shared" si="10"/>
        <v>0</v>
      </c>
      <c r="AL60" s="699">
        <f t="shared" si="10"/>
        <v>0</v>
      </c>
      <c r="AM60" s="699">
        <f t="shared" si="10"/>
        <v>0</v>
      </c>
      <c r="AN60" s="700">
        <f t="shared" si="10"/>
        <v>1084215.5840216852</v>
      </c>
      <c r="AO60" s="700">
        <f t="shared" si="10"/>
        <v>910870.62794782163</v>
      </c>
      <c r="AP60" s="700">
        <f t="shared" si="10"/>
        <v>556626.95702965884</v>
      </c>
      <c r="AQ60" s="700">
        <f t="shared" si="10"/>
        <v>0</v>
      </c>
      <c r="AR60" s="700">
        <f t="shared" si="10"/>
        <v>0</v>
      </c>
      <c r="AS60" s="700">
        <f t="shared" si="10"/>
        <v>0</v>
      </c>
      <c r="AT60" s="700">
        <f t="shared" si="10"/>
        <v>0</v>
      </c>
      <c r="AU60" s="700">
        <f t="shared" si="10"/>
        <v>0</v>
      </c>
      <c r="AV60" s="700">
        <f t="shared" si="10"/>
        <v>0</v>
      </c>
      <c r="AW60" s="700">
        <f t="shared" si="10"/>
        <v>0</v>
      </c>
      <c r="AX60" s="700">
        <f t="shared" si="10"/>
        <v>0</v>
      </c>
    </row>
    <row r="61" spans="2:50" ht="13.2" x14ac:dyDescent="0.2">
      <c r="B61" s="291" t="str">
        <f>CHIFFRAGE_TC!B62</f>
        <v>Cuarto de mandos</v>
      </c>
      <c r="C61" s="964">
        <f>CHIFFRAGE_TC!D62</f>
        <v>15</v>
      </c>
      <c r="D61" s="725"/>
      <c r="E61" s="208">
        <f>CHIFFRAGE_TC!$M62*CHIFFRAGE_TC!$T62</f>
        <v>0</v>
      </c>
      <c r="F61" s="17">
        <f>CHIFFRAGE_TC!$M62*CHIFFRAGE_TC!$U62</f>
        <v>523987.53247909067</v>
      </c>
      <c r="G61" s="17">
        <f>CHIFFRAGE_TC!$M62*CHIFFRAGE_TC!$V62</f>
        <v>523987.53247909067</v>
      </c>
      <c r="H61" s="204">
        <f>CHIFFRAGE_TC!$M62*CHIFFRAGE_TC!$W62</f>
        <v>0</v>
      </c>
      <c r="I61" s="709">
        <v>0</v>
      </c>
      <c r="J61" s="709">
        <v>0</v>
      </c>
      <c r="K61" s="709">
        <v>0</v>
      </c>
      <c r="L61" s="709">
        <v>0</v>
      </c>
      <c r="M61" s="709">
        <v>0</v>
      </c>
      <c r="N61" s="709">
        <v>0</v>
      </c>
      <c r="O61" s="709">
        <v>0</v>
      </c>
      <c r="P61" s="709">
        <v>0</v>
      </c>
      <c r="Q61" s="709">
        <v>0</v>
      </c>
      <c r="R61" s="709">
        <v>0</v>
      </c>
      <c r="S61" s="709">
        <v>0</v>
      </c>
      <c r="T61" s="709">
        <v>0</v>
      </c>
      <c r="U61" s="709">
        <v>0</v>
      </c>
      <c r="V61" s="709">
        <v>0</v>
      </c>
      <c r="W61" s="729">
        <f t="shared" ref="W61:Y62" si="11">F61</f>
        <v>523987.53247909067</v>
      </c>
      <c r="X61" s="729">
        <f t="shared" si="11"/>
        <v>523987.53247909067</v>
      </c>
      <c r="Y61" s="729">
        <f t="shared" si="11"/>
        <v>0</v>
      </c>
      <c r="Z61" s="709">
        <v>0</v>
      </c>
      <c r="AA61" s="709">
        <v>0</v>
      </c>
      <c r="AB61" s="709">
        <v>0</v>
      </c>
      <c r="AC61" s="709">
        <v>0</v>
      </c>
      <c r="AD61" s="709">
        <v>0</v>
      </c>
      <c r="AE61" s="709">
        <v>0</v>
      </c>
      <c r="AF61" s="709">
        <v>0</v>
      </c>
      <c r="AG61" s="709">
        <v>0</v>
      </c>
      <c r="AH61" s="709">
        <v>0</v>
      </c>
      <c r="AI61" s="709">
        <v>0</v>
      </c>
      <c r="AJ61" s="709">
        <v>0</v>
      </c>
      <c r="AK61" s="709">
        <v>0</v>
      </c>
      <c r="AL61" s="709">
        <v>0</v>
      </c>
      <c r="AM61" s="709">
        <v>0</v>
      </c>
      <c r="AN61" s="729">
        <f t="shared" ref="AN61:AP62" si="12">F61</f>
        <v>523987.53247909067</v>
      </c>
      <c r="AO61" s="729">
        <f t="shared" si="12"/>
        <v>523987.53247909067</v>
      </c>
      <c r="AP61" s="729">
        <f t="shared" si="12"/>
        <v>0</v>
      </c>
      <c r="AQ61" s="709">
        <v>0</v>
      </c>
      <c r="AR61" s="709">
        <v>0</v>
      </c>
      <c r="AS61" s="709">
        <v>0</v>
      </c>
      <c r="AT61" s="709">
        <v>0</v>
      </c>
      <c r="AU61" s="709">
        <v>0</v>
      </c>
      <c r="AV61" s="709">
        <v>0</v>
      </c>
      <c r="AW61" s="709">
        <v>0</v>
      </c>
      <c r="AX61" s="709">
        <v>0</v>
      </c>
    </row>
    <row r="62" spans="2:50" ht="13.2" x14ac:dyDescent="0.2">
      <c r="B62" s="290" t="str">
        <f>CHIFFRAGE_TC!B63</f>
        <v>Cuarto de electricidad (400V tres fases)</v>
      </c>
      <c r="C62" s="964">
        <f>CHIFFRAGE_TC!D63</f>
        <v>15</v>
      </c>
      <c r="D62" s="725"/>
      <c r="E62" s="208">
        <f>CHIFFRAGE_TC!$M63*CHIFFRAGE_TC!$T63</f>
        <v>0</v>
      </c>
      <c r="F62" s="17">
        <f>CHIFFRAGE_TC!$M63*CHIFFRAGE_TC!$U63</f>
        <v>179471.36386242419</v>
      </c>
      <c r="G62" s="17">
        <f>CHIFFRAGE_TC!$M63*CHIFFRAGE_TC!$V63</f>
        <v>179471.36386242419</v>
      </c>
      <c r="H62" s="204">
        <f>CHIFFRAGE_TC!$M63*CHIFFRAGE_TC!$W63</f>
        <v>0</v>
      </c>
      <c r="I62" s="709">
        <v>0</v>
      </c>
      <c r="J62" s="709">
        <v>0</v>
      </c>
      <c r="K62" s="709">
        <v>0</v>
      </c>
      <c r="L62" s="709">
        <v>0</v>
      </c>
      <c r="M62" s="709">
        <v>0</v>
      </c>
      <c r="N62" s="709">
        <v>0</v>
      </c>
      <c r="O62" s="709">
        <v>0</v>
      </c>
      <c r="P62" s="709">
        <v>0</v>
      </c>
      <c r="Q62" s="709">
        <v>0</v>
      </c>
      <c r="R62" s="709">
        <v>0</v>
      </c>
      <c r="S62" s="709">
        <v>0</v>
      </c>
      <c r="T62" s="709">
        <v>0</v>
      </c>
      <c r="U62" s="709">
        <v>0</v>
      </c>
      <c r="V62" s="709">
        <v>0</v>
      </c>
      <c r="W62" s="729">
        <f t="shared" si="11"/>
        <v>179471.36386242419</v>
      </c>
      <c r="X62" s="729">
        <f t="shared" si="11"/>
        <v>179471.36386242419</v>
      </c>
      <c r="Y62" s="729">
        <f t="shared" si="11"/>
        <v>0</v>
      </c>
      <c r="Z62" s="709">
        <v>0</v>
      </c>
      <c r="AA62" s="709">
        <v>0</v>
      </c>
      <c r="AB62" s="709">
        <v>0</v>
      </c>
      <c r="AC62" s="709">
        <v>0</v>
      </c>
      <c r="AD62" s="709">
        <v>0</v>
      </c>
      <c r="AE62" s="709">
        <v>0</v>
      </c>
      <c r="AF62" s="709">
        <v>0</v>
      </c>
      <c r="AG62" s="709">
        <v>0</v>
      </c>
      <c r="AH62" s="709">
        <v>0</v>
      </c>
      <c r="AI62" s="709">
        <v>0</v>
      </c>
      <c r="AJ62" s="709">
        <v>0</v>
      </c>
      <c r="AK62" s="709">
        <v>0</v>
      </c>
      <c r="AL62" s="709">
        <v>0</v>
      </c>
      <c r="AM62" s="709">
        <v>0</v>
      </c>
      <c r="AN62" s="729">
        <f t="shared" si="12"/>
        <v>179471.36386242419</v>
      </c>
      <c r="AO62" s="729">
        <f t="shared" si="12"/>
        <v>179471.36386242419</v>
      </c>
      <c r="AP62" s="729">
        <f t="shared" si="12"/>
        <v>0</v>
      </c>
      <c r="AQ62" s="709">
        <v>0</v>
      </c>
      <c r="AR62" s="709">
        <v>0</v>
      </c>
      <c r="AS62" s="709">
        <v>0</v>
      </c>
      <c r="AT62" s="709">
        <v>0</v>
      </c>
      <c r="AU62" s="709">
        <v>0</v>
      </c>
      <c r="AV62" s="709">
        <v>0</v>
      </c>
      <c r="AW62" s="709">
        <v>0</v>
      </c>
      <c r="AX62" s="709">
        <v>0</v>
      </c>
    </row>
    <row r="63" spans="2:50" ht="13.2" x14ac:dyDescent="0.2">
      <c r="B63" s="290" t="str">
        <f>CHIFFRAGE_TC!B64</f>
        <v>Cuarto de manejo del traslado y zona de mantenimiento</v>
      </c>
      <c r="C63" s="964">
        <f>CHIFFRAGE_TC!D64</f>
        <v>15</v>
      </c>
      <c r="D63" s="725"/>
      <c r="E63" s="208">
        <f>CHIFFRAGE_TC!$M64*CHIFFRAGE_TC!$T64</f>
        <v>0</v>
      </c>
      <c r="F63" s="17">
        <f>CHIFFRAGE_TC!$M64*CHIFFRAGE_TC!$U64</f>
        <v>0</v>
      </c>
      <c r="G63" s="17">
        <f>CHIFFRAGE_TC!$M64*CHIFFRAGE_TC!$V64</f>
        <v>0</v>
      </c>
      <c r="H63" s="204">
        <f>CHIFFRAGE_TC!$M64*CHIFFRAGE_TC!$W64</f>
        <v>72776.0461776515</v>
      </c>
      <c r="I63" s="709">
        <v>0</v>
      </c>
      <c r="J63" s="709">
        <v>0</v>
      </c>
      <c r="K63" s="709">
        <v>0</v>
      </c>
      <c r="L63" s="709">
        <v>0</v>
      </c>
      <c r="M63" s="709">
        <v>0</v>
      </c>
      <c r="N63" s="709">
        <v>0</v>
      </c>
      <c r="O63" s="709">
        <v>0</v>
      </c>
      <c r="P63" s="709">
        <v>0</v>
      </c>
      <c r="Q63" s="709">
        <v>0</v>
      </c>
      <c r="R63" s="709">
        <v>0</v>
      </c>
      <c r="S63" s="709">
        <v>0</v>
      </c>
      <c r="T63" s="709">
        <v>0</v>
      </c>
      <c r="U63" s="709">
        <v>0</v>
      </c>
      <c r="V63" s="709">
        <v>0</v>
      </c>
      <c r="W63" s="729">
        <f t="shared" ref="W63:Y65" si="13">F63</f>
        <v>0</v>
      </c>
      <c r="X63" s="729">
        <f t="shared" si="13"/>
        <v>0</v>
      </c>
      <c r="Y63" s="729">
        <f t="shared" si="13"/>
        <v>72776.0461776515</v>
      </c>
      <c r="Z63" s="709">
        <v>0</v>
      </c>
      <c r="AA63" s="709">
        <v>0</v>
      </c>
      <c r="AB63" s="709">
        <v>0</v>
      </c>
      <c r="AC63" s="709">
        <v>0</v>
      </c>
      <c r="AD63" s="709">
        <v>0</v>
      </c>
      <c r="AE63" s="709">
        <v>0</v>
      </c>
      <c r="AF63" s="709">
        <v>0</v>
      </c>
      <c r="AG63" s="709">
        <v>0</v>
      </c>
      <c r="AH63" s="709">
        <v>0</v>
      </c>
      <c r="AI63" s="709">
        <v>0</v>
      </c>
      <c r="AJ63" s="709">
        <v>0</v>
      </c>
      <c r="AK63" s="709">
        <v>0</v>
      </c>
      <c r="AL63" s="709">
        <v>0</v>
      </c>
      <c r="AM63" s="709">
        <v>0</v>
      </c>
      <c r="AN63" s="729">
        <f t="shared" ref="AN63:AP65" si="14">F63</f>
        <v>0</v>
      </c>
      <c r="AO63" s="729">
        <f t="shared" si="14"/>
        <v>0</v>
      </c>
      <c r="AP63" s="729">
        <f t="shared" si="14"/>
        <v>72776.0461776515</v>
      </c>
      <c r="AQ63" s="709">
        <v>0</v>
      </c>
      <c r="AR63" s="709">
        <v>0</v>
      </c>
      <c r="AS63" s="709">
        <v>0</v>
      </c>
      <c r="AT63" s="709">
        <v>0</v>
      </c>
      <c r="AU63" s="709">
        <v>0</v>
      </c>
      <c r="AV63" s="709">
        <v>0</v>
      </c>
      <c r="AW63" s="709">
        <v>0</v>
      </c>
      <c r="AX63" s="709">
        <v>0</v>
      </c>
    </row>
    <row r="64" spans="2:50" ht="13.2" x14ac:dyDescent="0.2">
      <c r="B64" s="290" t="str">
        <f>CHIFFRAGE_TC!B65</f>
        <v>Alimentacion de auxilio de emergencia 
de la estacion motrice y del centro de mando</v>
      </c>
      <c r="C64" s="964">
        <f>CHIFFRAGE_TC!D65</f>
        <v>15</v>
      </c>
      <c r="D64" s="725"/>
      <c r="E64" s="208">
        <f>CHIFFRAGE_TC!$M65*CHIFFRAGE_TC!$T65</f>
        <v>0</v>
      </c>
      <c r="F64" s="17">
        <f>CHIFFRAGE_TC!$M65*CHIFFRAGE_TC!$U65</f>
        <v>0</v>
      </c>
      <c r="G64" s="17">
        <f>CHIFFRAGE_TC!$M65*CHIFFRAGE_TC!$V65</f>
        <v>0</v>
      </c>
      <c r="H64" s="204">
        <f>CHIFFRAGE_TC!$M65*CHIFFRAGE_TC!$W65</f>
        <v>69027.447639393926</v>
      </c>
      <c r="I64" s="709">
        <v>0</v>
      </c>
      <c r="J64" s="709">
        <v>0</v>
      </c>
      <c r="K64" s="709">
        <v>0</v>
      </c>
      <c r="L64" s="709">
        <v>0</v>
      </c>
      <c r="M64" s="709">
        <v>0</v>
      </c>
      <c r="N64" s="709">
        <v>0</v>
      </c>
      <c r="O64" s="709">
        <v>0</v>
      </c>
      <c r="P64" s="709">
        <v>0</v>
      </c>
      <c r="Q64" s="709">
        <v>0</v>
      </c>
      <c r="R64" s="709">
        <v>0</v>
      </c>
      <c r="S64" s="709">
        <v>0</v>
      </c>
      <c r="T64" s="709">
        <v>0</v>
      </c>
      <c r="U64" s="709">
        <v>0</v>
      </c>
      <c r="V64" s="709">
        <v>0</v>
      </c>
      <c r="W64" s="729">
        <f t="shared" si="13"/>
        <v>0</v>
      </c>
      <c r="X64" s="729">
        <f t="shared" si="13"/>
        <v>0</v>
      </c>
      <c r="Y64" s="729">
        <f t="shared" si="13"/>
        <v>69027.447639393926</v>
      </c>
      <c r="Z64" s="709">
        <v>0</v>
      </c>
      <c r="AA64" s="709">
        <v>0</v>
      </c>
      <c r="AB64" s="709">
        <v>0</v>
      </c>
      <c r="AC64" s="709">
        <v>0</v>
      </c>
      <c r="AD64" s="709">
        <v>0</v>
      </c>
      <c r="AE64" s="709">
        <v>0</v>
      </c>
      <c r="AF64" s="709">
        <v>0</v>
      </c>
      <c r="AG64" s="709">
        <v>0</v>
      </c>
      <c r="AH64" s="709">
        <v>0</v>
      </c>
      <c r="AI64" s="709">
        <v>0</v>
      </c>
      <c r="AJ64" s="709">
        <v>0</v>
      </c>
      <c r="AK64" s="709">
        <v>0</v>
      </c>
      <c r="AL64" s="709">
        <v>0</v>
      </c>
      <c r="AM64" s="709">
        <v>0</v>
      </c>
      <c r="AN64" s="729">
        <f t="shared" si="14"/>
        <v>0</v>
      </c>
      <c r="AO64" s="729">
        <f t="shared" si="14"/>
        <v>0</v>
      </c>
      <c r="AP64" s="729">
        <f t="shared" si="14"/>
        <v>69027.447639393926</v>
      </c>
      <c r="AQ64" s="709">
        <v>0</v>
      </c>
      <c r="AR64" s="709">
        <v>0</v>
      </c>
      <c r="AS64" s="709">
        <v>0</v>
      </c>
      <c r="AT64" s="709">
        <v>0</v>
      </c>
      <c r="AU64" s="709">
        <v>0</v>
      </c>
      <c r="AV64" s="709">
        <v>0</v>
      </c>
      <c r="AW64" s="709">
        <v>0</v>
      </c>
      <c r="AX64" s="709">
        <v>0</v>
      </c>
    </row>
    <row r="65" spans="2:50" ht="39.6" x14ac:dyDescent="0.2">
      <c r="B65" s="292" t="str">
        <f>CHIFFRAGE_TC!B66</f>
        <v>Alimentaciones auxiliarias y equipamientos electricos 
en las estaciones y en el taller (aire acondicionado, alumbrado, 
mando de las puertas de anden, etc.)</v>
      </c>
      <c r="C65" s="964">
        <f>CHIFFRAGE_TC!D66</f>
        <v>15</v>
      </c>
      <c r="D65" s="725"/>
      <c r="E65" s="208">
        <f>CHIFFRAGE_TC!$M66*CHIFFRAGE_TC!$T66</f>
        <v>0</v>
      </c>
      <c r="F65" s="17">
        <f>CHIFFRAGE_TC!$M66*CHIFFRAGE_TC!$U66</f>
        <v>207411.73160630674</v>
      </c>
      <c r="G65" s="17">
        <f>CHIFFRAGE_TC!$M66*CHIFFRAGE_TC!$V66</f>
        <v>207411.73160630674</v>
      </c>
      <c r="H65" s="204">
        <f>CHIFFRAGE_TC!$M66*CHIFFRAGE_TC!$W66</f>
        <v>414823.46321261348</v>
      </c>
      <c r="I65" s="709">
        <v>0</v>
      </c>
      <c r="J65" s="709">
        <v>0</v>
      </c>
      <c r="K65" s="709">
        <v>0</v>
      </c>
      <c r="L65" s="709">
        <v>0</v>
      </c>
      <c r="M65" s="709">
        <v>0</v>
      </c>
      <c r="N65" s="709">
        <v>0</v>
      </c>
      <c r="O65" s="709">
        <v>0</v>
      </c>
      <c r="P65" s="709">
        <v>0</v>
      </c>
      <c r="Q65" s="709">
        <v>0</v>
      </c>
      <c r="R65" s="709">
        <v>0</v>
      </c>
      <c r="S65" s="709">
        <v>0</v>
      </c>
      <c r="T65" s="709">
        <v>0</v>
      </c>
      <c r="U65" s="709">
        <v>0</v>
      </c>
      <c r="V65" s="709">
        <v>0</v>
      </c>
      <c r="W65" s="729">
        <f t="shared" si="13"/>
        <v>207411.73160630674</v>
      </c>
      <c r="X65" s="729">
        <f t="shared" si="13"/>
        <v>207411.73160630674</v>
      </c>
      <c r="Y65" s="729">
        <f t="shared" si="13"/>
        <v>414823.46321261348</v>
      </c>
      <c r="Z65" s="709">
        <v>0</v>
      </c>
      <c r="AA65" s="709">
        <v>0</v>
      </c>
      <c r="AB65" s="709">
        <v>0</v>
      </c>
      <c r="AC65" s="709">
        <v>0</v>
      </c>
      <c r="AD65" s="709">
        <v>0</v>
      </c>
      <c r="AE65" s="709">
        <v>0</v>
      </c>
      <c r="AF65" s="709">
        <v>0</v>
      </c>
      <c r="AG65" s="709">
        <v>0</v>
      </c>
      <c r="AH65" s="709">
        <v>0</v>
      </c>
      <c r="AI65" s="709">
        <v>0</v>
      </c>
      <c r="AJ65" s="709">
        <v>0</v>
      </c>
      <c r="AK65" s="709">
        <v>0</v>
      </c>
      <c r="AL65" s="709">
        <v>0</v>
      </c>
      <c r="AM65" s="709">
        <v>0</v>
      </c>
      <c r="AN65" s="729">
        <f t="shared" si="14"/>
        <v>207411.73160630674</v>
      </c>
      <c r="AO65" s="729">
        <f t="shared" si="14"/>
        <v>207411.73160630674</v>
      </c>
      <c r="AP65" s="729">
        <f t="shared" si="14"/>
        <v>414823.46321261348</v>
      </c>
      <c r="AQ65" s="709">
        <v>0</v>
      </c>
      <c r="AR65" s="709">
        <v>0</v>
      </c>
      <c r="AS65" s="709">
        <v>0</v>
      </c>
      <c r="AT65" s="709">
        <v>0</v>
      </c>
      <c r="AU65" s="709">
        <v>0</v>
      </c>
      <c r="AV65" s="709">
        <v>0</v>
      </c>
      <c r="AW65" s="709">
        <v>0</v>
      </c>
      <c r="AX65" s="709">
        <v>0</v>
      </c>
    </row>
    <row r="66" spans="2:50" ht="13.2" x14ac:dyDescent="0.2">
      <c r="B66" s="290" t="str">
        <f>CHIFFRAGE_TC!B67</f>
        <v>Doble motorizacion, reductores y traccion del cable</v>
      </c>
      <c r="C66" s="964">
        <f>CHIFFRAGE_TC!D67</f>
        <v>40</v>
      </c>
      <c r="D66" s="725"/>
      <c r="E66" s="208">
        <f>CHIFFRAGE_TC!$M67*CHIFFRAGE_TC!$T67</f>
        <v>0</v>
      </c>
      <c r="F66" s="17">
        <f>CHIFFRAGE_TC!$M67*CHIFFRAGE_TC!$U67</f>
        <v>0</v>
      </c>
      <c r="G66" s="17">
        <f>CHIFFRAGE_TC!$M67*CHIFFRAGE_TC!$V67</f>
        <v>1819401.1544412868</v>
      </c>
      <c r="H66" s="204">
        <f>CHIFFRAGE_TC!$M67*CHIFFRAGE_TC!$W67</f>
        <v>0</v>
      </c>
      <c r="I66" s="709">
        <v>0</v>
      </c>
      <c r="J66" s="709">
        <v>0</v>
      </c>
      <c r="K66" s="709">
        <v>0</v>
      </c>
      <c r="L66" s="709">
        <v>0</v>
      </c>
      <c r="M66" s="709">
        <v>0</v>
      </c>
      <c r="N66" s="709">
        <v>0</v>
      </c>
      <c r="O66" s="709">
        <v>0</v>
      </c>
      <c r="P66" s="709">
        <v>0</v>
      </c>
      <c r="Q66" s="709">
        <v>0</v>
      </c>
      <c r="R66" s="709">
        <v>0</v>
      </c>
      <c r="S66" s="709">
        <v>0</v>
      </c>
      <c r="T66" s="709">
        <v>0</v>
      </c>
      <c r="U66" s="709">
        <v>0</v>
      </c>
      <c r="V66" s="709">
        <v>0</v>
      </c>
      <c r="W66" s="924"/>
      <c r="X66" s="924"/>
      <c r="Y66" s="924"/>
      <c r="Z66" s="709"/>
      <c r="AA66" s="709">
        <v>0</v>
      </c>
      <c r="AB66" s="709">
        <v>0</v>
      </c>
      <c r="AC66" s="709">
        <v>0</v>
      </c>
      <c r="AD66" s="709">
        <v>0</v>
      </c>
      <c r="AE66" s="709">
        <v>0</v>
      </c>
      <c r="AF66" s="709">
        <v>0</v>
      </c>
      <c r="AG66" s="709">
        <v>0</v>
      </c>
      <c r="AH66" s="709">
        <v>0</v>
      </c>
      <c r="AI66" s="709">
        <v>0</v>
      </c>
      <c r="AJ66" s="709">
        <v>0</v>
      </c>
      <c r="AK66" s="709">
        <v>0</v>
      </c>
      <c r="AL66" s="709">
        <v>0</v>
      </c>
      <c r="AM66" s="709">
        <v>0</v>
      </c>
      <c r="AN66" s="924"/>
      <c r="AO66" s="924"/>
      <c r="AP66" s="924"/>
      <c r="AQ66" s="709">
        <v>0</v>
      </c>
      <c r="AR66" s="709">
        <v>0</v>
      </c>
      <c r="AS66" s="709">
        <v>0</v>
      </c>
      <c r="AT66" s="709">
        <v>0</v>
      </c>
      <c r="AU66" s="709">
        <v>0</v>
      </c>
      <c r="AV66" s="709">
        <v>0</v>
      </c>
      <c r="AW66" s="709">
        <v>0</v>
      </c>
      <c r="AX66" s="709">
        <v>0</v>
      </c>
    </row>
    <row r="67" spans="2:50" ht="13.2" x14ac:dyDescent="0.2">
      <c r="B67" s="289" t="str">
        <f>CHIFFRAGE_TC!B68</f>
        <v>Constitucion de una linea de reserva para la estacion motrice</v>
      </c>
      <c r="C67" s="964">
        <f>CHIFFRAGE_TC!D68</f>
        <v>15</v>
      </c>
      <c r="D67" s="725"/>
      <c r="E67" s="208">
        <f>CHIFFRAGE_TC!$M68*CHIFFRAGE_TC!$T68</f>
        <v>0</v>
      </c>
      <c r="F67" s="17">
        <f>CHIFFRAGE_TC!$M68*CHIFFRAGE_TC!$U68</f>
        <v>173344.95607386358</v>
      </c>
      <c r="G67" s="17">
        <f>CHIFFRAGE_TC!$M68*CHIFFRAGE_TC!$V68</f>
        <v>0</v>
      </c>
      <c r="H67" s="204">
        <f>CHIFFRAGE_TC!$M68*CHIFFRAGE_TC!$W68</f>
        <v>0</v>
      </c>
      <c r="I67" s="709">
        <v>0</v>
      </c>
      <c r="J67" s="709">
        <v>0</v>
      </c>
      <c r="K67" s="709">
        <v>0</v>
      </c>
      <c r="L67" s="709">
        <v>0</v>
      </c>
      <c r="M67" s="709">
        <v>0</v>
      </c>
      <c r="N67" s="709">
        <v>0</v>
      </c>
      <c r="O67" s="709">
        <v>0</v>
      </c>
      <c r="P67" s="709">
        <v>0</v>
      </c>
      <c r="Q67" s="709">
        <v>0</v>
      </c>
      <c r="R67" s="709">
        <v>0</v>
      </c>
      <c r="S67" s="709">
        <v>0</v>
      </c>
      <c r="T67" s="709">
        <v>0</v>
      </c>
      <c r="U67" s="709">
        <v>0</v>
      </c>
      <c r="V67" s="709">
        <v>0</v>
      </c>
      <c r="W67" s="729">
        <f t="shared" ref="W67" si="15">F67</f>
        <v>173344.95607386358</v>
      </c>
      <c r="X67" s="729">
        <f t="shared" ref="X67" si="16">G67</f>
        <v>0</v>
      </c>
      <c r="Y67" s="729">
        <f t="shared" ref="Y67" si="17">H67</f>
        <v>0</v>
      </c>
      <c r="Z67" s="709">
        <v>0</v>
      </c>
      <c r="AA67" s="709">
        <v>0</v>
      </c>
      <c r="AB67" s="709">
        <v>0</v>
      </c>
      <c r="AC67" s="709">
        <v>0</v>
      </c>
      <c r="AD67" s="709">
        <v>0</v>
      </c>
      <c r="AE67" s="709">
        <v>0</v>
      </c>
      <c r="AF67" s="709">
        <v>0</v>
      </c>
      <c r="AG67" s="709">
        <v>0</v>
      </c>
      <c r="AH67" s="709">
        <v>0</v>
      </c>
      <c r="AI67" s="709">
        <v>0</v>
      </c>
      <c r="AJ67" s="709">
        <v>0</v>
      </c>
      <c r="AK67" s="709">
        <v>0</v>
      </c>
      <c r="AL67" s="709">
        <v>0</v>
      </c>
      <c r="AM67" s="709">
        <v>0</v>
      </c>
      <c r="AN67" s="729">
        <f t="shared" ref="AN67" si="18">F67</f>
        <v>173344.95607386358</v>
      </c>
      <c r="AO67" s="729">
        <f t="shared" ref="AO67" si="19">G67</f>
        <v>0</v>
      </c>
      <c r="AP67" s="729">
        <f t="shared" ref="AP67" si="20">H67</f>
        <v>0</v>
      </c>
      <c r="AQ67" s="709">
        <v>0</v>
      </c>
      <c r="AR67" s="709">
        <v>0</v>
      </c>
      <c r="AS67" s="709">
        <v>0</v>
      </c>
      <c r="AT67" s="709">
        <v>0</v>
      </c>
      <c r="AU67" s="709">
        <v>0</v>
      </c>
      <c r="AV67" s="709">
        <v>0</v>
      </c>
      <c r="AW67" s="709">
        <v>0</v>
      </c>
      <c r="AX67" s="709">
        <v>0</v>
      </c>
    </row>
    <row r="68" spans="2:50" ht="13.8" thickBot="1" x14ac:dyDescent="0.25">
      <c r="B68" s="290"/>
      <c r="C68" s="964"/>
      <c r="D68" s="725"/>
      <c r="E68" s="208"/>
      <c r="F68" s="17"/>
      <c r="G68" s="17"/>
      <c r="H68" s="204"/>
      <c r="I68" s="69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</row>
    <row r="69" spans="2:50" ht="16.2" thickBot="1" x14ac:dyDescent="0.25">
      <c r="B69" s="288" t="str">
        <f>CHIFFRAGE_TC!B70</f>
        <v>Telecomunicaciones y boleteria</v>
      </c>
      <c r="C69" s="964"/>
      <c r="D69" s="725">
        <f>CHIFFRAGE_TC!K70</f>
        <v>0.25</v>
      </c>
      <c r="E69" s="209">
        <f>SUM(E70:E82)</f>
        <v>0</v>
      </c>
      <c r="F69" s="196">
        <f t="shared" ref="F69:AX69" si="21">SUM(F70:F82)</f>
        <v>162681.41319062494</v>
      </c>
      <c r="G69" s="196">
        <f t="shared" si="21"/>
        <v>2830249.3611642579</v>
      </c>
      <c r="H69" s="197">
        <f t="shared" si="21"/>
        <v>1504409.9999277573</v>
      </c>
      <c r="I69" s="698">
        <f t="shared" si="21"/>
        <v>0</v>
      </c>
      <c r="J69" s="699">
        <f t="shared" si="21"/>
        <v>0</v>
      </c>
      <c r="K69" s="699">
        <f t="shared" si="21"/>
        <v>0</v>
      </c>
      <c r="L69" s="699">
        <f t="shared" si="21"/>
        <v>0</v>
      </c>
      <c r="M69" s="699">
        <f t="shared" si="21"/>
        <v>0</v>
      </c>
      <c r="N69" s="699">
        <f t="shared" si="21"/>
        <v>0</v>
      </c>
      <c r="O69" s="699">
        <f t="shared" si="21"/>
        <v>0</v>
      </c>
      <c r="P69" s="699">
        <f t="shared" si="21"/>
        <v>0</v>
      </c>
      <c r="Q69" s="699">
        <f t="shared" si="21"/>
        <v>0</v>
      </c>
      <c r="R69" s="699">
        <f t="shared" si="21"/>
        <v>0</v>
      </c>
      <c r="S69" s="699">
        <f t="shared" si="21"/>
        <v>0</v>
      </c>
      <c r="T69" s="699">
        <f t="shared" si="21"/>
        <v>0</v>
      </c>
      <c r="U69" s="699">
        <f t="shared" si="21"/>
        <v>0</v>
      </c>
      <c r="V69" s="699">
        <f t="shared" si="21"/>
        <v>0</v>
      </c>
      <c r="W69" s="699">
        <f t="shared" si="21"/>
        <v>162681.41319062494</v>
      </c>
      <c r="X69" s="699">
        <f t="shared" si="21"/>
        <v>2830249.3611642579</v>
      </c>
      <c r="Y69" s="699">
        <f t="shared" si="21"/>
        <v>1504409.9999277573</v>
      </c>
      <c r="Z69" s="699">
        <f t="shared" si="21"/>
        <v>0</v>
      </c>
      <c r="AA69" s="699">
        <f t="shared" si="21"/>
        <v>0</v>
      </c>
      <c r="AB69" s="699">
        <f t="shared" si="21"/>
        <v>0</v>
      </c>
      <c r="AC69" s="699">
        <f t="shared" si="21"/>
        <v>0</v>
      </c>
      <c r="AD69" s="699">
        <f t="shared" si="21"/>
        <v>0</v>
      </c>
      <c r="AE69" s="699">
        <f t="shared" si="21"/>
        <v>0</v>
      </c>
      <c r="AF69" s="699">
        <f t="shared" si="21"/>
        <v>0</v>
      </c>
      <c r="AG69" s="699">
        <f t="shared" si="21"/>
        <v>0</v>
      </c>
      <c r="AH69" s="699">
        <f t="shared" si="21"/>
        <v>0</v>
      </c>
      <c r="AI69" s="699">
        <f t="shared" si="21"/>
        <v>0</v>
      </c>
      <c r="AJ69" s="699">
        <f t="shared" si="21"/>
        <v>0</v>
      </c>
      <c r="AK69" s="699">
        <f t="shared" si="21"/>
        <v>0</v>
      </c>
      <c r="AL69" s="699">
        <f t="shared" si="21"/>
        <v>0</v>
      </c>
      <c r="AM69" s="699">
        <f t="shared" si="21"/>
        <v>0</v>
      </c>
      <c r="AN69" s="700">
        <f t="shared" si="21"/>
        <v>162681.41319062494</v>
      </c>
      <c r="AO69" s="700">
        <f t="shared" si="21"/>
        <v>2830249.3611642579</v>
      </c>
      <c r="AP69" s="700">
        <f t="shared" si="21"/>
        <v>1504409.9999277573</v>
      </c>
      <c r="AQ69" s="700">
        <f t="shared" si="21"/>
        <v>0</v>
      </c>
      <c r="AR69" s="700">
        <f t="shared" si="21"/>
        <v>0</v>
      </c>
      <c r="AS69" s="700">
        <f t="shared" si="21"/>
        <v>0</v>
      </c>
      <c r="AT69" s="700">
        <f t="shared" si="21"/>
        <v>0</v>
      </c>
      <c r="AU69" s="700">
        <f t="shared" si="21"/>
        <v>0</v>
      </c>
      <c r="AV69" s="700">
        <f t="shared" si="21"/>
        <v>0</v>
      </c>
      <c r="AW69" s="700">
        <f t="shared" si="21"/>
        <v>0</v>
      </c>
      <c r="AX69" s="700">
        <f t="shared" si="21"/>
        <v>0</v>
      </c>
    </row>
    <row r="70" spans="2:50" ht="13.2" x14ac:dyDescent="0.2">
      <c r="B70" s="291" t="str">
        <f>CHIFFRAGE_TC!B71</f>
        <v>Consola de mandos y Tablero de control optico</v>
      </c>
      <c r="C70" s="964">
        <f>CHIFFRAGE_TC!D71</f>
        <v>15</v>
      </c>
      <c r="D70" s="725"/>
      <c r="E70" s="208">
        <f>CHIFFRAGE_TC!$M71*CHIFFRAGE_TC!$T71</f>
        <v>0</v>
      </c>
      <c r="F70" s="17">
        <f>CHIFFRAGE_TC!$M71*CHIFFRAGE_TC!$U71</f>
        <v>0</v>
      </c>
      <c r="G70" s="17">
        <f>CHIFFRAGE_TC!$M71*CHIFFRAGE_TC!$V71</f>
        <v>19115.293192447545</v>
      </c>
      <c r="H70" s="204">
        <f>CHIFFRAGE_TC!$M71*CHIFFRAGE_TC!$W71</f>
        <v>63717.643974825143</v>
      </c>
      <c r="I70" s="709">
        <v>0</v>
      </c>
      <c r="J70" s="709">
        <v>0</v>
      </c>
      <c r="K70" s="709">
        <v>0</v>
      </c>
      <c r="L70" s="709">
        <v>0</v>
      </c>
      <c r="M70" s="709">
        <v>0</v>
      </c>
      <c r="N70" s="709">
        <v>0</v>
      </c>
      <c r="O70" s="709">
        <v>0</v>
      </c>
      <c r="P70" s="709">
        <v>0</v>
      </c>
      <c r="Q70" s="709">
        <v>0</v>
      </c>
      <c r="R70" s="709">
        <v>0</v>
      </c>
      <c r="S70" s="709">
        <v>0</v>
      </c>
      <c r="T70" s="709">
        <v>0</v>
      </c>
      <c r="U70" s="709">
        <v>0</v>
      </c>
      <c r="V70" s="709">
        <v>0</v>
      </c>
      <c r="W70" s="729">
        <f t="shared" ref="W70:Y71" si="22">F70</f>
        <v>0</v>
      </c>
      <c r="X70" s="729">
        <f t="shared" si="22"/>
        <v>19115.293192447545</v>
      </c>
      <c r="Y70" s="729">
        <f t="shared" si="22"/>
        <v>63717.643974825143</v>
      </c>
      <c r="Z70" s="709">
        <v>0</v>
      </c>
      <c r="AA70" s="709">
        <v>0</v>
      </c>
      <c r="AB70" s="709">
        <v>0</v>
      </c>
      <c r="AC70" s="709">
        <v>0</v>
      </c>
      <c r="AD70" s="709">
        <v>0</v>
      </c>
      <c r="AE70" s="709">
        <v>0</v>
      </c>
      <c r="AF70" s="709">
        <v>0</v>
      </c>
      <c r="AG70" s="709">
        <v>0</v>
      </c>
      <c r="AH70" s="709">
        <v>0</v>
      </c>
      <c r="AI70" s="709">
        <v>0</v>
      </c>
      <c r="AJ70" s="709">
        <v>0</v>
      </c>
      <c r="AK70" s="709">
        <v>0</v>
      </c>
      <c r="AL70" s="709">
        <v>0</v>
      </c>
      <c r="AM70" s="709">
        <v>0</v>
      </c>
      <c r="AN70" s="729">
        <f>F70</f>
        <v>0</v>
      </c>
      <c r="AO70" s="729">
        <f>G70</f>
        <v>19115.293192447545</v>
      </c>
      <c r="AP70" s="729">
        <f>H70</f>
        <v>63717.643974825143</v>
      </c>
      <c r="AQ70" s="709">
        <v>0</v>
      </c>
      <c r="AR70" s="709">
        <v>0</v>
      </c>
      <c r="AS70" s="709">
        <v>0</v>
      </c>
      <c r="AT70" s="709">
        <v>0</v>
      </c>
      <c r="AU70" s="709">
        <v>0</v>
      </c>
      <c r="AV70" s="709">
        <v>0</v>
      </c>
      <c r="AW70" s="709">
        <v>0</v>
      </c>
      <c r="AX70" s="709">
        <v>0</v>
      </c>
    </row>
    <row r="71" spans="2:50" ht="13.2" x14ac:dyDescent="0.2">
      <c r="B71" s="290" t="str">
        <f>CHIFFRAGE_TC!B72</f>
        <v>Red de telefonia entre estaciones</v>
      </c>
      <c r="C71" s="964">
        <f>CHIFFRAGE_TC!D72</f>
        <v>15</v>
      </c>
      <c r="D71" s="725"/>
      <c r="E71" s="208">
        <f>CHIFFRAGE_TC!$M72*CHIFFRAGE_TC!$T72</f>
        <v>0</v>
      </c>
      <c r="F71" s="17">
        <f>CHIFFRAGE_TC!$M72*CHIFFRAGE_TC!$U72</f>
        <v>0</v>
      </c>
      <c r="G71" s="17">
        <f>CHIFFRAGE_TC!$M72*CHIFFRAGE_TC!$V72</f>
        <v>209044.17814218742</v>
      </c>
      <c r="H71" s="204">
        <f>CHIFFRAGE_TC!$M72*CHIFFRAGE_TC!$W72</f>
        <v>69681.392714062473</v>
      </c>
      <c r="I71" s="709">
        <v>0</v>
      </c>
      <c r="J71" s="709">
        <v>0</v>
      </c>
      <c r="K71" s="709">
        <v>0</v>
      </c>
      <c r="L71" s="709">
        <v>0</v>
      </c>
      <c r="M71" s="709">
        <v>0</v>
      </c>
      <c r="N71" s="709">
        <v>0</v>
      </c>
      <c r="O71" s="709">
        <v>0</v>
      </c>
      <c r="P71" s="709">
        <v>0</v>
      </c>
      <c r="Q71" s="709">
        <v>0</v>
      </c>
      <c r="R71" s="709">
        <v>0</v>
      </c>
      <c r="S71" s="709">
        <v>0</v>
      </c>
      <c r="T71" s="709">
        <v>0</v>
      </c>
      <c r="U71" s="709">
        <v>0</v>
      </c>
      <c r="V71" s="709">
        <v>0</v>
      </c>
      <c r="W71" s="729">
        <f t="shared" si="22"/>
        <v>0</v>
      </c>
      <c r="X71" s="729">
        <f t="shared" si="22"/>
        <v>209044.17814218742</v>
      </c>
      <c r="Y71" s="729">
        <f t="shared" si="22"/>
        <v>69681.392714062473</v>
      </c>
      <c r="Z71" s="709">
        <v>0</v>
      </c>
      <c r="AA71" s="709">
        <v>0</v>
      </c>
      <c r="AB71" s="709">
        <v>0</v>
      </c>
      <c r="AC71" s="709">
        <v>0</v>
      </c>
      <c r="AD71" s="709">
        <v>0</v>
      </c>
      <c r="AE71" s="709">
        <v>0</v>
      </c>
      <c r="AF71" s="709">
        <v>0</v>
      </c>
      <c r="AG71" s="709">
        <v>0</v>
      </c>
      <c r="AH71" s="709">
        <v>0</v>
      </c>
      <c r="AI71" s="709">
        <v>0</v>
      </c>
      <c r="AJ71" s="709">
        <v>0</v>
      </c>
      <c r="AK71" s="709">
        <v>0</v>
      </c>
      <c r="AL71" s="709">
        <v>0</v>
      </c>
      <c r="AM71" s="709">
        <v>0</v>
      </c>
      <c r="AN71" s="729">
        <f>F71</f>
        <v>0</v>
      </c>
      <c r="AO71" s="729">
        <f t="shared" ref="AO71:AP82" si="23">G71</f>
        <v>209044.17814218742</v>
      </c>
      <c r="AP71" s="729">
        <f t="shared" si="23"/>
        <v>69681.392714062473</v>
      </c>
      <c r="AQ71" s="709">
        <v>0</v>
      </c>
      <c r="AR71" s="709">
        <v>0</v>
      </c>
      <c r="AS71" s="709">
        <v>0</v>
      </c>
      <c r="AT71" s="709">
        <v>0</v>
      </c>
      <c r="AU71" s="709">
        <v>0</v>
      </c>
      <c r="AV71" s="709">
        <v>0</v>
      </c>
      <c r="AW71" s="709">
        <v>0</v>
      </c>
      <c r="AX71" s="709">
        <v>0</v>
      </c>
    </row>
    <row r="72" spans="2:50" ht="13.2" x14ac:dyDescent="0.2">
      <c r="B72" s="290" t="str">
        <f>CHIFFRAGE_TC!B73</f>
        <v>Sonorizacion de anuncios publicos en estaciones</v>
      </c>
      <c r="C72" s="964">
        <f>CHIFFRAGE_TC!D73</f>
        <v>15</v>
      </c>
      <c r="D72" s="725"/>
      <c r="E72" s="208">
        <f>CHIFFRAGE_TC!$M73*CHIFFRAGE_TC!$T73</f>
        <v>0</v>
      </c>
      <c r="F72" s="17">
        <f>CHIFFRAGE_TC!$M73*CHIFFRAGE_TC!$U73</f>
        <v>0</v>
      </c>
      <c r="G72" s="17">
        <f>CHIFFRAGE_TC!$M73*CHIFFRAGE_TC!$V73</f>
        <v>132735.79872656247</v>
      </c>
      <c r="H72" s="204">
        <f>CHIFFRAGE_TC!$M73*CHIFFRAGE_TC!$W73</f>
        <v>88490.532484374999</v>
      </c>
      <c r="I72" s="709">
        <v>0</v>
      </c>
      <c r="J72" s="709">
        <v>0</v>
      </c>
      <c r="K72" s="709">
        <v>0</v>
      </c>
      <c r="L72" s="709">
        <v>0</v>
      </c>
      <c r="M72" s="709">
        <v>0</v>
      </c>
      <c r="N72" s="709">
        <v>0</v>
      </c>
      <c r="O72" s="709">
        <v>0</v>
      </c>
      <c r="P72" s="709">
        <v>0</v>
      </c>
      <c r="Q72" s="709">
        <v>0</v>
      </c>
      <c r="R72" s="709">
        <v>0</v>
      </c>
      <c r="S72" s="709">
        <v>0</v>
      </c>
      <c r="T72" s="709">
        <v>0</v>
      </c>
      <c r="U72" s="709">
        <v>0</v>
      </c>
      <c r="V72" s="709">
        <v>0</v>
      </c>
      <c r="W72" s="729">
        <f t="shared" ref="W72:Y82" si="24">F72</f>
        <v>0</v>
      </c>
      <c r="X72" s="729">
        <f t="shared" si="24"/>
        <v>132735.79872656247</v>
      </c>
      <c r="Y72" s="729">
        <f t="shared" si="24"/>
        <v>88490.532484374999</v>
      </c>
      <c r="Z72" s="709">
        <v>0</v>
      </c>
      <c r="AA72" s="709">
        <v>0</v>
      </c>
      <c r="AB72" s="709">
        <v>0</v>
      </c>
      <c r="AC72" s="709">
        <v>0</v>
      </c>
      <c r="AD72" s="709">
        <v>0</v>
      </c>
      <c r="AE72" s="709">
        <v>0</v>
      </c>
      <c r="AF72" s="709">
        <v>0</v>
      </c>
      <c r="AG72" s="709">
        <v>0</v>
      </c>
      <c r="AH72" s="709">
        <v>0</v>
      </c>
      <c r="AI72" s="709">
        <v>0</v>
      </c>
      <c r="AJ72" s="709">
        <v>0</v>
      </c>
      <c r="AK72" s="709">
        <v>0</v>
      </c>
      <c r="AL72" s="709">
        <v>0</v>
      </c>
      <c r="AM72" s="709">
        <v>0</v>
      </c>
      <c r="AN72" s="729">
        <f t="shared" ref="AN72:AN82" si="25">F72</f>
        <v>0</v>
      </c>
      <c r="AO72" s="729">
        <f t="shared" si="23"/>
        <v>132735.79872656247</v>
      </c>
      <c r="AP72" s="729">
        <f t="shared" si="23"/>
        <v>88490.532484374999</v>
      </c>
      <c r="AQ72" s="709">
        <v>0</v>
      </c>
      <c r="AR72" s="709">
        <v>0</v>
      </c>
      <c r="AS72" s="709">
        <v>0</v>
      </c>
      <c r="AT72" s="709">
        <v>0</v>
      </c>
      <c r="AU72" s="709">
        <v>0</v>
      </c>
      <c r="AV72" s="709">
        <v>0</v>
      </c>
      <c r="AW72" s="709">
        <v>0</v>
      </c>
      <c r="AX72" s="709">
        <v>0</v>
      </c>
    </row>
    <row r="73" spans="2:50" ht="13.2" x14ac:dyDescent="0.2">
      <c r="B73" s="290" t="str">
        <f>CHIFFRAGE_TC!B74</f>
        <v>Sistema de informacion a los pasajeros en las estaciones</v>
      </c>
      <c r="C73" s="964">
        <f>CHIFFRAGE_TC!D74</f>
        <v>15</v>
      </c>
      <c r="D73" s="725"/>
      <c r="E73" s="208">
        <f>CHIFFRAGE_TC!$M74*CHIFFRAGE_TC!$T74</f>
        <v>0</v>
      </c>
      <c r="F73" s="17">
        <f>CHIFFRAGE_TC!$M74*CHIFFRAGE_TC!$U74</f>
        <v>0</v>
      </c>
      <c r="G73" s="17">
        <f>CHIFFRAGE_TC!$M74*CHIFFRAGE_TC!$V74</f>
        <v>86284.309549242404</v>
      </c>
      <c r="H73" s="204">
        <f>CHIFFRAGE_TC!$M74*CHIFFRAGE_TC!$W74</f>
        <v>86284.309549242404</v>
      </c>
      <c r="I73" s="709">
        <v>0</v>
      </c>
      <c r="J73" s="709">
        <v>0</v>
      </c>
      <c r="K73" s="709">
        <v>0</v>
      </c>
      <c r="L73" s="709">
        <v>0</v>
      </c>
      <c r="M73" s="709">
        <v>0</v>
      </c>
      <c r="N73" s="709">
        <v>0</v>
      </c>
      <c r="O73" s="709">
        <v>0</v>
      </c>
      <c r="P73" s="709">
        <v>0</v>
      </c>
      <c r="Q73" s="709">
        <v>0</v>
      </c>
      <c r="R73" s="709">
        <v>0</v>
      </c>
      <c r="S73" s="709">
        <v>0</v>
      </c>
      <c r="T73" s="709">
        <v>0</v>
      </c>
      <c r="U73" s="709">
        <v>0</v>
      </c>
      <c r="V73" s="709">
        <v>0</v>
      </c>
      <c r="W73" s="729">
        <f t="shared" si="24"/>
        <v>0</v>
      </c>
      <c r="X73" s="729">
        <f t="shared" si="24"/>
        <v>86284.309549242404</v>
      </c>
      <c r="Y73" s="729">
        <f t="shared" si="24"/>
        <v>86284.309549242404</v>
      </c>
      <c r="Z73" s="709">
        <v>0</v>
      </c>
      <c r="AA73" s="709">
        <v>0</v>
      </c>
      <c r="AB73" s="709">
        <v>0</v>
      </c>
      <c r="AC73" s="709">
        <v>0</v>
      </c>
      <c r="AD73" s="709">
        <v>0</v>
      </c>
      <c r="AE73" s="709">
        <v>0</v>
      </c>
      <c r="AF73" s="709">
        <v>0</v>
      </c>
      <c r="AG73" s="709">
        <v>0</v>
      </c>
      <c r="AH73" s="709">
        <v>0</v>
      </c>
      <c r="AI73" s="709">
        <v>0</v>
      </c>
      <c r="AJ73" s="709">
        <v>0</v>
      </c>
      <c r="AK73" s="709">
        <v>0</v>
      </c>
      <c r="AL73" s="709">
        <v>0</v>
      </c>
      <c r="AM73" s="709">
        <v>0</v>
      </c>
      <c r="AN73" s="729">
        <f t="shared" si="25"/>
        <v>0</v>
      </c>
      <c r="AO73" s="729">
        <f t="shared" si="23"/>
        <v>86284.309549242404</v>
      </c>
      <c r="AP73" s="729">
        <f t="shared" si="23"/>
        <v>86284.309549242404</v>
      </c>
      <c r="AQ73" s="709">
        <v>0</v>
      </c>
      <c r="AR73" s="709">
        <v>0</v>
      </c>
      <c r="AS73" s="709">
        <v>0</v>
      </c>
      <c r="AT73" s="709">
        <v>0</v>
      </c>
      <c r="AU73" s="709">
        <v>0</v>
      </c>
      <c r="AV73" s="709">
        <v>0</v>
      </c>
      <c r="AW73" s="709">
        <v>0</v>
      </c>
      <c r="AX73" s="709">
        <v>0</v>
      </c>
    </row>
    <row r="74" spans="2:50" ht="13.2" x14ac:dyDescent="0.2">
      <c r="B74" s="290" t="str">
        <f>CHIFFRAGE_TC!B75</f>
        <v>Sistema de supervision SCADA del centro de mando</v>
      </c>
      <c r="C74" s="964">
        <f>CHIFFRAGE_TC!D75</f>
        <v>15</v>
      </c>
      <c r="D74" s="725"/>
      <c r="E74" s="208">
        <f>CHIFFRAGE_TC!$M75*CHIFFRAGE_TC!$T75</f>
        <v>0</v>
      </c>
      <c r="F74" s="17">
        <f>CHIFFRAGE_TC!$M75*CHIFFRAGE_TC!$U75</f>
        <v>0</v>
      </c>
      <c r="G74" s="17">
        <f>CHIFFRAGE_TC!$M75*CHIFFRAGE_TC!$V75</f>
        <v>65278.849101136351</v>
      </c>
      <c r="H74" s="204">
        <f>CHIFFRAGE_TC!$M75*CHIFFRAGE_TC!$W75</f>
        <v>39167.309460681805</v>
      </c>
      <c r="I74" s="709">
        <v>0</v>
      </c>
      <c r="J74" s="709">
        <v>0</v>
      </c>
      <c r="K74" s="709">
        <v>0</v>
      </c>
      <c r="L74" s="709">
        <v>0</v>
      </c>
      <c r="M74" s="709">
        <v>0</v>
      </c>
      <c r="N74" s="709">
        <v>0</v>
      </c>
      <c r="O74" s="709">
        <v>0</v>
      </c>
      <c r="P74" s="709">
        <v>0</v>
      </c>
      <c r="Q74" s="709">
        <v>0</v>
      </c>
      <c r="R74" s="709">
        <v>0</v>
      </c>
      <c r="S74" s="709">
        <v>0</v>
      </c>
      <c r="T74" s="709">
        <v>0</v>
      </c>
      <c r="U74" s="709">
        <v>0</v>
      </c>
      <c r="V74" s="709">
        <v>0</v>
      </c>
      <c r="W74" s="729">
        <f t="shared" si="24"/>
        <v>0</v>
      </c>
      <c r="X74" s="729">
        <f t="shared" si="24"/>
        <v>65278.849101136351</v>
      </c>
      <c r="Y74" s="729">
        <f t="shared" si="24"/>
        <v>39167.309460681805</v>
      </c>
      <c r="Z74" s="709">
        <v>0</v>
      </c>
      <c r="AA74" s="709">
        <v>0</v>
      </c>
      <c r="AB74" s="709">
        <v>0</v>
      </c>
      <c r="AC74" s="709">
        <v>0</v>
      </c>
      <c r="AD74" s="709">
        <v>0</v>
      </c>
      <c r="AE74" s="709">
        <v>0</v>
      </c>
      <c r="AF74" s="709">
        <v>0</v>
      </c>
      <c r="AG74" s="709">
        <v>0</v>
      </c>
      <c r="AH74" s="709">
        <v>0</v>
      </c>
      <c r="AI74" s="709">
        <v>0</v>
      </c>
      <c r="AJ74" s="709">
        <v>0</v>
      </c>
      <c r="AK74" s="709">
        <v>0</v>
      </c>
      <c r="AL74" s="709">
        <v>0</v>
      </c>
      <c r="AM74" s="709">
        <v>0</v>
      </c>
      <c r="AN74" s="729">
        <f t="shared" si="25"/>
        <v>0</v>
      </c>
      <c r="AO74" s="729">
        <f t="shared" si="23"/>
        <v>65278.849101136351</v>
      </c>
      <c r="AP74" s="729">
        <f t="shared" si="23"/>
        <v>39167.309460681805</v>
      </c>
      <c r="AQ74" s="709">
        <v>0</v>
      </c>
      <c r="AR74" s="709">
        <v>0</v>
      </c>
      <c r="AS74" s="709">
        <v>0</v>
      </c>
      <c r="AT74" s="709">
        <v>0</v>
      </c>
      <c r="AU74" s="709">
        <v>0</v>
      </c>
      <c r="AV74" s="709">
        <v>0</v>
      </c>
      <c r="AW74" s="709">
        <v>0</v>
      </c>
      <c r="AX74" s="709">
        <v>0</v>
      </c>
    </row>
    <row r="75" spans="2:50" ht="13.2" x14ac:dyDescent="0.2">
      <c r="B75" s="290" t="str">
        <f>CHIFFRAGE_TC!B76</f>
        <v>Cronometria, relojes marcadores</v>
      </c>
      <c r="C75" s="964">
        <f>CHIFFRAGE_TC!D76</f>
        <v>15</v>
      </c>
      <c r="D75" s="725"/>
      <c r="E75" s="208">
        <f>CHIFFRAGE_TC!$M76*CHIFFRAGE_TC!$T76</f>
        <v>0</v>
      </c>
      <c r="F75" s="17">
        <f>CHIFFRAGE_TC!$M76*CHIFFRAGE_TC!$U76</f>
        <v>0</v>
      </c>
      <c r="G75" s="17">
        <f>CHIFFRAGE_TC!$M76*CHIFFRAGE_TC!$V76</f>
        <v>0</v>
      </c>
      <c r="H75" s="204">
        <f>CHIFFRAGE_TC!$M76*CHIFFRAGE_TC!$W76</f>
        <v>111364.74693749996</v>
      </c>
      <c r="I75" s="709">
        <v>0</v>
      </c>
      <c r="J75" s="709">
        <v>0</v>
      </c>
      <c r="K75" s="709">
        <v>0</v>
      </c>
      <c r="L75" s="709">
        <v>0</v>
      </c>
      <c r="M75" s="709">
        <v>0</v>
      </c>
      <c r="N75" s="709">
        <v>0</v>
      </c>
      <c r="O75" s="709">
        <v>0</v>
      </c>
      <c r="P75" s="709">
        <v>0</v>
      </c>
      <c r="Q75" s="709">
        <v>0</v>
      </c>
      <c r="R75" s="709">
        <v>0</v>
      </c>
      <c r="S75" s="709">
        <v>0</v>
      </c>
      <c r="T75" s="709">
        <v>0</v>
      </c>
      <c r="U75" s="709">
        <v>0</v>
      </c>
      <c r="V75" s="709">
        <v>0</v>
      </c>
      <c r="W75" s="729">
        <f t="shared" si="24"/>
        <v>0</v>
      </c>
      <c r="X75" s="729">
        <f t="shared" si="24"/>
        <v>0</v>
      </c>
      <c r="Y75" s="729">
        <f t="shared" si="24"/>
        <v>111364.74693749996</v>
      </c>
      <c r="Z75" s="709">
        <v>0</v>
      </c>
      <c r="AA75" s="709">
        <v>0</v>
      </c>
      <c r="AB75" s="709">
        <v>0</v>
      </c>
      <c r="AC75" s="709">
        <v>0</v>
      </c>
      <c r="AD75" s="709">
        <v>0</v>
      </c>
      <c r="AE75" s="709">
        <v>0</v>
      </c>
      <c r="AF75" s="709">
        <v>0</v>
      </c>
      <c r="AG75" s="709">
        <v>0</v>
      </c>
      <c r="AH75" s="709">
        <v>0</v>
      </c>
      <c r="AI75" s="709">
        <v>0</v>
      </c>
      <c r="AJ75" s="709">
        <v>0</v>
      </c>
      <c r="AK75" s="709">
        <v>0</v>
      </c>
      <c r="AL75" s="709">
        <v>0</v>
      </c>
      <c r="AM75" s="709">
        <v>0</v>
      </c>
      <c r="AN75" s="729">
        <f t="shared" si="25"/>
        <v>0</v>
      </c>
      <c r="AO75" s="729">
        <f t="shared" si="23"/>
        <v>0</v>
      </c>
      <c r="AP75" s="729">
        <f t="shared" si="23"/>
        <v>111364.74693749996</v>
      </c>
      <c r="AQ75" s="709">
        <v>0</v>
      </c>
      <c r="AR75" s="709">
        <v>0</v>
      </c>
      <c r="AS75" s="709">
        <v>0</v>
      </c>
      <c r="AT75" s="709">
        <v>0</v>
      </c>
      <c r="AU75" s="709">
        <v>0</v>
      </c>
      <c r="AV75" s="709">
        <v>0</v>
      </c>
      <c r="AW75" s="709">
        <v>0</v>
      </c>
      <c r="AX75" s="709">
        <v>0</v>
      </c>
    </row>
    <row r="76" spans="2:50" ht="13.2" x14ac:dyDescent="0.2">
      <c r="B76" s="290" t="str">
        <f>CHIFFRAGE_TC!B77</f>
        <v>Equipamiento embarcado en la cabinas 
(videocamara/interponia/DI/LCD/WIFI)</v>
      </c>
      <c r="C76" s="964">
        <f>CHIFFRAGE_TC!D77</f>
        <v>15</v>
      </c>
      <c r="D76" s="725"/>
      <c r="E76" s="208">
        <f>CHIFFRAGE_TC!$M77*CHIFFRAGE_TC!$T77</f>
        <v>0</v>
      </c>
      <c r="F76" s="17">
        <f>CHIFFRAGE_TC!$M77*CHIFFRAGE_TC!$U77</f>
        <v>0</v>
      </c>
      <c r="G76" s="17">
        <f>CHIFFRAGE_TC!$M77*CHIFFRAGE_TC!$V77</f>
        <v>312712.20940049988</v>
      </c>
      <c r="H76" s="204">
        <f>CHIFFRAGE_TC!$M77*CHIFFRAGE_TC!$W77</f>
        <v>208474.80626699995</v>
      </c>
      <c r="I76" s="709">
        <v>0</v>
      </c>
      <c r="J76" s="709">
        <v>0</v>
      </c>
      <c r="K76" s="709">
        <v>0</v>
      </c>
      <c r="L76" s="709">
        <v>0</v>
      </c>
      <c r="M76" s="709">
        <v>0</v>
      </c>
      <c r="N76" s="709">
        <v>0</v>
      </c>
      <c r="O76" s="709">
        <v>0</v>
      </c>
      <c r="P76" s="709">
        <v>0</v>
      </c>
      <c r="Q76" s="709">
        <v>0</v>
      </c>
      <c r="R76" s="709">
        <v>0</v>
      </c>
      <c r="S76" s="709">
        <v>0</v>
      </c>
      <c r="T76" s="709">
        <v>0</v>
      </c>
      <c r="U76" s="709">
        <v>0</v>
      </c>
      <c r="V76" s="709">
        <v>0</v>
      </c>
      <c r="W76" s="729">
        <f t="shared" si="24"/>
        <v>0</v>
      </c>
      <c r="X76" s="729">
        <f t="shared" si="24"/>
        <v>312712.20940049988</v>
      </c>
      <c r="Y76" s="729">
        <f t="shared" si="24"/>
        <v>208474.80626699995</v>
      </c>
      <c r="Z76" s="709">
        <v>0</v>
      </c>
      <c r="AA76" s="709">
        <v>0</v>
      </c>
      <c r="AB76" s="709">
        <v>0</v>
      </c>
      <c r="AC76" s="709">
        <v>0</v>
      </c>
      <c r="AD76" s="709">
        <v>0</v>
      </c>
      <c r="AE76" s="709">
        <v>0</v>
      </c>
      <c r="AF76" s="709">
        <v>0</v>
      </c>
      <c r="AG76" s="709">
        <v>0</v>
      </c>
      <c r="AH76" s="709">
        <v>0</v>
      </c>
      <c r="AI76" s="709">
        <v>0</v>
      </c>
      <c r="AJ76" s="709">
        <v>0</v>
      </c>
      <c r="AK76" s="709">
        <v>0</v>
      </c>
      <c r="AL76" s="709">
        <v>0</v>
      </c>
      <c r="AM76" s="709">
        <v>0</v>
      </c>
      <c r="AN76" s="729">
        <f t="shared" si="25"/>
        <v>0</v>
      </c>
      <c r="AO76" s="729">
        <f t="shared" si="23"/>
        <v>312712.20940049988</v>
      </c>
      <c r="AP76" s="729">
        <f t="shared" si="23"/>
        <v>208474.80626699995</v>
      </c>
      <c r="AQ76" s="709">
        <v>0</v>
      </c>
      <c r="AR76" s="709">
        <v>0</v>
      </c>
      <c r="AS76" s="709">
        <v>0</v>
      </c>
      <c r="AT76" s="709">
        <v>0</v>
      </c>
      <c r="AU76" s="709">
        <v>0</v>
      </c>
      <c r="AV76" s="709">
        <v>0</v>
      </c>
      <c r="AW76" s="709">
        <v>0</v>
      </c>
      <c r="AX76" s="709">
        <v>0</v>
      </c>
    </row>
    <row r="77" spans="2:50" ht="13.2" x14ac:dyDescent="0.2">
      <c r="B77" s="290" t="str">
        <f>CHIFFRAGE_TC!B78</f>
        <v>Sistema de antenas y de mando securizado WIFI</v>
      </c>
      <c r="C77" s="964">
        <f>CHIFFRAGE_TC!D78</f>
        <v>15</v>
      </c>
      <c r="D77" s="725"/>
      <c r="E77" s="208">
        <f>CHIFFRAGE_TC!$M78*CHIFFRAGE_TC!$T78</f>
        <v>0</v>
      </c>
      <c r="F77" s="17">
        <f>CHIFFRAGE_TC!$M78*CHIFFRAGE_TC!$U78</f>
        <v>0</v>
      </c>
      <c r="G77" s="17">
        <f>CHIFFRAGE_TC!$M78*CHIFFRAGE_TC!$V78</f>
        <v>770938.44748846127</v>
      </c>
      <c r="H77" s="204">
        <f>CHIFFRAGE_TC!$M78*CHIFFRAGE_TC!$W78</f>
        <v>231281.53424653839</v>
      </c>
      <c r="I77" s="709">
        <v>0</v>
      </c>
      <c r="J77" s="709">
        <v>0</v>
      </c>
      <c r="K77" s="709">
        <v>0</v>
      </c>
      <c r="L77" s="709">
        <v>0</v>
      </c>
      <c r="M77" s="709">
        <v>0</v>
      </c>
      <c r="N77" s="709">
        <v>0</v>
      </c>
      <c r="O77" s="709">
        <v>0</v>
      </c>
      <c r="P77" s="709">
        <v>0</v>
      </c>
      <c r="Q77" s="709">
        <v>0</v>
      </c>
      <c r="R77" s="709">
        <v>0</v>
      </c>
      <c r="S77" s="709">
        <v>0</v>
      </c>
      <c r="T77" s="709">
        <v>0</v>
      </c>
      <c r="U77" s="709">
        <v>0</v>
      </c>
      <c r="V77" s="709">
        <v>0</v>
      </c>
      <c r="W77" s="729">
        <f t="shared" si="24"/>
        <v>0</v>
      </c>
      <c r="X77" s="729">
        <f t="shared" si="24"/>
        <v>770938.44748846127</v>
      </c>
      <c r="Y77" s="729">
        <f t="shared" si="24"/>
        <v>231281.53424653839</v>
      </c>
      <c r="Z77" s="709">
        <v>0</v>
      </c>
      <c r="AA77" s="709">
        <v>0</v>
      </c>
      <c r="AB77" s="709">
        <v>0</v>
      </c>
      <c r="AC77" s="709">
        <v>0</v>
      </c>
      <c r="AD77" s="709">
        <v>0</v>
      </c>
      <c r="AE77" s="709">
        <v>0</v>
      </c>
      <c r="AF77" s="709">
        <v>0</v>
      </c>
      <c r="AG77" s="709">
        <v>0</v>
      </c>
      <c r="AH77" s="709">
        <v>0</v>
      </c>
      <c r="AI77" s="709">
        <v>0</v>
      </c>
      <c r="AJ77" s="709">
        <v>0</v>
      </c>
      <c r="AK77" s="709">
        <v>0</v>
      </c>
      <c r="AL77" s="709">
        <v>0</v>
      </c>
      <c r="AM77" s="709">
        <v>0</v>
      </c>
      <c r="AN77" s="729">
        <f t="shared" si="25"/>
        <v>0</v>
      </c>
      <c r="AO77" s="729">
        <f t="shared" si="23"/>
        <v>770938.44748846127</v>
      </c>
      <c r="AP77" s="729">
        <f t="shared" si="23"/>
        <v>231281.53424653839</v>
      </c>
      <c r="AQ77" s="709">
        <v>0</v>
      </c>
      <c r="AR77" s="709">
        <v>0</v>
      </c>
      <c r="AS77" s="709">
        <v>0</v>
      </c>
      <c r="AT77" s="709">
        <v>0</v>
      </c>
      <c r="AU77" s="709">
        <v>0</v>
      </c>
      <c r="AV77" s="709">
        <v>0</v>
      </c>
      <c r="AW77" s="709">
        <v>0</v>
      </c>
      <c r="AX77" s="709">
        <v>0</v>
      </c>
    </row>
    <row r="78" spans="2:50" ht="13.2" x14ac:dyDescent="0.2">
      <c r="B78" s="290" t="str">
        <f>CHIFFRAGE_TC!B79</f>
        <v>Sistema de vigilancia visio + termica por postes</v>
      </c>
      <c r="C78" s="964">
        <f>CHIFFRAGE_TC!D79</f>
        <v>15</v>
      </c>
      <c r="D78" s="725"/>
      <c r="E78" s="208">
        <f>CHIFFRAGE_TC!$M79*CHIFFRAGE_TC!$T79</f>
        <v>0</v>
      </c>
      <c r="F78" s="17">
        <f>CHIFFRAGE_TC!$M79*CHIFFRAGE_TC!$U79</f>
        <v>0</v>
      </c>
      <c r="G78" s="17">
        <f>CHIFFRAGE_TC!$M79*CHIFFRAGE_TC!$V79</f>
        <v>677808.72267499962</v>
      </c>
      <c r="H78" s="204">
        <f>CHIFFRAGE_TC!$M79*CHIFFRAGE_TC!$W79</f>
        <v>338904.36133749981</v>
      </c>
      <c r="I78" s="709">
        <v>0</v>
      </c>
      <c r="J78" s="709">
        <v>0</v>
      </c>
      <c r="K78" s="709">
        <v>0</v>
      </c>
      <c r="L78" s="709">
        <v>0</v>
      </c>
      <c r="M78" s="709">
        <v>0</v>
      </c>
      <c r="N78" s="709">
        <v>0</v>
      </c>
      <c r="O78" s="709">
        <v>0</v>
      </c>
      <c r="P78" s="709">
        <v>0</v>
      </c>
      <c r="Q78" s="709">
        <v>0</v>
      </c>
      <c r="R78" s="709">
        <v>0</v>
      </c>
      <c r="S78" s="709">
        <v>0</v>
      </c>
      <c r="T78" s="709">
        <v>0</v>
      </c>
      <c r="U78" s="709">
        <v>0</v>
      </c>
      <c r="V78" s="709">
        <v>0</v>
      </c>
      <c r="W78" s="729">
        <f t="shared" si="24"/>
        <v>0</v>
      </c>
      <c r="X78" s="729">
        <f t="shared" si="24"/>
        <v>677808.72267499962</v>
      </c>
      <c r="Y78" s="729">
        <f t="shared" si="24"/>
        <v>338904.36133749981</v>
      </c>
      <c r="Z78" s="709">
        <v>0</v>
      </c>
      <c r="AA78" s="709">
        <v>0</v>
      </c>
      <c r="AB78" s="709">
        <v>0</v>
      </c>
      <c r="AC78" s="709">
        <v>0</v>
      </c>
      <c r="AD78" s="709">
        <v>0</v>
      </c>
      <c r="AE78" s="709">
        <v>0</v>
      </c>
      <c r="AF78" s="709">
        <v>0</v>
      </c>
      <c r="AG78" s="709">
        <v>0</v>
      </c>
      <c r="AH78" s="709">
        <v>0</v>
      </c>
      <c r="AI78" s="709">
        <v>0</v>
      </c>
      <c r="AJ78" s="709">
        <v>0</v>
      </c>
      <c r="AK78" s="709">
        <v>0</v>
      </c>
      <c r="AL78" s="709">
        <v>0</v>
      </c>
      <c r="AM78" s="709">
        <v>0</v>
      </c>
      <c r="AN78" s="729">
        <f t="shared" si="25"/>
        <v>0</v>
      </c>
      <c r="AO78" s="729">
        <f t="shared" si="23"/>
        <v>677808.72267499962</v>
      </c>
      <c r="AP78" s="729">
        <f t="shared" si="23"/>
        <v>338904.36133749981</v>
      </c>
      <c r="AQ78" s="709">
        <v>0</v>
      </c>
      <c r="AR78" s="709">
        <v>0</v>
      </c>
      <c r="AS78" s="709">
        <v>0</v>
      </c>
      <c r="AT78" s="709">
        <v>0</v>
      </c>
      <c r="AU78" s="709">
        <v>0</v>
      </c>
      <c r="AV78" s="709">
        <v>0</v>
      </c>
      <c r="AW78" s="709">
        <v>0</v>
      </c>
      <c r="AX78" s="709">
        <v>0</v>
      </c>
    </row>
    <row r="79" spans="2:50" ht="13.2" x14ac:dyDescent="0.2">
      <c r="B79" s="290" t="str">
        <f>CHIFFRAGE_TC!B80</f>
        <v>Sistema de vigilancia con video en estaciones</v>
      </c>
      <c r="C79" s="964">
        <f>CHIFFRAGE_TC!D80</f>
        <v>15</v>
      </c>
      <c r="D79" s="725"/>
      <c r="E79" s="208">
        <f>CHIFFRAGE_TC!$M80*CHIFFRAGE_TC!$T80</f>
        <v>0</v>
      </c>
      <c r="F79" s="17">
        <f>CHIFFRAGE_TC!$M80*CHIFFRAGE_TC!$U80</f>
        <v>0</v>
      </c>
      <c r="G79" s="17">
        <f>CHIFFRAGE_TC!$M80*CHIFFRAGE_TC!$V80</f>
        <v>139441.21130624996</v>
      </c>
      <c r="H79" s="204">
        <f>CHIFFRAGE_TC!$M80*CHIFFRAGE_TC!$W80</f>
        <v>92960.80753749999</v>
      </c>
      <c r="I79" s="709">
        <v>0</v>
      </c>
      <c r="J79" s="709">
        <v>0</v>
      </c>
      <c r="K79" s="709">
        <v>0</v>
      </c>
      <c r="L79" s="709">
        <v>0</v>
      </c>
      <c r="M79" s="709">
        <v>0</v>
      </c>
      <c r="N79" s="709">
        <v>0</v>
      </c>
      <c r="O79" s="709">
        <v>0</v>
      </c>
      <c r="P79" s="709">
        <v>0</v>
      </c>
      <c r="Q79" s="709">
        <v>0</v>
      </c>
      <c r="R79" s="709">
        <v>0</v>
      </c>
      <c r="S79" s="709">
        <v>0</v>
      </c>
      <c r="T79" s="709">
        <v>0</v>
      </c>
      <c r="U79" s="709">
        <v>0</v>
      </c>
      <c r="V79" s="709">
        <v>0</v>
      </c>
      <c r="W79" s="729">
        <f t="shared" si="24"/>
        <v>0</v>
      </c>
      <c r="X79" s="729">
        <f t="shared" si="24"/>
        <v>139441.21130624996</v>
      </c>
      <c r="Y79" s="729">
        <f t="shared" si="24"/>
        <v>92960.80753749999</v>
      </c>
      <c r="Z79" s="709">
        <v>0</v>
      </c>
      <c r="AA79" s="709">
        <v>0</v>
      </c>
      <c r="AB79" s="709">
        <v>0</v>
      </c>
      <c r="AC79" s="709">
        <v>0</v>
      </c>
      <c r="AD79" s="709">
        <v>0</v>
      </c>
      <c r="AE79" s="709">
        <v>0</v>
      </c>
      <c r="AF79" s="709">
        <v>0</v>
      </c>
      <c r="AG79" s="709">
        <v>0</v>
      </c>
      <c r="AH79" s="709">
        <v>0</v>
      </c>
      <c r="AI79" s="709">
        <v>0</v>
      </c>
      <c r="AJ79" s="709">
        <v>0</v>
      </c>
      <c r="AK79" s="709">
        <v>0</v>
      </c>
      <c r="AL79" s="709">
        <v>0</v>
      </c>
      <c r="AM79" s="709">
        <v>0</v>
      </c>
      <c r="AN79" s="729">
        <f t="shared" si="25"/>
        <v>0</v>
      </c>
      <c r="AO79" s="729">
        <f t="shared" si="23"/>
        <v>139441.21130624996</v>
      </c>
      <c r="AP79" s="729">
        <f t="shared" si="23"/>
        <v>92960.80753749999</v>
      </c>
      <c r="AQ79" s="709">
        <v>0</v>
      </c>
      <c r="AR79" s="709">
        <v>0</v>
      </c>
      <c r="AS79" s="709">
        <v>0</v>
      </c>
      <c r="AT79" s="709">
        <v>0</v>
      </c>
      <c r="AU79" s="709">
        <v>0</v>
      </c>
      <c r="AV79" s="709">
        <v>0</v>
      </c>
      <c r="AW79" s="709">
        <v>0</v>
      </c>
      <c r="AX79" s="709">
        <v>0</v>
      </c>
    </row>
    <row r="80" spans="2:50" ht="13.2" x14ac:dyDescent="0.2">
      <c r="B80" s="290" t="str">
        <f>CHIFFRAGE_TC!B81</f>
        <v>Sistema de deteccion incendio y de control de acceso</v>
      </c>
      <c r="C80" s="964">
        <f>CHIFFRAGE_TC!D81</f>
        <v>15</v>
      </c>
      <c r="D80" s="725"/>
      <c r="E80" s="208">
        <f>CHIFFRAGE_TC!$M81*CHIFFRAGE_TC!$T81</f>
        <v>0</v>
      </c>
      <c r="F80" s="17">
        <f>CHIFFRAGE_TC!$M81*CHIFFRAGE_TC!$U81</f>
        <v>0</v>
      </c>
      <c r="G80" s="17">
        <f>CHIFFRAGE_TC!$M81*CHIFFRAGE_TC!$V81</f>
        <v>71273.438039999979</v>
      </c>
      <c r="H80" s="204">
        <f>CHIFFRAGE_TC!$M81*CHIFFRAGE_TC!$W81</f>
        <v>35636.71901999999</v>
      </c>
      <c r="I80" s="709">
        <v>0</v>
      </c>
      <c r="J80" s="709">
        <v>0</v>
      </c>
      <c r="K80" s="709">
        <v>0</v>
      </c>
      <c r="L80" s="709">
        <v>0</v>
      </c>
      <c r="M80" s="709">
        <v>0</v>
      </c>
      <c r="N80" s="709">
        <v>0</v>
      </c>
      <c r="O80" s="709">
        <v>0</v>
      </c>
      <c r="P80" s="709">
        <v>0</v>
      </c>
      <c r="Q80" s="709">
        <v>0</v>
      </c>
      <c r="R80" s="709">
        <v>0</v>
      </c>
      <c r="S80" s="709">
        <v>0</v>
      </c>
      <c r="T80" s="709">
        <v>0</v>
      </c>
      <c r="U80" s="709">
        <v>0</v>
      </c>
      <c r="V80" s="709">
        <v>0</v>
      </c>
      <c r="W80" s="729">
        <f t="shared" si="24"/>
        <v>0</v>
      </c>
      <c r="X80" s="729">
        <f t="shared" si="24"/>
        <v>71273.438039999979</v>
      </c>
      <c r="Y80" s="729">
        <f t="shared" si="24"/>
        <v>35636.71901999999</v>
      </c>
      <c r="Z80" s="709">
        <v>0</v>
      </c>
      <c r="AA80" s="709">
        <v>0</v>
      </c>
      <c r="AB80" s="709">
        <v>0</v>
      </c>
      <c r="AC80" s="709">
        <v>0</v>
      </c>
      <c r="AD80" s="709">
        <v>0</v>
      </c>
      <c r="AE80" s="709">
        <v>0</v>
      </c>
      <c r="AF80" s="709">
        <v>0</v>
      </c>
      <c r="AG80" s="709">
        <v>0</v>
      </c>
      <c r="AH80" s="709">
        <v>0</v>
      </c>
      <c r="AI80" s="709">
        <v>0</v>
      </c>
      <c r="AJ80" s="709">
        <v>0</v>
      </c>
      <c r="AK80" s="709">
        <v>0</v>
      </c>
      <c r="AL80" s="709">
        <v>0</v>
      </c>
      <c r="AM80" s="709">
        <v>0</v>
      </c>
      <c r="AN80" s="729">
        <f t="shared" si="25"/>
        <v>0</v>
      </c>
      <c r="AO80" s="729">
        <f t="shared" si="23"/>
        <v>71273.438039999979</v>
      </c>
      <c r="AP80" s="729">
        <f t="shared" si="23"/>
        <v>35636.71901999999</v>
      </c>
      <c r="AQ80" s="709">
        <v>0</v>
      </c>
      <c r="AR80" s="709">
        <v>0</v>
      </c>
      <c r="AS80" s="709">
        <v>0</v>
      </c>
      <c r="AT80" s="709">
        <v>0</v>
      </c>
      <c r="AU80" s="709">
        <v>0</v>
      </c>
      <c r="AV80" s="709">
        <v>0</v>
      </c>
      <c r="AW80" s="709">
        <v>0</v>
      </c>
      <c r="AX80" s="709">
        <v>0</v>
      </c>
    </row>
    <row r="81" spans="2:50" ht="13.2" x14ac:dyDescent="0.2">
      <c r="B81" s="290" t="str">
        <f>CHIFFRAGE_TC!B82</f>
        <v>Fibra de seguridad y equipos de transmision Ethernet</v>
      </c>
      <c r="C81" s="964">
        <f>CHIFFRAGE_TC!D82</f>
        <v>15</v>
      </c>
      <c r="D81" s="725"/>
      <c r="E81" s="208">
        <f>CHIFFRAGE_TC!$M82*CHIFFRAGE_TC!$T82</f>
        <v>0</v>
      </c>
      <c r="F81" s="17">
        <f>CHIFFRAGE_TC!$M82*CHIFFRAGE_TC!$U82</f>
        <v>162681.41319062494</v>
      </c>
      <c r="G81" s="17">
        <f>CHIFFRAGE_TC!$M82*CHIFFRAGE_TC!$V82</f>
        <v>209161.81695937496</v>
      </c>
      <c r="H81" s="204">
        <f>CHIFFRAGE_TC!$M82*CHIFFRAGE_TC!$W82</f>
        <v>92960.80753749999</v>
      </c>
      <c r="I81" s="709">
        <v>0</v>
      </c>
      <c r="J81" s="709">
        <v>0</v>
      </c>
      <c r="K81" s="709">
        <v>0</v>
      </c>
      <c r="L81" s="709">
        <v>0</v>
      </c>
      <c r="M81" s="709">
        <v>0</v>
      </c>
      <c r="N81" s="709">
        <v>0</v>
      </c>
      <c r="O81" s="709">
        <v>0</v>
      </c>
      <c r="P81" s="709">
        <v>0</v>
      </c>
      <c r="Q81" s="709">
        <v>0</v>
      </c>
      <c r="R81" s="709">
        <v>0</v>
      </c>
      <c r="S81" s="709">
        <v>0</v>
      </c>
      <c r="T81" s="709">
        <v>0</v>
      </c>
      <c r="U81" s="709">
        <v>0</v>
      </c>
      <c r="V81" s="709">
        <v>0</v>
      </c>
      <c r="W81" s="729">
        <f t="shared" si="24"/>
        <v>162681.41319062494</v>
      </c>
      <c r="X81" s="729">
        <f t="shared" si="24"/>
        <v>209161.81695937496</v>
      </c>
      <c r="Y81" s="729">
        <f t="shared" si="24"/>
        <v>92960.80753749999</v>
      </c>
      <c r="Z81" s="709">
        <v>0</v>
      </c>
      <c r="AA81" s="709">
        <v>0</v>
      </c>
      <c r="AB81" s="709">
        <v>0</v>
      </c>
      <c r="AC81" s="709">
        <v>0</v>
      </c>
      <c r="AD81" s="709">
        <v>0</v>
      </c>
      <c r="AE81" s="709">
        <v>0</v>
      </c>
      <c r="AF81" s="709">
        <v>0</v>
      </c>
      <c r="AG81" s="709">
        <v>0</v>
      </c>
      <c r="AH81" s="709">
        <v>0</v>
      </c>
      <c r="AI81" s="709">
        <v>0</v>
      </c>
      <c r="AJ81" s="709">
        <v>0</v>
      </c>
      <c r="AK81" s="709">
        <v>0</v>
      </c>
      <c r="AL81" s="709">
        <v>0</v>
      </c>
      <c r="AM81" s="709">
        <v>0</v>
      </c>
      <c r="AN81" s="729">
        <f t="shared" si="25"/>
        <v>162681.41319062494</v>
      </c>
      <c r="AO81" s="729">
        <f t="shared" si="23"/>
        <v>209161.81695937496</v>
      </c>
      <c r="AP81" s="729">
        <f t="shared" si="23"/>
        <v>92960.80753749999</v>
      </c>
      <c r="AQ81" s="709">
        <v>0</v>
      </c>
      <c r="AR81" s="709">
        <v>0</v>
      </c>
      <c r="AS81" s="709">
        <v>0</v>
      </c>
      <c r="AT81" s="709">
        <v>0</v>
      </c>
      <c r="AU81" s="709">
        <v>0</v>
      </c>
      <c r="AV81" s="709">
        <v>0</v>
      </c>
      <c r="AW81" s="709">
        <v>0</v>
      </c>
      <c r="AX81" s="709">
        <v>0</v>
      </c>
    </row>
    <row r="82" spans="2:50" ht="13.2" x14ac:dyDescent="0.2">
      <c r="B82" s="289" t="str">
        <f>CHIFFRAGE_TC!B83</f>
        <v>Sistema de boleteria</v>
      </c>
      <c r="C82" s="964">
        <f>CHIFFRAGE_TC!D83</f>
        <v>15</v>
      </c>
      <c r="D82" s="725"/>
      <c r="E82" s="208">
        <f>CHIFFRAGE_TC!$M83*CHIFFRAGE_TC!$T83</f>
        <v>0</v>
      </c>
      <c r="F82" s="17">
        <f>CHIFFRAGE_TC!$M83*CHIFFRAGE_TC!$U83</f>
        <v>0</v>
      </c>
      <c r="G82" s="17">
        <f>CHIFFRAGE_TC!$M83*CHIFFRAGE_TC!$V83</f>
        <v>136455.08658309659</v>
      </c>
      <c r="H82" s="204">
        <f>CHIFFRAGE_TC!$M83*CHIFFRAGE_TC!$W83</f>
        <v>45485.028861032195</v>
      </c>
      <c r="I82" s="709">
        <v>0</v>
      </c>
      <c r="J82" s="709">
        <v>0</v>
      </c>
      <c r="K82" s="709">
        <v>0</v>
      </c>
      <c r="L82" s="709">
        <v>0</v>
      </c>
      <c r="M82" s="709">
        <v>0</v>
      </c>
      <c r="N82" s="709">
        <v>0</v>
      </c>
      <c r="O82" s="709">
        <v>0</v>
      </c>
      <c r="P82" s="709">
        <v>0</v>
      </c>
      <c r="Q82" s="709">
        <v>0</v>
      </c>
      <c r="R82" s="709">
        <v>0</v>
      </c>
      <c r="S82" s="709">
        <v>0</v>
      </c>
      <c r="T82" s="709">
        <v>0</v>
      </c>
      <c r="U82" s="709">
        <v>0</v>
      </c>
      <c r="V82" s="709">
        <v>0</v>
      </c>
      <c r="W82" s="729">
        <f t="shared" si="24"/>
        <v>0</v>
      </c>
      <c r="X82" s="729">
        <f t="shared" si="24"/>
        <v>136455.08658309659</v>
      </c>
      <c r="Y82" s="729">
        <f t="shared" si="24"/>
        <v>45485.028861032195</v>
      </c>
      <c r="Z82" s="709">
        <v>0</v>
      </c>
      <c r="AA82" s="709">
        <v>0</v>
      </c>
      <c r="AB82" s="709">
        <v>0</v>
      </c>
      <c r="AC82" s="709">
        <v>0</v>
      </c>
      <c r="AD82" s="709">
        <v>0</v>
      </c>
      <c r="AE82" s="709">
        <v>0</v>
      </c>
      <c r="AF82" s="709">
        <v>0</v>
      </c>
      <c r="AG82" s="709">
        <v>0</v>
      </c>
      <c r="AH82" s="709">
        <v>0</v>
      </c>
      <c r="AI82" s="709">
        <v>0</v>
      </c>
      <c r="AJ82" s="709">
        <v>0</v>
      </c>
      <c r="AK82" s="709">
        <v>0</v>
      </c>
      <c r="AL82" s="709">
        <v>0</v>
      </c>
      <c r="AM82" s="709">
        <v>0</v>
      </c>
      <c r="AN82" s="729">
        <f t="shared" si="25"/>
        <v>0</v>
      </c>
      <c r="AO82" s="729">
        <f t="shared" si="23"/>
        <v>136455.08658309659</v>
      </c>
      <c r="AP82" s="729">
        <f t="shared" si="23"/>
        <v>45485.028861032195</v>
      </c>
      <c r="AQ82" s="709">
        <v>0</v>
      </c>
      <c r="AR82" s="709">
        <v>0</v>
      </c>
      <c r="AS82" s="709">
        <v>0</v>
      </c>
      <c r="AT82" s="709">
        <v>0</v>
      </c>
      <c r="AU82" s="709">
        <v>0</v>
      </c>
      <c r="AV82" s="709">
        <v>0</v>
      </c>
      <c r="AW82" s="709">
        <v>0</v>
      </c>
      <c r="AX82" s="709">
        <v>0</v>
      </c>
    </row>
    <row r="83" spans="2:50" ht="13.8" thickBot="1" x14ac:dyDescent="0.25">
      <c r="B83" s="290"/>
      <c r="C83" s="964"/>
      <c r="D83" s="725"/>
      <c r="E83" s="208"/>
      <c r="F83" s="17"/>
      <c r="G83" s="17"/>
      <c r="H83" s="204"/>
      <c r="I83" s="69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</row>
    <row r="84" spans="2:50" ht="16.2" thickBot="1" x14ac:dyDescent="0.25">
      <c r="B84" s="288" t="str">
        <f>CHIFFRAGE_TC!B85</f>
        <v>Estaciones</v>
      </c>
      <c r="C84" s="964"/>
      <c r="D84" s="725">
        <f>CHIFFRAGE_TC!K85</f>
        <v>0.25000000000000006</v>
      </c>
      <c r="E84" s="209">
        <f>E85+E96+E107+E118+E129+E140+E151+E162</f>
        <v>0</v>
      </c>
      <c r="F84" s="196">
        <f>F85+F96+F107+F118+F129+F140+F151+F162</f>
        <v>7050206.2113428824</v>
      </c>
      <c r="G84" s="196">
        <f t="shared" ref="G84:AX84" si="26">G85+G96+G107+G118+G129+G140+G151+G162</f>
        <v>11594958.680468652</v>
      </c>
      <c r="H84" s="196">
        <f t="shared" si="26"/>
        <v>2524889.7758831242</v>
      </c>
      <c r="I84" s="196">
        <f t="shared" si="26"/>
        <v>0</v>
      </c>
      <c r="J84" s="196">
        <f t="shared" si="26"/>
        <v>0</v>
      </c>
      <c r="K84" s="196">
        <f t="shared" si="26"/>
        <v>0</v>
      </c>
      <c r="L84" s="196">
        <f t="shared" si="26"/>
        <v>0</v>
      </c>
      <c r="M84" s="196">
        <f t="shared" si="26"/>
        <v>0</v>
      </c>
      <c r="N84" s="196">
        <f t="shared" si="26"/>
        <v>0</v>
      </c>
      <c r="O84" s="196">
        <f t="shared" si="26"/>
        <v>0</v>
      </c>
      <c r="P84" s="196">
        <f t="shared" si="26"/>
        <v>0</v>
      </c>
      <c r="Q84" s="196">
        <f t="shared" si="26"/>
        <v>0</v>
      </c>
      <c r="R84" s="196">
        <f t="shared" si="26"/>
        <v>0</v>
      </c>
      <c r="S84" s="196">
        <f t="shared" si="26"/>
        <v>0</v>
      </c>
      <c r="T84" s="196">
        <f t="shared" si="26"/>
        <v>0</v>
      </c>
      <c r="U84" s="196">
        <f t="shared" si="26"/>
        <v>0</v>
      </c>
      <c r="V84" s="196">
        <f t="shared" si="26"/>
        <v>0</v>
      </c>
      <c r="W84" s="196">
        <f t="shared" si="26"/>
        <v>186515.625</v>
      </c>
      <c r="X84" s="196">
        <f t="shared" si="26"/>
        <v>559546.875</v>
      </c>
      <c r="Y84" s="196">
        <f t="shared" si="26"/>
        <v>0</v>
      </c>
      <c r="Z84" s="196">
        <f t="shared" si="26"/>
        <v>0</v>
      </c>
      <c r="AA84" s="196">
        <f t="shared" si="26"/>
        <v>0</v>
      </c>
      <c r="AB84" s="196">
        <f t="shared" si="26"/>
        <v>0</v>
      </c>
      <c r="AC84" s="196">
        <f t="shared" si="26"/>
        <v>0</v>
      </c>
      <c r="AD84" s="196">
        <f t="shared" si="26"/>
        <v>0</v>
      </c>
      <c r="AE84" s="196">
        <f t="shared" si="26"/>
        <v>0</v>
      </c>
      <c r="AF84" s="196">
        <f t="shared" si="26"/>
        <v>0</v>
      </c>
      <c r="AG84" s="196">
        <f t="shared" si="26"/>
        <v>0</v>
      </c>
      <c r="AH84" s="196">
        <f t="shared" si="26"/>
        <v>0</v>
      </c>
      <c r="AI84" s="196">
        <f t="shared" si="26"/>
        <v>0</v>
      </c>
      <c r="AJ84" s="196">
        <f t="shared" si="26"/>
        <v>0</v>
      </c>
      <c r="AK84" s="196">
        <f t="shared" si="26"/>
        <v>0</v>
      </c>
      <c r="AL84" s="196">
        <f t="shared" si="26"/>
        <v>0</v>
      </c>
      <c r="AM84" s="196">
        <f t="shared" si="26"/>
        <v>0</v>
      </c>
      <c r="AN84" s="196">
        <f t="shared" si="26"/>
        <v>186515.625</v>
      </c>
      <c r="AO84" s="196">
        <f t="shared" si="26"/>
        <v>559546.875</v>
      </c>
      <c r="AP84" s="196">
        <f t="shared" si="26"/>
        <v>0</v>
      </c>
      <c r="AQ84" s="196">
        <f t="shared" si="26"/>
        <v>0</v>
      </c>
      <c r="AR84" s="196">
        <f t="shared" si="26"/>
        <v>0</v>
      </c>
      <c r="AS84" s="196">
        <f t="shared" si="26"/>
        <v>0</v>
      </c>
      <c r="AT84" s="196">
        <f t="shared" si="26"/>
        <v>0</v>
      </c>
      <c r="AU84" s="196">
        <f t="shared" si="26"/>
        <v>0</v>
      </c>
      <c r="AV84" s="196">
        <f t="shared" si="26"/>
        <v>0</v>
      </c>
      <c r="AW84" s="196">
        <f t="shared" si="26"/>
        <v>0</v>
      </c>
      <c r="AX84" s="196">
        <f t="shared" si="26"/>
        <v>0</v>
      </c>
    </row>
    <row r="85" spans="2:50" ht="13.2" x14ac:dyDescent="0.2">
      <c r="B85" s="293" t="str">
        <f>CHIFFRAGE_TC!B86</f>
        <v>Edificio - Estacion Duran (Terminal)</v>
      </c>
      <c r="C85" s="964"/>
      <c r="D85" s="725"/>
      <c r="E85" s="210">
        <f>SUM(E86:E95)</f>
        <v>0</v>
      </c>
      <c r="F85" s="198">
        <f>SUM(F86:F95)</f>
        <v>0</v>
      </c>
      <c r="G85" s="198">
        <f>SUM(G86:G95)</f>
        <v>0</v>
      </c>
      <c r="H85" s="205">
        <f>SUM(H86:H95)</f>
        <v>0</v>
      </c>
      <c r="I85" s="733">
        <f t="shared" ref="I85:AX85" si="27">SUM(I86:I95)</f>
        <v>0</v>
      </c>
      <c r="J85" s="733">
        <f t="shared" si="27"/>
        <v>0</v>
      </c>
      <c r="K85" s="733">
        <f t="shared" si="27"/>
        <v>0</v>
      </c>
      <c r="L85" s="733">
        <f t="shared" si="27"/>
        <v>0</v>
      </c>
      <c r="M85" s="733">
        <f t="shared" si="27"/>
        <v>0</v>
      </c>
      <c r="N85" s="733">
        <f t="shared" si="27"/>
        <v>0</v>
      </c>
      <c r="O85" s="733">
        <f t="shared" si="27"/>
        <v>0</v>
      </c>
      <c r="P85" s="733">
        <f t="shared" si="27"/>
        <v>0</v>
      </c>
      <c r="Q85" s="733">
        <f t="shared" si="27"/>
        <v>0</v>
      </c>
      <c r="R85" s="733">
        <f t="shared" si="27"/>
        <v>0</v>
      </c>
      <c r="S85" s="733">
        <f t="shared" si="27"/>
        <v>0</v>
      </c>
      <c r="T85" s="733">
        <f t="shared" si="27"/>
        <v>0</v>
      </c>
      <c r="U85" s="733">
        <f t="shared" si="27"/>
        <v>0</v>
      </c>
      <c r="V85" s="733">
        <f t="shared" si="27"/>
        <v>0</v>
      </c>
      <c r="W85" s="733">
        <f t="shared" si="27"/>
        <v>0</v>
      </c>
      <c r="X85" s="733">
        <f t="shared" si="27"/>
        <v>0</v>
      </c>
      <c r="Y85" s="733">
        <f t="shared" si="27"/>
        <v>0</v>
      </c>
      <c r="Z85" s="733">
        <f t="shared" si="27"/>
        <v>0</v>
      </c>
      <c r="AA85" s="733">
        <f t="shared" si="27"/>
        <v>0</v>
      </c>
      <c r="AB85" s="733">
        <f t="shared" si="27"/>
        <v>0</v>
      </c>
      <c r="AC85" s="733">
        <f t="shared" si="27"/>
        <v>0</v>
      </c>
      <c r="AD85" s="733">
        <f t="shared" si="27"/>
        <v>0</v>
      </c>
      <c r="AE85" s="733">
        <f t="shared" si="27"/>
        <v>0</v>
      </c>
      <c r="AF85" s="733">
        <f t="shared" si="27"/>
        <v>0</v>
      </c>
      <c r="AG85" s="733">
        <f t="shared" si="27"/>
        <v>0</v>
      </c>
      <c r="AH85" s="733">
        <f t="shared" si="27"/>
        <v>0</v>
      </c>
      <c r="AI85" s="733">
        <f t="shared" si="27"/>
        <v>0</v>
      </c>
      <c r="AJ85" s="733">
        <f t="shared" si="27"/>
        <v>0</v>
      </c>
      <c r="AK85" s="733">
        <f t="shared" si="27"/>
        <v>0</v>
      </c>
      <c r="AL85" s="733">
        <f t="shared" si="27"/>
        <v>0</v>
      </c>
      <c r="AM85" s="733">
        <f t="shared" si="27"/>
        <v>0</v>
      </c>
      <c r="AN85" s="733">
        <f t="shared" si="27"/>
        <v>0</v>
      </c>
      <c r="AO85" s="733">
        <f t="shared" si="27"/>
        <v>0</v>
      </c>
      <c r="AP85" s="733">
        <f t="shared" si="27"/>
        <v>0</v>
      </c>
      <c r="AQ85" s="733">
        <f t="shared" si="27"/>
        <v>0</v>
      </c>
      <c r="AR85" s="733">
        <f t="shared" si="27"/>
        <v>0</v>
      </c>
      <c r="AS85" s="733">
        <f t="shared" si="27"/>
        <v>0</v>
      </c>
      <c r="AT85" s="733">
        <f t="shared" si="27"/>
        <v>0</v>
      </c>
      <c r="AU85" s="733">
        <f t="shared" si="27"/>
        <v>0</v>
      </c>
      <c r="AV85" s="733">
        <f t="shared" si="27"/>
        <v>0</v>
      </c>
      <c r="AW85" s="733">
        <f t="shared" si="27"/>
        <v>0</v>
      </c>
      <c r="AX85" s="733">
        <f t="shared" si="27"/>
        <v>0</v>
      </c>
    </row>
    <row r="86" spans="2:50" ht="13.2" x14ac:dyDescent="0.2">
      <c r="B86" s="290" t="str">
        <f>CHIFFRAGE_TC!B87</f>
        <v>Fundaciones tipicas 
(edificio con piso tierra y primer piso)</v>
      </c>
      <c r="C86" s="964">
        <f>CHIFFRAGE_TC!D87</f>
        <v>50</v>
      </c>
      <c r="D86" s="725"/>
      <c r="E86" s="208">
        <f>CHIFFRAGE_TC!$M87*CHIFFRAGE_TC!$T87</f>
        <v>0</v>
      </c>
      <c r="F86" s="17">
        <f>CHIFFRAGE_TC!$M87*CHIFFRAGE_TC!$U87</f>
        <v>0</v>
      </c>
      <c r="G86" s="17">
        <f>CHIFFRAGE_TC!$M87*CHIFFRAGE_TC!$V87</f>
        <v>0</v>
      </c>
      <c r="H86" s="204">
        <f>CHIFFRAGE_TC!$M87*CHIFFRAGE_TC!$W87</f>
        <v>0</v>
      </c>
      <c r="I86" s="709">
        <v>0</v>
      </c>
      <c r="J86" s="709">
        <v>0</v>
      </c>
      <c r="K86" s="709">
        <v>0</v>
      </c>
      <c r="L86" s="709">
        <v>0</v>
      </c>
      <c r="M86" s="709">
        <v>0</v>
      </c>
      <c r="N86" s="709">
        <v>0</v>
      </c>
      <c r="O86" s="709">
        <v>0</v>
      </c>
      <c r="P86" s="709">
        <v>0</v>
      </c>
      <c r="Q86" s="709">
        <v>0</v>
      </c>
      <c r="R86" s="709">
        <v>0</v>
      </c>
      <c r="S86" s="709">
        <v>0</v>
      </c>
      <c r="T86" s="709">
        <v>0</v>
      </c>
      <c r="U86" s="709">
        <v>0</v>
      </c>
      <c r="V86" s="709">
        <v>0</v>
      </c>
      <c r="W86" s="709">
        <v>0</v>
      </c>
      <c r="X86" s="709">
        <v>0</v>
      </c>
      <c r="Y86" s="709">
        <v>0</v>
      </c>
      <c r="Z86" s="709">
        <v>0</v>
      </c>
      <c r="AA86" s="709">
        <v>0</v>
      </c>
      <c r="AB86" s="709">
        <v>0</v>
      </c>
      <c r="AC86" s="709">
        <v>0</v>
      </c>
      <c r="AD86" s="709">
        <v>0</v>
      </c>
      <c r="AE86" s="709">
        <v>0</v>
      </c>
      <c r="AF86" s="709">
        <v>0</v>
      </c>
      <c r="AG86" s="709">
        <v>0</v>
      </c>
      <c r="AH86" s="709">
        <v>0</v>
      </c>
      <c r="AI86" s="709">
        <v>0</v>
      </c>
      <c r="AJ86" s="709">
        <v>0</v>
      </c>
      <c r="AK86" s="709">
        <v>0</v>
      </c>
      <c r="AL86" s="709">
        <v>0</v>
      </c>
      <c r="AM86" s="709">
        <v>0</v>
      </c>
      <c r="AN86" s="709">
        <v>0</v>
      </c>
      <c r="AO86" s="709">
        <v>0</v>
      </c>
      <c r="AP86" s="709">
        <v>0</v>
      </c>
      <c r="AQ86" s="709">
        <v>0</v>
      </c>
      <c r="AR86" s="709">
        <v>0</v>
      </c>
      <c r="AS86" s="709">
        <v>0</v>
      </c>
      <c r="AT86" s="709">
        <v>0</v>
      </c>
      <c r="AU86" s="709">
        <v>0</v>
      </c>
      <c r="AV86" s="709">
        <v>0</v>
      </c>
      <c r="AW86" s="709">
        <v>0</v>
      </c>
      <c r="AX86" s="709">
        <v>0</v>
      </c>
    </row>
    <row r="87" spans="2:50" ht="13.2" x14ac:dyDescent="0.2">
      <c r="B87" s="290" t="str">
        <f>CHIFFRAGE_TC!B88</f>
        <v>Piso tierra sobrelevado y fundaciones</v>
      </c>
      <c r="C87" s="964">
        <f>CHIFFRAGE_TC!D88</f>
        <v>50</v>
      </c>
      <c r="D87" s="725"/>
      <c r="E87" s="208">
        <f>CHIFFRAGE_TC!$M88*CHIFFRAGE_TC!$T88</f>
        <v>0</v>
      </c>
      <c r="F87" s="17">
        <f>CHIFFRAGE_TC!$M88*CHIFFRAGE_TC!$U88</f>
        <v>0</v>
      </c>
      <c r="G87" s="17">
        <f>CHIFFRAGE_TC!$M88*CHIFFRAGE_TC!$V88</f>
        <v>0</v>
      </c>
      <c r="H87" s="204">
        <f>CHIFFRAGE_TC!$M88*CHIFFRAGE_TC!$W88</f>
        <v>0</v>
      </c>
      <c r="I87" s="709">
        <v>0</v>
      </c>
      <c r="J87" s="709">
        <v>0</v>
      </c>
      <c r="K87" s="709">
        <v>0</v>
      </c>
      <c r="L87" s="709">
        <v>0</v>
      </c>
      <c r="M87" s="709">
        <v>0</v>
      </c>
      <c r="N87" s="709">
        <v>0</v>
      </c>
      <c r="O87" s="709">
        <v>0</v>
      </c>
      <c r="P87" s="709">
        <v>0</v>
      </c>
      <c r="Q87" s="709">
        <v>0</v>
      </c>
      <c r="R87" s="709">
        <v>0</v>
      </c>
      <c r="S87" s="709">
        <v>0</v>
      </c>
      <c r="T87" s="709">
        <v>0</v>
      </c>
      <c r="U87" s="709">
        <v>0</v>
      </c>
      <c r="V87" s="709">
        <v>0</v>
      </c>
      <c r="W87" s="709">
        <v>0</v>
      </c>
      <c r="X87" s="709">
        <v>0</v>
      </c>
      <c r="Y87" s="709">
        <v>0</v>
      </c>
      <c r="Z87" s="709">
        <v>0</v>
      </c>
      <c r="AA87" s="709">
        <v>0</v>
      </c>
      <c r="AB87" s="709">
        <v>0</v>
      </c>
      <c r="AC87" s="709">
        <v>0</v>
      </c>
      <c r="AD87" s="709">
        <v>0</v>
      </c>
      <c r="AE87" s="709">
        <v>0</v>
      </c>
      <c r="AF87" s="709">
        <v>0</v>
      </c>
      <c r="AG87" s="709">
        <v>0</v>
      </c>
      <c r="AH87" s="709">
        <v>0</v>
      </c>
      <c r="AI87" s="709">
        <v>0</v>
      </c>
      <c r="AJ87" s="709">
        <v>0</v>
      </c>
      <c r="AK87" s="709">
        <v>0</v>
      </c>
      <c r="AL87" s="709">
        <v>0</v>
      </c>
      <c r="AM87" s="709">
        <v>0</v>
      </c>
      <c r="AN87" s="709">
        <v>0</v>
      </c>
      <c r="AO87" s="709">
        <v>0</v>
      </c>
      <c r="AP87" s="709">
        <v>0</v>
      </c>
      <c r="AQ87" s="709">
        <v>0</v>
      </c>
      <c r="AR87" s="709">
        <v>0</v>
      </c>
      <c r="AS87" s="709">
        <v>0</v>
      </c>
      <c r="AT87" s="709">
        <v>0</v>
      </c>
      <c r="AU87" s="709">
        <v>0</v>
      </c>
      <c r="AV87" s="709">
        <v>0</v>
      </c>
      <c r="AW87" s="709">
        <v>0</v>
      </c>
      <c r="AX87" s="709">
        <v>0</v>
      </c>
    </row>
    <row r="88" spans="2:50" ht="13.2" x14ac:dyDescent="0.2">
      <c r="B88" s="290" t="str">
        <f>CHIFFRAGE_TC!B89</f>
        <v>Superficies comerciales</v>
      </c>
      <c r="C88" s="964">
        <f>CHIFFRAGE_TC!D89</f>
        <v>50</v>
      </c>
      <c r="D88" s="725"/>
      <c r="E88" s="208">
        <f>CHIFFRAGE_TC!$M89*CHIFFRAGE_TC!$T89</f>
        <v>0</v>
      </c>
      <c r="F88" s="17">
        <f>CHIFFRAGE_TC!$M89*CHIFFRAGE_TC!$U89</f>
        <v>0</v>
      </c>
      <c r="G88" s="17">
        <f>CHIFFRAGE_TC!$M89*CHIFFRAGE_TC!$V89</f>
        <v>0</v>
      </c>
      <c r="H88" s="204">
        <f>CHIFFRAGE_TC!$M89*CHIFFRAGE_TC!$W89</f>
        <v>0</v>
      </c>
      <c r="I88" s="709">
        <v>0</v>
      </c>
      <c r="J88" s="709">
        <v>0</v>
      </c>
      <c r="K88" s="709">
        <v>0</v>
      </c>
      <c r="L88" s="709">
        <v>0</v>
      </c>
      <c r="M88" s="709">
        <v>0</v>
      </c>
      <c r="N88" s="709">
        <v>0</v>
      </c>
      <c r="O88" s="709">
        <v>0</v>
      </c>
      <c r="P88" s="709">
        <v>0</v>
      </c>
      <c r="Q88" s="709">
        <v>0</v>
      </c>
      <c r="R88" s="709">
        <v>0</v>
      </c>
      <c r="S88" s="709">
        <v>0</v>
      </c>
      <c r="T88" s="709">
        <v>0</v>
      </c>
      <c r="U88" s="709">
        <v>0</v>
      </c>
      <c r="V88" s="709">
        <v>0</v>
      </c>
      <c r="W88" s="709">
        <v>0</v>
      </c>
      <c r="X88" s="709">
        <v>0</v>
      </c>
      <c r="Y88" s="709">
        <v>0</v>
      </c>
      <c r="Z88" s="709">
        <v>0</v>
      </c>
      <c r="AA88" s="709">
        <v>0</v>
      </c>
      <c r="AB88" s="709">
        <v>0</v>
      </c>
      <c r="AC88" s="709">
        <v>0</v>
      </c>
      <c r="AD88" s="709">
        <v>0</v>
      </c>
      <c r="AE88" s="709">
        <v>0</v>
      </c>
      <c r="AF88" s="709">
        <v>0</v>
      </c>
      <c r="AG88" s="709">
        <v>0</v>
      </c>
      <c r="AH88" s="709">
        <v>0</v>
      </c>
      <c r="AI88" s="709">
        <v>0</v>
      </c>
      <c r="AJ88" s="709">
        <v>0</v>
      </c>
      <c r="AK88" s="709">
        <v>0</v>
      </c>
      <c r="AL88" s="709">
        <v>0</v>
      </c>
      <c r="AM88" s="709">
        <v>0</v>
      </c>
      <c r="AN88" s="709">
        <v>0</v>
      </c>
      <c r="AO88" s="709">
        <v>0</v>
      </c>
      <c r="AP88" s="709">
        <v>0</v>
      </c>
      <c r="AQ88" s="709">
        <v>0</v>
      </c>
      <c r="AR88" s="709">
        <v>0</v>
      </c>
      <c r="AS88" s="709">
        <v>0</v>
      </c>
      <c r="AT88" s="709">
        <v>0</v>
      </c>
      <c r="AU88" s="709">
        <v>0</v>
      </c>
      <c r="AV88" s="709">
        <v>0</v>
      </c>
      <c r="AW88" s="709">
        <v>0</v>
      </c>
      <c r="AX88" s="709">
        <v>0</v>
      </c>
    </row>
    <row r="89" spans="2:50" ht="26.4" x14ac:dyDescent="0.2">
      <c r="B89" s="292" t="str">
        <f>CHIFFRAGE_TC!B90</f>
        <v xml:space="preserve">Ingreso y circulaciones al piso tierra 
(y/c servicios, escaleras mecanicas, escaleras y ascencores) </v>
      </c>
      <c r="C89" s="964">
        <f>CHIFFRAGE_TC!D90</f>
        <v>40</v>
      </c>
      <c r="D89" s="725"/>
      <c r="E89" s="208">
        <f>CHIFFRAGE_TC!$M90*CHIFFRAGE_TC!$T90</f>
        <v>0</v>
      </c>
      <c r="F89" s="17">
        <f>CHIFFRAGE_TC!$M90*CHIFFRAGE_TC!$U90</f>
        <v>0</v>
      </c>
      <c r="G89" s="17">
        <f>CHIFFRAGE_TC!$M90*CHIFFRAGE_TC!$V90</f>
        <v>0</v>
      </c>
      <c r="H89" s="204">
        <f>CHIFFRAGE_TC!$M90*CHIFFRAGE_TC!$W90</f>
        <v>0</v>
      </c>
      <c r="I89" s="709">
        <v>0</v>
      </c>
      <c r="J89" s="709">
        <v>0</v>
      </c>
      <c r="K89" s="709">
        <v>0</v>
      </c>
      <c r="L89" s="709">
        <v>0</v>
      </c>
      <c r="M89" s="709">
        <v>0</v>
      </c>
      <c r="N89" s="709">
        <v>0</v>
      </c>
      <c r="O89" s="709">
        <v>0</v>
      </c>
      <c r="P89" s="709">
        <v>0</v>
      </c>
      <c r="Q89" s="709">
        <v>0</v>
      </c>
      <c r="R89" s="709">
        <v>0</v>
      </c>
      <c r="S89" s="709">
        <v>0</v>
      </c>
      <c r="T89" s="709">
        <v>0</v>
      </c>
      <c r="U89" s="709">
        <v>0</v>
      </c>
      <c r="V89" s="709">
        <v>0</v>
      </c>
      <c r="W89" s="709">
        <v>0</v>
      </c>
      <c r="X89" s="709">
        <v>0</v>
      </c>
      <c r="Y89" s="709">
        <v>0</v>
      </c>
      <c r="Z89" s="709">
        <v>0</v>
      </c>
      <c r="AA89" s="709">
        <v>0</v>
      </c>
      <c r="AB89" s="709">
        <v>0</v>
      </c>
      <c r="AC89" s="709">
        <v>0</v>
      </c>
      <c r="AD89" s="709">
        <v>0</v>
      </c>
      <c r="AE89" s="709">
        <v>0</v>
      </c>
      <c r="AF89" s="709">
        <v>0</v>
      </c>
      <c r="AG89" s="709">
        <v>0</v>
      </c>
      <c r="AH89" s="709">
        <v>0</v>
      </c>
      <c r="AI89" s="709">
        <v>0</v>
      </c>
      <c r="AJ89" s="709">
        <v>0</v>
      </c>
      <c r="AK89" s="709">
        <v>0</v>
      </c>
      <c r="AL89" s="709">
        <v>0</v>
      </c>
      <c r="AM89" s="709">
        <v>0</v>
      </c>
      <c r="AN89" s="709">
        <v>0</v>
      </c>
      <c r="AO89" s="709">
        <v>0</v>
      </c>
      <c r="AP89" s="709">
        <v>0</v>
      </c>
      <c r="AQ89" s="709">
        <v>0</v>
      </c>
      <c r="AR89" s="709">
        <v>0</v>
      </c>
      <c r="AS89" s="709">
        <v>0</v>
      </c>
      <c r="AT89" s="709">
        <v>0</v>
      </c>
      <c r="AU89" s="709">
        <v>0</v>
      </c>
      <c r="AV89" s="709">
        <v>0</v>
      </c>
      <c r="AW89" s="709">
        <v>0</v>
      </c>
      <c r="AX89" s="709">
        <v>0</v>
      </c>
    </row>
    <row r="90" spans="2:50" ht="26.4" x14ac:dyDescent="0.2">
      <c r="B90" s="292" t="str">
        <f>CHIFFRAGE_TC!B91</f>
        <v>Escaleras mecanicas, escaleras y ascencores adicionales 
(piso tierra sobrelevado)</v>
      </c>
      <c r="C90" s="964">
        <f>CHIFFRAGE_TC!D91</f>
        <v>15</v>
      </c>
      <c r="D90" s="725"/>
      <c r="E90" s="208">
        <f>CHIFFRAGE_TC!$M91*CHIFFRAGE_TC!$T91</f>
        <v>0</v>
      </c>
      <c r="F90" s="17">
        <f>CHIFFRAGE_TC!$M91*CHIFFRAGE_TC!$U91</f>
        <v>0</v>
      </c>
      <c r="G90" s="17">
        <f>CHIFFRAGE_TC!$M91*CHIFFRAGE_TC!$V91</f>
        <v>0</v>
      </c>
      <c r="H90" s="204">
        <f>CHIFFRAGE_TC!$M91*CHIFFRAGE_TC!$W91</f>
        <v>0</v>
      </c>
      <c r="I90" s="709">
        <v>0</v>
      </c>
      <c r="J90" s="709">
        <v>0</v>
      </c>
      <c r="K90" s="709">
        <v>0</v>
      </c>
      <c r="L90" s="709">
        <v>0</v>
      </c>
      <c r="M90" s="709">
        <v>0</v>
      </c>
      <c r="N90" s="709">
        <v>0</v>
      </c>
      <c r="O90" s="709">
        <v>0</v>
      </c>
      <c r="P90" s="709">
        <v>0</v>
      </c>
      <c r="Q90" s="709">
        <v>0</v>
      </c>
      <c r="R90" s="709">
        <v>0</v>
      </c>
      <c r="S90" s="709">
        <v>0</v>
      </c>
      <c r="T90" s="709">
        <v>0</v>
      </c>
      <c r="U90" s="709">
        <v>0</v>
      </c>
      <c r="V90" s="709">
        <v>0</v>
      </c>
      <c r="W90" s="729">
        <f>F90</f>
        <v>0</v>
      </c>
      <c r="X90" s="729">
        <f t="shared" ref="X90:Y90" si="28">G90</f>
        <v>0</v>
      </c>
      <c r="Y90" s="729">
        <f t="shared" si="28"/>
        <v>0</v>
      </c>
      <c r="Z90" s="709">
        <v>0</v>
      </c>
      <c r="AA90" s="709">
        <v>0</v>
      </c>
      <c r="AB90" s="709">
        <v>0</v>
      </c>
      <c r="AC90" s="709">
        <v>0</v>
      </c>
      <c r="AD90" s="709">
        <v>0</v>
      </c>
      <c r="AE90" s="709">
        <v>0</v>
      </c>
      <c r="AF90" s="709">
        <v>0</v>
      </c>
      <c r="AG90" s="709">
        <v>0</v>
      </c>
      <c r="AH90" s="709">
        <v>0</v>
      </c>
      <c r="AI90" s="709">
        <v>0</v>
      </c>
      <c r="AJ90" s="709">
        <v>0</v>
      </c>
      <c r="AK90" s="709">
        <v>0</v>
      </c>
      <c r="AL90" s="709">
        <v>0</v>
      </c>
      <c r="AM90" s="709">
        <v>0</v>
      </c>
      <c r="AN90" s="729">
        <f>F90</f>
        <v>0</v>
      </c>
      <c r="AO90" s="729">
        <f t="shared" ref="AO90:AP90" si="29">G90</f>
        <v>0</v>
      </c>
      <c r="AP90" s="729">
        <f t="shared" si="29"/>
        <v>0</v>
      </c>
      <c r="AQ90" s="709">
        <v>0</v>
      </c>
      <c r="AR90" s="709">
        <v>0</v>
      </c>
      <c r="AS90" s="709">
        <v>0</v>
      </c>
      <c r="AT90" s="709">
        <v>0</v>
      </c>
      <c r="AU90" s="709">
        <v>0</v>
      </c>
      <c r="AV90" s="709">
        <v>0</v>
      </c>
      <c r="AW90" s="709">
        <v>0</v>
      </c>
      <c r="AX90" s="709">
        <v>0</v>
      </c>
    </row>
    <row r="91" spans="2:50" ht="13.2" x14ac:dyDescent="0.2">
      <c r="B91" s="290" t="str">
        <f>CHIFFRAGE_TC!B92</f>
        <v>Anden al primer piso</v>
      </c>
      <c r="C91" s="964">
        <f>CHIFFRAGE_TC!D92</f>
        <v>50</v>
      </c>
      <c r="D91" s="725"/>
      <c r="E91" s="208">
        <f>CHIFFRAGE_TC!$M92*CHIFFRAGE_TC!$T92</f>
        <v>0</v>
      </c>
      <c r="F91" s="17">
        <f>CHIFFRAGE_TC!$M92*CHIFFRAGE_TC!$U92</f>
        <v>0</v>
      </c>
      <c r="G91" s="17">
        <f>CHIFFRAGE_TC!$M92*CHIFFRAGE_TC!$V92</f>
        <v>0</v>
      </c>
      <c r="H91" s="204">
        <f>CHIFFRAGE_TC!$M92*CHIFFRAGE_TC!$W92</f>
        <v>0</v>
      </c>
      <c r="I91" s="709">
        <v>0</v>
      </c>
      <c r="J91" s="709">
        <v>0</v>
      </c>
      <c r="K91" s="709">
        <v>0</v>
      </c>
      <c r="L91" s="709">
        <v>0</v>
      </c>
      <c r="M91" s="709">
        <v>0</v>
      </c>
      <c r="N91" s="709">
        <v>0</v>
      </c>
      <c r="O91" s="709">
        <v>0</v>
      </c>
      <c r="P91" s="709">
        <v>0</v>
      </c>
      <c r="Q91" s="709">
        <v>0</v>
      </c>
      <c r="R91" s="709">
        <v>0</v>
      </c>
      <c r="S91" s="709">
        <v>0</v>
      </c>
      <c r="T91" s="709">
        <v>0</v>
      </c>
      <c r="U91" s="709">
        <v>0</v>
      </c>
      <c r="V91" s="709">
        <v>0</v>
      </c>
      <c r="W91" s="709">
        <v>0</v>
      </c>
      <c r="X91" s="709">
        <v>0</v>
      </c>
      <c r="Y91" s="709">
        <v>0</v>
      </c>
      <c r="Z91" s="709">
        <v>0</v>
      </c>
      <c r="AA91" s="709">
        <v>0</v>
      </c>
      <c r="AB91" s="709">
        <v>0</v>
      </c>
      <c r="AC91" s="709">
        <v>0</v>
      </c>
      <c r="AD91" s="709">
        <v>0</v>
      </c>
      <c r="AE91" s="709">
        <v>0</v>
      </c>
      <c r="AF91" s="709">
        <v>0</v>
      </c>
      <c r="AG91" s="709">
        <v>0</v>
      </c>
      <c r="AH91" s="709">
        <v>0</v>
      </c>
      <c r="AI91" s="709">
        <v>0</v>
      </c>
      <c r="AJ91" s="709">
        <v>0</v>
      </c>
      <c r="AK91" s="709">
        <v>0</v>
      </c>
      <c r="AL91" s="709">
        <v>0</v>
      </c>
      <c r="AM91" s="709">
        <v>0</v>
      </c>
      <c r="AN91" s="709">
        <v>0</v>
      </c>
      <c r="AO91" s="709">
        <v>0</v>
      </c>
      <c r="AP91" s="709">
        <v>0</v>
      </c>
      <c r="AQ91" s="709">
        <v>0</v>
      </c>
      <c r="AR91" s="709">
        <v>0</v>
      </c>
      <c r="AS91" s="709">
        <v>0</v>
      </c>
      <c r="AT91" s="709">
        <v>0</v>
      </c>
      <c r="AU91" s="709">
        <v>0</v>
      </c>
      <c r="AV91" s="709">
        <v>0</v>
      </c>
      <c r="AW91" s="709">
        <v>0</v>
      </c>
      <c r="AX91" s="709">
        <v>0</v>
      </c>
    </row>
    <row r="92" spans="2:50" ht="13.2" x14ac:dyDescent="0.2">
      <c r="B92" s="290" t="str">
        <f>CHIFFRAGE_TC!B93</f>
        <v>Centro de mando + Locales tecnicos cubiertos</v>
      </c>
      <c r="C92" s="964">
        <f>CHIFFRAGE_TC!D93</f>
        <v>50</v>
      </c>
      <c r="D92" s="725"/>
      <c r="E92" s="208">
        <f>CHIFFRAGE_TC!$M93*CHIFFRAGE_TC!$T93</f>
        <v>0</v>
      </c>
      <c r="F92" s="17">
        <f>CHIFFRAGE_TC!$M93*CHIFFRAGE_TC!$U93</f>
        <v>0</v>
      </c>
      <c r="G92" s="17">
        <f>CHIFFRAGE_TC!$M93*CHIFFRAGE_TC!$V93</f>
        <v>0</v>
      </c>
      <c r="H92" s="204">
        <f>CHIFFRAGE_TC!$M93*CHIFFRAGE_TC!$W93</f>
        <v>0</v>
      </c>
      <c r="I92" s="709">
        <v>0</v>
      </c>
      <c r="J92" s="709">
        <v>0</v>
      </c>
      <c r="K92" s="709">
        <v>0</v>
      </c>
      <c r="L92" s="709">
        <v>0</v>
      </c>
      <c r="M92" s="709">
        <v>0</v>
      </c>
      <c r="N92" s="709">
        <v>0</v>
      </c>
      <c r="O92" s="709">
        <v>0</v>
      </c>
      <c r="P92" s="709">
        <v>0</v>
      </c>
      <c r="Q92" s="709">
        <v>0</v>
      </c>
      <c r="R92" s="709">
        <v>0</v>
      </c>
      <c r="S92" s="709">
        <v>0</v>
      </c>
      <c r="T92" s="709">
        <v>0</v>
      </c>
      <c r="U92" s="709">
        <v>0</v>
      </c>
      <c r="V92" s="709">
        <v>0</v>
      </c>
      <c r="W92" s="709">
        <v>0</v>
      </c>
      <c r="X92" s="709">
        <v>0</v>
      </c>
      <c r="Y92" s="709">
        <v>0</v>
      </c>
      <c r="Z92" s="709">
        <v>0</v>
      </c>
      <c r="AA92" s="709">
        <v>0</v>
      </c>
      <c r="AB92" s="709">
        <v>0</v>
      </c>
      <c r="AC92" s="709">
        <v>0</v>
      </c>
      <c r="AD92" s="709">
        <v>0</v>
      </c>
      <c r="AE92" s="709">
        <v>0</v>
      </c>
      <c r="AF92" s="709">
        <v>0</v>
      </c>
      <c r="AG92" s="709">
        <v>0</v>
      </c>
      <c r="AH92" s="709">
        <v>0</v>
      </c>
      <c r="AI92" s="709">
        <v>0</v>
      </c>
      <c r="AJ92" s="709">
        <v>0</v>
      </c>
      <c r="AK92" s="709">
        <v>0</v>
      </c>
      <c r="AL92" s="709">
        <v>0</v>
      </c>
      <c r="AM92" s="709">
        <v>0</v>
      </c>
      <c r="AN92" s="709">
        <v>0</v>
      </c>
      <c r="AO92" s="709">
        <v>0</v>
      </c>
      <c r="AP92" s="709">
        <v>0</v>
      </c>
      <c r="AQ92" s="709">
        <v>0</v>
      </c>
      <c r="AR92" s="709">
        <v>0</v>
      </c>
      <c r="AS92" s="709">
        <v>0</v>
      </c>
      <c r="AT92" s="709">
        <v>0</v>
      </c>
      <c r="AU92" s="709">
        <v>0</v>
      </c>
      <c r="AV92" s="709">
        <v>0</v>
      </c>
      <c r="AW92" s="709">
        <v>0</v>
      </c>
      <c r="AX92" s="709">
        <v>0</v>
      </c>
    </row>
    <row r="93" spans="2:50" ht="13.2" x14ac:dyDescent="0.2">
      <c r="B93" s="290" t="str">
        <f>CHIFFRAGE_TC!B94</f>
        <v xml:space="preserve">Locales tecnicos non cerrados </v>
      </c>
      <c r="C93" s="964">
        <f>CHIFFRAGE_TC!D94</f>
        <v>50</v>
      </c>
      <c r="D93" s="725"/>
      <c r="E93" s="208">
        <f>CHIFFRAGE_TC!$M94*CHIFFRAGE_TC!$T94</f>
        <v>0</v>
      </c>
      <c r="F93" s="17">
        <f>CHIFFRAGE_TC!$M94*CHIFFRAGE_TC!$U94</f>
        <v>0</v>
      </c>
      <c r="G93" s="17">
        <f>CHIFFRAGE_TC!$M94*CHIFFRAGE_TC!$V94</f>
        <v>0</v>
      </c>
      <c r="H93" s="204">
        <f>CHIFFRAGE_TC!$M94*CHIFFRAGE_TC!$W94</f>
        <v>0</v>
      </c>
      <c r="I93" s="709">
        <v>0</v>
      </c>
      <c r="J93" s="709">
        <v>0</v>
      </c>
      <c r="K93" s="709">
        <v>0</v>
      </c>
      <c r="L93" s="709">
        <v>0</v>
      </c>
      <c r="M93" s="709">
        <v>0</v>
      </c>
      <c r="N93" s="709">
        <v>0</v>
      </c>
      <c r="O93" s="709">
        <v>0</v>
      </c>
      <c r="P93" s="709">
        <v>0</v>
      </c>
      <c r="Q93" s="709">
        <v>0</v>
      </c>
      <c r="R93" s="709">
        <v>0</v>
      </c>
      <c r="S93" s="709">
        <v>0</v>
      </c>
      <c r="T93" s="709">
        <v>0</v>
      </c>
      <c r="U93" s="709">
        <v>0</v>
      </c>
      <c r="V93" s="709">
        <v>0</v>
      </c>
      <c r="W93" s="709">
        <v>0</v>
      </c>
      <c r="X93" s="709">
        <v>0</v>
      </c>
      <c r="Y93" s="709">
        <v>0</v>
      </c>
      <c r="Z93" s="709">
        <v>0</v>
      </c>
      <c r="AA93" s="709">
        <v>0</v>
      </c>
      <c r="AB93" s="709">
        <v>0</v>
      </c>
      <c r="AC93" s="709">
        <v>0</v>
      </c>
      <c r="AD93" s="709">
        <v>0</v>
      </c>
      <c r="AE93" s="709">
        <v>0</v>
      </c>
      <c r="AF93" s="709">
        <v>0</v>
      </c>
      <c r="AG93" s="709">
        <v>0</v>
      </c>
      <c r="AH93" s="709">
        <v>0</v>
      </c>
      <c r="AI93" s="709">
        <v>0</v>
      </c>
      <c r="AJ93" s="709">
        <v>0</v>
      </c>
      <c r="AK93" s="709">
        <v>0</v>
      </c>
      <c r="AL93" s="709">
        <v>0</v>
      </c>
      <c r="AM93" s="709">
        <v>0</v>
      </c>
      <c r="AN93" s="709">
        <v>0</v>
      </c>
      <c r="AO93" s="709">
        <v>0</v>
      </c>
      <c r="AP93" s="709">
        <v>0</v>
      </c>
      <c r="AQ93" s="709">
        <v>0</v>
      </c>
      <c r="AR93" s="709">
        <v>0</v>
      </c>
      <c r="AS93" s="709">
        <v>0</v>
      </c>
      <c r="AT93" s="709">
        <v>0</v>
      </c>
      <c r="AU93" s="709">
        <v>0</v>
      </c>
      <c r="AV93" s="709">
        <v>0</v>
      </c>
      <c r="AW93" s="709">
        <v>0</v>
      </c>
      <c r="AX93" s="709">
        <v>0</v>
      </c>
    </row>
    <row r="94" spans="2:50" ht="13.2" x14ac:dyDescent="0.2">
      <c r="B94" s="290" t="str">
        <f>CHIFFRAGE_TC!B95</f>
        <v>Adecuacion urbana 
(demolicion, reconstruccion, mobiliario urbano, paisaje)</v>
      </c>
      <c r="C94" s="964">
        <f>CHIFFRAGE_TC!D95</f>
        <v>50</v>
      </c>
      <c r="D94" s="725"/>
      <c r="E94" s="208">
        <f>CHIFFRAGE_TC!$M95*CHIFFRAGE_TC!$T95</f>
        <v>0</v>
      </c>
      <c r="F94" s="17">
        <f>CHIFFRAGE_TC!$M95*CHIFFRAGE_TC!$U95</f>
        <v>0</v>
      </c>
      <c r="G94" s="17">
        <f>CHIFFRAGE_TC!$M95*CHIFFRAGE_TC!$V95</f>
        <v>0</v>
      </c>
      <c r="H94" s="204">
        <f>CHIFFRAGE_TC!$M95*CHIFFRAGE_TC!$W95</f>
        <v>0</v>
      </c>
      <c r="I94" s="709">
        <v>0</v>
      </c>
      <c r="J94" s="709">
        <v>0</v>
      </c>
      <c r="K94" s="709">
        <v>0</v>
      </c>
      <c r="L94" s="709">
        <v>0</v>
      </c>
      <c r="M94" s="709">
        <v>0</v>
      </c>
      <c r="N94" s="709">
        <v>0</v>
      </c>
      <c r="O94" s="709">
        <v>0</v>
      </c>
      <c r="P94" s="709">
        <v>0</v>
      </c>
      <c r="Q94" s="709">
        <v>0</v>
      </c>
      <c r="R94" s="709">
        <v>0</v>
      </c>
      <c r="S94" s="709">
        <v>0</v>
      </c>
      <c r="T94" s="709">
        <v>0</v>
      </c>
      <c r="U94" s="709">
        <v>0</v>
      </c>
      <c r="V94" s="709">
        <v>0</v>
      </c>
      <c r="W94" s="709">
        <v>0</v>
      </c>
      <c r="X94" s="709">
        <v>0</v>
      </c>
      <c r="Y94" s="709">
        <v>0</v>
      </c>
      <c r="Z94" s="709">
        <v>0</v>
      </c>
      <c r="AA94" s="709">
        <v>0</v>
      </c>
      <c r="AB94" s="709">
        <v>0</v>
      </c>
      <c r="AC94" s="709">
        <v>0</v>
      </c>
      <c r="AD94" s="709">
        <v>0</v>
      </c>
      <c r="AE94" s="709">
        <v>0</v>
      </c>
      <c r="AF94" s="709">
        <v>0</v>
      </c>
      <c r="AG94" s="709">
        <v>0</v>
      </c>
      <c r="AH94" s="709">
        <v>0</v>
      </c>
      <c r="AI94" s="709">
        <v>0</v>
      </c>
      <c r="AJ94" s="709">
        <v>0</v>
      </c>
      <c r="AK94" s="709">
        <v>0</v>
      </c>
      <c r="AL94" s="709">
        <v>0</v>
      </c>
      <c r="AM94" s="709">
        <v>0</v>
      </c>
      <c r="AN94" s="709">
        <v>0</v>
      </c>
      <c r="AO94" s="709">
        <v>0</v>
      </c>
      <c r="AP94" s="709">
        <v>0</v>
      </c>
      <c r="AQ94" s="709">
        <v>0</v>
      </c>
      <c r="AR94" s="709">
        <v>0</v>
      </c>
      <c r="AS94" s="709">
        <v>0</v>
      </c>
      <c r="AT94" s="709">
        <v>0</v>
      </c>
      <c r="AU94" s="709">
        <v>0</v>
      </c>
      <c r="AV94" s="709">
        <v>0</v>
      </c>
      <c r="AW94" s="709">
        <v>0</v>
      </c>
      <c r="AX94" s="709">
        <v>0</v>
      </c>
    </row>
    <row r="95" spans="2:50" ht="13.2" x14ac:dyDescent="0.2">
      <c r="B95" s="289" t="str">
        <f>CHIFFRAGE_TC!B96</f>
        <v>Pasarela</v>
      </c>
      <c r="C95" s="964">
        <f>CHIFFRAGE_TC!D96</f>
        <v>50</v>
      </c>
      <c r="D95" s="725"/>
      <c r="E95" s="208">
        <f>CHIFFRAGE_TC!$M96*CHIFFRAGE_TC!$T96</f>
        <v>0</v>
      </c>
      <c r="F95" s="17">
        <f>CHIFFRAGE_TC!$M96*CHIFFRAGE_TC!$U96</f>
        <v>0</v>
      </c>
      <c r="G95" s="17">
        <f>CHIFFRAGE_TC!$M96*CHIFFRAGE_TC!$V96</f>
        <v>0</v>
      </c>
      <c r="H95" s="204">
        <f>CHIFFRAGE_TC!$M96*CHIFFRAGE_TC!$W96</f>
        <v>0</v>
      </c>
      <c r="I95" s="709">
        <v>0</v>
      </c>
      <c r="J95" s="709">
        <v>0</v>
      </c>
      <c r="K95" s="709">
        <v>0</v>
      </c>
      <c r="L95" s="709">
        <v>0</v>
      </c>
      <c r="M95" s="709">
        <v>0</v>
      </c>
      <c r="N95" s="709">
        <v>0</v>
      </c>
      <c r="O95" s="709">
        <v>0</v>
      </c>
      <c r="P95" s="709">
        <v>0</v>
      </c>
      <c r="Q95" s="709">
        <v>0</v>
      </c>
      <c r="R95" s="709">
        <v>0</v>
      </c>
      <c r="S95" s="709">
        <v>0</v>
      </c>
      <c r="T95" s="709">
        <v>0</v>
      </c>
      <c r="U95" s="709">
        <v>0</v>
      </c>
      <c r="V95" s="709">
        <v>0</v>
      </c>
      <c r="W95" s="709">
        <v>0</v>
      </c>
      <c r="X95" s="709">
        <v>0</v>
      </c>
      <c r="Y95" s="709">
        <v>0</v>
      </c>
      <c r="Z95" s="709">
        <v>0</v>
      </c>
      <c r="AA95" s="709">
        <v>0</v>
      </c>
      <c r="AB95" s="709">
        <v>0</v>
      </c>
      <c r="AC95" s="709">
        <v>0</v>
      </c>
      <c r="AD95" s="709">
        <v>0</v>
      </c>
      <c r="AE95" s="709">
        <v>0</v>
      </c>
      <c r="AF95" s="709">
        <v>0</v>
      </c>
      <c r="AG95" s="709">
        <v>0</v>
      </c>
      <c r="AH95" s="709">
        <v>0</v>
      </c>
      <c r="AI95" s="709">
        <v>0</v>
      </c>
      <c r="AJ95" s="709">
        <v>0</v>
      </c>
      <c r="AK95" s="709">
        <v>0</v>
      </c>
      <c r="AL95" s="709">
        <v>0</v>
      </c>
      <c r="AM95" s="709">
        <v>0</v>
      </c>
      <c r="AN95" s="709">
        <v>0</v>
      </c>
      <c r="AO95" s="709">
        <v>0</v>
      </c>
      <c r="AP95" s="709">
        <v>0</v>
      </c>
      <c r="AQ95" s="709">
        <v>0</v>
      </c>
      <c r="AR95" s="709">
        <v>0</v>
      </c>
      <c r="AS95" s="709">
        <v>0</v>
      </c>
      <c r="AT95" s="709">
        <v>0</v>
      </c>
      <c r="AU95" s="709">
        <v>0</v>
      </c>
      <c r="AV95" s="709">
        <v>0</v>
      </c>
      <c r="AW95" s="709">
        <v>0</v>
      </c>
      <c r="AX95" s="709">
        <v>0</v>
      </c>
    </row>
    <row r="96" spans="2:50" ht="13.2" x14ac:dyDescent="0.2">
      <c r="B96" s="293" t="str">
        <f>CHIFFRAGE_TC!B97</f>
        <v>Edificio - Estacion Samborondon</v>
      </c>
      <c r="C96" s="964"/>
      <c r="D96" s="725"/>
      <c r="E96" s="210">
        <f>SUM(E97:E106)</f>
        <v>0</v>
      </c>
      <c r="F96" s="198">
        <f>SUM(F97:F106)</f>
        <v>1496677.5994441877</v>
      </c>
      <c r="G96" s="198">
        <f>SUM(G97:G106)</f>
        <v>2410868.6581850648</v>
      </c>
      <c r="H96" s="205">
        <f>SUM(H97:H106)</f>
        <v>1205405.7467812495</v>
      </c>
      <c r="I96" s="733">
        <f t="shared" ref="I96:AX96" si="30">SUM(I97:I106)</f>
        <v>0</v>
      </c>
      <c r="J96" s="733">
        <f t="shared" si="30"/>
        <v>0</v>
      </c>
      <c r="K96" s="733">
        <f t="shared" si="30"/>
        <v>0</v>
      </c>
      <c r="L96" s="733">
        <f t="shared" si="30"/>
        <v>0</v>
      </c>
      <c r="M96" s="733">
        <f t="shared" si="30"/>
        <v>0</v>
      </c>
      <c r="N96" s="733">
        <f t="shared" si="30"/>
        <v>0</v>
      </c>
      <c r="O96" s="733">
        <f t="shared" si="30"/>
        <v>0</v>
      </c>
      <c r="P96" s="733">
        <f t="shared" si="30"/>
        <v>0</v>
      </c>
      <c r="Q96" s="733">
        <f t="shared" si="30"/>
        <v>0</v>
      </c>
      <c r="R96" s="733">
        <f t="shared" si="30"/>
        <v>0</v>
      </c>
      <c r="S96" s="733">
        <f t="shared" si="30"/>
        <v>0</v>
      </c>
      <c r="T96" s="733">
        <f t="shared" si="30"/>
        <v>0</v>
      </c>
      <c r="U96" s="733">
        <f t="shared" si="30"/>
        <v>0</v>
      </c>
      <c r="V96" s="733">
        <f t="shared" si="30"/>
        <v>0</v>
      </c>
      <c r="W96" s="733">
        <f t="shared" si="30"/>
        <v>0</v>
      </c>
      <c r="X96" s="733">
        <f t="shared" si="30"/>
        <v>0</v>
      </c>
      <c r="Y96" s="733">
        <f t="shared" si="30"/>
        <v>0</v>
      </c>
      <c r="Z96" s="733">
        <f t="shared" si="30"/>
        <v>0</v>
      </c>
      <c r="AA96" s="733">
        <f t="shared" si="30"/>
        <v>0</v>
      </c>
      <c r="AB96" s="733">
        <f t="shared" si="30"/>
        <v>0</v>
      </c>
      <c r="AC96" s="733">
        <f t="shared" si="30"/>
        <v>0</v>
      </c>
      <c r="AD96" s="733">
        <f t="shared" si="30"/>
        <v>0</v>
      </c>
      <c r="AE96" s="733">
        <f t="shared" si="30"/>
        <v>0</v>
      </c>
      <c r="AF96" s="733">
        <f t="shared" si="30"/>
        <v>0</v>
      </c>
      <c r="AG96" s="733">
        <f t="shared" si="30"/>
        <v>0</v>
      </c>
      <c r="AH96" s="733">
        <f t="shared" si="30"/>
        <v>0</v>
      </c>
      <c r="AI96" s="733">
        <f t="shared" si="30"/>
        <v>0</v>
      </c>
      <c r="AJ96" s="733">
        <f t="shared" si="30"/>
        <v>0</v>
      </c>
      <c r="AK96" s="733">
        <f t="shared" si="30"/>
        <v>0</v>
      </c>
      <c r="AL96" s="733">
        <f t="shared" si="30"/>
        <v>0</v>
      </c>
      <c r="AM96" s="733">
        <f t="shared" si="30"/>
        <v>0</v>
      </c>
      <c r="AN96" s="733">
        <f t="shared" si="30"/>
        <v>0</v>
      </c>
      <c r="AO96" s="733">
        <f t="shared" si="30"/>
        <v>0</v>
      </c>
      <c r="AP96" s="733">
        <f t="shared" si="30"/>
        <v>0</v>
      </c>
      <c r="AQ96" s="733">
        <f t="shared" si="30"/>
        <v>0</v>
      </c>
      <c r="AR96" s="733">
        <f t="shared" si="30"/>
        <v>0</v>
      </c>
      <c r="AS96" s="733">
        <f t="shared" si="30"/>
        <v>0</v>
      </c>
      <c r="AT96" s="733">
        <f t="shared" si="30"/>
        <v>0</v>
      </c>
      <c r="AU96" s="733">
        <f t="shared" si="30"/>
        <v>0</v>
      </c>
      <c r="AV96" s="733">
        <f t="shared" si="30"/>
        <v>0</v>
      </c>
      <c r="AW96" s="733">
        <f t="shared" si="30"/>
        <v>0</v>
      </c>
      <c r="AX96" s="733">
        <f t="shared" si="30"/>
        <v>0</v>
      </c>
    </row>
    <row r="97" spans="2:50" ht="13.2" x14ac:dyDescent="0.2">
      <c r="B97" s="290" t="str">
        <f>CHIFFRAGE_TC!B98</f>
        <v>Fundaciones tipicas 
(edificio con piso tierra y primer piso)</v>
      </c>
      <c r="C97" s="964">
        <f>CHIFFRAGE_TC!D98</f>
        <v>50</v>
      </c>
      <c r="D97" s="725"/>
      <c r="E97" s="208">
        <f>CHIFFRAGE_TC!$M98*CHIFFRAGE_TC!$T98</f>
        <v>0</v>
      </c>
      <c r="F97" s="17">
        <f>CHIFFRAGE_TC!$M98*CHIFFRAGE_TC!$U98</f>
        <v>0</v>
      </c>
      <c r="G97" s="17">
        <f>CHIFFRAGE_TC!$M98*CHIFFRAGE_TC!$V98</f>
        <v>0</v>
      </c>
      <c r="H97" s="204">
        <f>CHIFFRAGE_TC!$M98*CHIFFRAGE_TC!$W98</f>
        <v>0</v>
      </c>
      <c r="I97" s="709">
        <v>0</v>
      </c>
      <c r="J97" s="709">
        <v>0</v>
      </c>
      <c r="K97" s="709">
        <v>0</v>
      </c>
      <c r="L97" s="709">
        <v>0</v>
      </c>
      <c r="M97" s="709">
        <v>0</v>
      </c>
      <c r="N97" s="709">
        <v>0</v>
      </c>
      <c r="O97" s="709">
        <v>0</v>
      </c>
      <c r="P97" s="709">
        <v>0</v>
      </c>
      <c r="Q97" s="709">
        <v>0</v>
      </c>
      <c r="R97" s="709">
        <v>0</v>
      </c>
      <c r="S97" s="709">
        <v>0</v>
      </c>
      <c r="T97" s="709">
        <v>0</v>
      </c>
      <c r="U97" s="709">
        <v>0</v>
      </c>
      <c r="V97" s="709">
        <v>0</v>
      </c>
      <c r="W97" s="709">
        <v>0</v>
      </c>
      <c r="X97" s="709">
        <v>0</v>
      </c>
      <c r="Y97" s="709">
        <v>0</v>
      </c>
      <c r="Z97" s="709">
        <v>0</v>
      </c>
      <c r="AA97" s="709">
        <v>0</v>
      </c>
      <c r="AB97" s="709">
        <v>0</v>
      </c>
      <c r="AC97" s="709">
        <v>0</v>
      </c>
      <c r="AD97" s="709">
        <v>0</v>
      </c>
      <c r="AE97" s="709">
        <v>0</v>
      </c>
      <c r="AF97" s="709">
        <v>0</v>
      </c>
      <c r="AG97" s="709">
        <v>0</v>
      </c>
      <c r="AH97" s="709">
        <v>0</v>
      </c>
      <c r="AI97" s="709">
        <v>0</v>
      </c>
      <c r="AJ97" s="709">
        <v>0</v>
      </c>
      <c r="AK97" s="709">
        <v>0</v>
      </c>
      <c r="AL97" s="709">
        <v>0</v>
      </c>
      <c r="AM97" s="709">
        <v>0</v>
      </c>
      <c r="AN97" s="709">
        <v>0</v>
      </c>
      <c r="AO97" s="709">
        <v>0</v>
      </c>
      <c r="AP97" s="709">
        <v>0</v>
      </c>
      <c r="AQ97" s="709">
        <v>0</v>
      </c>
      <c r="AR97" s="709">
        <v>0</v>
      </c>
      <c r="AS97" s="709">
        <v>0</v>
      </c>
      <c r="AT97" s="709">
        <v>0</v>
      </c>
      <c r="AU97" s="709">
        <v>0</v>
      </c>
      <c r="AV97" s="709">
        <v>0</v>
      </c>
      <c r="AW97" s="709">
        <v>0</v>
      </c>
      <c r="AX97" s="709">
        <v>0</v>
      </c>
    </row>
    <row r="98" spans="2:50" ht="13.2" x14ac:dyDescent="0.2">
      <c r="B98" s="290" t="str">
        <f>CHIFFRAGE_TC!B99</f>
        <v>Piso tierra sobrelevado y fundaciones</v>
      </c>
      <c r="C98" s="964">
        <f>CHIFFRAGE_TC!D99</f>
        <v>50</v>
      </c>
      <c r="D98" s="725"/>
      <c r="E98" s="208">
        <f>CHIFFRAGE_TC!$M99*CHIFFRAGE_TC!$T99</f>
        <v>0</v>
      </c>
      <c r="F98" s="17">
        <f>CHIFFRAGE_TC!$M99*CHIFFRAGE_TC!$U99</f>
        <v>776071.11957374972</v>
      </c>
      <c r="G98" s="17">
        <f>CHIFFRAGE_TC!$M99*CHIFFRAGE_TC!$V99</f>
        <v>776071.11957374972</v>
      </c>
      <c r="H98" s="204">
        <f>CHIFFRAGE_TC!$M99*CHIFFRAGE_TC!$W99</f>
        <v>0</v>
      </c>
      <c r="I98" s="709">
        <v>0</v>
      </c>
      <c r="J98" s="709">
        <v>0</v>
      </c>
      <c r="K98" s="709">
        <v>0</v>
      </c>
      <c r="L98" s="709">
        <v>0</v>
      </c>
      <c r="M98" s="709">
        <v>0</v>
      </c>
      <c r="N98" s="709">
        <v>0</v>
      </c>
      <c r="O98" s="709">
        <v>0</v>
      </c>
      <c r="P98" s="709">
        <v>0</v>
      </c>
      <c r="Q98" s="709">
        <v>0</v>
      </c>
      <c r="R98" s="709">
        <v>0</v>
      </c>
      <c r="S98" s="709">
        <v>0</v>
      </c>
      <c r="T98" s="709">
        <v>0</v>
      </c>
      <c r="U98" s="709">
        <v>0</v>
      </c>
      <c r="V98" s="709">
        <v>0</v>
      </c>
      <c r="W98" s="709">
        <v>0</v>
      </c>
      <c r="X98" s="709">
        <v>0</v>
      </c>
      <c r="Y98" s="709">
        <v>0</v>
      </c>
      <c r="Z98" s="709">
        <v>0</v>
      </c>
      <c r="AA98" s="709">
        <v>0</v>
      </c>
      <c r="AB98" s="709">
        <v>0</v>
      </c>
      <c r="AC98" s="709">
        <v>0</v>
      </c>
      <c r="AD98" s="709">
        <v>0</v>
      </c>
      <c r="AE98" s="709">
        <v>0</v>
      </c>
      <c r="AF98" s="709">
        <v>0</v>
      </c>
      <c r="AG98" s="709">
        <v>0</v>
      </c>
      <c r="AH98" s="709">
        <v>0</v>
      </c>
      <c r="AI98" s="709">
        <v>0</v>
      </c>
      <c r="AJ98" s="709">
        <v>0</v>
      </c>
      <c r="AK98" s="709">
        <v>0</v>
      </c>
      <c r="AL98" s="709">
        <v>0</v>
      </c>
      <c r="AM98" s="709">
        <v>0</v>
      </c>
      <c r="AN98" s="709">
        <v>0</v>
      </c>
      <c r="AO98" s="709">
        <v>0</v>
      </c>
      <c r="AP98" s="709">
        <v>0</v>
      </c>
      <c r="AQ98" s="709">
        <v>0</v>
      </c>
      <c r="AR98" s="709">
        <v>0</v>
      </c>
      <c r="AS98" s="709">
        <v>0</v>
      </c>
      <c r="AT98" s="709">
        <v>0</v>
      </c>
      <c r="AU98" s="709">
        <v>0</v>
      </c>
      <c r="AV98" s="709">
        <v>0</v>
      </c>
      <c r="AW98" s="709">
        <v>0</v>
      </c>
      <c r="AX98" s="709">
        <v>0</v>
      </c>
    </row>
    <row r="99" spans="2:50" ht="13.2" x14ac:dyDescent="0.2">
      <c r="B99" s="290" t="str">
        <f>CHIFFRAGE_TC!B100</f>
        <v>Superficies comerciales</v>
      </c>
      <c r="C99" s="964">
        <f>CHIFFRAGE_TC!D100</f>
        <v>50</v>
      </c>
      <c r="D99" s="725"/>
      <c r="E99" s="208">
        <f>CHIFFRAGE_TC!$M100*CHIFFRAGE_TC!$T100</f>
        <v>0</v>
      </c>
      <c r="F99" s="17">
        <f>CHIFFRAGE_TC!$M100*CHIFFRAGE_TC!$U100</f>
        <v>43789.677245179671</v>
      </c>
      <c r="G99" s="17">
        <f>CHIFFRAGE_TC!$M100*CHIFFRAGE_TC!$V100</f>
        <v>131369.03173553903</v>
      </c>
      <c r="H99" s="204">
        <f>CHIFFRAGE_TC!$M100*CHIFFRAGE_TC!$W100</f>
        <v>0</v>
      </c>
      <c r="I99" s="709">
        <v>0</v>
      </c>
      <c r="J99" s="709">
        <v>0</v>
      </c>
      <c r="K99" s="709">
        <v>0</v>
      </c>
      <c r="L99" s="709">
        <v>0</v>
      </c>
      <c r="M99" s="709">
        <v>0</v>
      </c>
      <c r="N99" s="709">
        <v>0</v>
      </c>
      <c r="O99" s="709">
        <v>0</v>
      </c>
      <c r="P99" s="709">
        <v>0</v>
      </c>
      <c r="Q99" s="709">
        <v>0</v>
      </c>
      <c r="R99" s="709">
        <v>0</v>
      </c>
      <c r="S99" s="709">
        <v>0</v>
      </c>
      <c r="T99" s="709">
        <v>0</v>
      </c>
      <c r="U99" s="709">
        <v>0</v>
      </c>
      <c r="V99" s="709">
        <v>0</v>
      </c>
      <c r="W99" s="709">
        <v>0</v>
      </c>
      <c r="X99" s="709">
        <v>0</v>
      </c>
      <c r="Y99" s="709">
        <v>0</v>
      </c>
      <c r="Z99" s="709">
        <v>0</v>
      </c>
      <c r="AA99" s="709">
        <v>0</v>
      </c>
      <c r="AB99" s="709">
        <v>0</v>
      </c>
      <c r="AC99" s="709">
        <v>0</v>
      </c>
      <c r="AD99" s="709">
        <v>0</v>
      </c>
      <c r="AE99" s="709">
        <v>0</v>
      </c>
      <c r="AF99" s="709">
        <v>0</v>
      </c>
      <c r="AG99" s="709">
        <v>0</v>
      </c>
      <c r="AH99" s="709">
        <v>0</v>
      </c>
      <c r="AI99" s="709">
        <v>0</v>
      </c>
      <c r="AJ99" s="709">
        <v>0</v>
      </c>
      <c r="AK99" s="709">
        <v>0</v>
      </c>
      <c r="AL99" s="709">
        <v>0</v>
      </c>
      <c r="AM99" s="709">
        <v>0</v>
      </c>
      <c r="AN99" s="709">
        <v>0</v>
      </c>
      <c r="AO99" s="709">
        <v>0</v>
      </c>
      <c r="AP99" s="709">
        <v>0</v>
      </c>
      <c r="AQ99" s="709">
        <v>0</v>
      </c>
      <c r="AR99" s="709">
        <v>0</v>
      </c>
      <c r="AS99" s="709">
        <v>0</v>
      </c>
      <c r="AT99" s="709">
        <v>0</v>
      </c>
      <c r="AU99" s="709">
        <v>0</v>
      </c>
      <c r="AV99" s="709">
        <v>0</v>
      </c>
      <c r="AW99" s="709">
        <v>0</v>
      </c>
      <c r="AX99" s="709">
        <v>0</v>
      </c>
    </row>
    <row r="100" spans="2:50" ht="26.4" x14ac:dyDescent="0.2">
      <c r="B100" s="292" t="str">
        <f>CHIFFRAGE_TC!B101</f>
        <v xml:space="preserve">Ingreso y circulaciones al piso tierra 
(y/c servicios, escaleras mecanicas, escaleras y ascencores) </v>
      </c>
      <c r="C100" s="964">
        <f>CHIFFRAGE_TC!D101</f>
        <v>40</v>
      </c>
      <c r="D100" s="725"/>
      <c r="E100" s="208">
        <f>CHIFFRAGE_TC!$M101*CHIFFRAGE_TC!$T101</f>
        <v>0</v>
      </c>
      <c r="F100" s="17">
        <f>CHIFFRAGE_TC!$M101*CHIFFRAGE_TC!$U101</f>
        <v>275789.30597924988</v>
      </c>
      <c r="G100" s="17">
        <f>CHIFFRAGE_TC!$M101*CHIFFRAGE_TC!$V101</f>
        <v>827367.91793774965</v>
      </c>
      <c r="H100" s="204">
        <f>CHIFFRAGE_TC!$M101*CHIFFRAGE_TC!$W101</f>
        <v>0</v>
      </c>
      <c r="I100" s="709">
        <v>0</v>
      </c>
      <c r="J100" s="709">
        <v>0</v>
      </c>
      <c r="K100" s="709">
        <v>0</v>
      </c>
      <c r="L100" s="709">
        <v>0</v>
      </c>
      <c r="M100" s="709">
        <v>0</v>
      </c>
      <c r="N100" s="709">
        <v>0</v>
      </c>
      <c r="O100" s="709">
        <v>0</v>
      </c>
      <c r="P100" s="709">
        <v>0</v>
      </c>
      <c r="Q100" s="709">
        <v>0</v>
      </c>
      <c r="R100" s="709">
        <v>0</v>
      </c>
      <c r="S100" s="709">
        <v>0</v>
      </c>
      <c r="T100" s="709">
        <v>0</v>
      </c>
      <c r="U100" s="709">
        <v>0</v>
      </c>
      <c r="V100" s="709">
        <v>0</v>
      </c>
      <c r="W100" s="709">
        <v>0</v>
      </c>
      <c r="X100" s="709">
        <v>0</v>
      </c>
      <c r="Y100" s="709">
        <v>0</v>
      </c>
      <c r="Z100" s="709">
        <v>0</v>
      </c>
      <c r="AA100" s="709">
        <v>0</v>
      </c>
      <c r="AB100" s="709">
        <v>0</v>
      </c>
      <c r="AC100" s="709">
        <v>0</v>
      </c>
      <c r="AD100" s="709">
        <v>0</v>
      </c>
      <c r="AE100" s="709">
        <v>0</v>
      </c>
      <c r="AF100" s="709">
        <v>0</v>
      </c>
      <c r="AG100" s="709">
        <v>0</v>
      </c>
      <c r="AH100" s="709">
        <v>0</v>
      </c>
      <c r="AI100" s="709">
        <v>0</v>
      </c>
      <c r="AJ100" s="709">
        <v>0</v>
      </c>
      <c r="AK100" s="709">
        <v>0</v>
      </c>
      <c r="AL100" s="709">
        <v>0</v>
      </c>
      <c r="AM100" s="709">
        <v>0</v>
      </c>
      <c r="AN100" s="709">
        <v>0</v>
      </c>
      <c r="AO100" s="709">
        <v>0</v>
      </c>
      <c r="AP100" s="709">
        <v>0</v>
      </c>
      <c r="AQ100" s="709">
        <v>0</v>
      </c>
      <c r="AR100" s="709">
        <v>0</v>
      </c>
      <c r="AS100" s="709">
        <v>0</v>
      </c>
      <c r="AT100" s="709">
        <v>0</v>
      </c>
      <c r="AU100" s="709">
        <v>0</v>
      </c>
      <c r="AV100" s="709">
        <v>0</v>
      </c>
      <c r="AW100" s="709">
        <v>0</v>
      </c>
      <c r="AX100" s="709">
        <v>0</v>
      </c>
    </row>
    <row r="101" spans="2:50" ht="26.4" x14ac:dyDescent="0.2">
      <c r="B101" s="292" t="str">
        <f>CHIFFRAGE_TC!B102</f>
        <v>Escaleras mecanicas, escaleras y ascencores adicionales 
(piso tierra sobrelevado)</v>
      </c>
      <c r="C101" s="964">
        <f>CHIFFRAGE_TC!D102</f>
        <v>15</v>
      </c>
      <c r="D101" s="725"/>
      <c r="E101" s="208">
        <f>CHIFFRAGE_TC!$M102*CHIFFRAGE_TC!$T102</f>
        <v>0</v>
      </c>
      <c r="F101" s="17">
        <f>CHIFFRAGE_TC!$M102*CHIFFRAGE_TC!$U102</f>
        <v>0</v>
      </c>
      <c r="G101" s="17">
        <f>CHIFFRAGE_TC!$M102*CHIFFRAGE_TC!$V102</f>
        <v>0</v>
      </c>
      <c r="H101" s="204">
        <f>CHIFFRAGE_TC!$M102*CHIFFRAGE_TC!$W102</f>
        <v>0</v>
      </c>
      <c r="I101" s="709">
        <v>0</v>
      </c>
      <c r="J101" s="709">
        <v>0</v>
      </c>
      <c r="K101" s="709">
        <v>0</v>
      </c>
      <c r="L101" s="709">
        <v>0</v>
      </c>
      <c r="M101" s="709">
        <v>0</v>
      </c>
      <c r="N101" s="709">
        <v>0</v>
      </c>
      <c r="O101" s="709">
        <v>0</v>
      </c>
      <c r="P101" s="709">
        <v>0</v>
      </c>
      <c r="Q101" s="709">
        <v>0</v>
      </c>
      <c r="R101" s="709">
        <v>0</v>
      </c>
      <c r="S101" s="709">
        <v>0</v>
      </c>
      <c r="T101" s="709">
        <v>0</v>
      </c>
      <c r="U101" s="709">
        <v>0</v>
      </c>
      <c r="V101" s="709">
        <v>0</v>
      </c>
      <c r="W101" s="729">
        <f>F101</f>
        <v>0</v>
      </c>
      <c r="X101" s="729">
        <f>G101</f>
        <v>0</v>
      </c>
      <c r="Y101" s="729">
        <f>H101</f>
        <v>0</v>
      </c>
      <c r="Z101" s="709">
        <v>0</v>
      </c>
      <c r="AA101" s="709">
        <v>0</v>
      </c>
      <c r="AB101" s="709">
        <v>0</v>
      </c>
      <c r="AC101" s="709">
        <v>0</v>
      </c>
      <c r="AD101" s="709">
        <v>0</v>
      </c>
      <c r="AE101" s="709">
        <v>0</v>
      </c>
      <c r="AF101" s="709">
        <v>0</v>
      </c>
      <c r="AG101" s="709">
        <v>0</v>
      </c>
      <c r="AH101" s="709">
        <v>0</v>
      </c>
      <c r="AI101" s="709">
        <v>0</v>
      </c>
      <c r="AJ101" s="709">
        <v>0</v>
      </c>
      <c r="AK101" s="709">
        <v>0</v>
      </c>
      <c r="AL101" s="709">
        <v>0</v>
      </c>
      <c r="AM101" s="709">
        <v>0</v>
      </c>
      <c r="AN101" s="729">
        <f>F101</f>
        <v>0</v>
      </c>
      <c r="AO101" s="729">
        <f t="shared" ref="AO101" si="31">G101</f>
        <v>0</v>
      </c>
      <c r="AP101" s="729">
        <f t="shared" ref="AP101" si="32">H101</f>
        <v>0</v>
      </c>
      <c r="AQ101" s="709">
        <v>0</v>
      </c>
      <c r="AR101" s="709">
        <v>0</v>
      </c>
      <c r="AS101" s="709">
        <v>0</v>
      </c>
      <c r="AT101" s="709">
        <v>0</v>
      </c>
      <c r="AU101" s="709">
        <v>0</v>
      </c>
      <c r="AV101" s="709">
        <v>0</v>
      </c>
      <c r="AW101" s="709">
        <v>0</v>
      </c>
      <c r="AX101" s="709">
        <v>0</v>
      </c>
    </row>
    <row r="102" spans="2:50" ht="13.2" x14ac:dyDescent="0.2">
      <c r="B102" s="290" t="str">
        <f>CHIFFRAGE_TC!B103</f>
        <v>Anden al primer piso</v>
      </c>
      <c r="C102" s="964">
        <f>CHIFFRAGE_TC!D103</f>
        <v>50</v>
      </c>
      <c r="D102" s="725"/>
      <c r="E102" s="208">
        <f>CHIFFRAGE_TC!$M103*CHIFFRAGE_TC!$T103</f>
        <v>0</v>
      </c>
      <c r="F102" s="17">
        <f>CHIFFRAGE_TC!$M103*CHIFFRAGE_TC!$U103</f>
        <v>65701.47546391403</v>
      </c>
      <c r="G102" s="17">
        <f>CHIFFRAGE_TC!$M103*CHIFFRAGE_TC!$V103</f>
        <v>197104.42639174208</v>
      </c>
      <c r="H102" s="204">
        <f>CHIFFRAGE_TC!$M103*CHIFFRAGE_TC!$W103</f>
        <v>0</v>
      </c>
      <c r="I102" s="709">
        <v>0</v>
      </c>
      <c r="J102" s="709">
        <v>0</v>
      </c>
      <c r="K102" s="709">
        <v>0</v>
      </c>
      <c r="L102" s="709">
        <v>0</v>
      </c>
      <c r="M102" s="709">
        <v>0</v>
      </c>
      <c r="N102" s="709">
        <v>0</v>
      </c>
      <c r="O102" s="709">
        <v>0</v>
      </c>
      <c r="P102" s="709">
        <v>0</v>
      </c>
      <c r="Q102" s="709">
        <v>0</v>
      </c>
      <c r="R102" s="709">
        <v>0</v>
      </c>
      <c r="S102" s="709">
        <v>0</v>
      </c>
      <c r="T102" s="709">
        <v>0</v>
      </c>
      <c r="U102" s="709">
        <v>0</v>
      </c>
      <c r="V102" s="709">
        <v>0</v>
      </c>
      <c r="W102" s="709">
        <v>0</v>
      </c>
      <c r="X102" s="709">
        <v>0</v>
      </c>
      <c r="Y102" s="709">
        <v>0</v>
      </c>
      <c r="Z102" s="709">
        <v>0</v>
      </c>
      <c r="AA102" s="709">
        <v>0</v>
      </c>
      <c r="AB102" s="709">
        <v>0</v>
      </c>
      <c r="AC102" s="709">
        <v>0</v>
      </c>
      <c r="AD102" s="709">
        <v>0</v>
      </c>
      <c r="AE102" s="709">
        <v>0</v>
      </c>
      <c r="AF102" s="709">
        <v>0</v>
      </c>
      <c r="AG102" s="709">
        <v>0</v>
      </c>
      <c r="AH102" s="709">
        <v>0</v>
      </c>
      <c r="AI102" s="709">
        <v>0</v>
      </c>
      <c r="AJ102" s="709">
        <v>0</v>
      </c>
      <c r="AK102" s="709">
        <v>0</v>
      </c>
      <c r="AL102" s="709">
        <v>0</v>
      </c>
      <c r="AM102" s="709">
        <v>0</v>
      </c>
      <c r="AN102" s="709">
        <v>0</v>
      </c>
      <c r="AO102" s="709">
        <v>0</v>
      </c>
      <c r="AP102" s="709">
        <v>0</v>
      </c>
      <c r="AQ102" s="709">
        <v>0</v>
      </c>
      <c r="AR102" s="709">
        <v>0</v>
      </c>
      <c r="AS102" s="709">
        <v>0</v>
      </c>
      <c r="AT102" s="709">
        <v>0</v>
      </c>
      <c r="AU102" s="709">
        <v>0</v>
      </c>
      <c r="AV102" s="709">
        <v>0</v>
      </c>
      <c r="AW102" s="709">
        <v>0</v>
      </c>
      <c r="AX102" s="709">
        <v>0</v>
      </c>
    </row>
    <row r="103" spans="2:50" ht="13.2" x14ac:dyDescent="0.2">
      <c r="B103" s="290" t="str">
        <f>CHIFFRAGE_TC!B104</f>
        <v>Centro de mando + Locales tecnicos cubiertos</v>
      </c>
      <c r="C103" s="964">
        <f>CHIFFRAGE_TC!D104</f>
        <v>50</v>
      </c>
      <c r="D103" s="725"/>
      <c r="E103" s="208">
        <f>CHIFFRAGE_TC!$M104*CHIFFRAGE_TC!$T104</f>
        <v>0</v>
      </c>
      <c r="F103" s="17">
        <f>CHIFFRAGE_TC!$M104*CHIFFRAGE_TC!$U104</f>
        <v>28025.393436914987</v>
      </c>
      <c r="G103" s="17">
        <f>CHIFFRAGE_TC!$M104*CHIFFRAGE_TC!$V104</f>
        <v>84076.180310744967</v>
      </c>
      <c r="H103" s="204">
        <f>CHIFFRAGE_TC!$M104*CHIFFRAGE_TC!$W104</f>
        <v>0</v>
      </c>
      <c r="I103" s="709">
        <v>0</v>
      </c>
      <c r="J103" s="709">
        <v>0</v>
      </c>
      <c r="K103" s="709">
        <v>0</v>
      </c>
      <c r="L103" s="709">
        <v>0</v>
      </c>
      <c r="M103" s="709">
        <v>0</v>
      </c>
      <c r="N103" s="709">
        <v>0</v>
      </c>
      <c r="O103" s="709">
        <v>0</v>
      </c>
      <c r="P103" s="709">
        <v>0</v>
      </c>
      <c r="Q103" s="709">
        <v>0</v>
      </c>
      <c r="R103" s="709">
        <v>0</v>
      </c>
      <c r="S103" s="709">
        <v>0</v>
      </c>
      <c r="T103" s="709">
        <v>0</v>
      </c>
      <c r="U103" s="709">
        <v>0</v>
      </c>
      <c r="V103" s="709">
        <v>0</v>
      </c>
      <c r="W103" s="709">
        <v>0</v>
      </c>
      <c r="X103" s="709">
        <v>0</v>
      </c>
      <c r="Y103" s="709">
        <v>0</v>
      </c>
      <c r="Z103" s="709">
        <v>0</v>
      </c>
      <c r="AA103" s="709">
        <v>0</v>
      </c>
      <c r="AB103" s="709">
        <v>0</v>
      </c>
      <c r="AC103" s="709">
        <v>0</v>
      </c>
      <c r="AD103" s="709">
        <v>0</v>
      </c>
      <c r="AE103" s="709">
        <v>0</v>
      </c>
      <c r="AF103" s="709">
        <v>0</v>
      </c>
      <c r="AG103" s="709">
        <v>0</v>
      </c>
      <c r="AH103" s="709">
        <v>0</v>
      </c>
      <c r="AI103" s="709">
        <v>0</v>
      </c>
      <c r="AJ103" s="709">
        <v>0</v>
      </c>
      <c r="AK103" s="709">
        <v>0</v>
      </c>
      <c r="AL103" s="709">
        <v>0</v>
      </c>
      <c r="AM103" s="709">
        <v>0</v>
      </c>
      <c r="AN103" s="709">
        <v>0</v>
      </c>
      <c r="AO103" s="709">
        <v>0</v>
      </c>
      <c r="AP103" s="709">
        <v>0</v>
      </c>
      <c r="AQ103" s="709">
        <v>0</v>
      </c>
      <c r="AR103" s="709">
        <v>0</v>
      </c>
      <c r="AS103" s="709">
        <v>0</v>
      </c>
      <c r="AT103" s="709">
        <v>0</v>
      </c>
      <c r="AU103" s="709">
        <v>0</v>
      </c>
      <c r="AV103" s="709">
        <v>0</v>
      </c>
      <c r="AW103" s="709">
        <v>0</v>
      </c>
      <c r="AX103" s="709">
        <v>0</v>
      </c>
    </row>
    <row r="104" spans="2:50" ht="13.2" x14ac:dyDescent="0.2">
      <c r="B104" s="290" t="str">
        <f>CHIFFRAGE_TC!B105</f>
        <v xml:space="preserve">Locales tecnicos non cerrados </v>
      </c>
      <c r="C104" s="964">
        <f>CHIFFRAGE_TC!D105</f>
        <v>50</v>
      </c>
      <c r="D104" s="725"/>
      <c r="E104" s="208">
        <f>CHIFFRAGE_TC!$M105*CHIFFRAGE_TC!$T105</f>
        <v>0</v>
      </c>
      <c r="F104" s="17">
        <f>CHIFFRAGE_TC!$M105*CHIFFRAGE_TC!$U105</f>
        <v>43789.677245179671</v>
      </c>
      <c r="G104" s="17">
        <f>CHIFFRAGE_TC!$M105*CHIFFRAGE_TC!$V105</f>
        <v>131369.03173553903</v>
      </c>
      <c r="H104" s="204">
        <f>CHIFFRAGE_TC!$M105*CHIFFRAGE_TC!$W105</f>
        <v>0</v>
      </c>
      <c r="I104" s="709">
        <v>0</v>
      </c>
      <c r="J104" s="709">
        <v>0</v>
      </c>
      <c r="K104" s="709">
        <v>0</v>
      </c>
      <c r="L104" s="709">
        <v>0</v>
      </c>
      <c r="M104" s="709">
        <v>0</v>
      </c>
      <c r="N104" s="709">
        <v>0</v>
      </c>
      <c r="O104" s="709">
        <v>0</v>
      </c>
      <c r="P104" s="709">
        <v>0</v>
      </c>
      <c r="Q104" s="709">
        <v>0</v>
      </c>
      <c r="R104" s="709">
        <v>0</v>
      </c>
      <c r="S104" s="709">
        <v>0</v>
      </c>
      <c r="T104" s="709">
        <v>0</v>
      </c>
      <c r="U104" s="709">
        <v>0</v>
      </c>
      <c r="V104" s="709">
        <v>0</v>
      </c>
      <c r="W104" s="709">
        <v>0</v>
      </c>
      <c r="X104" s="709">
        <v>0</v>
      </c>
      <c r="Y104" s="709">
        <v>0</v>
      </c>
      <c r="Z104" s="709">
        <v>0</v>
      </c>
      <c r="AA104" s="709">
        <v>0</v>
      </c>
      <c r="AB104" s="709">
        <v>0</v>
      </c>
      <c r="AC104" s="709">
        <v>0</v>
      </c>
      <c r="AD104" s="709">
        <v>0</v>
      </c>
      <c r="AE104" s="709">
        <v>0</v>
      </c>
      <c r="AF104" s="709">
        <v>0</v>
      </c>
      <c r="AG104" s="709">
        <v>0</v>
      </c>
      <c r="AH104" s="709">
        <v>0</v>
      </c>
      <c r="AI104" s="709">
        <v>0</v>
      </c>
      <c r="AJ104" s="709">
        <v>0</v>
      </c>
      <c r="AK104" s="709">
        <v>0</v>
      </c>
      <c r="AL104" s="709">
        <v>0</v>
      </c>
      <c r="AM104" s="709">
        <v>0</v>
      </c>
      <c r="AN104" s="709">
        <v>0</v>
      </c>
      <c r="AO104" s="709">
        <v>0</v>
      </c>
      <c r="AP104" s="709">
        <v>0</v>
      </c>
      <c r="AQ104" s="709">
        <v>0</v>
      </c>
      <c r="AR104" s="709">
        <v>0</v>
      </c>
      <c r="AS104" s="709">
        <v>0</v>
      </c>
      <c r="AT104" s="709">
        <v>0</v>
      </c>
      <c r="AU104" s="709">
        <v>0</v>
      </c>
      <c r="AV104" s="709">
        <v>0</v>
      </c>
      <c r="AW104" s="709">
        <v>0</v>
      </c>
      <c r="AX104" s="709">
        <v>0</v>
      </c>
    </row>
    <row r="105" spans="2:50" ht="13.2" x14ac:dyDescent="0.2">
      <c r="B105" s="290" t="str">
        <f>CHIFFRAGE_TC!B106</f>
        <v>Adecuacion urbana 
(demolicion, reconstruccion, mobiliario urbano, paisaje)</v>
      </c>
      <c r="C105" s="964">
        <f>CHIFFRAGE_TC!D106</f>
        <v>50</v>
      </c>
      <c r="D105" s="725"/>
      <c r="E105" s="208">
        <f>CHIFFRAGE_TC!$M106*CHIFFRAGE_TC!$T106</f>
        <v>0</v>
      </c>
      <c r="F105" s="17">
        <f>CHIFFRAGE_TC!$M106*CHIFFRAGE_TC!$U106</f>
        <v>263510.95049999992</v>
      </c>
      <c r="G105" s="17">
        <f>CHIFFRAGE_TC!$M106*CHIFFRAGE_TC!$V106</f>
        <v>263510.95049999992</v>
      </c>
      <c r="H105" s="204">
        <f>CHIFFRAGE_TC!$M106*CHIFFRAGE_TC!$W106</f>
        <v>527021.90099999984</v>
      </c>
      <c r="I105" s="709">
        <v>0</v>
      </c>
      <c r="J105" s="709">
        <v>0</v>
      </c>
      <c r="K105" s="709">
        <v>0</v>
      </c>
      <c r="L105" s="709">
        <v>0</v>
      </c>
      <c r="M105" s="709">
        <v>0</v>
      </c>
      <c r="N105" s="709">
        <v>0</v>
      </c>
      <c r="O105" s="709">
        <v>0</v>
      </c>
      <c r="P105" s="709">
        <v>0</v>
      </c>
      <c r="Q105" s="709">
        <v>0</v>
      </c>
      <c r="R105" s="709">
        <v>0</v>
      </c>
      <c r="S105" s="709">
        <v>0</v>
      </c>
      <c r="T105" s="709">
        <v>0</v>
      </c>
      <c r="U105" s="709">
        <v>0</v>
      </c>
      <c r="V105" s="709">
        <v>0</v>
      </c>
      <c r="W105" s="709">
        <v>0</v>
      </c>
      <c r="X105" s="709">
        <v>0</v>
      </c>
      <c r="Y105" s="709">
        <v>0</v>
      </c>
      <c r="Z105" s="709">
        <v>0</v>
      </c>
      <c r="AA105" s="709">
        <v>0</v>
      </c>
      <c r="AB105" s="709">
        <v>0</v>
      </c>
      <c r="AC105" s="709">
        <v>0</v>
      </c>
      <c r="AD105" s="709">
        <v>0</v>
      </c>
      <c r="AE105" s="709">
        <v>0</v>
      </c>
      <c r="AF105" s="709">
        <v>0</v>
      </c>
      <c r="AG105" s="709">
        <v>0</v>
      </c>
      <c r="AH105" s="709">
        <v>0</v>
      </c>
      <c r="AI105" s="709">
        <v>0</v>
      </c>
      <c r="AJ105" s="709">
        <v>0</v>
      </c>
      <c r="AK105" s="709">
        <v>0</v>
      </c>
      <c r="AL105" s="709">
        <v>0</v>
      </c>
      <c r="AM105" s="709">
        <v>0</v>
      </c>
      <c r="AN105" s="709">
        <v>0</v>
      </c>
      <c r="AO105" s="709">
        <v>0</v>
      </c>
      <c r="AP105" s="709">
        <v>0</v>
      </c>
      <c r="AQ105" s="709">
        <v>0</v>
      </c>
      <c r="AR105" s="709">
        <v>0</v>
      </c>
      <c r="AS105" s="709">
        <v>0</v>
      </c>
      <c r="AT105" s="709">
        <v>0</v>
      </c>
      <c r="AU105" s="709">
        <v>0</v>
      </c>
      <c r="AV105" s="709">
        <v>0</v>
      </c>
      <c r="AW105" s="709">
        <v>0</v>
      </c>
      <c r="AX105" s="709">
        <v>0</v>
      </c>
    </row>
    <row r="106" spans="2:50" ht="13.2" x14ac:dyDescent="0.2">
      <c r="B106" s="289" t="str">
        <f>CHIFFRAGE_TC!B107</f>
        <v>Pasarela</v>
      </c>
      <c r="C106" s="964">
        <f>CHIFFRAGE_TC!D107</f>
        <v>50</v>
      </c>
      <c r="D106" s="725"/>
      <c r="E106" s="208">
        <f>CHIFFRAGE_TC!$M107*CHIFFRAGE_TC!$T107</f>
        <v>0</v>
      </c>
      <c r="F106" s="17">
        <f>CHIFFRAGE_TC!$M107*CHIFFRAGE_TC!$U107</f>
        <v>0</v>
      </c>
      <c r="G106" s="17">
        <f>CHIFFRAGE_TC!$M107*CHIFFRAGE_TC!$V107</f>
        <v>0</v>
      </c>
      <c r="H106" s="204">
        <f>CHIFFRAGE_TC!$M107*CHIFFRAGE_TC!$W107</f>
        <v>678383.84578124981</v>
      </c>
      <c r="I106" s="709">
        <v>0</v>
      </c>
      <c r="J106" s="709">
        <v>0</v>
      </c>
      <c r="K106" s="709">
        <v>0</v>
      </c>
      <c r="L106" s="709">
        <v>0</v>
      </c>
      <c r="M106" s="709">
        <v>0</v>
      </c>
      <c r="N106" s="709">
        <v>0</v>
      </c>
      <c r="O106" s="709">
        <v>0</v>
      </c>
      <c r="P106" s="709">
        <v>0</v>
      </c>
      <c r="Q106" s="709">
        <v>0</v>
      </c>
      <c r="R106" s="709">
        <v>0</v>
      </c>
      <c r="S106" s="709">
        <v>0</v>
      </c>
      <c r="T106" s="709">
        <v>0</v>
      </c>
      <c r="U106" s="709">
        <v>0</v>
      </c>
      <c r="V106" s="709">
        <v>0</v>
      </c>
      <c r="W106" s="709">
        <v>0</v>
      </c>
      <c r="X106" s="709">
        <v>0</v>
      </c>
      <c r="Y106" s="709">
        <v>0</v>
      </c>
      <c r="Z106" s="709">
        <v>0</v>
      </c>
      <c r="AA106" s="709">
        <v>0</v>
      </c>
      <c r="AB106" s="709">
        <v>0</v>
      </c>
      <c r="AC106" s="709">
        <v>0</v>
      </c>
      <c r="AD106" s="709">
        <v>0</v>
      </c>
      <c r="AE106" s="709">
        <v>0</v>
      </c>
      <c r="AF106" s="709">
        <v>0</v>
      </c>
      <c r="AG106" s="709">
        <v>0</v>
      </c>
      <c r="AH106" s="709">
        <v>0</v>
      </c>
      <c r="AI106" s="709">
        <v>0</v>
      </c>
      <c r="AJ106" s="709">
        <v>0</v>
      </c>
      <c r="AK106" s="709">
        <v>0</v>
      </c>
      <c r="AL106" s="709">
        <v>0</v>
      </c>
      <c r="AM106" s="709">
        <v>0</v>
      </c>
      <c r="AN106" s="709">
        <v>0</v>
      </c>
      <c r="AO106" s="709">
        <v>0</v>
      </c>
      <c r="AP106" s="709">
        <v>0</v>
      </c>
      <c r="AQ106" s="709">
        <v>0</v>
      </c>
      <c r="AR106" s="709">
        <v>0</v>
      </c>
      <c r="AS106" s="709">
        <v>0</v>
      </c>
      <c r="AT106" s="709">
        <v>0</v>
      </c>
      <c r="AU106" s="709">
        <v>0</v>
      </c>
      <c r="AV106" s="709">
        <v>0</v>
      </c>
      <c r="AW106" s="709">
        <v>0</v>
      </c>
      <c r="AX106" s="709">
        <v>0</v>
      </c>
    </row>
    <row r="107" spans="2:50" ht="13.2" x14ac:dyDescent="0.2">
      <c r="B107" s="293" t="str">
        <f>CHIFFRAGE_TC!B108</f>
        <v>Edificio - Estacion Puerto Santa Ana (Norte)</v>
      </c>
      <c r="C107" s="964"/>
      <c r="D107" s="725"/>
      <c r="E107" s="210">
        <f>SUM(E108:E117)</f>
        <v>0</v>
      </c>
      <c r="F107" s="198">
        <f>SUM(F108:F117)</f>
        <v>2211517.9822534784</v>
      </c>
      <c r="G107" s="198">
        <f>SUM(G108:G117)</f>
        <v>3842028.0191879356</v>
      </c>
      <c r="H107" s="205">
        <f>SUM(H108:H117)</f>
        <v>467026.10423437483</v>
      </c>
      <c r="I107" s="733">
        <f t="shared" ref="I107:AX107" si="33">SUM(I108:I117)</f>
        <v>0</v>
      </c>
      <c r="J107" s="733">
        <f t="shared" si="33"/>
        <v>0</v>
      </c>
      <c r="K107" s="733">
        <f t="shared" si="33"/>
        <v>0</v>
      </c>
      <c r="L107" s="733">
        <f t="shared" si="33"/>
        <v>0</v>
      </c>
      <c r="M107" s="733">
        <f t="shared" si="33"/>
        <v>0</v>
      </c>
      <c r="N107" s="733">
        <f t="shared" si="33"/>
        <v>0</v>
      </c>
      <c r="O107" s="733">
        <f t="shared" si="33"/>
        <v>0</v>
      </c>
      <c r="P107" s="733">
        <f t="shared" si="33"/>
        <v>0</v>
      </c>
      <c r="Q107" s="733">
        <f t="shared" si="33"/>
        <v>0</v>
      </c>
      <c r="R107" s="733">
        <f t="shared" si="33"/>
        <v>0</v>
      </c>
      <c r="S107" s="733">
        <f t="shared" si="33"/>
        <v>0</v>
      </c>
      <c r="T107" s="733">
        <f t="shared" si="33"/>
        <v>0</v>
      </c>
      <c r="U107" s="733">
        <f t="shared" si="33"/>
        <v>0</v>
      </c>
      <c r="V107" s="733">
        <f t="shared" si="33"/>
        <v>0</v>
      </c>
      <c r="W107" s="733">
        <f t="shared" si="33"/>
        <v>93257.8125</v>
      </c>
      <c r="X107" s="733">
        <f t="shared" si="33"/>
        <v>279773.4375</v>
      </c>
      <c r="Y107" s="733">
        <f t="shared" si="33"/>
        <v>0</v>
      </c>
      <c r="Z107" s="733">
        <f t="shared" si="33"/>
        <v>0</v>
      </c>
      <c r="AA107" s="733">
        <f t="shared" si="33"/>
        <v>0</v>
      </c>
      <c r="AB107" s="733">
        <f t="shared" si="33"/>
        <v>0</v>
      </c>
      <c r="AC107" s="733">
        <f t="shared" si="33"/>
        <v>0</v>
      </c>
      <c r="AD107" s="733">
        <f t="shared" si="33"/>
        <v>0</v>
      </c>
      <c r="AE107" s="733">
        <f t="shared" si="33"/>
        <v>0</v>
      </c>
      <c r="AF107" s="733">
        <f t="shared" si="33"/>
        <v>0</v>
      </c>
      <c r="AG107" s="733">
        <f t="shared" si="33"/>
        <v>0</v>
      </c>
      <c r="AH107" s="733">
        <f t="shared" si="33"/>
        <v>0</v>
      </c>
      <c r="AI107" s="733">
        <f t="shared" si="33"/>
        <v>0</v>
      </c>
      <c r="AJ107" s="733">
        <f t="shared" si="33"/>
        <v>0</v>
      </c>
      <c r="AK107" s="733">
        <f t="shared" si="33"/>
        <v>0</v>
      </c>
      <c r="AL107" s="733">
        <f t="shared" si="33"/>
        <v>0</v>
      </c>
      <c r="AM107" s="733">
        <f t="shared" si="33"/>
        <v>0</v>
      </c>
      <c r="AN107" s="733">
        <f t="shared" si="33"/>
        <v>93257.8125</v>
      </c>
      <c r="AO107" s="733">
        <f t="shared" si="33"/>
        <v>279773.4375</v>
      </c>
      <c r="AP107" s="733">
        <f t="shared" si="33"/>
        <v>0</v>
      </c>
      <c r="AQ107" s="733">
        <f t="shared" si="33"/>
        <v>0</v>
      </c>
      <c r="AR107" s="733">
        <f t="shared" si="33"/>
        <v>0</v>
      </c>
      <c r="AS107" s="733">
        <f t="shared" si="33"/>
        <v>0</v>
      </c>
      <c r="AT107" s="733">
        <f t="shared" si="33"/>
        <v>0</v>
      </c>
      <c r="AU107" s="733">
        <f t="shared" si="33"/>
        <v>0</v>
      </c>
      <c r="AV107" s="733">
        <f t="shared" si="33"/>
        <v>0</v>
      </c>
      <c r="AW107" s="733">
        <f t="shared" si="33"/>
        <v>0</v>
      </c>
      <c r="AX107" s="733">
        <f t="shared" si="33"/>
        <v>0</v>
      </c>
    </row>
    <row r="108" spans="2:50" ht="13.2" x14ac:dyDescent="0.2">
      <c r="B108" s="290" t="str">
        <f>CHIFFRAGE_TC!B109</f>
        <v>Fundaciones tipicas 
(edificio con piso tierra y primer piso)</v>
      </c>
      <c r="C108" s="964">
        <f>CHIFFRAGE_TC!D109</f>
        <v>50</v>
      </c>
      <c r="D108" s="725"/>
      <c r="E108" s="208">
        <f>CHIFFRAGE_TC!$M109*CHIFFRAGE_TC!$T109</f>
        <v>0</v>
      </c>
      <c r="F108" s="17">
        <f>CHIFFRAGE_TC!$M109*CHIFFRAGE_TC!$U109</f>
        <v>0</v>
      </c>
      <c r="G108" s="17">
        <f>CHIFFRAGE_TC!$M109*CHIFFRAGE_TC!$V109</f>
        <v>0</v>
      </c>
      <c r="H108" s="204">
        <f>CHIFFRAGE_TC!$M109*CHIFFRAGE_TC!$W109</f>
        <v>0</v>
      </c>
      <c r="I108" s="709">
        <v>0</v>
      </c>
      <c r="J108" s="709">
        <v>0</v>
      </c>
      <c r="K108" s="709">
        <v>0</v>
      </c>
      <c r="L108" s="709">
        <v>0</v>
      </c>
      <c r="M108" s="709">
        <v>0</v>
      </c>
      <c r="N108" s="709">
        <v>0</v>
      </c>
      <c r="O108" s="709">
        <v>0</v>
      </c>
      <c r="P108" s="709">
        <v>0</v>
      </c>
      <c r="Q108" s="709">
        <v>0</v>
      </c>
      <c r="R108" s="709">
        <v>0</v>
      </c>
      <c r="S108" s="709">
        <v>0</v>
      </c>
      <c r="T108" s="709">
        <v>0</v>
      </c>
      <c r="U108" s="709">
        <v>0</v>
      </c>
      <c r="V108" s="709">
        <v>0</v>
      </c>
      <c r="W108" s="709">
        <v>0</v>
      </c>
      <c r="X108" s="709">
        <v>0</v>
      </c>
      <c r="Y108" s="709">
        <v>0</v>
      </c>
      <c r="Z108" s="709">
        <v>0</v>
      </c>
      <c r="AA108" s="709">
        <v>0</v>
      </c>
      <c r="AB108" s="709">
        <v>0</v>
      </c>
      <c r="AC108" s="709">
        <v>0</v>
      </c>
      <c r="AD108" s="709">
        <v>0</v>
      </c>
      <c r="AE108" s="709">
        <v>0</v>
      </c>
      <c r="AF108" s="709">
        <v>0</v>
      </c>
      <c r="AG108" s="709">
        <v>0</v>
      </c>
      <c r="AH108" s="709">
        <v>0</v>
      </c>
      <c r="AI108" s="709">
        <v>0</v>
      </c>
      <c r="AJ108" s="709">
        <v>0</v>
      </c>
      <c r="AK108" s="709">
        <v>0</v>
      </c>
      <c r="AL108" s="709">
        <v>0</v>
      </c>
      <c r="AM108" s="709">
        <v>0</v>
      </c>
      <c r="AN108" s="709">
        <v>0</v>
      </c>
      <c r="AO108" s="709">
        <v>0</v>
      </c>
      <c r="AP108" s="709">
        <v>0</v>
      </c>
      <c r="AQ108" s="709">
        <v>0</v>
      </c>
      <c r="AR108" s="709">
        <v>0</v>
      </c>
      <c r="AS108" s="709">
        <v>0</v>
      </c>
      <c r="AT108" s="709">
        <v>0</v>
      </c>
      <c r="AU108" s="709">
        <v>0</v>
      </c>
      <c r="AV108" s="709">
        <v>0</v>
      </c>
      <c r="AW108" s="709">
        <v>0</v>
      </c>
      <c r="AX108" s="709">
        <v>0</v>
      </c>
    </row>
    <row r="109" spans="2:50" ht="13.2" x14ac:dyDescent="0.2">
      <c r="B109" s="290" t="str">
        <f>CHIFFRAGE_TC!B110</f>
        <v>Piso tierra sobrelevado y fundaciones</v>
      </c>
      <c r="C109" s="964">
        <f>CHIFFRAGE_TC!D110</f>
        <v>50</v>
      </c>
      <c r="D109" s="725"/>
      <c r="E109" s="208">
        <f>CHIFFRAGE_TC!$M110*CHIFFRAGE_TC!$T110</f>
        <v>0</v>
      </c>
      <c r="F109" s="17">
        <f>CHIFFRAGE_TC!$M110*CHIFFRAGE_TC!$U110</f>
        <v>1264507.4885362496</v>
      </c>
      <c r="G109" s="17">
        <f>CHIFFRAGE_TC!$M110*CHIFFRAGE_TC!$V110</f>
        <v>1264507.4885362496</v>
      </c>
      <c r="H109" s="204">
        <f>CHIFFRAGE_TC!$M110*CHIFFRAGE_TC!$W110</f>
        <v>0</v>
      </c>
      <c r="I109" s="709">
        <v>0</v>
      </c>
      <c r="J109" s="709">
        <v>0</v>
      </c>
      <c r="K109" s="709">
        <v>0</v>
      </c>
      <c r="L109" s="709">
        <v>0</v>
      </c>
      <c r="M109" s="709">
        <v>0</v>
      </c>
      <c r="N109" s="709">
        <v>0</v>
      </c>
      <c r="O109" s="709">
        <v>0</v>
      </c>
      <c r="P109" s="709">
        <v>0</v>
      </c>
      <c r="Q109" s="709">
        <v>0</v>
      </c>
      <c r="R109" s="709">
        <v>0</v>
      </c>
      <c r="S109" s="709">
        <v>0</v>
      </c>
      <c r="T109" s="709">
        <v>0</v>
      </c>
      <c r="U109" s="709">
        <v>0</v>
      </c>
      <c r="V109" s="709">
        <v>0</v>
      </c>
      <c r="W109" s="709">
        <v>0</v>
      </c>
      <c r="X109" s="709">
        <v>0</v>
      </c>
      <c r="Y109" s="709">
        <v>0</v>
      </c>
      <c r="Z109" s="709">
        <v>0</v>
      </c>
      <c r="AA109" s="709">
        <v>0</v>
      </c>
      <c r="AB109" s="709">
        <v>0</v>
      </c>
      <c r="AC109" s="709">
        <v>0</v>
      </c>
      <c r="AD109" s="709">
        <v>0</v>
      </c>
      <c r="AE109" s="709">
        <v>0</v>
      </c>
      <c r="AF109" s="709">
        <v>0</v>
      </c>
      <c r="AG109" s="709">
        <v>0</v>
      </c>
      <c r="AH109" s="709">
        <v>0</v>
      </c>
      <c r="AI109" s="709">
        <v>0</v>
      </c>
      <c r="AJ109" s="709">
        <v>0</v>
      </c>
      <c r="AK109" s="709">
        <v>0</v>
      </c>
      <c r="AL109" s="709">
        <v>0</v>
      </c>
      <c r="AM109" s="709">
        <v>0</v>
      </c>
      <c r="AN109" s="709">
        <v>0</v>
      </c>
      <c r="AO109" s="709">
        <v>0</v>
      </c>
      <c r="AP109" s="709">
        <v>0</v>
      </c>
      <c r="AQ109" s="709">
        <v>0</v>
      </c>
      <c r="AR109" s="709">
        <v>0</v>
      </c>
      <c r="AS109" s="709">
        <v>0</v>
      </c>
      <c r="AT109" s="709">
        <v>0</v>
      </c>
      <c r="AU109" s="709">
        <v>0</v>
      </c>
      <c r="AV109" s="709">
        <v>0</v>
      </c>
      <c r="AW109" s="709">
        <v>0</v>
      </c>
      <c r="AX109" s="709">
        <v>0</v>
      </c>
    </row>
    <row r="110" spans="2:50" ht="13.2" x14ac:dyDescent="0.2">
      <c r="B110" s="290" t="str">
        <f>CHIFFRAGE_TC!B111</f>
        <v>Superficies comerciales</v>
      </c>
      <c r="C110" s="964">
        <f>CHIFFRAGE_TC!D111</f>
        <v>50</v>
      </c>
      <c r="D110" s="725"/>
      <c r="E110" s="208">
        <f>CHIFFRAGE_TC!$M111*CHIFFRAGE_TC!$T111</f>
        <v>0</v>
      </c>
      <c r="F110" s="17">
        <f>CHIFFRAGE_TC!$M111*CHIFFRAGE_TC!$U111</f>
        <v>87579.354490359343</v>
      </c>
      <c r="G110" s="17">
        <f>CHIFFRAGE_TC!$M111*CHIFFRAGE_TC!$V111</f>
        <v>262738.06347107806</v>
      </c>
      <c r="H110" s="204">
        <f>CHIFFRAGE_TC!$M111*CHIFFRAGE_TC!$W111</f>
        <v>0</v>
      </c>
      <c r="I110" s="709">
        <v>0</v>
      </c>
      <c r="J110" s="709">
        <v>0</v>
      </c>
      <c r="K110" s="709">
        <v>0</v>
      </c>
      <c r="L110" s="709">
        <v>0</v>
      </c>
      <c r="M110" s="709">
        <v>0</v>
      </c>
      <c r="N110" s="709">
        <v>0</v>
      </c>
      <c r="O110" s="709">
        <v>0</v>
      </c>
      <c r="P110" s="709">
        <v>0</v>
      </c>
      <c r="Q110" s="709">
        <v>0</v>
      </c>
      <c r="R110" s="709">
        <v>0</v>
      </c>
      <c r="S110" s="709">
        <v>0</v>
      </c>
      <c r="T110" s="709">
        <v>0</v>
      </c>
      <c r="U110" s="709">
        <v>0</v>
      </c>
      <c r="V110" s="709">
        <v>0</v>
      </c>
      <c r="W110" s="709">
        <v>0</v>
      </c>
      <c r="X110" s="709">
        <v>0</v>
      </c>
      <c r="Y110" s="709">
        <v>0</v>
      </c>
      <c r="Z110" s="709">
        <v>0</v>
      </c>
      <c r="AA110" s="709">
        <v>0</v>
      </c>
      <c r="AB110" s="709">
        <v>0</v>
      </c>
      <c r="AC110" s="709">
        <v>0</v>
      </c>
      <c r="AD110" s="709">
        <v>0</v>
      </c>
      <c r="AE110" s="709">
        <v>0</v>
      </c>
      <c r="AF110" s="709">
        <v>0</v>
      </c>
      <c r="AG110" s="709">
        <v>0</v>
      </c>
      <c r="AH110" s="709">
        <v>0</v>
      </c>
      <c r="AI110" s="709">
        <v>0</v>
      </c>
      <c r="AJ110" s="709">
        <v>0</v>
      </c>
      <c r="AK110" s="709">
        <v>0</v>
      </c>
      <c r="AL110" s="709">
        <v>0</v>
      </c>
      <c r="AM110" s="709">
        <v>0</v>
      </c>
      <c r="AN110" s="709">
        <v>0</v>
      </c>
      <c r="AO110" s="709">
        <v>0</v>
      </c>
      <c r="AP110" s="709">
        <v>0</v>
      </c>
      <c r="AQ110" s="709">
        <v>0</v>
      </c>
      <c r="AR110" s="709">
        <v>0</v>
      </c>
      <c r="AS110" s="709">
        <v>0</v>
      </c>
      <c r="AT110" s="709">
        <v>0</v>
      </c>
      <c r="AU110" s="709">
        <v>0</v>
      </c>
      <c r="AV110" s="709">
        <v>0</v>
      </c>
      <c r="AW110" s="709">
        <v>0</v>
      </c>
      <c r="AX110" s="709">
        <v>0</v>
      </c>
    </row>
    <row r="111" spans="2:50" ht="26.4" x14ac:dyDescent="0.2">
      <c r="B111" s="292" t="str">
        <f>CHIFFRAGE_TC!B112</f>
        <v xml:space="preserve">Ingreso y circulaciones al piso tierra 
(y/c servicios, escaleras mecanicas, escaleras y ascencores) </v>
      </c>
      <c r="C111" s="964">
        <f>CHIFFRAGE_TC!D112</f>
        <v>40</v>
      </c>
      <c r="D111" s="725"/>
      <c r="E111" s="208">
        <f>CHIFFRAGE_TC!$M112*CHIFFRAGE_TC!$T112</f>
        <v>0</v>
      </c>
      <c r="F111" s="17">
        <f>CHIFFRAGE_TC!$M112*CHIFFRAGE_TC!$U112</f>
        <v>413683.95896887488</v>
      </c>
      <c r="G111" s="17">
        <f>CHIFFRAGE_TC!$M112*CHIFFRAGE_TC!$V112</f>
        <v>1241051.8769066245</v>
      </c>
      <c r="H111" s="204">
        <f>CHIFFRAGE_TC!$M112*CHIFFRAGE_TC!$W112</f>
        <v>0</v>
      </c>
      <c r="I111" s="709">
        <v>0</v>
      </c>
      <c r="J111" s="709">
        <v>0</v>
      </c>
      <c r="K111" s="709">
        <v>0</v>
      </c>
      <c r="L111" s="709">
        <v>0</v>
      </c>
      <c r="M111" s="709">
        <v>0</v>
      </c>
      <c r="N111" s="709">
        <v>0</v>
      </c>
      <c r="O111" s="709">
        <v>0</v>
      </c>
      <c r="P111" s="709">
        <v>0</v>
      </c>
      <c r="Q111" s="709">
        <v>0</v>
      </c>
      <c r="R111" s="709">
        <v>0</v>
      </c>
      <c r="S111" s="709">
        <v>0</v>
      </c>
      <c r="T111" s="709">
        <v>0</v>
      </c>
      <c r="U111" s="709">
        <v>0</v>
      </c>
      <c r="V111" s="709">
        <v>0</v>
      </c>
      <c r="W111" s="709">
        <v>0</v>
      </c>
      <c r="X111" s="709">
        <v>0</v>
      </c>
      <c r="Y111" s="709">
        <v>0</v>
      </c>
      <c r="Z111" s="709">
        <v>0</v>
      </c>
      <c r="AA111" s="709">
        <v>0</v>
      </c>
      <c r="AB111" s="709">
        <v>0</v>
      </c>
      <c r="AC111" s="709">
        <v>0</v>
      </c>
      <c r="AD111" s="709">
        <v>0</v>
      </c>
      <c r="AE111" s="709">
        <v>0</v>
      </c>
      <c r="AF111" s="709">
        <v>0</v>
      </c>
      <c r="AG111" s="709">
        <v>0</v>
      </c>
      <c r="AH111" s="709">
        <v>0</v>
      </c>
      <c r="AI111" s="709">
        <v>0</v>
      </c>
      <c r="AJ111" s="709">
        <v>0</v>
      </c>
      <c r="AK111" s="709">
        <v>0</v>
      </c>
      <c r="AL111" s="709">
        <v>0</v>
      </c>
      <c r="AM111" s="709">
        <v>0</v>
      </c>
      <c r="AN111" s="709">
        <v>0</v>
      </c>
      <c r="AO111" s="709">
        <v>0</v>
      </c>
      <c r="AP111" s="709">
        <v>0</v>
      </c>
      <c r="AQ111" s="709">
        <v>0</v>
      </c>
      <c r="AR111" s="709">
        <v>0</v>
      </c>
      <c r="AS111" s="709">
        <v>0</v>
      </c>
      <c r="AT111" s="709">
        <v>0</v>
      </c>
      <c r="AU111" s="709">
        <v>0</v>
      </c>
      <c r="AV111" s="709">
        <v>0</v>
      </c>
      <c r="AW111" s="709">
        <v>0</v>
      </c>
      <c r="AX111" s="709">
        <v>0</v>
      </c>
    </row>
    <row r="112" spans="2:50" ht="26.4" x14ac:dyDescent="0.2">
      <c r="B112" s="292" t="str">
        <f>CHIFFRAGE_TC!B113</f>
        <v>Escaleras mecanicas, escaleras y ascencores adicionales 
(piso tierra sobrelevado)</v>
      </c>
      <c r="C112" s="964">
        <f>CHIFFRAGE_TC!D113</f>
        <v>15</v>
      </c>
      <c r="D112" s="725"/>
      <c r="E112" s="208">
        <f>CHIFFRAGE_TC!$M113*CHIFFRAGE_TC!$T113</f>
        <v>0</v>
      </c>
      <c r="F112" s="17">
        <f>CHIFFRAGE_TC!$M113*CHIFFRAGE_TC!$U113</f>
        <v>93257.8125</v>
      </c>
      <c r="G112" s="17">
        <f>CHIFFRAGE_TC!$M113*CHIFFRAGE_TC!$V113</f>
        <v>279773.4375</v>
      </c>
      <c r="H112" s="204">
        <f>CHIFFRAGE_TC!$M113*CHIFFRAGE_TC!$W113</f>
        <v>0</v>
      </c>
      <c r="I112" s="709">
        <v>0</v>
      </c>
      <c r="J112" s="709">
        <v>0</v>
      </c>
      <c r="K112" s="709">
        <v>0</v>
      </c>
      <c r="L112" s="709">
        <v>0</v>
      </c>
      <c r="M112" s="709">
        <v>0</v>
      </c>
      <c r="N112" s="709">
        <v>0</v>
      </c>
      <c r="O112" s="709">
        <v>0</v>
      </c>
      <c r="P112" s="709">
        <v>0</v>
      </c>
      <c r="Q112" s="709">
        <v>0</v>
      </c>
      <c r="R112" s="709">
        <v>0</v>
      </c>
      <c r="S112" s="709">
        <v>0</v>
      </c>
      <c r="T112" s="709">
        <v>0</v>
      </c>
      <c r="U112" s="709">
        <v>0</v>
      </c>
      <c r="V112" s="709">
        <v>0</v>
      </c>
      <c r="W112" s="729">
        <f>F112</f>
        <v>93257.8125</v>
      </c>
      <c r="X112" s="729">
        <f>G112</f>
        <v>279773.4375</v>
      </c>
      <c r="Y112" s="729">
        <f>H112</f>
        <v>0</v>
      </c>
      <c r="Z112" s="709">
        <v>0</v>
      </c>
      <c r="AA112" s="709">
        <v>0</v>
      </c>
      <c r="AB112" s="709">
        <v>0</v>
      </c>
      <c r="AC112" s="709">
        <v>0</v>
      </c>
      <c r="AD112" s="709">
        <v>0</v>
      </c>
      <c r="AE112" s="709">
        <v>0</v>
      </c>
      <c r="AF112" s="709">
        <v>0</v>
      </c>
      <c r="AG112" s="709">
        <v>0</v>
      </c>
      <c r="AH112" s="709">
        <v>0</v>
      </c>
      <c r="AI112" s="709">
        <v>0</v>
      </c>
      <c r="AJ112" s="709">
        <v>0</v>
      </c>
      <c r="AK112" s="709">
        <v>0</v>
      </c>
      <c r="AL112" s="709">
        <v>0</v>
      </c>
      <c r="AM112" s="709">
        <v>0</v>
      </c>
      <c r="AN112" s="729">
        <f>F112</f>
        <v>93257.8125</v>
      </c>
      <c r="AO112" s="729">
        <f t="shared" ref="AO112" si="34">G112</f>
        <v>279773.4375</v>
      </c>
      <c r="AP112" s="729">
        <f t="shared" ref="AP112" si="35">H112</f>
        <v>0</v>
      </c>
      <c r="AQ112" s="709">
        <v>0</v>
      </c>
      <c r="AR112" s="709">
        <v>0</v>
      </c>
      <c r="AS112" s="709">
        <v>0</v>
      </c>
      <c r="AT112" s="709">
        <v>0</v>
      </c>
      <c r="AU112" s="709">
        <v>0</v>
      </c>
      <c r="AV112" s="709">
        <v>0</v>
      </c>
      <c r="AW112" s="709">
        <v>0</v>
      </c>
      <c r="AX112" s="709">
        <v>0</v>
      </c>
    </row>
    <row r="113" spans="2:50" ht="13.2" x14ac:dyDescent="0.2">
      <c r="B113" s="290" t="str">
        <f>CHIFFRAGE_TC!B114</f>
        <v>Anden al primer piso</v>
      </c>
      <c r="C113" s="964">
        <f>CHIFFRAGE_TC!D114</f>
        <v>50</v>
      </c>
      <c r="D113" s="725"/>
      <c r="E113" s="208">
        <f>CHIFFRAGE_TC!$M114*CHIFFRAGE_TC!$T114</f>
        <v>0</v>
      </c>
      <c r="F113" s="17">
        <f>CHIFFRAGE_TC!$M114*CHIFFRAGE_TC!$U114</f>
        <v>131402.95092782806</v>
      </c>
      <c r="G113" s="17">
        <f>CHIFFRAGE_TC!$M114*CHIFFRAGE_TC!$V114</f>
        <v>394208.85278348415</v>
      </c>
      <c r="H113" s="204">
        <f>CHIFFRAGE_TC!$M114*CHIFFRAGE_TC!$W114</f>
        <v>0</v>
      </c>
      <c r="I113" s="709">
        <v>0</v>
      </c>
      <c r="J113" s="709">
        <v>0</v>
      </c>
      <c r="K113" s="709">
        <v>0</v>
      </c>
      <c r="L113" s="709">
        <v>0</v>
      </c>
      <c r="M113" s="709">
        <v>0</v>
      </c>
      <c r="N113" s="709">
        <v>0</v>
      </c>
      <c r="O113" s="709">
        <v>0</v>
      </c>
      <c r="P113" s="709">
        <v>0</v>
      </c>
      <c r="Q113" s="709">
        <v>0</v>
      </c>
      <c r="R113" s="709">
        <v>0</v>
      </c>
      <c r="S113" s="709">
        <v>0</v>
      </c>
      <c r="T113" s="709">
        <v>0</v>
      </c>
      <c r="U113" s="709">
        <v>0</v>
      </c>
      <c r="V113" s="709">
        <v>0</v>
      </c>
      <c r="W113" s="709">
        <v>0</v>
      </c>
      <c r="X113" s="709">
        <v>0</v>
      </c>
      <c r="Y113" s="709">
        <v>0</v>
      </c>
      <c r="Z113" s="709">
        <v>0</v>
      </c>
      <c r="AA113" s="709">
        <v>0</v>
      </c>
      <c r="AB113" s="709">
        <v>0</v>
      </c>
      <c r="AC113" s="709">
        <v>0</v>
      </c>
      <c r="AD113" s="709">
        <v>0</v>
      </c>
      <c r="AE113" s="709">
        <v>0</v>
      </c>
      <c r="AF113" s="709">
        <v>0</v>
      </c>
      <c r="AG113" s="709">
        <v>0</v>
      </c>
      <c r="AH113" s="709">
        <v>0</v>
      </c>
      <c r="AI113" s="709">
        <v>0</v>
      </c>
      <c r="AJ113" s="709">
        <v>0</v>
      </c>
      <c r="AK113" s="709">
        <v>0</v>
      </c>
      <c r="AL113" s="709">
        <v>0</v>
      </c>
      <c r="AM113" s="709">
        <v>0</v>
      </c>
      <c r="AN113" s="709">
        <v>0</v>
      </c>
      <c r="AO113" s="709">
        <v>0</v>
      </c>
      <c r="AP113" s="709">
        <v>0</v>
      </c>
      <c r="AQ113" s="709">
        <v>0</v>
      </c>
      <c r="AR113" s="709">
        <v>0</v>
      </c>
      <c r="AS113" s="709">
        <v>0</v>
      </c>
      <c r="AT113" s="709">
        <v>0</v>
      </c>
      <c r="AU113" s="709">
        <v>0</v>
      </c>
      <c r="AV113" s="709">
        <v>0</v>
      </c>
      <c r="AW113" s="709">
        <v>0</v>
      </c>
      <c r="AX113" s="709">
        <v>0</v>
      </c>
    </row>
    <row r="114" spans="2:50" ht="13.2" x14ac:dyDescent="0.2">
      <c r="B114" s="290" t="str">
        <f>CHIFFRAGE_TC!B115</f>
        <v>Centro de mando + Locales tecnicos cubiertos</v>
      </c>
      <c r="C114" s="964">
        <f>CHIFFRAGE_TC!D115</f>
        <v>50</v>
      </c>
      <c r="D114" s="725"/>
      <c r="E114" s="208">
        <f>CHIFFRAGE_TC!$M115*CHIFFRAGE_TC!$T115</f>
        <v>0</v>
      </c>
      <c r="F114" s="17">
        <f>CHIFFRAGE_TC!$M115*CHIFFRAGE_TC!$U115</f>
        <v>28025.393436914987</v>
      </c>
      <c r="G114" s="17">
        <f>CHIFFRAGE_TC!$M115*CHIFFRAGE_TC!$V115</f>
        <v>84076.180310744967</v>
      </c>
      <c r="H114" s="204">
        <f>CHIFFRAGE_TC!$M115*CHIFFRAGE_TC!$W115</f>
        <v>0</v>
      </c>
      <c r="I114" s="709">
        <v>0</v>
      </c>
      <c r="J114" s="709">
        <v>0</v>
      </c>
      <c r="K114" s="709">
        <v>0</v>
      </c>
      <c r="L114" s="709">
        <v>0</v>
      </c>
      <c r="M114" s="709">
        <v>0</v>
      </c>
      <c r="N114" s="709">
        <v>0</v>
      </c>
      <c r="O114" s="709">
        <v>0</v>
      </c>
      <c r="P114" s="709">
        <v>0</v>
      </c>
      <c r="Q114" s="709">
        <v>0</v>
      </c>
      <c r="R114" s="709">
        <v>0</v>
      </c>
      <c r="S114" s="709">
        <v>0</v>
      </c>
      <c r="T114" s="709">
        <v>0</v>
      </c>
      <c r="U114" s="709">
        <v>0</v>
      </c>
      <c r="V114" s="709">
        <v>0</v>
      </c>
      <c r="W114" s="709">
        <v>0</v>
      </c>
      <c r="X114" s="709">
        <v>0</v>
      </c>
      <c r="Y114" s="709">
        <v>0</v>
      </c>
      <c r="Z114" s="709">
        <v>0</v>
      </c>
      <c r="AA114" s="709">
        <v>0</v>
      </c>
      <c r="AB114" s="709">
        <v>0</v>
      </c>
      <c r="AC114" s="709">
        <v>0</v>
      </c>
      <c r="AD114" s="709">
        <v>0</v>
      </c>
      <c r="AE114" s="709">
        <v>0</v>
      </c>
      <c r="AF114" s="709">
        <v>0</v>
      </c>
      <c r="AG114" s="709">
        <v>0</v>
      </c>
      <c r="AH114" s="709">
        <v>0</v>
      </c>
      <c r="AI114" s="709">
        <v>0</v>
      </c>
      <c r="AJ114" s="709">
        <v>0</v>
      </c>
      <c r="AK114" s="709">
        <v>0</v>
      </c>
      <c r="AL114" s="709">
        <v>0</v>
      </c>
      <c r="AM114" s="709">
        <v>0</v>
      </c>
      <c r="AN114" s="709">
        <v>0</v>
      </c>
      <c r="AO114" s="709">
        <v>0</v>
      </c>
      <c r="AP114" s="709">
        <v>0</v>
      </c>
      <c r="AQ114" s="709">
        <v>0</v>
      </c>
      <c r="AR114" s="709">
        <v>0</v>
      </c>
      <c r="AS114" s="709">
        <v>0</v>
      </c>
      <c r="AT114" s="709">
        <v>0</v>
      </c>
      <c r="AU114" s="709">
        <v>0</v>
      </c>
      <c r="AV114" s="709">
        <v>0</v>
      </c>
      <c r="AW114" s="709">
        <v>0</v>
      </c>
      <c r="AX114" s="709">
        <v>0</v>
      </c>
    </row>
    <row r="115" spans="2:50" ht="13.2" x14ac:dyDescent="0.2">
      <c r="B115" s="290" t="str">
        <f>CHIFFRAGE_TC!B116</f>
        <v xml:space="preserve">Locales tecnicos non cerrados </v>
      </c>
      <c r="C115" s="964">
        <f>CHIFFRAGE_TC!D116</f>
        <v>50</v>
      </c>
      <c r="D115" s="725"/>
      <c r="E115" s="208">
        <f>CHIFFRAGE_TC!$M116*CHIFFRAGE_TC!$T116</f>
        <v>0</v>
      </c>
      <c r="F115" s="17">
        <f>CHIFFRAGE_TC!$M116*CHIFFRAGE_TC!$U116</f>
        <v>61305.548143251537</v>
      </c>
      <c r="G115" s="17">
        <f>CHIFFRAGE_TC!$M116*CHIFFRAGE_TC!$V116</f>
        <v>183916.64442975461</v>
      </c>
      <c r="H115" s="204">
        <f>CHIFFRAGE_TC!$M116*CHIFFRAGE_TC!$W116</f>
        <v>0</v>
      </c>
      <c r="I115" s="709">
        <v>0</v>
      </c>
      <c r="J115" s="709">
        <v>0</v>
      </c>
      <c r="K115" s="709">
        <v>0</v>
      </c>
      <c r="L115" s="709">
        <v>0</v>
      </c>
      <c r="M115" s="709">
        <v>0</v>
      </c>
      <c r="N115" s="709">
        <v>0</v>
      </c>
      <c r="O115" s="709">
        <v>0</v>
      </c>
      <c r="P115" s="709">
        <v>0</v>
      </c>
      <c r="Q115" s="709">
        <v>0</v>
      </c>
      <c r="R115" s="709">
        <v>0</v>
      </c>
      <c r="S115" s="709">
        <v>0</v>
      </c>
      <c r="T115" s="709">
        <v>0</v>
      </c>
      <c r="U115" s="709">
        <v>0</v>
      </c>
      <c r="V115" s="709">
        <v>0</v>
      </c>
      <c r="W115" s="709">
        <v>0</v>
      </c>
      <c r="X115" s="709">
        <v>0</v>
      </c>
      <c r="Y115" s="709">
        <v>0</v>
      </c>
      <c r="Z115" s="709">
        <v>0</v>
      </c>
      <c r="AA115" s="709">
        <v>0</v>
      </c>
      <c r="AB115" s="709">
        <v>0</v>
      </c>
      <c r="AC115" s="709">
        <v>0</v>
      </c>
      <c r="AD115" s="709">
        <v>0</v>
      </c>
      <c r="AE115" s="709">
        <v>0</v>
      </c>
      <c r="AF115" s="709">
        <v>0</v>
      </c>
      <c r="AG115" s="709">
        <v>0</v>
      </c>
      <c r="AH115" s="709">
        <v>0</v>
      </c>
      <c r="AI115" s="709">
        <v>0</v>
      </c>
      <c r="AJ115" s="709">
        <v>0</v>
      </c>
      <c r="AK115" s="709">
        <v>0</v>
      </c>
      <c r="AL115" s="709">
        <v>0</v>
      </c>
      <c r="AM115" s="709">
        <v>0</v>
      </c>
      <c r="AN115" s="709">
        <v>0</v>
      </c>
      <c r="AO115" s="709">
        <v>0</v>
      </c>
      <c r="AP115" s="709">
        <v>0</v>
      </c>
      <c r="AQ115" s="709">
        <v>0</v>
      </c>
      <c r="AR115" s="709">
        <v>0</v>
      </c>
      <c r="AS115" s="709">
        <v>0</v>
      </c>
      <c r="AT115" s="709">
        <v>0</v>
      </c>
      <c r="AU115" s="709">
        <v>0</v>
      </c>
      <c r="AV115" s="709">
        <v>0</v>
      </c>
      <c r="AW115" s="709">
        <v>0</v>
      </c>
      <c r="AX115" s="709">
        <v>0</v>
      </c>
    </row>
    <row r="116" spans="2:50" ht="13.2" x14ac:dyDescent="0.2">
      <c r="B116" s="290" t="str">
        <f>CHIFFRAGE_TC!B117</f>
        <v>Adecuacion urbana 
(demolicion, reconstruccion, mobiliario urbano, paisaje)</v>
      </c>
      <c r="C116" s="964">
        <f>CHIFFRAGE_TC!D117</f>
        <v>50</v>
      </c>
      <c r="D116" s="725"/>
      <c r="E116" s="208">
        <f>CHIFFRAGE_TC!$M117*CHIFFRAGE_TC!$T117</f>
        <v>0</v>
      </c>
      <c r="F116" s="17">
        <f>CHIFFRAGE_TC!$M117*CHIFFRAGE_TC!$U117</f>
        <v>131755.47524999996</v>
      </c>
      <c r="G116" s="17">
        <f>CHIFFRAGE_TC!$M117*CHIFFRAGE_TC!$V117</f>
        <v>131755.47524999996</v>
      </c>
      <c r="H116" s="204">
        <f>CHIFFRAGE_TC!$M117*CHIFFRAGE_TC!$W117</f>
        <v>263510.95049999992</v>
      </c>
      <c r="I116" s="709">
        <v>0</v>
      </c>
      <c r="J116" s="709">
        <v>0</v>
      </c>
      <c r="K116" s="709">
        <v>0</v>
      </c>
      <c r="L116" s="709">
        <v>0</v>
      </c>
      <c r="M116" s="709">
        <v>0</v>
      </c>
      <c r="N116" s="709">
        <v>0</v>
      </c>
      <c r="O116" s="709">
        <v>0</v>
      </c>
      <c r="P116" s="709">
        <v>0</v>
      </c>
      <c r="Q116" s="709">
        <v>0</v>
      </c>
      <c r="R116" s="709">
        <v>0</v>
      </c>
      <c r="S116" s="709">
        <v>0</v>
      </c>
      <c r="T116" s="709">
        <v>0</v>
      </c>
      <c r="U116" s="709">
        <v>0</v>
      </c>
      <c r="V116" s="709">
        <v>0</v>
      </c>
      <c r="W116" s="709">
        <v>0</v>
      </c>
      <c r="X116" s="709">
        <v>0</v>
      </c>
      <c r="Y116" s="709">
        <v>0</v>
      </c>
      <c r="Z116" s="709">
        <v>0</v>
      </c>
      <c r="AA116" s="709">
        <v>0</v>
      </c>
      <c r="AB116" s="709">
        <v>0</v>
      </c>
      <c r="AC116" s="709">
        <v>0</v>
      </c>
      <c r="AD116" s="709">
        <v>0</v>
      </c>
      <c r="AE116" s="709">
        <v>0</v>
      </c>
      <c r="AF116" s="709">
        <v>0</v>
      </c>
      <c r="AG116" s="709">
        <v>0</v>
      </c>
      <c r="AH116" s="709">
        <v>0</v>
      </c>
      <c r="AI116" s="709">
        <v>0</v>
      </c>
      <c r="AJ116" s="709">
        <v>0</v>
      </c>
      <c r="AK116" s="709">
        <v>0</v>
      </c>
      <c r="AL116" s="709">
        <v>0</v>
      </c>
      <c r="AM116" s="709">
        <v>0</v>
      </c>
      <c r="AN116" s="709">
        <v>0</v>
      </c>
      <c r="AO116" s="709">
        <v>0</v>
      </c>
      <c r="AP116" s="709">
        <v>0</v>
      </c>
      <c r="AQ116" s="709">
        <v>0</v>
      </c>
      <c r="AR116" s="709">
        <v>0</v>
      </c>
      <c r="AS116" s="709">
        <v>0</v>
      </c>
      <c r="AT116" s="709">
        <v>0</v>
      </c>
      <c r="AU116" s="709">
        <v>0</v>
      </c>
      <c r="AV116" s="709">
        <v>0</v>
      </c>
      <c r="AW116" s="709">
        <v>0</v>
      </c>
      <c r="AX116" s="709">
        <v>0</v>
      </c>
    </row>
    <row r="117" spans="2:50" ht="13.2" x14ac:dyDescent="0.2">
      <c r="B117" s="289" t="str">
        <f>CHIFFRAGE_TC!B118</f>
        <v>Pasarela</v>
      </c>
      <c r="C117" s="964">
        <f>CHIFFRAGE_TC!D118</f>
        <v>50</v>
      </c>
      <c r="D117" s="725"/>
      <c r="E117" s="208">
        <f>CHIFFRAGE_TC!$M118*CHIFFRAGE_TC!$T118</f>
        <v>0</v>
      </c>
      <c r="F117" s="17">
        <f>CHIFFRAGE_TC!$M118*CHIFFRAGE_TC!$U118</f>
        <v>0</v>
      </c>
      <c r="G117" s="17">
        <f>CHIFFRAGE_TC!$M118*CHIFFRAGE_TC!$V118</f>
        <v>0</v>
      </c>
      <c r="H117" s="204">
        <f>CHIFFRAGE_TC!$M118*CHIFFRAGE_TC!$W118</f>
        <v>203515.15373437494</v>
      </c>
      <c r="I117" s="709">
        <v>0</v>
      </c>
      <c r="J117" s="709">
        <v>0</v>
      </c>
      <c r="K117" s="709">
        <v>0</v>
      </c>
      <c r="L117" s="709">
        <v>0</v>
      </c>
      <c r="M117" s="709">
        <v>0</v>
      </c>
      <c r="N117" s="709">
        <v>0</v>
      </c>
      <c r="O117" s="709">
        <v>0</v>
      </c>
      <c r="P117" s="709">
        <v>0</v>
      </c>
      <c r="Q117" s="709">
        <v>0</v>
      </c>
      <c r="R117" s="709">
        <v>0</v>
      </c>
      <c r="S117" s="709">
        <v>0</v>
      </c>
      <c r="T117" s="709">
        <v>0</v>
      </c>
      <c r="U117" s="709">
        <v>0</v>
      </c>
      <c r="V117" s="709">
        <v>0</v>
      </c>
      <c r="W117" s="709">
        <v>0</v>
      </c>
      <c r="X117" s="709">
        <v>0</v>
      </c>
      <c r="Y117" s="709">
        <v>0</v>
      </c>
      <c r="Z117" s="709">
        <v>0</v>
      </c>
      <c r="AA117" s="709">
        <v>0</v>
      </c>
      <c r="AB117" s="709">
        <v>0</v>
      </c>
      <c r="AC117" s="709">
        <v>0</v>
      </c>
      <c r="AD117" s="709">
        <v>0</v>
      </c>
      <c r="AE117" s="709">
        <v>0</v>
      </c>
      <c r="AF117" s="709">
        <v>0</v>
      </c>
      <c r="AG117" s="709">
        <v>0</v>
      </c>
      <c r="AH117" s="709">
        <v>0</v>
      </c>
      <c r="AI117" s="709">
        <v>0</v>
      </c>
      <c r="AJ117" s="709">
        <v>0</v>
      </c>
      <c r="AK117" s="709">
        <v>0</v>
      </c>
      <c r="AL117" s="709">
        <v>0</v>
      </c>
      <c r="AM117" s="709">
        <v>0</v>
      </c>
      <c r="AN117" s="709">
        <v>0</v>
      </c>
      <c r="AO117" s="709">
        <v>0</v>
      </c>
      <c r="AP117" s="709">
        <v>0</v>
      </c>
      <c r="AQ117" s="709">
        <v>0</v>
      </c>
      <c r="AR117" s="709">
        <v>0</v>
      </c>
      <c r="AS117" s="709">
        <v>0</v>
      </c>
      <c r="AT117" s="709">
        <v>0</v>
      </c>
      <c r="AU117" s="709">
        <v>0</v>
      </c>
      <c r="AV117" s="709">
        <v>0</v>
      </c>
      <c r="AW117" s="709">
        <v>0</v>
      </c>
      <c r="AX117" s="709">
        <v>0</v>
      </c>
    </row>
    <row r="118" spans="2:50" ht="13.2" x14ac:dyDescent="0.2">
      <c r="B118" s="293" t="str">
        <f>CHIFFRAGE_TC!B119</f>
        <v>Edificio - Estacion Puerto Santa Ana (Sur)</v>
      </c>
      <c r="C118" s="964"/>
      <c r="D118" s="725"/>
      <c r="E118" s="210">
        <f>SUM(E119:E128)</f>
        <v>0</v>
      </c>
      <c r="F118" s="198">
        <f>SUM(F119:F128)</f>
        <v>0</v>
      </c>
      <c r="G118" s="198">
        <f>SUM(G119:G128)</f>
        <v>0</v>
      </c>
      <c r="H118" s="205">
        <f>SUM(H119:H128)</f>
        <v>0</v>
      </c>
      <c r="I118" s="733">
        <f t="shared" ref="I118:AX118" si="36">SUM(I119:I128)</f>
        <v>0</v>
      </c>
      <c r="J118" s="733">
        <f t="shared" si="36"/>
        <v>0</v>
      </c>
      <c r="K118" s="733">
        <f t="shared" si="36"/>
        <v>0</v>
      </c>
      <c r="L118" s="733">
        <f t="shared" si="36"/>
        <v>0</v>
      </c>
      <c r="M118" s="733">
        <f t="shared" si="36"/>
        <v>0</v>
      </c>
      <c r="N118" s="733">
        <f t="shared" si="36"/>
        <v>0</v>
      </c>
      <c r="O118" s="733">
        <f t="shared" si="36"/>
        <v>0</v>
      </c>
      <c r="P118" s="733">
        <f t="shared" si="36"/>
        <v>0</v>
      </c>
      <c r="Q118" s="733">
        <f t="shared" si="36"/>
        <v>0</v>
      </c>
      <c r="R118" s="733">
        <f t="shared" si="36"/>
        <v>0</v>
      </c>
      <c r="S118" s="733">
        <f t="shared" si="36"/>
        <v>0</v>
      </c>
      <c r="T118" s="733">
        <f t="shared" si="36"/>
        <v>0</v>
      </c>
      <c r="U118" s="733">
        <f t="shared" si="36"/>
        <v>0</v>
      </c>
      <c r="V118" s="733">
        <f t="shared" si="36"/>
        <v>0</v>
      </c>
      <c r="W118" s="733">
        <f t="shared" si="36"/>
        <v>0</v>
      </c>
      <c r="X118" s="733">
        <f t="shared" si="36"/>
        <v>0</v>
      </c>
      <c r="Y118" s="733">
        <f t="shared" si="36"/>
        <v>0</v>
      </c>
      <c r="Z118" s="733">
        <f t="shared" si="36"/>
        <v>0</v>
      </c>
      <c r="AA118" s="733">
        <f t="shared" si="36"/>
        <v>0</v>
      </c>
      <c r="AB118" s="733">
        <f t="shared" si="36"/>
        <v>0</v>
      </c>
      <c r="AC118" s="733">
        <f t="shared" si="36"/>
        <v>0</v>
      </c>
      <c r="AD118" s="733">
        <f t="shared" si="36"/>
        <v>0</v>
      </c>
      <c r="AE118" s="733">
        <f t="shared" si="36"/>
        <v>0</v>
      </c>
      <c r="AF118" s="733">
        <f t="shared" si="36"/>
        <v>0</v>
      </c>
      <c r="AG118" s="733">
        <f t="shared" si="36"/>
        <v>0</v>
      </c>
      <c r="AH118" s="733">
        <f t="shared" si="36"/>
        <v>0</v>
      </c>
      <c r="AI118" s="733">
        <f t="shared" si="36"/>
        <v>0</v>
      </c>
      <c r="AJ118" s="733">
        <f t="shared" si="36"/>
        <v>0</v>
      </c>
      <c r="AK118" s="733">
        <f t="shared" si="36"/>
        <v>0</v>
      </c>
      <c r="AL118" s="733">
        <f t="shared" si="36"/>
        <v>0</v>
      </c>
      <c r="AM118" s="733">
        <f t="shared" si="36"/>
        <v>0</v>
      </c>
      <c r="AN118" s="733">
        <f t="shared" si="36"/>
        <v>0</v>
      </c>
      <c r="AO118" s="733">
        <f t="shared" si="36"/>
        <v>0</v>
      </c>
      <c r="AP118" s="733">
        <f t="shared" si="36"/>
        <v>0</v>
      </c>
      <c r="AQ118" s="733">
        <f t="shared" si="36"/>
        <v>0</v>
      </c>
      <c r="AR118" s="733">
        <f t="shared" si="36"/>
        <v>0</v>
      </c>
      <c r="AS118" s="733">
        <f t="shared" si="36"/>
        <v>0</v>
      </c>
      <c r="AT118" s="733">
        <f t="shared" si="36"/>
        <v>0</v>
      </c>
      <c r="AU118" s="733">
        <f t="shared" si="36"/>
        <v>0</v>
      </c>
      <c r="AV118" s="733">
        <f t="shared" si="36"/>
        <v>0</v>
      </c>
      <c r="AW118" s="733">
        <f t="shared" si="36"/>
        <v>0</v>
      </c>
      <c r="AX118" s="733">
        <f t="shared" si="36"/>
        <v>0</v>
      </c>
    </row>
    <row r="119" spans="2:50" ht="13.2" x14ac:dyDescent="0.2">
      <c r="B119" s="290" t="str">
        <f>CHIFFRAGE_TC!B120</f>
        <v>Fundaciones tipicas 
(edificio con piso tierra y primer piso)</v>
      </c>
      <c r="C119" s="964">
        <f>CHIFFRAGE_TC!D120</f>
        <v>50</v>
      </c>
      <c r="D119" s="725"/>
      <c r="E119" s="208">
        <f>CHIFFRAGE_TC!$M120*CHIFFRAGE_TC!$T120</f>
        <v>0</v>
      </c>
      <c r="F119" s="17">
        <f>CHIFFRAGE_TC!$M120*CHIFFRAGE_TC!$U120</f>
        <v>0</v>
      </c>
      <c r="G119" s="17">
        <f>CHIFFRAGE_TC!$M120*CHIFFRAGE_TC!$V120</f>
        <v>0</v>
      </c>
      <c r="H119" s="204">
        <f>CHIFFRAGE_TC!$M120*CHIFFRAGE_TC!$W120</f>
        <v>0</v>
      </c>
      <c r="I119" s="709">
        <v>0</v>
      </c>
      <c r="J119" s="709">
        <v>0</v>
      </c>
      <c r="K119" s="709">
        <v>0</v>
      </c>
      <c r="L119" s="709">
        <v>0</v>
      </c>
      <c r="M119" s="709">
        <v>0</v>
      </c>
      <c r="N119" s="709">
        <v>0</v>
      </c>
      <c r="O119" s="709">
        <v>0</v>
      </c>
      <c r="P119" s="709">
        <v>0</v>
      </c>
      <c r="Q119" s="709">
        <v>0</v>
      </c>
      <c r="R119" s="709">
        <v>0</v>
      </c>
      <c r="S119" s="709">
        <v>0</v>
      </c>
      <c r="T119" s="709">
        <v>0</v>
      </c>
      <c r="U119" s="709">
        <v>0</v>
      </c>
      <c r="V119" s="709">
        <v>0</v>
      </c>
      <c r="W119" s="709">
        <v>0</v>
      </c>
      <c r="X119" s="709">
        <v>0</v>
      </c>
      <c r="Y119" s="709">
        <v>0</v>
      </c>
      <c r="Z119" s="709">
        <v>0</v>
      </c>
      <c r="AA119" s="709">
        <v>0</v>
      </c>
      <c r="AB119" s="709">
        <v>0</v>
      </c>
      <c r="AC119" s="709">
        <v>0</v>
      </c>
      <c r="AD119" s="709">
        <v>0</v>
      </c>
      <c r="AE119" s="709">
        <v>0</v>
      </c>
      <c r="AF119" s="709">
        <v>0</v>
      </c>
      <c r="AG119" s="709">
        <v>0</v>
      </c>
      <c r="AH119" s="709">
        <v>0</v>
      </c>
      <c r="AI119" s="709">
        <v>0</v>
      </c>
      <c r="AJ119" s="709">
        <v>0</v>
      </c>
      <c r="AK119" s="709">
        <v>0</v>
      </c>
      <c r="AL119" s="709">
        <v>0</v>
      </c>
      <c r="AM119" s="709">
        <v>0</v>
      </c>
      <c r="AN119" s="709">
        <v>0</v>
      </c>
      <c r="AO119" s="709">
        <v>0</v>
      </c>
      <c r="AP119" s="709">
        <v>0</v>
      </c>
      <c r="AQ119" s="709">
        <v>0</v>
      </c>
      <c r="AR119" s="709">
        <v>0</v>
      </c>
      <c r="AS119" s="709">
        <v>0</v>
      </c>
      <c r="AT119" s="709">
        <v>0</v>
      </c>
      <c r="AU119" s="709">
        <v>0</v>
      </c>
      <c r="AV119" s="709">
        <v>0</v>
      </c>
      <c r="AW119" s="709">
        <v>0</v>
      </c>
      <c r="AX119" s="709">
        <v>0</v>
      </c>
    </row>
    <row r="120" spans="2:50" ht="13.2" x14ac:dyDescent="0.2">
      <c r="B120" s="290" t="str">
        <f>CHIFFRAGE_TC!B121</f>
        <v>Piso tierra sobrelevado y fundaciones</v>
      </c>
      <c r="C120" s="964">
        <f>CHIFFRAGE_TC!D121</f>
        <v>50</v>
      </c>
      <c r="D120" s="725"/>
      <c r="E120" s="208">
        <f>CHIFFRAGE_TC!$M121*CHIFFRAGE_TC!$T121</f>
        <v>0</v>
      </c>
      <c r="F120" s="17">
        <f>CHIFFRAGE_TC!$M121*CHIFFRAGE_TC!$U121</f>
        <v>0</v>
      </c>
      <c r="G120" s="17">
        <f>CHIFFRAGE_TC!$M121*CHIFFRAGE_TC!$V121</f>
        <v>0</v>
      </c>
      <c r="H120" s="204">
        <f>CHIFFRAGE_TC!$M121*CHIFFRAGE_TC!$W121</f>
        <v>0</v>
      </c>
      <c r="I120" s="709">
        <v>0</v>
      </c>
      <c r="J120" s="709">
        <v>0</v>
      </c>
      <c r="K120" s="709">
        <v>0</v>
      </c>
      <c r="L120" s="709">
        <v>0</v>
      </c>
      <c r="M120" s="709">
        <v>0</v>
      </c>
      <c r="N120" s="709">
        <v>0</v>
      </c>
      <c r="O120" s="709">
        <v>0</v>
      </c>
      <c r="P120" s="709">
        <v>0</v>
      </c>
      <c r="Q120" s="709">
        <v>0</v>
      </c>
      <c r="R120" s="709">
        <v>0</v>
      </c>
      <c r="S120" s="709">
        <v>0</v>
      </c>
      <c r="T120" s="709">
        <v>0</v>
      </c>
      <c r="U120" s="709">
        <v>0</v>
      </c>
      <c r="V120" s="709">
        <v>0</v>
      </c>
      <c r="W120" s="709">
        <v>0</v>
      </c>
      <c r="X120" s="709">
        <v>0</v>
      </c>
      <c r="Y120" s="709">
        <v>0</v>
      </c>
      <c r="Z120" s="709">
        <v>0</v>
      </c>
      <c r="AA120" s="709">
        <v>0</v>
      </c>
      <c r="AB120" s="709">
        <v>0</v>
      </c>
      <c r="AC120" s="709">
        <v>0</v>
      </c>
      <c r="AD120" s="709">
        <v>0</v>
      </c>
      <c r="AE120" s="709">
        <v>0</v>
      </c>
      <c r="AF120" s="709">
        <v>0</v>
      </c>
      <c r="AG120" s="709">
        <v>0</v>
      </c>
      <c r="AH120" s="709">
        <v>0</v>
      </c>
      <c r="AI120" s="709">
        <v>0</v>
      </c>
      <c r="AJ120" s="709">
        <v>0</v>
      </c>
      <c r="AK120" s="709">
        <v>0</v>
      </c>
      <c r="AL120" s="709">
        <v>0</v>
      </c>
      <c r="AM120" s="709">
        <v>0</v>
      </c>
      <c r="AN120" s="709">
        <v>0</v>
      </c>
      <c r="AO120" s="709">
        <v>0</v>
      </c>
      <c r="AP120" s="709">
        <v>0</v>
      </c>
      <c r="AQ120" s="709">
        <v>0</v>
      </c>
      <c r="AR120" s="709">
        <v>0</v>
      </c>
      <c r="AS120" s="709">
        <v>0</v>
      </c>
      <c r="AT120" s="709">
        <v>0</v>
      </c>
      <c r="AU120" s="709">
        <v>0</v>
      </c>
      <c r="AV120" s="709">
        <v>0</v>
      </c>
      <c r="AW120" s="709">
        <v>0</v>
      </c>
      <c r="AX120" s="709">
        <v>0</v>
      </c>
    </row>
    <row r="121" spans="2:50" ht="13.2" x14ac:dyDescent="0.2">
      <c r="B121" s="290" t="str">
        <f>CHIFFRAGE_TC!B122</f>
        <v>Superficies comerciales</v>
      </c>
      <c r="C121" s="964">
        <f>CHIFFRAGE_TC!D122</f>
        <v>50</v>
      </c>
      <c r="D121" s="725"/>
      <c r="E121" s="208">
        <f>CHIFFRAGE_TC!$M122*CHIFFRAGE_TC!$T122</f>
        <v>0</v>
      </c>
      <c r="F121" s="17">
        <f>CHIFFRAGE_TC!$M122*CHIFFRAGE_TC!$U122</f>
        <v>0</v>
      </c>
      <c r="G121" s="17">
        <f>CHIFFRAGE_TC!$M122*CHIFFRAGE_TC!$V122</f>
        <v>0</v>
      </c>
      <c r="H121" s="204">
        <f>CHIFFRAGE_TC!$M122*CHIFFRAGE_TC!$W122</f>
        <v>0</v>
      </c>
      <c r="I121" s="709">
        <v>0</v>
      </c>
      <c r="J121" s="709">
        <v>0</v>
      </c>
      <c r="K121" s="709">
        <v>0</v>
      </c>
      <c r="L121" s="709">
        <v>0</v>
      </c>
      <c r="M121" s="709">
        <v>0</v>
      </c>
      <c r="N121" s="709">
        <v>0</v>
      </c>
      <c r="O121" s="709">
        <v>0</v>
      </c>
      <c r="P121" s="709">
        <v>0</v>
      </c>
      <c r="Q121" s="709">
        <v>0</v>
      </c>
      <c r="R121" s="709">
        <v>0</v>
      </c>
      <c r="S121" s="709">
        <v>0</v>
      </c>
      <c r="T121" s="709">
        <v>0</v>
      </c>
      <c r="U121" s="709">
        <v>0</v>
      </c>
      <c r="V121" s="709">
        <v>0</v>
      </c>
      <c r="W121" s="709">
        <v>0</v>
      </c>
      <c r="X121" s="709">
        <v>0</v>
      </c>
      <c r="Y121" s="709">
        <v>0</v>
      </c>
      <c r="Z121" s="709">
        <v>0</v>
      </c>
      <c r="AA121" s="709">
        <v>0</v>
      </c>
      <c r="AB121" s="709">
        <v>0</v>
      </c>
      <c r="AC121" s="709">
        <v>0</v>
      </c>
      <c r="AD121" s="709">
        <v>0</v>
      </c>
      <c r="AE121" s="709">
        <v>0</v>
      </c>
      <c r="AF121" s="709">
        <v>0</v>
      </c>
      <c r="AG121" s="709">
        <v>0</v>
      </c>
      <c r="AH121" s="709">
        <v>0</v>
      </c>
      <c r="AI121" s="709">
        <v>0</v>
      </c>
      <c r="AJ121" s="709">
        <v>0</v>
      </c>
      <c r="AK121" s="709">
        <v>0</v>
      </c>
      <c r="AL121" s="709">
        <v>0</v>
      </c>
      <c r="AM121" s="709">
        <v>0</v>
      </c>
      <c r="AN121" s="709">
        <v>0</v>
      </c>
      <c r="AO121" s="709">
        <v>0</v>
      </c>
      <c r="AP121" s="709">
        <v>0</v>
      </c>
      <c r="AQ121" s="709">
        <v>0</v>
      </c>
      <c r="AR121" s="709">
        <v>0</v>
      </c>
      <c r="AS121" s="709">
        <v>0</v>
      </c>
      <c r="AT121" s="709">
        <v>0</v>
      </c>
      <c r="AU121" s="709">
        <v>0</v>
      </c>
      <c r="AV121" s="709">
        <v>0</v>
      </c>
      <c r="AW121" s="709">
        <v>0</v>
      </c>
      <c r="AX121" s="709">
        <v>0</v>
      </c>
    </row>
    <row r="122" spans="2:50" ht="26.4" x14ac:dyDescent="0.2">
      <c r="B122" s="292" t="str">
        <f>CHIFFRAGE_TC!B123</f>
        <v xml:space="preserve">Ingreso y circulaciones al piso tierra 
(y/c servicios, escaleras mecanicas, escaleras y ascencores) </v>
      </c>
      <c r="C122" s="964">
        <f>CHIFFRAGE_TC!D123</f>
        <v>40</v>
      </c>
      <c r="D122" s="725"/>
      <c r="E122" s="208">
        <f>CHIFFRAGE_TC!$M123*CHIFFRAGE_TC!$T123</f>
        <v>0</v>
      </c>
      <c r="F122" s="17">
        <f>CHIFFRAGE_TC!$M123*CHIFFRAGE_TC!$U123</f>
        <v>0</v>
      </c>
      <c r="G122" s="17">
        <f>CHIFFRAGE_TC!$M123*CHIFFRAGE_TC!$V123</f>
        <v>0</v>
      </c>
      <c r="H122" s="204">
        <f>CHIFFRAGE_TC!$M123*CHIFFRAGE_TC!$W123</f>
        <v>0</v>
      </c>
      <c r="I122" s="709">
        <v>0</v>
      </c>
      <c r="J122" s="709">
        <v>0</v>
      </c>
      <c r="K122" s="709">
        <v>0</v>
      </c>
      <c r="L122" s="709">
        <v>0</v>
      </c>
      <c r="M122" s="709">
        <v>0</v>
      </c>
      <c r="N122" s="709">
        <v>0</v>
      </c>
      <c r="O122" s="709">
        <v>0</v>
      </c>
      <c r="P122" s="709">
        <v>0</v>
      </c>
      <c r="Q122" s="709">
        <v>0</v>
      </c>
      <c r="R122" s="709">
        <v>0</v>
      </c>
      <c r="S122" s="709">
        <v>0</v>
      </c>
      <c r="T122" s="709">
        <v>0</v>
      </c>
      <c r="U122" s="709">
        <v>0</v>
      </c>
      <c r="V122" s="709">
        <v>0</v>
      </c>
      <c r="W122" s="709">
        <v>0</v>
      </c>
      <c r="X122" s="709">
        <v>0</v>
      </c>
      <c r="Y122" s="709">
        <v>0</v>
      </c>
      <c r="Z122" s="709">
        <v>0</v>
      </c>
      <c r="AA122" s="709">
        <v>0</v>
      </c>
      <c r="AB122" s="709">
        <v>0</v>
      </c>
      <c r="AC122" s="709">
        <v>0</v>
      </c>
      <c r="AD122" s="709">
        <v>0</v>
      </c>
      <c r="AE122" s="709">
        <v>0</v>
      </c>
      <c r="AF122" s="709">
        <v>0</v>
      </c>
      <c r="AG122" s="709">
        <v>0</v>
      </c>
      <c r="AH122" s="709">
        <v>0</v>
      </c>
      <c r="AI122" s="709">
        <v>0</v>
      </c>
      <c r="AJ122" s="709">
        <v>0</v>
      </c>
      <c r="AK122" s="709">
        <v>0</v>
      </c>
      <c r="AL122" s="709">
        <v>0</v>
      </c>
      <c r="AM122" s="709">
        <v>0</v>
      </c>
      <c r="AN122" s="709">
        <v>0</v>
      </c>
      <c r="AO122" s="709">
        <v>0</v>
      </c>
      <c r="AP122" s="709">
        <v>0</v>
      </c>
      <c r="AQ122" s="709">
        <v>0</v>
      </c>
      <c r="AR122" s="709">
        <v>0</v>
      </c>
      <c r="AS122" s="709">
        <v>0</v>
      </c>
      <c r="AT122" s="709">
        <v>0</v>
      </c>
      <c r="AU122" s="709">
        <v>0</v>
      </c>
      <c r="AV122" s="709">
        <v>0</v>
      </c>
      <c r="AW122" s="709">
        <v>0</v>
      </c>
      <c r="AX122" s="709">
        <v>0</v>
      </c>
    </row>
    <row r="123" spans="2:50" ht="26.4" x14ac:dyDescent="0.2">
      <c r="B123" s="292" t="str">
        <f>CHIFFRAGE_TC!B124</f>
        <v>Escaleras mecanicas, escaleras y ascencores adicionales 
(piso tierra sobrelevado)</v>
      </c>
      <c r="C123" s="964">
        <f>CHIFFRAGE_TC!D124</f>
        <v>15</v>
      </c>
      <c r="D123" s="725"/>
      <c r="E123" s="208">
        <f>CHIFFRAGE_TC!$M124*CHIFFRAGE_TC!$T124</f>
        <v>0</v>
      </c>
      <c r="F123" s="17">
        <f>CHIFFRAGE_TC!$M124*CHIFFRAGE_TC!$U124</f>
        <v>0</v>
      </c>
      <c r="G123" s="17">
        <f>CHIFFRAGE_TC!$M124*CHIFFRAGE_TC!$V124</f>
        <v>0</v>
      </c>
      <c r="H123" s="204">
        <f>CHIFFRAGE_TC!$M124*CHIFFRAGE_TC!$W124</f>
        <v>0</v>
      </c>
      <c r="I123" s="709">
        <v>0</v>
      </c>
      <c r="J123" s="709">
        <v>0</v>
      </c>
      <c r="K123" s="709">
        <v>0</v>
      </c>
      <c r="L123" s="709">
        <v>0</v>
      </c>
      <c r="M123" s="709">
        <v>0</v>
      </c>
      <c r="N123" s="709">
        <v>0</v>
      </c>
      <c r="O123" s="709">
        <v>0</v>
      </c>
      <c r="P123" s="709">
        <v>0</v>
      </c>
      <c r="Q123" s="709">
        <v>0</v>
      </c>
      <c r="R123" s="709">
        <v>0</v>
      </c>
      <c r="S123" s="709">
        <v>0</v>
      </c>
      <c r="T123" s="709">
        <v>0</v>
      </c>
      <c r="U123" s="709">
        <v>0</v>
      </c>
      <c r="V123" s="709">
        <v>0</v>
      </c>
      <c r="W123" s="729">
        <f>F123</f>
        <v>0</v>
      </c>
      <c r="X123" s="729">
        <f>G123</f>
        <v>0</v>
      </c>
      <c r="Y123" s="729">
        <f>H123</f>
        <v>0</v>
      </c>
      <c r="Z123" s="709">
        <v>0</v>
      </c>
      <c r="AA123" s="709">
        <v>0</v>
      </c>
      <c r="AB123" s="709">
        <v>0</v>
      </c>
      <c r="AC123" s="709">
        <v>0</v>
      </c>
      <c r="AD123" s="709">
        <v>0</v>
      </c>
      <c r="AE123" s="709">
        <v>0</v>
      </c>
      <c r="AF123" s="709">
        <v>0</v>
      </c>
      <c r="AG123" s="709">
        <v>0</v>
      </c>
      <c r="AH123" s="709">
        <v>0</v>
      </c>
      <c r="AI123" s="709">
        <v>0</v>
      </c>
      <c r="AJ123" s="709">
        <v>0</v>
      </c>
      <c r="AK123" s="709">
        <v>0</v>
      </c>
      <c r="AL123" s="709">
        <v>0</v>
      </c>
      <c r="AM123" s="709">
        <v>0</v>
      </c>
      <c r="AN123" s="729">
        <f>F123</f>
        <v>0</v>
      </c>
      <c r="AO123" s="729">
        <f t="shared" ref="AO123" si="37">G123</f>
        <v>0</v>
      </c>
      <c r="AP123" s="729">
        <f t="shared" ref="AP123" si="38">H123</f>
        <v>0</v>
      </c>
      <c r="AQ123" s="709">
        <v>0</v>
      </c>
      <c r="AR123" s="709">
        <v>0</v>
      </c>
      <c r="AS123" s="709">
        <v>0</v>
      </c>
      <c r="AT123" s="709">
        <v>0</v>
      </c>
      <c r="AU123" s="709">
        <v>0</v>
      </c>
      <c r="AV123" s="709">
        <v>0</v>
      </c>
      <c r="AW123" s="709">
        <v>0</v>
      </c>
      <c r="AX123" s="709">
        <v>0</v>
      </c>
    </row>
    <row r="124" spans="2:50" ht="13.2" x14ac:dyDescent="0.2">
      <c r="B124" s="290" t="str">
        <f>CHIFFRAGE_TC!B125</f>
        <v>Anden al primer piso</v>
      </c>
      <c r="C124" s="964">
        <f>CHIFFRAGE_TC!D125</f>
        <v>50</v>
      </c>
      <c r="D124" s="725"/>
      <c r="E124" s="208">
        <f>CHIFFRAGE_TC!$M125*CHIFFRAGE_TC!$T125</f>
        <v>0</v>
      </c>
      <c r="F124" s="17">
        <f>CHIFFRAGE_TC!$M125*CHIFFRAGE_TC!$U125</f>
        <v>0</v>
      </c>
      <c r="G124" s="17">
        <f>CHIFFRAGE_TC!$M125*CHIFFRAGE_TC!$V125</f>
        <v>0</v>
      </c>
      <c r="H124" s="204">
        <f>CHIFFRAGE_TC!$M125*CHIFFRAGE_TC!$W125</f>
        <v>0</v>
      </c>
      <c r="I124" s="709">
        <v>0</v>
      </c>
      <c r="J124" s="709">
        <v>0</v>
      </c>
      <c r="K124" s="709">
        <v>0</v>
      </c>
      <c r="L124" s="709">
        <v>0</v>
      </c>
      <c r="M124" s="709">
        <v>0</v>
      </c>
      <c r="N124" s="709">
        <v>0</v>
      </c>
      <c r="O124" s="709">
        <v>0</v>
      </c>
      <c r="P124" s="709">
        <v>0</v>
      </c>
      <c r="Q124" s="709">
        <v>0</v>
      </c>
      <c r="R124" s="709">
        <v>0</v>
      </c>
      <c r="S124" s="709">
        <v>0</v>
      </c>
      <c r="T124" s="709">
        <v>0</v>
      </c>
      <c r="U124" s="709">
        <v>0</v>
      </c>
      <c r="V124" s="709">
        <v>0</v>
      </c>
      <c r="W124" s="709">
        <v>0</v>
      </c>
      <c r="X124" s="709">
        <v>0</v>
      </c>
      <c r="Y124" s="709">
        <v>0</v>
      </c>
      <c r="Z124" s="709">
        <v>0</v>
      </c>
      <c r="AA124" s="709">
        <v>0</v>
      </c>
      <c r="AB124" s="709">
        <v>0</v>
      </c>
      <c r="AC124" s="709">
        <v>0</v>
      </c>
      <c r="AD124" s="709">
        <v>0</v>
      </c>
      <c r="AE124" s="709">
        <v>0</v>
      </c>
      <c r="AF124" s="709">
        <v>0</v>
      </c>
      <c r="AG124" s="709">
        <v>0</v>
      </c>
      <c r="AH124" s="709">
        <v>0</v>
      </c>
      <c r="AI124" s="709">
        <v>0</v>
      </c>
      <c r="AJ124" s="709">
        <v>0</v>
      </c>
      <c r="AK124" s="709">
        <v>0</v>
      </c>
      <c r="AL124" s="709">
        <v>0</v>
      </c>
      <c r="AM124" s="709">
        <v>0</v>
      </c>
      <c r="AN124" s="709">
        <v>0</v>
      </c>
      <c r="AO124" s="709">
        <v>0</v>
      </c>
      <c r="AP124" s="709">
        <v>0</v>
      </c>
      <c r="AQ124" s="709">
        <v>0</v>
      </c>
      <c r="AR124" s="709">
        <v>0</v>
      </c>
      <c r="AS124" s="709">
        <v>0</v>
      </c>
      <c r="AT124" s="709">
        <v>0</v>
      </c>
      <c r="AU124" s="709">
        <v>0</v>
      </c>
      <c r="AV124" s="709">
        <v>0</v>
      </c>
      <c r="AW124" s="709">
        <v>0</v>
      </c>
      <c r="AX124" s="709">
        <v>0</v>
      </c>
    </row>
    <row r="125" spans="2:50" ht="13.2" x14ac:dyDescent="0.2">
      <c r="B125" s="290" t="str">
        <f>CHIFFRAGE_TC!B126</f>
        <v>Centro de mando + Locales tecnicos cubiertos</v>
      </c>
      <c r="C125" s="964">
        <f>CHIFFRAGE_TC!D126</f>
        <v>50</v>
      </c>
      <c r="D125" s="725"/>
      <c r="E125" s="208">
        <f>CHIFFRAGE_TC!$M126*CHIFFRAGE_TC!$T126</f>
        <v>0</v>
      </c>
      <c r="F125" s="17">
        <f>CHIFFRAGE_TC!$M126*CHIFFRAGE_TC!$U126</f>
        <v>0</v>
      </c>
      <c r="G125" s="17">
        <f>CHIFFRAGE_TC!$M126*CHIFFRAGE_TC!$V126</f>
        <v>0</v>
      </c>
      <c r="H125" s="204">
        <f>CHIFFRAGE_TC!$M126*CHIFFRAGE_TC!$W126</f>
        <v>0</v>
      </c>
      <c r="I125" s="709">
        <v>0</v>
      </c>
      <c r="J125" s="709">
        <v>0</v>
      </c>
      <c r="K125" s="709">
        <v>0</v>
      </c>
      <c r="L125" s="709">
        <v>0</v>
      </c>
      <c r="M125" s="709">
        <v>0</v>
      </c>
      <c r="N125" s="709">
        <v>0</v>
      </c>
      <c r="O125" s="709">
        <v>0</v>
      </c>
      <c r="P125" s="709">
        <v>0</v>
      </c>
      <c r="Q125" s="709">
        <v>0</v>
      </c>
      <c r="R125" s="709">
        <v>0</v>
      </c>
      <c r="S125" s="709">
        <v>0</v>
      </c>
      <c r="T125" s="709">
        <v>0</v>
      </c>
      <c r="U125" s="709">
        <v>0</v>
      </c>
      <c r="V125" s="709">
        <v>0</v>
      </c>
      <c r="W125" s="709">
        <v>0</v>
      </c>
      <c r="X125" s="709">
        <v>0</v>
      </c>
      <c r="Y125" s="709">
        <v>0</v>
      </c>
      <c r="Z125" s="709">
        <v>0</v>
      </c>
      <c r="AA125" s="709">
        <v>0</v>
      </c>
      <c r="AB125" s="709">
        <v>0</v>
      </c>
      <c r="AC125" s="709">
        <v>0</v>
      </c>
      <c r="AD125" s="709">
        <v>0</v>
      </c>
      <c r="AE125" s="709">
        <v>0</v>
      </c>
      <c r="AF125" s="709">
        <v>0</v>
      </c>
      <c r="AG125" s="709">
        <v>0</v>
      </c>
      <c r="AH125" s="709">
        <v>0</v>
      </c>
      <c r="AI125" s="709">
        <v>0</v>
      </c>
      <c r="AJ125" s="709">
        <v>0</v>
      </c>
      <c r="AK125" s="709">
        <v>0</v>
      </c>
      <c r="AL125" s="709">
        <v>0</v>
      </c>
      <c r="AM125" s="709">
        <v>0</v>
      </c>
      <c r="AN125" s="709">
        <v>0</v>
      </c>
      <c r="AO125" s="709">
        <v>0</v>
      </c>
      <c r="AP125" s="709">
        <v>0</v>
      </c>
      <c r="AQ125" s="709">
        <v>0</v>
      </c>
      <c r="AR125" s="709">
        <v>0</v>
      </c>
      <c r="AS125" s="709">
        <v>0</v>
      </c>
      <c r="AT125" s="709">
        <v>0</v>
      </c>
      <c r="AU125" s="709">
        <v>0</v>
      </c>
      <c r="AV125" s="709">
        <v>0</v>
      </c>
      <c r="AW125" s="709">
        <v>0</v>
      </c>
      <c r="AX125" s="709">
        <v>0</v>
      </c>
    </row>
    <row r="126" spans="2:50" ht="13.2" x14ac:dyDescent="0.2">
      <c r="B126" s="290" t="str">
        <f>CHIFFRAGE_TC!B127</f>
        <v xml:space="preserve">Locales tecnicos non cerrados </v>
      </c>
      <c r="C126" s="964">
        <f>CHIFFRAGE_TC!D127</f>
        <v>50</v>
      </c>
      <c r="D126" s="725"/>
      <c r="E126" s="208">
        <f>CHIFFRAGE_TC!$M127*CHIFFRAGE_TC!$T127</f>
        <v>0</v>
      </c>
      <c r="F126" s="17">
        <f>CHIFFRAGE_TC!$M127*CHIFFRAGE_TC!$U127</f>
        <v>0</v>
      </c>
      <c r="G126" s="17">
        <f>CHIFFRAGE_TC!$M127*CHIFFRAGE_TC!$V127</f>
        <v>0</v>
      </c>
      <c r="H126" s="204">
        <f>CHIFFRAGE_TC!$M127*CHIFFRAGE_TC!$W127</f>
        <v>0</v>
      </c>
      <c r="I126" s="709">
        <v>0</v>
      </c>
      <c r="J126" s="709">
        <v>0</v>
      </c>
      <c r="K126" s="709">
        <v>0</v>
      </c>
      <c r="L126" s="709">
        <v>0</v>
      </c>
      <c r="M126" s="709">
        <v>0</v>
      </c>
      <c r="N126" s="709">
        <v>0</v>
      </c>
      <c r="O126" s="709">
        <v>0</v>
      </c>
      <c r="P126" s="709">
        <v>0</v>
      </c>
      <c r="Q126" s="709">
        <v>0</v>
      </c>
      <c r="R126" s="709">
        <v>0</v>
      </c>
      <c r="S126" s="709">
        <v>0</v>
      </c>
      <c r="T126" s="709">
        <v>0</v>
      </c>
      <c r="U126" s="709">
        <v>0</v>
      </c>
      <c r="V126" s="709">
        <v>0</v>
      </c>
      <c r="W126" s="709">
        <v>0</v>
      </c>
      <c r="X126" s="709">
        <v>0</v>
      </c>
      <c r="Y126" s="709">
        <v>0</v>
      </c>
      <c r="Z126" s="709">
        <v>0</v>
      </c>
      <c r="AA126" s="709">
        <v>0</v>
      </c>
      <c r="AB126" s="709">
        <v>0</v>
      </c>
      <c r="AC126" s="709">
        <v>0</v>
      </c>
      <c r="AD126" s="709">
        <v>0</v>
      </c>
      <c r="AE126" s="709">
        <v>0</v>
      </c>
      <c r="AF126" s="709">
        <v>0</v>
      </c>
      <c r="AG126" s="709">
        <v>0</v>
      </c>
      <c r="AH126" s="709">
        <v>0</v>
      </c>
      <c r="AI126" s="709">
        <v>0</v>
      </c>
      <c r="AJ126" s="709">
        <v>0</v>
      </c>
      <c r="AK126" s="709">
        <v>0</v>
      </c>
      <c r="AL126" s="709">
        <v>0</v>
      </c>
      <c r="AM126" s="709">
        <v>0</v>
      </c>
      <c r="AN126" s="709">
        <v>0</v>
      </c>
      <c r="AO126" s="709">
        <v>0</v>
      </c>
      <c r="AP126" s="709">
        <v>0</v>
      </c>
      <c r="AQ126" s="709">
        <v>0</v>
      </c>
      <c r="AR126" s="709">
        <v>0</v>
      </c>
      <c r="AS126" s="709">
        <v>0</v>
      </c>
      <c r="AT126" s="709">
        <v>0</v>
      </c>
      <c r="AU126" s="709">
        <v>0</v>
      </c>
      <c r="AV126" s="709">
        <v>0</v>
      </c>
      <c r="AW126" s="709">
        <v>0</v>
      </c>
      <c r="AX126" s="709">
        <v>0</v>
      </c>
    </row>
    <row r="127" spans="2:50" ht="13.2" x14ac:dyDescent="0.2">
      <c r="B127" s="290" t="str">
        <f>CHIFFRAGE_TC!B128</f>
        <v>Adecuacion urbana 
(demolicion, reconstruccion, mobiliario urbano, paisaje)</v>
      </c>
      <c r="C127" s="964">
        <f>CHIFFRAGE_TC!D128</f>
        <v>50</v>
      </c>
      <c r="D127" s="725"/>
      <c r="E127" s="208">
        <f>CHIFFRAGE_TC!$M128*CHIFFRAGE_TC!$T128</f>
        <v>0</v>
      </c>
      <c r="F127" s="17">
        <f>CHIFFRAGE_TC!$M128*CHIFFRAGE_TC!$U128</f>
        <v>0</v>
      </c>
      <c r="G127" s="17">
        <f>CHIFFRAGE_TC!$M128*CHIFFRAGE_TC!$V128</f>
        <v>0</v>
      </c>
      <c r="H127" s="204">
        <f>CHIFFRAGE_TC!$M128*CHIFFRAGE_TC!$W128</f>
        <v>0</v>
      </c>
      <c r="I127" s="709">
        <v>0</v>
      </c>
      <c r="J127" s="709">
        <v>0</v>
      </c>
      <c r="K127" s="709">
        <v>0</v>
      </c>
      <c r="L127" s="709">
        <v>0</v>
      </c>
      <c r="M127" s="709">
        <v>0</v>
      </c>
      <c r="N127" s="709">
        <v>0</v>
      </c>
      <c r="O127" s="709">
        <v>0</v>
      </c>
      <c r="P127" s="709">
        <v>0</v>
      </c>
      <c r="Q127" s="709">
        <v>0</v>
      </c>
      <c r="R127" s="709">
        <v>0</v>
      </c>
      <c r="S127" s="709">
        <v>0</v>
      </c>
      <c r="T127" s="709">
        <v>0</v>
      </c>
      <c r="U127" s="709">
        <v>0</v>
      </c>
      <c r="V127" s="709">
        <v>0</v>
      </c>
      <c r="W127" s="709">
        <v>0</v>
      </c>
      <c r="X127" s="709">
        <v>0</v>
      </c>
      <c r="Y127" s="709">
        <v>0</v>
      </c>
      <c r="Z127" s="709">
        <v>0</v>
      </c>
      <c r="AA127" s="709">
        <v>0</v>
      </c>
      <c r="AB127" s="709">
        <v>0</v>
      </c>
      <c r="AC127" s="709">
        <v>0</v>
      </c>
      <c r="AD127" s="709">
        <v>0</v>
      </c>
      <c r="AE127" s="709">
        <v>0</v>
      </c>
      <c r="AF127" s="709">
        <v>0</v>
      </c>
      <c r="AG127" s="709">
        <v>0</v>
      </c>
      <c r="AH127" s="709">
        <v>0</v>
      </c>
      <c r="AI127" s="709">
        <v>0</v>
      </c>
      <c r="AJ127" s="709">
        <v>0</v>
      </c>
      <c r="AK127" s="709">
        <v>0</v>
      </c>
      <c r="AL127" s="709">
        <v>0</v>
      </c>
      <c r="AM127" s="709">
        <v>0</v>
      </c>
      <c r="AN127" s="709">
        <v>0</v>
      </c>
      <c r="AO127" s="709">
        <v>0</v>
      </c>
      <c r="AP127" s="709">
        <v>0</v>
      </c>
      <c r="AQ127" s="709">
        <v>0</v>
      </c>
      <c r="AR127" s="709">
        <v>0</v>
      </c>
      <c r="AS127" s="709">
        <v>0</v>
      </c>
      <c r="AT127" s="709">
        <v>0</v>
      </c>
      <c r="AU127" s="709">
        <v>0</v>
      </c>
      <c r="AV127" s="709">
        <v>0</v>
      </c>
      <c r="AW127" s="709">
        <v>0</v>
      </c>
      <c r="AX127" s="709">
        <v>0</v>
      </c>
    </row>
    <row r="128" spans="2:50" ht="13.2" x14ac:dyDescent="0.2">
      <c r="B128" s="289" t="str">
        <f>CHIFFRAGE_TC!B129</f>
        <v>Pasarela</v>
      </c>
      <c r="C128" s="964">
        <f>CHIFFRAGE_TC!D129</f>
        <v>50</v>
      </c>
      <c r="D128" s="725"/>
      <c r="E128" s="208">
        <f>CHIFFRAGE_TC!$M129*CHIFFRAGE_TC!$T129</f>
        <v>0</v>
      </c>
      <c r="F128" s="17">
        <f>CHIFFRAGE_TC!$M129*CHIFFRAGE_TC!$U129</f>
        <v>0</v>
      </c>
      <c r="G128" s="17">
        <f>CHIFFRAGE_TC!$M129*CHIFFRAGE_TC!$V129</f>
        <v>0</v>
      </c>
      <c r="H128" s="204">
        <f>CHIFFRAGE_TC!$M129*CHIFFRAGE_TC!$W129</f>
        <v>0</v>
      </c>
      <c r="I128" s="709">
        <v>0</v>
      </c>
      <c r="J128" s="709">
        <v>0</v>
      </c>
      <c r="K128" s="709">
        <v>0</v>
      </c>
      <c r="L128" s="709">
        <v>0</v>
      </c>
      <c r="M128" s="709">
        <v>0</v>
      </c>
      <c r="N128" s="709">
        <v>0</v>
      </c>
      <c r="O128" s="709">
        <v>0</v>
      </c>
      <c r="P128" s="709">
        <v>0</v>
      </c>
      <c r="Q128" s="709">
        <v>0</v>
      </c>
      <c r="R128" s="709">
        <v>0</v>
      </c>
      <c r="S128" s="709">
        <v>0</v>
      </c>
      <c r="T128" s="709">
        <v>0</v>
      </c>
      <c r="U128" s="709">
        <v>0</v>
      </c>
      <c r="V128" s="709">
        <v>0</v>
      </c>
      <c r="W128" s="709">
        <v>0</v>
      </c>
      <c r="X128" s="709">
        <v>0</v>
      </c>
      <c r="Y128" s="709">
        <v>0</v>
      </c>
      <c r="Z128" s="709">
        <v>0</v>
      </c>
      <c r="AA128" s="709">
        <v>0</v>
      </c>
      <c r="AB128" s="709">
        <v>0</v>
      </c>
      <c r="AC128" s="709">
        <v>0</v>
      </c>
      <c r="AD128" s="709">
        <v>0</v>
      </c>
      <c r="AE128" s="709">
        <v>0</v>
      </c>
      <c r="AF128" s="709">
        <v>0</v>
      </c>
      <c r="AG128" s="709">
        <v>0</v>
      </c>
      <c r="AH128" s="709">
        <v>0</v>
      </c>
      <c r="AI128" s="709">
        <v>0</v>
      </c>
      <c r="AJ128" s="709">
        <v>0</v>
      </c>
      <c r="AK128" s="709">
        <v>0</v>
      </c>
      <c r="AL128" s="709">
        <v>0</v>
      </c>
      <c r="AM128" s="709">
        <v>0</v>
      </c>
      <c r="AN128" s="709">
        <v>0</v>
      </c>
      <c r="AO128" s="709">
        <v>0</v>
      </c>
      <c r="AP128" s="709">
        <v>0</v>
      </c>
      <c r="AQ128" s="709">
        <v>0</v>
      </c>
      <c r="AR128" s="709">
        <v>0</v>
      </c>
      <c r="AS128" s="709">
        <v>0</v>
      </c>
      <c r="AT128" s="709">
        <v>0</v>
      </c>
      <c r="AU128" s="709">
        <v>0</v>
      </c>
      <c r="AV128" s="709">
        <v>0</v>
      </c>
      <c r="AW128" s="709">
        <v>0</v>
      </c>
      <c r="AX128" s="709">
        <v>0</v>
      </c>
    </row>
    <row r="129" spans="2:50" ht="13.2" x14ac:dyDescent="0.2">
      <c r="B129" s="293" t="str">
        <f>CHIFFRAGE_TC!B130</f>
        <v>Edificio - Estacion Malecon Centro Cultural</v>
      </c>
      <c r="C129" s="964"/>
      <c r="D129" s="725"/>
      <c r="E129" s="210">
        <f>SUM(E130:E139)</f>
        <v>0</v>
      </c>
      <c r="F129" s="198">
        <f>SUM(F130:F139)</f>
        <v>0</v>
      </c>
      <c r="G129" s="198">
        <f>SUM(G130:G139)</f>
        <v>0</v>
      </c>
      <c r="H129" s="205">
        <f>SUM(H130:H139)</f>
        <v>0</v>
      </c>
      <c r="I129" s="733">
        <f t="shared" ref="I129:AX129" si="39">SUM(I130:I139)</f>
        <v>0</v>
      </c>
      <c r="J129" s="733">
        <f t="shared" si="39"/>
        <v>0</v>
      </c>
      <c r="K129" s="733">
        <f t="shared" si="39"/>
        <v>0</v>
      </c>
      <c r="L129" s="733">
        <f t="shared" si="39"/>
        <v>0</v>
      </c>
      <c r="M129" s="733">
        <f t="shared" si="39"/>
        <v>0</v>
      </c>
      <c r="N129" s="733">
        <f t="shared" si="39"/>
        <v>0</v>
      </c>
      <c r="O129" s="733">
        <f t="shared" si="39"/>
        <v>0</v>
      </c>
      <c r="P129" s="733">
        <f t="shared" si="39"/>
        <v>0</v>
      </c>
      <c r="Q129" s="733">
        <f t="shared" si="39"/>
        <v>0</v>
      </c>
      <c r="R129" s="733">
        <f t="shared" si="39"/>
        <v>0</v>
      </c>
      <c r="S129" s="733">
        <f t="shared" si="39"/>
        <v>0</v>
      </c>
      <c r="T129" s="733">
        <f t="shared" si="39"/>
        <v>0</v>
      </c>
      <c r="U129" s="733">
        <f t="shared" si="39"/>
        <v>0</v>
      </c>
      <c r="V129" s="733">
        <f t="shared" si="39"/>
        <v>0</v>
      </c>
      <c r="W129" s="733">
        <f t="shared" si="39"/>
        <v>0</v>
      </c>
      <c r="X129" s="733">
        <f t="shared" si="39"/>
        <v>0</v>
      </c>
      <c r="Y129" s="733">
        <f t="shared" si="39"/>
        <v>0</v>
      </c>
      <c r="Z129" s="733">
        <f t="shared" si="39"/>
        <v>0</v>
      </c>
      <c r="AA129" s="733">
        <f t="shared" si="39"/>
        <v>0</v>
      </c>
      <c r="AB129" s="733">
        <f t="shared" si="39"/>
        <v>0</v>
      </c>
      <c r="AC129" s="733">
        <f t="shared" si="39"/>
        <v>0</v>
      </c>
      <c r="AD129" s="733">
        <f t="shared" si="39"/>
        <v>0</v>
      </c>
      <c r="AE129" s="733">
        <f t="shared" si="39"/>
        <v>0</v>
      </c>
      <c r="AF129" s="733">
        <f t="shared" si="39"/>
        <v>0</v>
      </c>
      <c r="AG129" s="733">
        <f t="shared" si="39"/>
        <v>0</v>
      </c>
      <c r="AH129" s="733">
        <f t="shared" si="39"/>
        <v>0</v>
      </c>
      <c r="AI129" s="733">
        <f t="shared" si="39"/>
        <v>0</v>
      </c>
      <c r="AJ129" s="733">
        <f t="shared" si="39"/>
        <v>0</v>
      </c>
      <c r="AK129" s="733">
        <f t="shared" si="39"/>
        <v>0</v>
      </c>
      <c r="AL129" s="733">
        <f t="shared" si="39"/>
        <v>0</v>
      </c>
      <c r="AM129" s="733">
        <f t="shared" si="39"/>
        <v>0</v>
      </c>
      <c r="AN129" s="733">
        <f t="shared" si="39"/>
        <v>0</v>
      </c>
      <c r="AO129" s="733">
        <f t="shared" si="39"/>
        <v>0</v>
      </c>
      <c r="AP129" s="733">
        <f t="shared" si="39"/>
        <v>0</v>
      </c>
      <c r="AQ129" s="733">
        <f t="shared" si="39"/>
        <v>0</v>
      </c>
      <c r="AR129" s="733">
        <f t="shared" si="39"/>
        <v>0</v>
      </c>
      <c r="AS129" s="733">
        <f t="shared" si="39"/>
        <v>0</v>
      </c>
      <c r="AT129" s="733">
        <f t="shared" si="39"/>
        <v>0</v>
      </c>
      <c r="AU129" s="733">
        <f t="shared" si="39"/>
        <v>0</v>
      </c>
      <c r="AV129" s="733">
        <f t="shared" si="39"/>
        <v>0</v>
      </c>
      <c r="AW129" s="733">
        <f t="shared" si="39"/>
        <v>0</v>
      </c>
      <c r="AX129" s="733">
        <f t="shared" si="39"/>
        <v>0</v>
      </c>
    </row>
    <row r="130" spans="2:50" ht="13.2" x14ac:dyDescent="0.2">
      <c r="B130" s="290" t="str">
        <f>CHIFFRAGE_TC!B131</f>
        <v>Fundaciones tipicas 
(edificio con piso tierra y primer piso)</v>
      </c>
      <c r="C130" s="964">
        <f>CHIFFRAGE_TC!D131</f>
        <v>50</v>
      </c>
      <c r="D130" s="725"/>
      <c r="E130" s="208">
        <f>CHIFFRAGE_TC!$M131*CHIFFRAGE_TC!$T131</f>
        <v>0</v>
      </c>
      <c r="F130" s="17">
        <f>CHIFFRAGE_TC!$M131*CHIFFRAGE_TC!$U131</f>
        <v>0</v>
      </c>
      <c r="G130" s="17">
        <f>CHIFFRAGE_TC!$M131*CHIFFRAGE_TC!$V131</f>
        <v>0</v>
      </c>
      <c r="H130" s="204">
        <f>CHIFFRAGE_TC!$M131*CHIFFRAGE_TC!$W131</f>
        <v>0</v>
      </c>
      <c r="I130" s="709">
        <v>0</v>
      </c>
      <c r="J130" s="709">
        <v>0</v>
      </c>
      <c r="K130" s="709">
        <v>0</v>
      </c>
      <c r="L130" s="709">
        <v>0</v>
      </c>
      <c r="M130" s="709">
        <v>0</v>
      </c>
      <c r="N130" s="709">
        <v>0</v>
      </c>
      <c r="O130" s="709">
        <v>0</v>
      </c>
      <c r="P130" s="709">
        <v>0</v>
      </c>
      <c r="Q130" s="709">
        <v>0</v>
      </c>
      <c r="R130" s="709">
        <v>0</v>
      </c>
      <c r="S130" s="709">
        <v>0</v>
      </c>
      <c r="T130" s="709">
        <v>0</v>
      </c>
      <c r="U130" s="709">
        <v>0</v>
      </c>
      <c r="V130" s="709">
        <v>0</v>
      </c>
      <c r="W130" s="709">
        <v>0</v>
      </c>
      <c r="X130" s="709">
        <v>0</v>
      </c>
      <c r="Y130" s="709">
        <v>0</v>
      </c>
      <c r="Z130" s="709">
        <v>0</v>
      </c>
      <c r="AA130" s="709">
        <v>0</v>
      </c>
      <c r="AB130" s="709">
        <v>0</v>
      </c>
      <c r="AC130" s="709">
        <v>0</v>
      </c>
      <c r="AD130" s="709">
        <v>0</v>
      </c>
      <c r="AE130" s="709">
        <v>0</v>
      </c>
      <c r="AF130" s="709">
        <v>0</v>
      </c>
      <c r="AG130" s="709">
        <v>0</v>
      </c>
      <c r="AH130" s="709">
        <v>0</v>
      </c>
      <c r="AI130" s="709">
        <v>0</v>
      </c>
      <c r="AJ130" s="709">
        <v>0</v>
      </c>
      <c r="AK130" s="709">
        <v>0</v>
      </c>
      <c r="AL130" s="709">
        <v>0</v>
      </c>
      <c r="AM130" s="709">
        <v>0</v>
      </c>
      <c r="AN130" s="709">
        <v>0</v>
      </c>
      <c r="AO130" s="709">
        <v>0</v>
      </c>
      <c r="AP130" s="709">
        <v>0</v>
      </c>
      <c r="AQ130" s="709">
        <v>0</v>
      </c>
      <c r="AR130" s="709">
        <v>0</v>
      </c>
      <c r="AS130" s="709">
        <v>0</v>
      </c>
      <c r="AT130" s="709">
        <v>0</v>
      </c>
      <c r="AU130" s="709">
        <v>0</v>
      </c>
      <c r="AV130" s="709">
        <v>0</v>
      </c>
      <c r="AW130" s="709">
        <v>0</v>
      </c>
      <c r="AX130" s="709">
        <v>0</v>
      </c>
    </row>
    <row r="131" spans="2:50" ht="13.2" x14ac:dyDescent="0.2">
      <c r="B131" s="290" t="str">
        <f>CHIFFRAGE_TC!B132</f>
        <v>Piso tierra sobrelevado y fundaciones</v>
      </c>
      <c r="C131" s="964">
        <f>CHIFFRAGE_TC!D132</f>
        <v>50</v>
      </c>
      <c r="D131" s="725"/>
      <c r="E131" s="208">
        <f>CHIFFRAGE_TC!$M132*CHIFFRAGE_TC!$T132</f>
        <v>0</v>
      </c>
      <c r="F131" s="17">
        <f>CHIFFRAGE_TC!$M132*CHIFFRAGE_TC!$U132</f>
        <v>0</v>
      </c>
      <c r="G131" s="17">
        <f>CHIFFRAGE_TC!$M132*CHIFFRAGE_TC!$V132</f>
        <v>0</v>
      </c>
      <c r="H131" s="204">
        <f>CHIFFRAGE_TC!$M132*CHIFFRAGE_TC!$W132</f>
        <v>0</v>
      </c>
      <c r="I131" s="709">
        <v>0</v>
      </c>
      <c r="J131" s="709">
        <v>0</v>
      </c>
      <c r="K131" s="709">
        <v>0</v>
      </c>
      <c r="L131" s="709">
        <v>0</v>
      </c>
      <c r="M131" s="709">
        <v>0</v>
      </c>
      <c r="N131" s="709">
        <v>0</v>
      </c>
      <c r="O131" s="709">
        <v>0</v>
      </c>
      <c r="P131" s="709">
        <v>0</v>
      </c>
      <c r="Q131" s="709">
        <v>0</v>
      </c>
      <c r="R131" s="709">
        <v>0</v>
      </c>
      <c r="S131" s="709">
        <v>0</v>
      </c>
      <c r="T131" s="709">
        <v>0</v>
      </c>
      <c r="U131" s="709">
        <v>0</v>
      </c>
      <c r="V131" s="709">
        <v>0</v>
      </c>
      <c r="W131" s="709">
        <v>0</v>
      </c>
      <c r="X131" s="709">
        <v>0</v>
      </c>
      <c r="Y131" s="709">
        <v>0</v>
      </c>
      <c r="Z131" s="709">
        <v>0</v>
      </c>
      <c r="AA131" s="709">
        <v>0</v>
      </c>
      <c r="AB131" s="709">
        <v>0</v>
      </c>
      <c r="AC131" s="709">
        <v>0</v>
      </c>
      <c r="AD131" s="709">
        <v>0</v>
      </c>
      <c r="AE131" s="709">
        <v>0</v>
      </c>
      <c r="AF131" s="709">
        <v>0</v>
      </c>
      <c r="AG131" s="709">
        <v>0</v>
      </c>
      <c r="AH131" s="709">
        <v>0</v>
      </c>
      <c r="AI131" s="709">
        <v>0</v>
      </c>
      <c r="AJ131" s="709">
        <v>0</v>
      </c>
      <c r="AK131" s="709">
        <v>0</v>
      </c>
      <c r="AL131" s="709">
        <v>0</v>
      </c>
      <c r="AM131" s="709">
        <v>0</v>
      </c>
      <c r="AN131" s="709">
        <v>0</v>
      </c>
      <c r="AO131" s="709">
        <v>0</v>
      </c>
      <c r="AP131" s="709">
        <v>0</v>
      </c>
      <c r="AQ131" s="709">
        <v>0</v>
      </c>
      <c r="AR131" s="709">
        <v>0</v>
      </c>
      <c r="AS131" s="709">
        <v>0</v>
      </c>
      <c r="AT131" s="709">
        <v>0</v>
      </c>
      <c r="AU131" s="709">
        <v>0</v>
      </c>
      <c r="AV131" s="709">
        <v>0</v>
      </c>
      <c r="AW131" s="709">
        <v>0</v>
      </c>
      <c r="AX131" s="709">
        <v>0</v>
      </c>
    </row>
    <row r="132" spans="2:50" ht="13.2" x14ac:dyDescent="0.2">
      <c r="B132" s="290" t="str">
        <f>CHIFFRAGE_TC!B133</f>
        <v>Superficies comerciales</v>
      </c>
      <c r="C132" s="964">
        <f>CHIFFRAGE_TC!D133</f>
        <v>50</v>
      </c>
      <c r="D132" s="725"/>
      <c r="E132" s="208">
        <f>CHIFFRAGE_TC!$M133*CHIFFRAGE_TC!$T133</f>
        <v>0</v>
      </c>
      <c r="F132" s="17">
        <f>CHIFFRAGE_TC!$M133*CHIFFRAGE_TC!$U133</f>
        <v>0</v>
      </c>
      <c r="G132" s="17">
        <f>CHIFFRAGE_TC!$M133*CHIFFRAGE_TC!$V133</f>
        <v>0</v>
      </c>
      <c r="H132" s="204">
        <f>CHIFFRAGE_TC!$M133*CHIFFRAGE_TC!$W133</f>
        <v>0</v>
      </c>
      <c r="I132" s="709">
        <v>0</v>
      </c>
      <c r="J132" s="709">
        <v>0</v>
      </c>
      <c r="K132" s="709">
        <v>0</v>
      </c>
      <c r="L132" s="709">
        <v>0</v>
      </c>
      <c r="M132" s="709">
        <v>0</v>
      </c>
      <c r="N132" s="709">
        <v>0</v>
      </c>
      <c r="O132" s="709">
        <v>0</v>
      </c>
      <c r="P132" s="709">
        <v>0</v>
      </c>
      <c r="Q132" s="709">
        <v>0</v>
      </c>
      <c r="R132" s="709">
        <v>0</v>
      </c>
      <c r="S132" s="709">
        <v>0</v>
      </c>
      <c r="T132" s="709">
        <v>0</v>
      </c>
      <c r="U132" s="709">
        <v>0</v>
      </c>
      <c r="V132" s="709">
        <v>0</v>
      </c>
      <c r="W132" s="709">
        <v>0</v>
      </c>
      <c r="X132" s="709">
        <v>0</v>
      </c>
      <c r="Y132" s="709">
        <v>0</v>
      </c>
      <c r="Z132" s="709">
        <v>0</v>
      </c>
      <c r="AA132" s="709">
        <v>0</v>
      </c>
      <c r="AB132" s="709">
        <v>0</v>
      </c>
      <c r="AC132" s="709">
        <v>0</v>
      </c>
      <c r="AD132" s="709">
        <v>0</v>
      </c>
      <c r="AE132" s="709">
        <v>0</v>
      </c>
      <c r="AF132" s="709">
        <v>0</v>
      </c>
      <c r="AG132" s="709">
        <v>0</v>
      </c>
      <c r="AH132" s="709">
        <v>0</v>
      </c>
      <c r="AI132" s="709">
        <v>0</v>
      </c>
      <c r="AJ132" s="709">
        <v>0</v>
      </c>
      <c r="AK132" s="709">
        <v>0</v>
      </c>
      <c r="AL132" s="709">
        <v>0</v>
      </c>
      <c r="AM132" s="709">
        <v>0</v>
      </c>
      <c r="AN132" s="709">
        <v>0</v>
      </c>
      <c r="AO132" s="709">
        <v>0</v>
      </c>
      <c r="AP132" s="709">
        <v>0</v>
      </c>
      <c r="AQ132" s="709">
        <v>0</v>
      </c>
      <c r="AR132" s="709">
        <v>0</v>
      </c>
      <c r="AS132" s="709">
        <v>0</v>
      </c>
      <c r="AT132" s="709">
        <v>0</v>
      </c>
      <c r="AU132" s="709">
        <v>0</v>
      </c>
      <c r="AV132" s="709">
        <v>0</v>
      </c>
      <c r="AW132" s="709">
        <v>0</v>
      </c>
      <c r="AX132" s="709">
        <v>0</v>
      </c>
    </row>
    <row r="133" spans="2:50" ht="26.4" x14ac:dyDescent="0.2">
      <c r="B133" s="292" t="str">
        <f>CHIFFRAGE_TC!B134</f>
        <v xml:space="preserve">Ingreso y circulaciones al piso tierra 
(y/c servicios, escaleras mecanicas, escaleras y ascencores) </v>
      </c>
      <c r="C133" s="964">
        <f>CHIFFRAGE_TC!D134</f>
        <v>40</v>
      </c>
      <c r="D133" s="725"/>
      <c r="E133" s="208">
        <f>CHIFFRAGE_TC!$M134*CHIFFRAGE_TC!$T134</f>
        <v>0</v>
      </c>
      <c r="F133" s="17">
        <f>CHIFFRAGE_TC!$M134*CHIFFRAGE_TC!$U134</f>
        <v>0</v>
      </c>
      <c r="G133" s="17">
        <f>CHIFFRAGE_TC!$M134*CHIFFRAGE_TC!$V134</f>
        <v>0</v>
      </c>
      <c r="H133" s="204">
        <f>CHIFFRAGE_TC!$M134*CHIFFRAGE_TC!$W134</f>
        <v>0</v>
      </c>
      <c r="I133" s="709">
        <v>0</v>
      </c>
      <c r="J133" s="709">
        <v>0</v>
      </c>
      <c r="K133" s="709">
        <v>0</v>
      </c>
      <c r="L133" s="709">
        <v>0</v>
      </c>
      <c r="M133" s="709">
        <v>0</v>
      </c>
      <c r="N133" s="709">
        <v>0</v>
      </c>
      <c r="O133" s="709">
        <v>0</v>
      </c>
      <c r="P133" s="709">
        <v>0</v>
      </c>
      <c r="Q133" s="709">
        <v>0</v>
      </c>
      <c r="R133" s="709">
        <v>0</v>
      </c>
      <c r="S133" s="709">
        <v>0</v>
      </c>
      <c r="T133" s="709">
        <v>0</v>
      </c>
      <c r="U133" s="709">
        <v>0</v>
      </c>
      <c r="V133" s="709">
        <v>0</v>
      </c>
      <c r="W133" s="709">
        <v>0</v>
      </c>
      <c r="X133" s="709">
        <v>0</v>
      </c>
      <c r="Y133" s="709">
        <v>0</v>
      </c>
      <c r="Z133" s="709">
        <v>0</v>
      </c>
      <c r="AA133" s="709">
        <v>0</v>
      </c>
      <c r="AB133" s="709">
        <v>0</v>
      </c>
      <c r="AC133" s="709">
        <v>0</v>
      </c>
      <c r="AD133" s="709">
        <v>0</v>
      </c>
      <c r="AE133" s="709">
        <v>0</v>
      </c>
      <c r="AF133" s="709">
        <v>0</v>
      </c>
      <c r="AG133" s="709">
        <v>0</v>
      </c>
      <c r="AH133" s="709">
        <v>0</v>
      </c>
      <c r="AI133" s="709">
        <v>0</v>
      </c>
      <c r="AJ133" s="709">
        <v>0</v>
      </c>
      <c r="AK133" s="709">
        <v>0</v>
      </c>
      <c r="AL133" s="709">
        <v>0</v>
      </c>
      <c r="AM133" s="709">
        <v>0</v>
      </c>
      <c r="AN133" s="709">
        <v>0</v>
      </c>
      <c r="AO133" s="709">
        <v>0</v>
      </c>
      <c r="AP133" s="709">
        <v>0</v>
      </c>
      <c r="AQ133" s="709">
        <v>0</v>
      </c>
      <c r="AR133" s="709">
        <v>0</v>
      </c>
      <c r="AS133" s="709">
        <v>0</v>
      </c>
      <c r="AT133" s="709">
        <v>0</v>
      </c>
      <c r="AU133" s="709">
        <v>0</v>
      </c>
      <c r="AV133" s="709">
        <v>0</v>
      </c>
      <c r="AW133" s="709">
        <v>0</v>
      </c>
      <c r="AX133" s="709">
        <v>0</v>
      </c>
    </row>
    <row r="134" spans="2:50" ht="26.4" x14ac:dyDescent="0.2">
      <c r="B134" s="292" t="str">
        <f>CHIFFRAGE_TC!B135</f>
        <v>Escaleras mecanicas, escaleras y ascencores adicionales 
(piso tierra sobrelevado)</v>
      </c>
      <c r="C134" s="964">
        <f>CHIFFRAGE_TC!D135</f>
        <v>15</v>
      </c>
      <c r="D134" s="725"/>
      <c r="E134" s="208">
        <f>CHIFFRAGE_TC!$M135*CHIFFRAGE_TC!$T135</f>
        <v>0</v>
      </c>
      <c r="F134" s="17">
        <f>CHIFFRAGE_TC!$M135*CHIFFRAGE_TC!$U135</f>
        <v>0</v>
      </c>
      <c r="G134" s="17">
        <f>CHIFFRAGE_TC!$M135*CHIFFRAGE_TC!$V135</f>
        <v>0</v>
      </c>
      <c r="H134" s="204">
        <f>CHIFFRAGE_TC!$M135*CHIFFRAGE_TC!$W135</f>
        <v>0</v>
      </c>
      <c r="I134" s="709">
        <v>0</v>
      </c>
      <c r="J134" s="709">
        <v>0</v>
      </c>
      <c r="K134" s="709">
        <v>0</v>
      </c>
      <c r="L134" s="709">
        <v>0</v>
      </c>
      <c r="M134" s="709">
        <v>0</v>
      </c>
      <c r="N134" s="709">
        <v>0</v>
      </c>
      <c r="O134" s="709">
        <v>0</v>
      </c>
      <c r="P134" s="709">
        <v>0</v>
      </c>
      <c r="Q134" s="709">
        <v>0</v>
      </c>
      <c r="R134" s="709">
        <v>0</v>
      </c>
      <c r="S134" s="709">
        <v>0</v>
      </c>
      <c r="T134" s="709">
        <v>0</v>
      </c>
      <c r="U134" s="709">
        <v>0</v>
      </c>
      <c r="V134" s="709">
        <v>0</v>
      </c>
      <c r="W134" s="729">
        <f>F134</f>
        <v>0</v>
      </c>
      <c r="X134" s="729">
        <f>G134</f>
        <v>0</v>
      </c>
      <c r="Y134" s="729">
        <f>H134</f>
        <v>0</v>
      </c>
      <c r="Z134" s="709">
        <v>0</v>
      </c>
      <c r="AA134" s="709">
        <v>0</v>
      </c>
      <c r="AB134" s="709">
        <v>0</v>
      </c>
      <c r="AC134" s="709">
        <v>0</v>
      </c>
      <c r="AD134" s="709">
        <v>0</v>
      </c>
      <c r="AE134" s="709">
        <v>0</v>
      </c>
      <c r="AF134" s="709">
        <v>0</v>
      </c>
      <c r="AG134" s="709">
        <v>0</v>
      </c>
      <c r="AH134" s="709">
        <v>0</v>
      </c>
      <c r="AI134" s="709">
        <v>0</v>
      </c>
      <c r="AJ134" s="709">
        <v>0</v>
      </c>
      <c r="AK134" s="709">
        <v>0</v>
      </c>
      <c r="AL134" s="709">
        <v>0</v>
      </c>
      <c r="AM134" s="709">
        <v>0</v>
      </c>
      <c r="AN134" s="729">
        <f>F134</f>
        <v>0</v>
      </c>
      <c r="AO134" s="729">
        <f t="shared" ref="AO134" si="40">G134</f>
        <v>0</v>
      </c>
      <c r="AP134" s="729">
        <f t="shared" ref="AP134" si="41">H134</f>
        <v>0</v>
      </c>
      <c r="AQ134" s="709">
        <v>0</v>
      </c>
      <c r="AR134" s="709">
        <v>0</v>
      </c>
      <c r="AS134" s="709">
        <v>0</v>
      </c>
      <c r="AT134" s="709">
        <v>0</v>
      </c>
      <c r="AU134" s="709">
        <v>0</v>
      </c>
      <c r="AV134" s="709">
        <v>0</v>
      </c>
      <c r="AW134" s="709">
        <v>0</v>
      </c>
      <c r="AX134" s="709">
        <v>0</v>
      </c>
    </row>
    <row r="135" spans="2:50" ht="13.2" x14ac:dyDescent="0.2">
      <c r="B135" s="290" t="str">
        <f>CHIFFRAGE_TC!B136</f>
        <v>Anden al primer piso</v>
      </c>
      <c r="C135" s="964">
        <f>CHIFFRAGE_TC!D136</f>
        <v>50</v>
      </c>
      <c r="D135" s="725"/>
      <c r="E135" s="208">
        <f>CHIFFRAGE_TC!$M136*CHIFFRAGE_TC!$T136</f>
        <v>0</v>
      </c>
      <c r="F135" s="17">
        <f>CHIFFRAGE_TC!$M136*CHIFFRAGE_TC!$U136</f>
        <v>0</v>
      </c>
      <c r="G135" s="17">
        <f>CHIFFRAGE_TC!$M136*CHIFFRAGE_TC!$V136</f>
        <v>0</v>
      </c>
      <c r="H135" s="204">
        <f>CHIFFRAGE_TC!$M136*CHIFFRAGE_TC!$W136</f>
        <v>0</v>
      </c>
      <c r="I135" s="709">
        <v>0</v>
      </c>
      <c r="J135" s="709">
        <v>0</v>
      </c>
      <c r="K135" s="709">
        <v>0</v>
      </c>
      <c r="L135" s="709">
        <v>0</v>
      </c>
      <c r="M135" s="709">
        <v>0</v>
      </c>
      <c r="N135" s="709">
        <v>0</v>
      </c>
      <c r="O135" s="709">
        <v>0</v>
      </c>
      <c r="P135" s="709">
        <v>0</v>
      </c>
      <c r="Q135" s="709">
        <v>0</v>
      </c>
      <c r="R135" s="709">
        <v>0</v>
      </c>
      <c r="S135" s="709">
        <v>0</v>
      </c>
      <c r="T135" s="709">
        <v>0</v>
      </c>
      <c r="U135" s="709">
        <v>0</v>
      </c>
      <c r="V135" s="709">
        <v>0</v>
      </c>
      <c r="W135" s="709">
        <v>0</v>
      </c>
      <c r="X135" s="709">
        <v>0</v>
      </c>
      <c r="Y135" s="709">
        <v>0</v>
      </c>
      <c r="Z135" s="709">
        <v>0</v>
      </c>
      <c r="AA135" s="709">
        <v>0</v>
      </c>
      <c r="AB135" s="709">
        <v>0</v>
      </c>
      <c r="AC135" s="709">
        <v>0</v>
      </c>
      <c r="AD135" s="709">
        <v>0</v>
      </c>
      <c r="AE135" s="709">
        <v>0</v>
      </c>
      <c r="AF135" s="709">
        <v>0</v>
      </c>
      <c r="AG135" s="709">
        <v>0</v>
      </c>
      <c r="AH135" s="709">
        <v>0</v>
      </c>
      <c r="AI135" s="709">
        <v>0</v>
      </c>
      <c r="AJ135" s="709">
        <v>0</v>
      </c>
      <c r="AK135" s="709">
        <v>0</v>
      </c>
      <c r="AL135" s="709">
        <v>0</v>
      </c>
      <c r="AM135" s="709">
        <v>0</v>
      </c>
      <c r="AN135" s="709">
        <v>0</v>
      </c>
      <c r="AO135" s="709">
        <v>0</v>
      </c>
      <c r="AP135" s="709">
        <v>0</v>
      </c>
      <c r="AQ135" s="709">
        <v>0</v>
      </c>
      <c r="AR135" s="709">
        <v>0</v>
      </c>
      <c r="AS135" s="709">
        <v>0</v>
      </c>
      <c r="AT135" s="709">
        <v>0</v>
      </c>
      <c r="AU135" s="709">
        <v>0</v>
      </c>
      <c r="AV135" s="709">
        <v>0</v>
      </c>
      <c r="AW135" s="709">
        <v>0</v>
      </c>
      <c r="AX135" s="709">
        <v>0</v>
      </c>
    </row>
    <row r="136" spans="2:50" ht="13.2" x14ac:dyDescent="0.2">
      <c r="B136" s="290" t="str">
        <f>CHIFFRAGE_TC!B137</f>
        <v>Centro de mando + Locales tecnicos cubiertos</v>
      </c>
      <c r="C136" s="964">
        <f>CHIFFRAGE_TC!D137</f>
        <v>50</v>
      </c>
      <c r="D136" s="725"/>
      <c r="E136" s="208">
        <f>CHIFFRAGE_TC!$M137*CHIFFRAGE_TC!$T137</f>
        <v>0</v>
      </c>
      <c r="F136" s="17">
        <f>CHIFFRAGE_TC!$M137*CHIFFRAGE_TC!$U137</f>
        <v>0</v>
      </c>
      <c r="G136" s="17">
        <f>CHIFFRAGE_TC!$M137*CHIFFRAGE_TC!$V137</f>
        <v>0</v>
      </c>
      <c r="H136" s="204">
        <f>CHIFFRAGE_TC!$M137*CHIFFRAGE_TC!$W137</f>
        <v>0</v>
      </c>
      <c r="I136" s="709">
        <v>0</v>
      </c>
      <c r="J136" s="709">
        <v>0</v>
      </c>
      <c r="K136" s="709">
        <v>0</v>
      </c>
      <c r="L136" s="709">
        <v>0</v>
      </c>
      <c r="M136" s="709">
        <v>0</v>
      </c>
      <c r="N136" s="709">
        <v>0</v>
      </c>
      <c r="O136" s="709">
        <v>0</v>
      </c>
      <c r="P136" s="709">
        <v>0</v>
      </c>
      <c r="Q136" s="709">
        <v>0</v>
      </c>
      <c r="R136" s="709">
        <v>0</v>
      </c>
      <c r="S136" s="709">
        <v>0</v>
      </c>
      <c r="T136" s="709">
        <v>0</v>
      </c>
      <c r="U136" s="709">
        <v>0</v>
      </c>
      <c r="V136" s="709">
        <v>0</v>
      </c>
      <c r="W136" s="709">
        <v>0</v>
      </c>
      <c r="X136" s="709">
        <v>0</v>
      </c>
      <c r="Y136" s="709">
        <v>0</v>
      </c>
      <c r="Z136" s="709">
        <v>0</v>
      </c>
      <c r="AA136" s="709">
        <v>0</v>
      </c>
      <c r="AB136" s="709">
        <v>0</v>
      </c>
      <c r="AC136" s="709">
        <v>0</v>
      </c>
      <c r="AD136" s="709">
        <v>0</v>
      </c>
      <c r="AE136" s="709">
        <v>0</v>
      </c>
      <c r="AF136" s="709">
        <v>0</v>
      </c>
      <c r="AG136" s="709">
        <v>0</v>
      </c>
      <c r="AH136" s="709">
        <v>0</v>
      </c>
      <c r="AI136" s="709">
        <v>0</v>
      </c>
      <c r="AJ136" s="709">
        <v>0</v>
      </c>
      <c r="AK136" s="709">
        <v>0</v>
      </c>
      <c r="AL136" s="709">
        <v>0</v>
      </c>
      <c r="AM136" s="709">
        <v>0</v>
      </c>
      <c r="AN136" s="709">
        <v>0</v>
      </c>
      <c r="AO136" s="709">
        <v>0</v>
      </c>
      <c r="AP136" s="709">
        <v>0</v>
      </c>
      <c r="AQ136" s="709">
        <v>0</v>
      </c>
      <c r="AR136" s="709">
        <v>0</v>
      </c>
      <c r="AS136" s="709">
        <v>0</v>
      </c>
      <c r="AT136" s="709">
        <v>0</v>
      </c>
      <c r="AU136" s="709">
        <v>0</v>
      </c>
      <c r="AV136" s="709">
        <v>0</v>
      </c>
      <c r="AW136" s="709">
        <v>0</v>
      </c>
      <c r="AX136" s="709">
        <v>0</v>
      </c>
    </row>
    <row r="137" spans="2:50" ht="13.2" x14ac:dyDescent="0.2">
      <c r="B137" s="290" t="str">
        <f>CHIFFRAGE_TC!B138</f>
        <v xml:space="preserve">Locales tecnicos non cerrados </v>
      </c>
      <c r="C137" s="964">
        <f>CHIFFRAGE_TC!D138</f>
        <v>50</v>
      </c>
      <c r="D137" s="725"/>
      <c r="E137" s="208">
        <f>CHIFFRAGE_TC!$M138*CHIFFRAGE_TC!$T138</f>
        <v>0</v>
      </c>
      <c r="F137" s="17">
        <f>CHIFFRAGE_TC!$M138*CHIFFRAGE_TC!$U138</f>
        <v>0</v>
      </c>
      <c r="G137" s="17">
        <f>CHIFFRAGE_TC!$M138*CHIFFRAGE_TC!$V138</f>
        <v>0</v>
      </c>
      <c r="H137" s="204">
        <f>CHIFFRAGE_TC!$M138*CHIFFRAGE_TC!$W138</f>
        <v>0</v>
      </c>
      <c r="I137" s="709">
        <v>0</v>
      </c>
      <c r="J137" s="709">
        <v>0</v>
      </c>
      <c r="K137" s="709">
        <v>0</v>
      </c>
      <c r="L137" s="709">
        <v>0</v>
      </c>
      <c r="M137" s="709">
        <v>0</v>
      </c>
      <c r="N137" s="709">
        <v>0</v>
      </c>
      <c r="O137" s="709">
        <v>0</v>
      </c>
      <c r="P137" s="709">
        <v>0</v>
      </c>
      <c r="Q137" s="709">
        <v>0</v>
      </c>
      <c r="R137" s="709">
        <v>0</v>
      </c>
      <c r="S137" s="709">
        <v>0</v>
      </c>
      <c r="T137" s="709">
        <v>0</v>
      </c>
      <c r="U137" s="709">
        <v>0</v>
      </c>
      <c r="V137" s="709">
        <v>0</v>
      </c>
      <c r="W137" s="709">
        <v>0</v>
      </c>
      <c r="X137" s="709">
        <v>0</v>
      </c>
      <c r="Y137" s="709">
        <v>0</v>
      </c>
      <c r="Z137" s="709">
        <v>0</v>
      </c>
      <c r="AA137" s="709">
        <v>0</v>
      </c>
      <c r="AB137" s="709">
        <v>0</v>
      </c>
      <c r="AC137" s="709">
        <v>0</v>
      </c>
      <c r="AD137" s="709">
        <v>0</v>
      </c>
      <c r="AE137" s="709">
        <v>0</v>
      </c>
      <c r="AF137" s="709">
        <v>0</v>
      </c>
      <c r="AG137" s="709">
        <v>0</v>
      </c>
      <c r="AH137" s="709">
        <v>0</v>
      </c>
      <c r="AI137" s="709">
        <v>0</v>
      </c>
      <c r="AJ137" s="709">
        <v>0</v>
      </c>
      <c r="AK137" s="709">
        <v>0</v>
      </c>
      <c r="AL137" s="709">
        <v>0</v>
      </c>
      <c r="AM137" s="709">
        <v>0</v>
      </c>
      <c r="AN137" s="709">
        <v>0</v>
      </c>
      <c r="AO137" s="709">
        <v>0</v>
      </c>
      <c r="AP137" s="709">
        <v>0</v>
      </c>
      <c r="AQ137" s="709">
        <v>0</v>
      </c>
      <c r="AR137" s="709">
        <v>0</v>
      </c>
      <c r="AS137" s="709">
        <v>0</v>
      </c>
      <c r="AT137" s="709">
        <v>0</v>
      </c>
      <c r="AU137" s="709">
        <v>0</v>
      </c>
      <c r="AV137" s="709">
        <v>0</v>
      </c>
      <c r="AW137" s="709">
        <v>0</v>
      </c>
      <c r="AX137" s="709">
        <v>0</v>
      </c>
    </row>
    <row r="138" spans="2:50" ht="13.2" x14ac:dyDescent="0.2">
      <c r="B138" s="290" t="str">
        <f>CHIFFRAGE_TC!B139</f>
        <v>Adecuacion urbana 
(demolicion, reconstruccion, mobiliario urbano, paisaje)</v>
      </c>
      <c r="C138" s="964">
        <f>CHIFFRAGE_TC!D139</f>
        <v>50</v>
      </c>
      <c r="D138" s="725"/>
      <c r="E138" s="208">
        <f>CHIFFRAGE_TC!$M139*CHIFFRAGE_TC!$T139</f>
        <v>0</v>
      </c>
      <c r="F138" s="17">
        <f>CHIFFRAGE_TC!$M139*CHIFFRAGE_TC!$U139</f>
        <v>0</v>
      </c>
      <c r="G138" s="17">
        <f>CHIFFRAGE_TC!$M139*CHIFFRAGE_TC!$V139</f>
        <v>0</v>
      </c>
      <c r="H138" s="204">
        <f>CHIFFRAGE_TC!$M139*CHIFFRAGE_TC!$W139</f>
        <v>0</v>
      </c>
      <c r="I138" s="709">
        <v>0</v>
      </c>
      <c r="J138" s="709">
        <v>0</v>
      </c>
      <c r="K138" s="709">
        <v>0</v>
      </c>
      <c r="L138" s="709">
        <v>0</v>
      </c>
      <c r="M138" s="709">
        <v>0</v>
      </c>
      <c r="N138" s="709">
        <v>0</v>
      </c>
      <c r="O138" s="709">
        <v>0</v>
      </c>
      <c r="P138" s="709">
        <v>0</v>
      </c>
      <c r="Q138" s="709">
        <v>0</v>
      </c>
      <c r="R138" s="709">
        <v>0</v>
      </c>
      <c r="S138" s="709">
        <v>0</v>
      </c>
      <c r="T138" s="709">
        <v>0</v>
      </c>
      <c r="U138" s="709">
        <v>0</v>
      </c>
      <c r="V138" s="709">
        <v>0</v>
      </c>
      <c r="W138" s="709">
        <v>0</v>
      </c>
      <c r="X138" s="709">
        <v>0</v>
      </c>
      <c r="Y138" s="709">
        <v>0</v>
      </c>
      <c r="Z138" s="709">
        <v>0</v>
      </c>
      <c r="AA138" s="709">
        <v>0</v>
      </c>
      <c r="AB138" s="709">
        <v>0</v>
      </c>
      <c r="AC138" s="709">
        <v>0</v>
      </c>
      <c r="AD138" s="709">
        <v>0</v>
      </c>
      <c r="AE138" s="709">
        <v>0</v>
      </c>
      <c r="AF138" s="709">
        <v>0</v>
      </c>
      <c r="AG138" s="709">
        <v>0</v>
      </c>
      <c r="AH138" s="709">
        <v>0</v>
      </c>
      <c r="AI138" s="709">
        <v>0</v>
      </c>
      <c r="AJ138" s="709">
        <v>0</v>
      </c>
      <c r="AK138" s="709">
        <v>0</v>
      </c>
      <c r="AL138" s="709">
        <v>0</v>
      </c>
      <c r="AM138" s="709">
        <v>0</v>
      </c>
      <c r="AN138" s="709">
        <v>0</v>
      </c>
      <c r="AO138" s="709">
        <v>0</v>
      </c>
      <c r="AP138" s="709">
        <v>0</v>
      </c>
      <c r="AQ138" s="709">
        <v>0</v>
      </c>
      <c r="AR138" s="709">
        <v>0</v>
      </c>
      <c r="AS138" s="709">
        <v>0</v>
      </c>
      <c r="AT138" s="709">
        <v>0</v>
      </c>
      <c r="AU138" s="709">
        <v>0</v>
      </c>
      <c r="AV138" s="709">
        <v>0</v>
      </c>
      <c r="AW138" s="709">
        <v>0</v>
      </c>
      <c r="AX138" s="709">
        <v>0</v>
      </c>
    </row>
    <row r="139" spans="2:50" ht="13.2" x14ac:dyDescent="0.2">
      <c r="B139" s="289" t="str">
        <f>CHIFFRAGE_TC!B140</f>
        <v>Pasarela</v>
      </c>
      <c r="C139" s="964">
        <f>CHIFFRAGE_TC!D140</f>
        <v>50</v>
      </c>
      <c r="D139" s="725"/>
      <c r="E139" s="208">
        <f>CHIFFRAGE_TC!$M140*CHIFFRAGE_TC!$T140</f>
        <v>0</v>
      </c>
      <c r="F139" s="17">
        <f>CHIFFRAGE_TC!$M140*CHIFFRAGE_TC!$U140</f>
        <v>0</v>
      </c>
      <c r="G139" s="17">
        <f>CHIFFRAGE_TC!$M140*CHIFFRAGE_TC!$V140</f>
        <v>0</v>
      </c>
      <c r="H139" s="204">
        <f>CHIFFRAGE_TC!$M140*CHIFFRAGE_TC!$W140</f>
        <v>0</v>
      </c>
      <c r="I139" s="709">
        <v>0</v>
      </c>
      <c r="J139" s="709">
        <v>0</v>
      </c>
      <c r="K139" s="709">
        <v>0</v>
      </c>
      <c r="L139" s="709">
        <v>0</v>
      </c>
      <c r="M139" s="709">
        <v>0</v>
      </c>
      <c r="N139" s="709">
        <v>0</v>
      </c>
      <c r="O139" s="709">
        <v>0</v>
      </c>
      <c r="P139" s="709">
        <v>0</v>
      </c>
      <c r="Q139" s="709">
        <v>0</v>
      </c>
      <c r="R139" s="709">
        <v>0</v>
      </c>
      <c r="S139" s="709">
        <v>0</v>
      </c>
      <c r="T139" s="709">
        <v>0</v>
      </c>
      <c r="U139" s="709">
        <v>0</v>
      </c>
      <c r="V139" s="709">
        <v>0</v>
      </c>
      <c r="W139" s="709">
        <v>0</v>
      </c>
      <c r="X139" s="709">
        <v>0</v>
      </c>
      <c r="Y139" s="709">
        <v>0</v>
      </c>
      <c r="Z139" s="709">
        <v>0</v>
      </c>
      <c r="AA139" s="709">
        <v>0</v>
      </c>
      <c r="AB139" s="709">
        <v>0</v>
      </c>
      <c r="AC139" s="709">
        <v>0</v>
      </c>
      <c r="AD139" s="709">
        <v>0</v>
      </c>
      <c r="AE139" s="709">
        <v>0</v>
      </c>
      <c r="AF139" s="709">
        <v>0</v>
      </c>
      <c r="AG139" s="709">
        <v>0</v>
      </c>
      <c r="AH139" s="709">
        <v>0</v>
      </c>
      <c r="AI139" s="709">
        <v>0</v>
      </c>
      <c r="AJ139" s="709">
        <v>0</v>
      </c>
      <c r="AK139" s="709">
        <v>0</v>
      </c>
      <c r="AL139" s="709">
        <v>0</v>
      </c>
      <c r="AM139" s="709">
        <v>0</v>
      </c>
      <c r="AN139" s="709">
        <v>0</v>
      </c>
      <c r="AO139" s="709">
        <v>0</v>
      </c>
      <c r="AP139" s="709">
        <v>0</v>
      </c>
      <c r="AQ139" s="709">
        <v>0</v>
      </c>
      <c r="AR139" s="709">
        <v>0</v>
      </c>
      <c r="AS139" s="709">
        <v>0</v>
      </c>
      <c r="AT139" s="709">
        <v>0</v>
      </c>
      <c r="AU139" s="709">
        <v>0</v>
      </c>
      <c r="AV139" s="709">
        <v>0</v>
      </c>
      <c r="AW139" s="709">
        <v>0</v>
      </c>
      <c r="AX139" s="709">
        <v>0</v>
      </c>
    </row>
    <row r="140" spans="2:50" ht="13.2" x14ac:dyDescent="0.2">
      <c r="B140" s="293" t="str">
        <f>CHIFFRAGE_TC!B141</f>
        <v>Edificio - Estacion Cimentero (Tecnica)</v>
      </c>
      <c r="C140" s="964"/>
      <c r="D140" s="725"/>
      <c r="E140" s="210">
        <f>SUM(E141:E150)</f>
        <v>0</v>
      </c>
      <c r="F140" s="198">
        <f>SUM(F141:F150)</f>
        <v>0</v>
      </c>
      <c r="G140" s="198">
        <f>SUM(G141:G150)</f>
        <v>0</v>
      </c>
      <c r="H140" s="205">
        <f>SUM(H141:H150)</f>
        <v>0</v>
      </c>
      <c r="I140" s="733">
        <f t="shared" ref="I140:AX140" si="42">SUM(I141:I150)</f>
        <v>0</v>
      </c>
      <c r="J140" s="733">
        <f t="shared" si="42"/>
        <v>0</v>
      </c>
      <c r="K140" s="733">
        <f t="shared" si="42"/>
        <v>0</v>
      </c>
      <c r="L140" s="733">
        <f t="shared" si="42"/>
        <v>0</v>
      </c>
      <c r="M140" s="733">
        <f t="shared" si="42"/>
        <v>0</v>
      </c>
      <c r="N140" s="733">
        <f t="shared" si="42"/>
        <v>0</v>
      </c>
      <c r="O140" s="733">
        <f t="shared" si="42"/>
        <v>0</v>
      </c>
      <c r="P140" s="733">
        <f t="shared" si="42"/>
        <v>0</v>
      </c>
      <c r="Q140" s="733">
        <f t="shared" si="42"/>
        <v>0</v>
      </c>
      <c r="R140" s="733">
        <f t="shared" si="42"/>
        <v>0</v>
      </c>
      <c r="S140" s="733">
        <f t="shared" si="42"/>
        <v>0</v>
      </c>
      <c r="T140" s="733">
        <f t="shared" si="42"/>
        <v>0</v>
      </c>
      <c r="U140" s="733">
        <f t="shared" si="42"/>
        <v>0</v>
      </c>
      <c r="V140" s="733">
        <f t="shared" si="42"/>
        <v>0</v>
      </c>
      <c r="W140" s="733">
        <f t="shared" si="42"/>
        <v>0</v>
      </c>
      <c r="X140" s="733">
        <f t="shared" si="42"/>
        <v>0</v>
      </c>
      <c r="Y140" s="733">
        <f t="shared" si="42"/>
        <v>0</v>
      </c>
      <c r="Z140" s="733">
        <f t="shared" si="42"/>
        <v>0</v>
      </c>
      <c r="AA140" s="733">
        <f t="shared" si="42"/>
        <v>0</v>
      </c>
      <c r="AB140" s="733">
        <f t="shared" si="42"/>
        <v>0</v>
      </c>
      <c r="AC140" s="733">
        <f t="shared" si="42"/>
        <v>0</v>
      </c>
      <c r="AD140" s="733">
        <f t="shared" si="42"/>
        <v>0</v>
      </c>
      <c r="AE140" s="733">
        <f t="shared" si="42"/>
        <v>0</v>
      </c>
      <c r="AF140" s="733">
        <f t="shared" si="42"/>
        <v>0</v>
      </c>
      <c r="AG140" s="733">
        <f t="shared" si="42"/>
        <v>0</v>
      </c>
      <c r="AH140" s="733">
        <f t="shared" si="42"/>
        <v>0</v>
      </c>
      <c r="AI140" s="733">
        <f t="shared" si="42"/>
        <v>0</v>
      </c>
      <c r="AJ140" s="733">
        <f t="shared" si="42"/>
        <v>0</v>
      </c>
      <c r="AK140" s="733">
        <f t="shared" si="42"/>
        <v>0</v>
      </c>
      <c r="AL140" s="733">
        <f t="shared" si="42"/>
        <v>0</v>
      </c>
      <c r="AM140" s="733">
        <f t="shared" si="42"/>
        <v>0</v>
      </c>
      <c r="AN140" s="733">
        <f t="shared" si="42"/>
        <v>0</v>
      </c>
      <c r="AO140" s="733">
        <f t="shared" si="42"/>
        <v>0</v>
      </c>
      <c r="AP140" s="733">
        <f t="shared" si="42"/>
        <v>0</v>
      </c>
      <c r="AQ140" s="733">
        <f t="shared" si="42"/>
        <v>0</v>
      </c>
      <c r="AR140" s="733">
        <f t="shared" si="42"/>
        <v>0</v>
      </c>
      <c r="AS140" s="733">
        <f t="shared" si="42"/>
        <v>0</v>
      </c>
      <c r="AT140" s="733">
        <f t="shared" si="42"/>
        <v>0</v>
      </c>
      <c r="AU140" s="733">
        <f t="shared" si="42"/>
        <v>0</v>
      </c>
      <c r="AV140" s="733">
        <f t="shared" si="42"/>
        <v>0</v>
      </c>
      <c r="AW140" s="733">
        <f t="shared" si="42"/>
        <v>0</v>
      </c>
      <c r="AX140" s="733">
        <f t="shared" si="42"/>
        <v>0</v>
      </c>
    </row>
    <row r="141" spans="2:50" ht="13.2" x14ac:dyDescent="0.2">
      <c r="B141" s="290" t="str">
        <f>CHIFFRAGE_TC!B142</f>
        <v>Fundaciones tipicas 
(edificio con piso tierra y primer piso)</v>
      </c>
      <c r="C141" s="964">
        <f>CHIFFRAGE_TC!D142</f>
        <v>50</v>
      </c>
      <c r="D141" s="725"/>
      <c r="E141" s="208">
        <f>CHIFFRAGE_TC!$M142*CHIFFRAGE_TC!$T142</f>
        <v>0</v>
      </c>
      <c r="F141" s="17">
        <f>CHIFFRAGE_TC!$M142*CHIFFRAGE_TC!$U142</f>
        <v>0</v>
      </c>
      <c r="G141" s="17">
        <f>CHIFFRAGE_TC!$M142*CHIFFRAGE_TC!$V142</f>
        <v>0</v>
      </c>
      <c r="H141" s="204">
        <f>CHIFFRAGE_TC!$M142*CHIFFRAGE_TC!$W142</f>
        <v>0</v>
      </c>
      <c r="I141" s="709">
        <v>0</v>
      </c>
      <c r="J141" s="709">
        <v>0</v>
      </c>
      <c r="K141" s="709">
        <v>0</v>
      </c>
      <c r="L141" s="709">
        <v>0</v>
      </c>
      <c r="M141" s="709">
        <v>0</v>
      </c>
      <c r="N141" s="709">
        <v>0</v>
      </c>
      <c r="O141" s="709">
        <v>0</v>
      </c>
      <c r="P141" s="709">
        <v>0</v>
      </c>
      <c r="Q141" s="709">
        <v>0</v>
      </c>
      <c r="R141" s="709">
        <v>0</v>
      </c>
      <c r="S141" s="709">
        <v>0</v>
      </c>
      <c r="T141" s="709">
        <v>0</v>
      </c>
      <c r="U141" s="709">
        <v>0</v>
      </c>
      <c r="V141" s="709">
        <v>0</v>
      </c>
      <c r="W141" s="709">
        <v>0</v>
      </c>
      <c r="X141" s="709">
        <v>0</v>
      </c>
      <c r="Y141" s="709">
        <v>0</v>
      </c>
      <c r="Z141" s="709">
        <v>0</v>
      </c>
      <c r="AA141" s="709">
        <v>0</v>
      </c>
      <c r="AB141" s="709">
        <v>0</v>
      </c>
      <c r="AC141" s="709">
        <v>0</v>
      </c>
      <c r="AD141" s="709">
        <v>0</v>
      </c>
      <c r="AE141" s="709">
        <v>0</v>
      </c>
      <c r="AF141" s="709">
        <v>0</v>
      </c>
      <c r="AG141" s="709">
        <v>0</v>
      </c>
      <c r="AH141" s="709">
        <v>0</v>
      </c>
      <c r="AI141" s="709">
        <v>0</v>
      </c>
      <c r="AJ141" s="709">
        <v>0</v>
      </c>
      <c r="AK141" s="709">
        <v>0</v>
      </c>
      <c r="AL141" s="709">
        <v>0</v>
      </c>
      <c r="AM141" s="709">
        <v>0</v>
      </c>
      <c r="AN141" s="709">
        <v>0</v>
      </c>
      <c r="AO141" s="709">
        <v>0</v>
      </c>
      <c r="AP141" s="709">
        <v>0</v>
      </c>
      <c r="AQ141" s="709">
        <v>0</v>
      </c>
      <c r="AR141" s="709">
        <v>0</v>
      </c>
      <c r="AS141" s="709">
        <v>0</v>
      </c>
      <c r="AT141" s="709">
        <v>0</v>
      </c>
      <c r="AU141" s="709">
        <v>0</v>
      </c>
      <c r="AV141" s="709">
        <v>0</v>
      </c>
      <c r="AW141" s="709">
        <v>0</v>
      </c>
      <c r="AX141" s="709">
        <v>0</v>
      </c>
    </row>
    <row r="142" spans="2:50" ht="13.2" x14ac:dyDescent="0.2">
      <c r="B142" s="290" t="str">
        <f>CHIFFRAGE_TC!B143</f>
        <v>Piso tierra sobrelevado y fundaciones</v>
      </c>
      <c r="C142" s="964">
        <f>CHIFFRAGE_TC!D143</f>
        <v>50</v>
      </c>
      <c r="D142" s="725"/>
      <c r="E142" s="208">
        <f>CHIFFRAGE_TC!$M143*CHIFFRAGE_TC!$T143</f>
        <v>0</v>
      </c>
      <c r="F142" s="17">
        <f>CHIFFRAGE_TC!$M143*CHIFFRAGE_TC!$U143</f>
        <v>0</v>
      </c>
      <c r="G142" s="17">
        <f>CHIFFRAGE_TC!$M143*CHIFFRAGE_TC!$V143</f>
        <v>0</v>
      </c>
      <c r="H142" s="204">
        <f>CHIFFRAGE_TC!$M143*CHIFFRAGE_TC!$W143</f>
        <v>0</v>
      </c>
      <c r="I142" s="709">
        <v>0</v>
      </c>
      <c r="J142" s="709">
        <v>0</v>
      </c>
      <c r="K142" s="709">
        <v>0</v>
      </c>
      <c r="L142" s="709">
        <v>0</v>
      </c>
      <c r="M142" s="709">
        <v>0</v>
      </c>
      <c r="N142" s="709">
        <v>0</v>
      </c>
      <c r="O142" s="709">
        <v>0</v>
      </c>
      <c r="P142" s="709">
        <v>0</v>
      </c>
      <c r="Q142" s="709">
        <v>0</v>
      </c>
      <c r="R142" s="709">
        <v>0</v>
      </c>
      <c r="S142" s="709">
        <v>0</v>
      </c>
      <c r="T142" s="709">
        <v>0</v>
      </c>
      <c r="U142" s="709">
        <v>0</v>
      </c>
      <c r="V142" s="709">
        <v>0</v>
      </c>
      <c r="W142" s="709">
        <v>0</v>
      </c>
      <c r="X142" s="709">
        <v>0</v>
      </c>
      <c r="Y142" s="709">
        <v>0</v>
      </c>
      <c r="Z142" s="709">
        <v>0</v>
      </c>
      <c r="AA142" s="709">
        <v>0</v>
      </c>
      <c r="AB142" s="709">
        <v>0</v>
      </c>
      <c r="AC142" s="709">
        <v>0</v>
      </c>
      <c r="AD142" s="709">
        <v>0</v>
      </c>
      <c r="AE142" s="709">
        <v>0</v>
      </c>
      <c r="AF142" s="709">
        <v>0</v>
      </c>
      <c r="AG142" s="709">
        <v>0</v>
      </c>
      <c r="AH142" s="709">
        <v>0</v>
      </c>
      <c r="AI142" s="709">
        <v>0</v>
      </c>
      <c r="AJ142" s="709">
        <v>0</v>
      </c>
      <c r="AK142" s="709">
        <v>0</v>
      </c>
      <c r="AL142" s="709">
        <v>0</v>
      </c>
      <c r="AM142" s="709">
        <v>0</v>
      </c>
      <c r="AN142" s="709">
        <v>0</v>
      </c>
      <c r="AO142" s="709">
        <v>0</v>
      </c>
      <c r="AP142" s="709">
        <v>0</v>
      </c>
      <c r="AQ142" s="709">
        <v>0</v>
      </c>
      <c r="AR142" s="709">
        <v>0</v>
      </c>
      <c r="AS142" s="709">
        <v>0</v>
      </c>
      <c r="AT142" s="709">
        <v>0</v>
      </c>
      <c r="AU142" s="709">
        <v>0</v>
      </c>
      <c r="AV142" s="709">
        <v>0</v>
      </c>
      <c r="AW142" s="709">
        <v>0</v>
      </c>
      <c r="AX142" s="709">
        <v>0</v>
      </c>
    </row>
    <row r="143" spans="2:50" ht="13.2" x14ac:dyDescent="0.2">
      <c r="B143" s="290" t="str">
        <f>CHIFFRAGE_TC!B144</f>
        <v>Superficies comerciales</v>
      </c>
      <c r="C143" s="964">
        <f>CHIFFRAGE_TC!D144</f>
        <v>50</v>
      </c>
      <c r="D143" s="725"/>
      <c r="E143" s="208">
        <f>CHIFFRAGE_TC!$M144*CHIFFRAGE_TC!$T144</f>
        <v>0</v>
      </c>
      <c r="F143" s="17">
        <f>CHIFFRAGE_TC!$M144*CHIFFRAGE_TC!$U144</f>
        <v>0</v>
      </c>
      <c r="G143" s="17">
        <f>CHIFFRAGE_TC!$M144*CHIFFRAGE_TC!$V144</f>
        <v>0</v>
      </c>
      <c r="H143" s="204">
        <f>CHIFFRAGE_TC!$M144*CHIFFRAGE_TC!$W144</f>
        <v>0</v>
      </c>
      <c r="I143" s="709">
        <v>0</v>
      </c>
      <c r="J143" s="709">
        <v>0</v>
      </c>
      <c r="K143" s="709">
        <v>0</v>
      </c>
      <c r="L143" s="709">
        <v>0</v>
      </c>
      <c r="M143" s="709">
        <v>0</v>
      </c>
      <c r="N143" s="709">
        <v>0</v>
      </c>
      <c r="O143" s="709">
        <v>0</v>
      </c>
      <c r="P143" s="709">
        <v>0</v>
      </c>
      <c r="Q143" s="709">
        <v>0</v>
      </c>
      <c r="R143" s="709">
        <v>0</v>
      </c>
      <c r="S143" s="709">
        <v>0</v>
      </c>
      <c r="T143" s="709">
        <v>0</v>
      </c>
      <c r="U143" s="709">
        <v>0</v>
      </c>
      <c r="V143" s="709">
        <v>0</v>
      </c>
      <c r="W143" s="709">
        <v>0</v>
      </c>
      <c r="X143" s="709">
        <v>0</v>
      </c>
      <c r="Y143" s="709">
        <v>0</v>
      </c>
      <c r="Z143" s="709">
        <v>0</v>
      </c>
      <c r="AA143" s="709">
        <v>0</v>
      </c>
      <c r="AB143" s="709">
        <v>0</v>
      </c>
      <c r="AC143" s="709">
        <v>0</v>
      </c>
      <c r="AD143" s="709">
        <v>0</v>
      </c>
      <c r="AE143" s="709">
        <v>0</v>
      </c>
      <c r="AF143" s="709">
        <v>0</v>
      </c>
      <c r="AG143" s="709">
        <v>0</v>
      </c>
      <c r="AH143" s="709">
        <v>0</v>
      </c>
      <c r="AI143" s="709">
        <v>0</v>
      </c>
      <c r="AJ143" s="709">
        <v>0</v>
      </c>
      <c r="AK143" s="709">
        <v>0</v>
      </c>
      <c r="AL143" s="709">
        <v>0</v>
      </c>
      <c r="AM143" s="709">
        <v>0</v>
      </c>
      <c r="AN143" s="709">
        <v>0</v>
      </c>
      <c r="AO143" s="709">
        <v>0</v>
      </c>
      <c r="AP143" s="709">
        <v>0</v>
      </c>
      <c r="AQ143" s="709">
        <v>0</v>
      </c>
      <c r="AR143" s="709">
        <v>0</v>
      </c>
      <c r="AS143" s="709">
        <v>0</v>
      </c>
      <c r="AT143" s="709">
        <v>0</v>
      </c>
      <c r="AU143" s="709">
        <v>0</v>
      </c>
      <c r="AV143" s="709">
        <v>0</v>
      </c>
      <c r="AW143" s="709">
        <v>0</v>
      </c>
      <c r="AX143" s="709">
        <v>0</v>
      </c>
    </row>
    <row r="144" spans="2:50" ht="26.4" x14ac:dyDescent="0.2">
      <c r="B144" s="292" t="str">
        <f>CHIFFRAGE_TC!B145</f>
        <v xml:space="preserve">Ingreso y circulaciones al piso tierra 
(y/c servicios, escaleras mecanicas, escaleras y ascencores) </v>
      </c>
      <c r="C144" s="964">
        <f>CHIFFRAGE_TC!D145</f>
        <v>40</v>
      </c>
      <c r="D144" s="725"/>
      <c r="E144" s="208">
        <f>CHIFFRAGE_TC!$M145*CHIFFRAGE_TC!$T145</f>
        <v>0</v>
      </c>
      <c r="F144" s="17">
        <f>CHIFFRAGE_TC!$M145*CHIFFRAGE_TC!$U145</f>
        <v>0</v>
      </c>
      <c r="G144" s="17">
        <f>CHIFFRAGE_TC!$M145*CHIFFRAGE_TC!$V145</f>
        <v>0</v>
      </c>
      <c r="H144" s="204">
        <f>CHIFFRAGE_TC!$M145*CHIFFRAGE_TC!$W145</f>
        <v>0</v>
      </c>
      <c r="I144" s="709">
        <v>0</v>
      </c>
      <c r="J144" s="709">
        <v>0</v>
      </c>
      <c r="K144" s="709">
        <v>0</v>
      </c>
      <c r="L144" s="709">
        <v>0</v>
      </c>
      <c r="M144" s="709">
        <v>0</v>
      </c>
      <c r="N144" s="709">
        <v>0</v>
      </c>
      <c r="O144" s="709">
        <v>0</v>
      </c>
      <c r="P144" s="709">
        <v>0</v>
      </c>
      <c r="Q144" s="709">
        <v>0</v>
      </c>
      <c r="R144" s="709">
        <v>0</v>
      </c>
      <c r="S144" s="709">
        <v>0</v>
      </c>
      <c r="T144" s="709">
        <v>0</v>
      </c>
      <c r="U144" s="709">
        <v>0</v>
      </c>
      <c r="V144" s="709">
        <v>0</v>
      </c>
      <c r="W144" s="709">
        <v>0</v>
      </c>
      <c r="X144" s="709">
        <v>0</v>
      </c>
      <c r="Y144" s="709">
        <v>0</v>
      </c>
      <c r="Z144" s="709">
        <v>0</v>
      </c>
      <c r="AA144" s="709">
        <v>0</v>
      </c>
      <c r="AB144" s="709">
        <v>0</v>
      </c>
      <c r="AC144" s="709">
        <v>0</v>
      </c>
      <c r="AD144" s="709">
        <v>0</v>
      </c>
      <c r="AE144" s="709">
        <v>0</v>
      </c>
      <c r="AF144" s="709">
        <v>0</v>
      </c>
      <c r="AG144" s="709">
        <v>0</v>
      </c>
      <c r="AH144" s="709">
        <v>0</v>
      </c>
      <c r="AI144" s="709">
        <v>0</v>
      </c>
      <c r="AJ144" s="709">
        <v>0</v>
      </c>
      <c r="AK144" s="709">
        <v>0</v>
      </c>
      <c r="AL144" s="709">
        <v>0</v>
      </c>
      <c r="AM144" s="709">
        <v>0</v>
      </c>
      <c r="AN144" s="709">
        <v>0</v>
      </c>
      <c r="AO144" s="709">
        <v>0</v>
      </c>
      <c r="AP144" s="709">
        <v>0</v>
      </c>
      <c r="AQ144" s="709">
        <v>0</v>
      </c>
      <c r="AR144" s="709">
        <v>0</v>
      </c>
      <c r="AS144" s="709">
        <v>0</v>
      </c>
      <c r="AT144" s="709">
        <v>0</v>
      </c>
      <c r="AU144" s="709">
        <v>0</v>
      </c>
      <c r="AV144" s="709">
        <v>0</v>
      </c>
      <c r="AW144" s="709">
        <v>0</v>
      </c>
      <c r="AX144" s="709">
        <v>0</v>
      </c>
    </row>
    <row r="145" spans="2:50" ht="26.4" x14ac:dyDescent="0.2">
      <c r="B145" s="292" t="str">
        <f>CHIFFRAGE_TC!B146</f>
        <v>Escaleras mecanicas, escaleras y ascencores adicionales 
(piso tierra sobrelevado)</v>
      </c>
      <c r="C145" s="964">
        <f>CHIFFRAGE_TC!D146</f>
        <v>15</v>
      </c>
      <c r="D145" s="725"/>
      <c r="E145" s="208">
        <f>CHIFFRAGE_TC!$M146*CHIFFRAGE_TC!$T146</f>
        <v>0</v>
      </c>
      <c r="F145" s="17">
        <f>CHIFFRAGE_TC!$M146*CHIFFRAGE_TC!$U146</f>
        <v>0</v>
      </c>
      <c r="G145" s="17">
        <f>CHIFFRAGE_TC!$M146*CHIFFRAGE_TC!$V146</f>
        <v>0</v>
      </c>
      <c r="H145" s="204">
        <f>CHIFFRAGE_TC!$M146*CHIFFRAGE_TC!$W146</f>
        <v>0</v>
      </c>
      <c r="I145" s="709">
        <v>0</v>
      </c>
      <c r="J145" s="709">
        <v>0</v>
      </c>
      <c r="K145" s="709">
        <v>0</v>
      </c>
      <c r="L145" s="709">
        <v>0</v>
      </c>
      <c r="M145" s="709">
        <v>0</v>
      </c>
      <c r="N145" s="709">
        <v>0</v>
      </c>
      <c r="O145" s="709">
        <v>0</v>
      </c>
      <c r="P145" s="709">
        <v>0</v>
      </c>
      <c r="Q145" s="709">
        <v>0</v>
      </c>
      <c r="R145" s="709">
        <v>0</v>
      </c>
      <c r="S145" s="709">
        <v>0</v>
      </c>
      <c r="T145" s="709">
        <v>0</v>
      </c>
      <c r="U145" s="709">
        <v>0</v>
      </c>
      <c r="V145" s="709">
        <v>0</v>
      </c>
      <c r="W145" s="729">
        <f>F145</f>
        <v>0</v>
      </c>
      <c r="X145" s="729">
        <f>G145</f>
        <v>0</v>
      </c>
      <c r="Y145" s="729">
        <f>H145</f>
        <v>0</v>
      </c>
      <c r="Z145" s="709">
        <v>0</v>
      </c>
      <c r="AA145" s="709">
        <v>0</v>
      </c>
      <c r="AB145" s="709">
        <v>0</v>
      </c>
      <c r="AC145" s="709">
        <v>0</v>
      </c>
      <c r="AD145" s="709">
        <v>0</v>
      </c>
      <c r="AE145" s="709">
        <v>0</v>
      </c>
      <c r="AF145" s="709">
        <v>0</v>
      </c>
      <c r="AG145" s="709">
        <v>0</v>
      </c>
      <c r="AH145" s="709">
        <v>0</v>
      </c>
      <c r="AI145" s="709">
        <v>0</v>
      </c>
      <c r="AJ145" s="709">
        <v>0</v>
      </c>
      <c r="AK145" s="709">
        <v>0</v>
      </c>
      <c r="AL145" s="709">
        <v>0</v>
      </c>
      <c r="AM145" s="709">
        <v>0</v>
      </c>
      <c r="AN145" s="729">
        <f>F145</f>
        <v>0</v>
      </c>
      <c r="AO145" s="729">
        <f t="shared" ref="AO145" si="43">G145</f>
        <v>0</v>
      </c>
      <c r="AP145" s="729">
        <f t="shared" ref="AP145" si="44">H145</f>
        <v>0</v>
      </c>
      <c r="AQ145" s="709">
        <v>0</v>
      </c>
      <c r="AR145" s="709">
        <v>0</v>
      </c>
      <c r="AS145" s="709">
        <v>0</v>
      </c>
      <c r="AT145" s="709">
        <v>0</v>
      </c>
      <c r="AU145" s="709">
        <v>0</v>
      </c>
      <c r="AV145" s="709">
        <v>0</v>
      </c>
      <c r="AW145" s="709">
        <v>0</v>
      </c>
      <c r="AX145" s="709">
        <v>0</v>
      </c>
    </row>
    <row r="146" spans="2:50" ht="13.2" x14ac:dyDescent="0.2">
      <c r="B146" s="290" t="str">
        <f>CHIFFRAGE_TC!B147</f>
        <v>Anden al primer piso</v>
      </c>
      <c r="C146" s="964">
        <f>CHIFFRAGE_TC!D147</f>
        <v>50</v>
      </c>
      <c r="D146" s="725"/>
      <c r="E146" s="208">
        <f>CHIFFRAGE_TC!$M147*CHIFFRAGE_TC!$T147</f>
        <v>0</v>
      </c>
      <c r="F146" s="17">
        <f>CHIFFRAGE_TC!$M147*CHIFFRAGE_TC!$U147</f>
        <v>0</v>
      </c>
      <c r="G146" s="17">
        <f>CHIFFRAGE_TC!$M147*CHIFFRAGE_TC!$V147</f>
        <v>0</v>
      </c>
      <c r="H146" s="204">
        <f>CHIFFRAGE_TC!$M147*CHIFFRAGE_TC!$W147</f>
        <v>0</v>
      </c>
      <c r="I146" s="709">
        <v>0</v>
      </c>
      <c r="J146" s="709">
        <v>0</v>
      </c>
      <c r="K146" s="709">
        <v>0</v>
      </c>
      <c r="L146" s="709">
        <v>0</v>
      </c>
      <c r="M146" s="709">
        <v>0</v>
      </c>
      <c r="N146" s="709">
        <v>0</v>
      </c>
      <c r="O146" s="709">
        <v>0</v>
      </c>
      <c r="P146" s="709">
        <v>0</v>
      </c>
      <c r="Q146" s="709">
        <v>0</v>
      </c>
      <c r="R146" s="709">
        <v>0</v>
      </c>
      <c r="S146" s="709">
        <v>0</v>
      </c>
      <c r="T146" s="709">
        <v>0</v>
      </c>
      <c r="U146" s="709">
        <v>0</v>
      </c>
      <c r="V146" s="709">
        <v>0</v>
      </c>
      <c r="W146" s="709">
        <v>0</v>
      </c>
      <c r="X146" s="709">
        <v>0</v>
      </c>
      <c r="Y146" s="709">
        <v>0</v>
      </c>
      <c r="Z146" s="709">
        <v>0</v>
      </c>
      <c r="AA146" s="709">
        <v>0</v>
      </c>
      <c r="AB146" s="709">
        <v>0</v>
      </c>
      <c r="AC146" s="709">
        <v>0</v>
      </c>
      <c r="AD146" s="709">
        <v>0</v>
      </c>
      <c r="AE146" s="709">
        <v>0</v>
      </c>
      <c r="AF146" s="709">
        <v>0</v>
      </c>
      <c r="AG146" s="709">
        <v>0</v>
      </c>
      <c r="AH146" s="709">
        <v>0</v>
      </c>
      <c r="AI146" s="709">
        <v>0</v>
      </c>
      <c r="AJ146" s="709">
        <v>0</v>
      </c>
      <c r="AK146" s="709">
        <v>0</v>
      </c>
      <c r="AL146" s="709">
        <v>0</v>
      </c>
      <c r="AM146" s="709">
        <v>0</v>
      </c>
      <c r="AN146" s="709">
        <v>0</v>
      </c>
      <c r="AO146" s="709">
        <v>0</v>
      </c>
      <c r="AP146" s="709">
        <v>0</v>
      </c>
      <c r="AQ146" s="709">
        <v>0</v>
      </c>
      <c r="AR146" s="709">
        <v>0</v>
      </c>
      <c r="AS146" s="709">
        <v>0</v>
      </c>
      <c r="AT146" s="709">
        <v>0</v>
      </c>
      <c r="AU146" s="709">
        <v>0</v>
      </c>
      <c r="AV146" s="709">
        <v>0</v>
      </c>
      <c r="AW146" s="709">
        <v>0</v>
      </c>
      <c r="AX146" s="709">
        <v>0</v>
      </c>
    </row>
    <row r="147" spans="2:50" ht="13.2" x14ac:dyDescent="0.2">
      <c r="B147" s="290" t="str">
        <f>CHIFFRAGE_TC!B148</f>
        <v>Centro de mando + Locales tecnicos cubiertos</v>
      </c>
      <c r="C147" s="964">
        <f>CHIFFRAGE_TC!D148</f>
        <v>50</v>
      </c>
      <c r="D147" s="725"/>
      <c r="E147" s="208">
        <f>CHIFFRAGE_TC!$M148*CHIFFRAGE_TC!$T148</f>
        <v>0</v>
      </c>
      <c r="F147" s="17">
        <f>CHIFFRAGE_TC!$M148*CHIFFRAGE_TC!$U148</f>
        <v>0</v>
      </c>
      <c r="G147" s="17">
        <f>CHIFFRAGE_TC!$M148*CHIFFRAGE_TC!$V148</f>
        <v>0</v>
      </c>
      <c r="H147" s="204">
        <f>CHIFFRAGE_TC!$M148*CHIFFRAGE_TC!$W148</f>
        <v>0</v>
      </c>
      <c r="I147" s="709">
        <v>0</v>
      </c>
      <c r="J147" s="709">
        <v>0</v>
      </c>
      <c r="K147" s="709">
        <v>0</v>
      </c>
      <c r="L147" s="709">
        <v>0</v>
      </c>
      <c r="M147" s="709">
        <v>0</v>
      </c>
      <c r="N147" s="709">
        <v>0</v>
      </c>
      <c r="O147" s="709">
        <v>0</v>
      </c>
      <c r="P147" s="709">
        <v>0</v>
      </c>
      <c r="Q147" s="709">
        <v>0</v>
      </c>
      <c r="R147" s="709">
        <v>0</v>
      </c>
      <c r="S147" s="709">
        <v>0</v>
      </c>
      <c r="T147" s="709">
        <v>0</v>
      </c>
      <c r="U147" s="709">
        <v>0</v>
      </c>
      <c r="V147" s="709">
        <v>0</v>
      </c>
      <c r="W147" s="709">
        <v>0</v>
      </c>
      <c r="X147" s="709">
        <v>0</v>
      </c>
      <c r="Y147" s="709">
        <v>0</v>
      </c>
      <c r="Z147" s="709">
        <v>0</v>
      </c>
      <c r="AA147" s="709">
        <v>0</v>
      </c>
      <c r="AB147" s="709">
        <v>0</v>
      </c>
      <c r="AC147" s="709">
        <v>0</v>
      </c>
      <c r="AD147" s="709">
        <v>0</v>
      </c>
      <c r="AE147" s="709">
        <v>0</v>
      </c>
      <c r="AF147" s="709">
        <v>0</v>
      </c>
      <c r="AG147" s="709">
        <v>0</v>
      </c>
      <c r="AH147" s="709">
        <v>0</v>
      </c>
      <c r="AI147" s="709">
        <v>0</v>
      </c>
      <c r="AJ147" s="709">
        <v>0</v>
      </c>
      <c r="AK147" s="709">
        <v>0</v>
      </c>
      <c r="AL147" s="709">
        <v>0</v>
      </c>
      <c r="AM147" s="709">
        <v>0</v>
      </c>
      <c r="AN147" s="709">
        <v>0</v>
      </c>
      <c r="AO147" s="709">
        <v>0</v>
      </c>
      <c r="AP147" s="709">
        <v>0</v>
      </c>
      <c r="AQ147" s="709">
        <v>0</v>
      </c>
      <c r="AR147" s="709">
        <v>0</v>
      </c>
      <c r="AS147" s="709">
        <v>0</v>
      </c>
      <c r="AT147" s="709">
        <v>0</v>
      </c>
      <c r="AU147" s="709">
        <v>0</v>
      </c>
      <c r="AV147" s="709">
        <v>0</v>
      </c>
      <c r="AW147" s="709">
        <v>0</v>
      </c>
      <c r="AX147" s="709">
        <v>0</v>
      </c>
    </row>
    <row r="148" spans="2:50" ht="13.2" x14ac:dyDescent="0.2">
      <c r="B148" s="290" t="str">
        <f>CHIFFRAGE_TC!B149</f>
        <v xml:space="preserve">Locales tecnicos non cerrados </v>
      </c>
      <c r="C148" s="964">
        <f>CHIFFRAGE_TC!D149</f>
        <v>50</v>
      </c>
      <c r="D148" s="725"/>
      <c r="E148" s="208">
        <f>CHIFFRAGE_TC!$M149*CHIFFRAGE_TC!$T149</f>
        <v>0</v>
      </c>
      <c r="F148" s="17">
        <f>CHIFFRAGE_TC!$M149*CHIFFRAGE_TC!$U149</f>
        <v>0</v>
      </c>
      <c r="G148" s="17">
        <f>CHIFFRAGE_TC!$M149*CHIFFRAGE_TC!$V149</f>
        <v>0</v>
      </c>
      <c r="H148" s="204">
        <f>CHIFFRAGE_TC!$M149*CHIFFRAGE_TC!$W149</f>
        <v>0</v>
      </c>
      <c r="I148" s="709">
        <v>0</v>
      </c>
      <c r="J148" s="709">
        <v>0</v>
      </c>
      <c r="K148" s="709">
        <v>0</v>
      </c>
      <c r="L148" s="709">
        <v>0</v>
      </c>
      <c r="M148" s="709">
        <v>0</v>
      </c>
      <c r="N148" s="709">
        <v>0</v>
      </c>
      <c r="O148" s="709">
        <v>0</v>
      </c>
      <c r="P148" s="709">
        <v>0</v>
      </c>
      <c r="Q148" s="709">
        <v>0</v>
      </c>
      <c r="R148" s="709">
        <v>0</v>
      </c>
      <c r="S148" s="709">
        <v>0</v>
      </c>
      <c r="T148" s="709">
        <v>0</v>
      </c>
      <c r="U148" s="709">
        <v>0</v>
      </c>
      <c r="V148" s="709">
        <v>0</v>
      </c>
      <c r="W148" s="709">
        <v>0</v>
      </c>
      <c r="X148" s="709">
        <v>0</v>
      </c>
      <c r="Y148" s="709">
        <v>0</v>
      </c>
      <c r="Z148" s="709">
        <v>0</v>
      </c>
      <c r="AA148" s="709">
        <v>0</v>
      </c>
      <c r="AB148" s="709">
        <v>0</v>
      </c>
      <c r="AC148" s="709">
        <v>0</v>
      </c>
      <c r="AD148" s="709">
        <v>0</v>
      </c>
      <c r="AE148" s="709">
        <v>0</v>
      </c>
      <c r="AF148" s="709">
        <v>0</v>
      </c>
      <c r="AG148" s="709">
        <v>0</v>
      </c>
      <c r="AH148" s="709">
        <v>0</v>
      </c>
      <c r="AI148" s="709">
        <v>0</v>
      </c>
      <c r="AJ148" s="709">
        <v>0</v>
      </c>
      <c r="AK148" s="709">
        <v>0</v>
      </c>
      <c r="AL148" s="709">
        <v>0</v>
      </c>
      <c r="AM148" s="709">
        <v>0</v>
      </c>
      <c r="AN148" s="709">
        <v>0</v>
      </c>
      <c r="AO148" s="709">
        <v>0</v>
      </c>
      <c r="AP148" s="709">
        <v>0</v>
      </c>
      <c r="AQ148" s="709">
        <v>0</v>
      </c>
      <c r="AR148" s="709">
        <v>0</v>
      </c>
      <c r="AS148" s="709">
        <v>0</v>
      </c>
      <c r="AT148" s="709">
        <v>0</v>
      </c>
      <c r="AU148" s="709">
        <v>0</v>
      </c>
      <c r="AV148" s="709">
        <v>0</v>
      </c>
      <c r="AW148" s="709">
        <v>0</v>
      </c>
      <c r="AX148" s="709">
        <v>0</v>
      </c>
    </row>
    <row r="149" spans="2:50" ht="13.2" x14ac:dyDescent="0.2">
      <c r="B149" s="290" t="str">
        <f>CHIFFRAGE_TC!B150</f>
        <v>Adecuacion urbana 
(demolicion, reconstruccion, mobiliario urbano, paisaje)</v>
      </c>
      <c r="C149" s="964">
        <f>CHIFFRAGE_TC!D150</f>
        <v>50</v>
      </c>
      <c r="D149" s="725"/>
      <c r="E149" s="208">
        <f>CHIFFRAGE_TC!$M150*CHIFFRAGE_TC!$T150</f>
        <v>0</v>
      </c>
      <c r="F149" s="17">
        <f>CHIFFRAGE_TC!$M150*CHIFFRAGE_TC!$U150</f>
        <v>0</v>
      </c>
      <c r="G149" s="17">
        <f>CHIFFRAGE_TC!$M150*CHIFFRAGE_TC!$V150</f>
        <v>0</v>
      </c>
      <c r="H149" s="204">
        <f>CHIFFRAGE_TC!$M150*CHIFFRAGE_TC!$W150</f>
        <v>0</v>
      </c>
      <c r="I149" s="709">
        <v>0</v>
      </c>
      <c r="J149" s="709">
        <v>0</v>
      </c>
      <c r="K149" s="709">
        <v>0</v>
      </c>
      <c r="L149" s="709">
        <v>0</v>
      </c>
      <c r="M149" s="709">
        <v>0</v>
      </c>
      <c r="N149" s="709">
        <v>0</v>
      </c>
      <c r="O149" s="709">
        <v>0</v>
      </c>
      <c r="P149" s="709">
        <v>0</v>
      </c>
      <c r="Q149" s="709">
        <v>0</v>
      </c>
      <c r="R149" s="709">
        <v>0</v>
      </c>
      <c r="S149" s="709">
        <v>0</v>
      </c>
      <c r="T149" s="709">
        <v>0</v>
      </c>
      <c r="U149" s="709">
        <v>0</v>
      </c>
      <c r="V149" s="709">
        <v>0</v>
      </c>
      <c r="W149" s="709">
        <v>0</v>
      </c>
      <c r="X149" s="709">
        <v>0</v>
      </c>
      <c r="Y149" s="709">
        <v>0</v>
      </c>
      <c r="Z149" s="709">
        <v>0</v>
      </c>
      <c r="AA149" s="709">
        <v>0</v>
      </c>
      <c r="AB149" s="709">
        <v>0</v>
      </c>
      <c r="AC149" s="709">
        <v>0</v>
      </c>
      <c r="AD149" s="709">
        <v>0</v>
      </c>
      <c r="AE149" s="709">
        <v>0</v>
      </c>
      <c r="AF149" s="709">
        <v>0</v>
      </c>
      <c r="AG149" s="709">
        <v>0</v>
      </c>
      <c r="AH149" s="709">
        <v>0</v>
      </c>
      <c r="AI149" s="709">
        <v>0</v>
      </c>
      <c r="AJ149" s="709">
        <v>0</v>
      </c>
      <c r="AK149" s="709">
        <v>0</v>
      </c>
      <c r="AL149" s="709">
        <v>0</v>
      </c>
      <c r="AM149" s="709">
        <v>0</v>
      </c>
      <c r="AN149" s="709">
        <v>0</v>
      </c>
      <c r="AO149" s="709">
        <v>0</v>
      </c>
      <c r="AP149" s="709">
        <v>0</v>
      </c>
      <c r="AQ149" s="709">
        <v>0</v>
      </c>
      <c r="AR149" s="709">
        <v>0</v>
      </c>
      <c r="AS149" s="709">
        <v>0</v>
      </c>
      <c r="AT149" s="709">
        <v>0</v>
      </c>
      <c r="AU149" s="709">
        <v>0</v>
      </c>
      <c r="AV149" s="709">
        <v>0</v>
      </c>
      <c r="AW149" s="709">
        <v>0</v>
      </c>
      <c r="AX149" s="709">
        <v>0</v>
      </c>
    </row>
    <row r="150" spans="2:50" ht="13.2" x14ac:dyDescent="0.2">
      <c r="B150" s="289" t="str">
        <f>CHIFFRAGE_TC!B151</f>
        <v>Pasarela</v>
      </c>
      <c r="C150" s="964">
        <f>CHIFFRAGE_TC!D151</f>
        <v>50</v>
      </c>
      <c r="D150" s="725"/>
      <c r="E150" s="208">
        <f>CHIFFRAGE_TC!$M151*CHIFFRAGE_TC!$T151</f>
        <v>0</v>
      </c>
      <c r="F150" s="17">
        <f>CHIFFRAGE_TC!$M151*CHIFFRAGE_TC!$U151</f>
        <v>0</v>
      </c>
      <c r="G150" s="17">
        <f>CHIFFRAGE_TC!$M151*CHIFFRAGE_TC!$V151</f>
        <v>0</v>
      </c>
      <c r="H150" s="204">
        <f>CHIFFRAGE_TC!$M151*CHIFFRAGE_TC!$W151</f>
        <v>0</v>
      </c>
      <c r="I150" s="709">
        <v>0</v>
      </c>
      <c r="J150" s="709">
        <v>0</v>
      </c>
      <c r="K150" s="709">
        <v>0</v>
      </c>
      <c r="L150" s="709">
        <v>0</v>
      </c>
      <c r="M150" s="709">
        <v>0</v>
      </c>
      <c r="N150" s="709">
        <v>0</v>
      </c>
      <c r="O150" s="709">
        <v>0</v>
      </c>
      <c r="P150" s="709">
        <v>0</v>
      </c>
      <c r="Q150" s="709">
        <v>0</v>
      </c>
      <c r="R150" s="709">
        <v>0</v>
      </c>
      <c r="S150" s="709">
        <v>0</v>
      </c>
      <c r="T150" s="709">
        <v>0</v>
      </c>
      <c r="U150" s="709">
        <v>0</v>
      </c>
      <c r="V150" s="709">
        <v>0</v>
      </c>
      <c r="W150" s="709">
        <v>0</v>
      </c>
      <c r="X150" s="709">
        <v>0</v>
      </c>
      <c r="Y150" s="709">
        <v>0</v>
      </c>
      <c r="Z150" s="709">
        <v>0</v>
      </c>
      <c r="AA150" s="709">
        <v>0</v>
      </c>
      <c r="AB150" s="709">
        <v>0</v>
      </c>
      <c r="AC150" s="709">
        <v>0</v>
      </c>
      <c r="AD150" s="709">
        <v>0</v>
      </c>
      <c r="AE150" s="709">
        <v>0</v>
      </c>
      <c r="AF150" s="709">
        <v>0</v>
      </c>
      <c r="AG150" s="709">
        <v>0</v>
      </c>
      <c r="AH150" s="709">
        <v>0</v>
      </c>
      <c r="AI150" s="709">
        <v>0</v>
      </c>
      <c r="AJ150" s="709">
        <v>0</v>
      </c>
      <c r="AK150" s="709">
        <v>0</v>
      </c>
      <c r="AL150" s="709">
        <v>0</v>
      </c>
      <c r="AM150" s="709">
        <v>0</v>
      </c>
      <c r="AN150" s="709">
        <v>0</v>
      </c>
      <c r="AO150" s="709">
        <v>0</v>
      </c>
      <c r="AP150" s="709">
        <v>0</v>
      </c>
      <c r="AQ150" s="709">
        <v>0</v>
      </c>
      <c r="AR150" s="709">
        <v>0</v>
      </c>
      <c r="AS150" s="709">
        <v>0</v>
      </c>
      <c r="AT150" s="709">
        <v>0</v>
      </c>
      <c r="AU150" s="709">
        <v>0</v>
      </c>
      <c r="AV150" s="709">
        <v>0</v>
      </c>
      <c r="AW150" s="709">
        <v>0</v>
      </c>
      <c r="AX150" s="709">
        <v>0</v>
      </c>
    </row>
    <row r="151" spans="2:50" ht="13.2" x14ac:dyDescent="0.2">
      <c r="B151" s="293" t="str">
        <f>CHIFFRAGE_TC!B152</f>
        <v>Edificio - Avenida Quito</v>
      </c>
      <c r="C151" s="964"/>
      <c r="D151" s="725"/>
      <c r="E151" s="210">
        <f>SUM(E152:E161)</f>
        <v>0</v>
      </c>
      <c r="F151" s="198">
        <f>SUM(F152:F161)</f>
        <v>2453289.2793372283</v>
      </c>
      <c r="G151" s="198">
        <f>SUM(G152:G161)</f>
        <v>4083799.3162716855</v>
      </c>
      <c r="H151" s="205">
        <f>SUM(H152:H161)</f>
        <v>747053.54466749972</v>
      </c>
      <c r="I151" s="733">
        <f t="shared" ref="I151:AX151" si="45">SUM(I152:I161)</f>
        <v>0</v>
      </c>
      <c r="J151" s="733">
        <f t="shared" si="45"/>
        <v>0</v>
      </c>
      <c r="K151" s="733">
        <f t="shared" si="45"/>
        <v>0</v>
      </c>
      <c r="L151" s="733">
        <f t="shared" si="45"/>
        <v>0</v>
      </c>
      <c r="M151" s="733">
        <f t="shared" si="45"/>
        <v>0</v>
      </c>
      <c r="N151" s="733">
        <f t="shared" si="45"/>
        <v>0</v>
      </c>
      <c r="O151" s="733">
        <f t="shared" si="45"/>
        <v>0</v>
      </c>
      <c r="P151" s="733">
        <f t="shared" si="45"/>
        <v>0</v>
      </c>
      <c r="Q151" s="733">
        <f t="shared" si="45"/>
        <v>0</v>
      </c>
      <c r="R151" s="733">
        <f t="shared" si="45"/>
        <v>0</v>
      </c>
      <c r="S151" s="733">
        <f t="shared" si="45"/>
        <v>0</v>
      </c>
      <c r="T151" s="733">
        <f t="shared" si="45"/>
        <v>0</v>
      </c>
      <c r="U151" s="733">
        <f t="shared" si="45"/>
        <v>0</v>
      </c>
      <c r="V151" s="733">
        <f t="shared" si="45"/>
        <v>0</v>
      </c>
      <c r="W151" s="733">
        <f t="shared" si="45"/>
        <v>93257.8125</v>
      </c>
      <c r="X151" s="733">
        <f t="shared" si="45"/>
        <v>279773.4375</v>
      </c>
      <c r="Y151" s="733">
        <f t="shared" si="45"/>
        <v>0</v>
      </c>
      <c r="Z151" s="733">
        <f t="shared" si="45"/>
        <v>0</v>
      </c>
      <c r="AA151" s="733">
        <f t="shared" si="45"/>
        <v>0</v>
      </c>
      <c r="AB151" s="733">
        <f t="shared" si="45"/>
        <v>0</v>
      </c>
      <c r="AC151" s="733">
        <f t="shared" si="45"/>
        <v>0</v>
      </c>
      <c r="AD151" s="733">
        <f t="shared" si="45"/>
        <v>0</v>
      </c>
      <c r="AE151" s="733">
        <f t="shared" si="45"/>
        <v>0</v>
      </c>
      <c r="AF151" s="733">
        <f t="shared" si="45"/>
        <v>0</v>
      </c>
      <c r="AG151" s="733">
        <f t="shared" si="45"/>
        <v>0</v>
      </c>
      <c r="AH151" s="733">
        <f t="shared" si="45"/>
        <v>0</v>
      </c>
      <c r="AI151" s="733">
        <f t="shared" si="45"/>
        <v>0</v>
      </c>
      <c r="AJ151" s="733">
        <f t="shared" si="45"/>
        <v>0</v>
      </c>
      <c r="AK151" s="733">
        <f t="shared" si="45"/>
        <v>0</v>
      </c>
      <c r="AL151" s="733">
        <f t="shared" si="45"/>
        <v>0</v>
      </c>
      <c r="AM151" s="733">
        <f t="shared" si="45"/>
        <v>0</v>
      </c>
      <c r="AN151" s="733">
        <f t="shared" si="45"/>
        <v>93257.8125</v>
      </c>
      <c r="AO151" s="733">
        <f t="shared" si="45"/>
        <v>279773.4375</v>
      </c>
      <c r="AP151" s="733">
        <f t="shared" si="45"/>
        <v>0</v>
      </c>
      <c r="AQ151" s="733">
        <f t="shared" si="45"/>
        <v>0</v>
      </c>
      <c r="AR151" s="733">
        <f t="shared" si="45"/>
        <v>0</v>
      </c>
      <c r="AS151" s="733">
        <f t="shared" si="45"/>
        <v>0</v>
      </c>
      <c r="AT151" s="733">
        <f t="shared" si="45"/>
        <v>0</v>
      </c>
      <c r="AU151" s="733">
        <f t="shared" si="45"/>
        <v>0</v>
      </c>
      <c r="AV151" s="733">
        <f t="shared" si="45"/>
        <v>0</v>
      </c>
      <c r="AW151" s="733">
        <f t="shared" si="45"/>
        <v>0</v>
      </c>
      <c r="AX151" s="733">
        <f t="shared" si="45"/>
        <v>0</v>
      </c>
    </row>
    <row r="152" spans="2:50" ht="13.2" x14ac:dyDescent="0.2">
      <c r="B152" s="290" t="str">
        <f>CHIFFRAGE_TC!B153</f>
        <v>Fundaciones tipicas 
(edificio con piso tierra y primer piso)</v>
      </c>
      <c r="C152" s="964">
        <f>CHIFFRAGE_TC!D153</f>
        <v>50</v>
      </c>
      <c r="D152" s="725"/>
      <c r="E152" s="208">
        <f>CHIFFRAGE_TC!$M153*CHIFFRAGE_TC!$T153</f>
        <v>0</v>
      </c>
      <c r="F152" s="17">
        <f>CHIFFRAGE_TC!$M153*CHIFFRAGE_TC!$U153</f>
        <v>0</v>
      </c>
      <c r="G152" s="17">
        <f>CHIFFRAGE_TC!$M153*CHIFFRAGE_TC!$V153</f>
        <v>0</v>
      </c>
      <c r="H152" s="204">
        <f>CHIFFRAGE_TC!$M153*CHIFFRAGE_TC!$W153</f>
        <v>0</v>
      </c>
      <c r="I152" s="709">
        <v>0</v>
      </c>
      <c r="J152" s="709">
        <v>0</v>
      </c>
      <c r="K152" s="709">
        <v>0</v>
      </c>
      <c r="L152" s="709">
        <v>0</v>
      </c>
      <c r="M152" s="709">
        <v>0</v>
      </c>
      <c r="N152" s="709">
        <v>0</v>
      </c>
      <c r="O152" s="709">
        <v>0</v>
      </c>
      <c r="P152" s="709">
        <v>0</v>
      </c>
      <c r="Q152" s="709">
        <v>0</v>
      </c>
      <c r="R152" s="709">
        <v>0</v>
      </c>
      <c r="S152" s="709">
        <v>0</v>
      </c>
      <c r="T152" s="709">
        <v>0</v>
      </c>
      <c r="U152" s="709">
        <v>0</v>
      </c>
      <c r="V152" s="709">
        <v>0</v>
      </c>
      <c r="W152" s="709">
        <v>0</v>
      </c>
      <c r="X152" s="709">
        <v>0</v>
      </c>
      <c r="Y152" s="709">
        <v>0</v>
      </c>
      <c r="Z152" s="709">
        <v>0</v>
      </c>
      <c r="AA152" s="709">
        <v>0</v>
      </c>
      <c r="AB152" s="709">
        <v>0</v>
      </c>
      <c r="AC152" s="709">
        <v>0</v>
      </c>
      <c r="AD152" s="709">
        <v>0</v>
      </c>
      <c r="AE152" s="709">
        <v>0</v>
      </c>
      <c r="AF152" s="709">
        <v>0</v>
      </c>
      <c r="AG152" s="709">
        <v>0</v>
      </c>
      <c r="AH152" s="709">
        <v>0</v>
      </c>
      <c r="AI152" s="709">
        <v>0</v>
      </c>
      <c r="AJ152" s="709">
        <v>0</v>
      </c>
      <c r="AK152" s="709">
        <v>0</v>
      </c>
      <c r="AL152" s="709">
        <v>0</v>
      </c>
      <c r="AM152" s="709">
        <v>0</v>
      </c>
      <c r="AN152" s="709">
        <v>0</v>
      </c>
      <c r="AO152" s="709">
        <v>0</v>
      </c>
      <c r="AP152" s="709">
        <v>0</v>
      </c>
      <c r="AQ152" s="709">
        <v>0</v>
      </c>
      <c r="AR152" s="709">
        <v>0</v>
      </c>
      <c r="AS152" s="709">
        <v>0</v>
      </c>
      <c r="AT152" s="709">
        <v>0</v>
      </c>
      <c r="AU152" s="709">
        <v>0</v>
      </c>
      <c r="AV152" s="709">
        <v>0</v>
      </c>
      <c r="AW152" s="709">
        <v>0</v>
      </c>
      <c r="AX152" s="709">
        <v>0</v>
      </c>
    </row>
    <row r="153" spans="2:50" ht="13.2" x14ac:dyDescent="0.2">
      <c r="B153" s="290" t="str">
        <f>CHIFFRAGE_TC!B154</f>
        <v>Piso tierra sobrelevado y fundaciones</v>
      </c>
      <c r="C153" s="964">
        <f>CHIFFRAGE_TC!D154</f>
        <v>50</v>
      </c>
      <c r="D153" s="725"/>
      <c r="E153" s="208">
        <f>CHIFFRAGE_TC!$M154*CHIFFRAGE_TC!$T154</f>
        <v>0</v>
      </c>
      <c r="F153" s="17">
        <f>CHIFFRAGE_TC!$M154*CHIFFRAGE_TC!$U154</f>
        <v>1264507.4885362496</v>
      </c>
      <c r="G153" s="17">
        <f>CHIFFRAGE_TC!$M154*CHIFFRAGE_TC!$V154</f>
        <v>1264507.4885362496</v>
      </c>
      <c r="H153" s="204">
        <f>CHIFFRAGE_TC!$M154*CHIFFRAGE_TC!$W154</f>
        <v>0</v>
      </c>
      <c r="I153" s="709">
        <v>0</v>
      </c>
      <c r="J153" s="709">
        <v>0</v>
      </c>
      <c r="K153" s="709">
        <v>0</v>
      </c>
      <c r="L153" s="709">
        <v>0</v>
      </c>
      <c r="M153" s="709">
        <v>0</v>
      </c>
      <c r="N153" s="709">
        <v>0</v>
      </c>
      <c r="O153" s="709">
        <v>0</v>
      </c>
      <c r="P153" s="709">
        <v>0</v>
      </c>
      <c r="Q153" s="709">
        <v>0</v>
      </c>
      <c r="R153" s="709">
        <v>0</v>
      </c>
      <c r="S153" s="709">
        <v>0</v>
      </c>
      <c r="T153" s="709">
        <v>0</v>
      </c>
      <c r="U153" s="709">
        <v>0</v>
      </c>
      <c r="V153" s="709">
        <v>0</v>
      </c>
      <c r="W153" s="709">
        <v>0</v>
      </c>
      <c r="X153" s="709">
        <v>0</v>
      </c>
      <c r="Y153" s="709">
        <v>0</v>
      </c>
      <c r="Z153" s="709">
        <v>0</v>
      </c>
      <c r="AA153" s="709">
        <v>0</v>
      </c>
      <c r="AB153" s="709">
        <v>0</v>
      </c>
      <c r="AC153" s="709">
        <v>0</v>
      </c>
      <c r="AD153" s="709">
        <v>0</v>
      </c>
      <c r="AE153" s="709">
        <v>0</v>
      </c>
      <c r="AF153" s="709">
        <v>0</v>
      </c>
      <c r="AG153" s="709">
        <v>0</v>
      </c>
      <c r="AH153" s="709">
        <v>0</v>
      </c>
      <c r="AI153" s="709">
        <v>0</v>
      </c>
      <c r="AJ153" s="709">
        <v>0</v>
      </c>
      <c r="AK153" s="709">
        <v>0</v>
      </c>
      <c r="AL153" s="709">
        <v>0</v>
      </c>
      <c r="AM153" s="709">
        <v>0</v>
      </c>
      <c r="AN153" s="709">
        <v>0</v>
      </c>
      <c r="AO153" s="709">
        <v>0</v>
      </c>
      <c r="AP153" s="709">
        <v>0</v>
      </c>
      <c r="AQ153" s="709">
        <v>0</v>
      </c>
      <c r="AR153" s="709">
        <v>0</v>
      </c>
      <c r="AS153" s="709">
        <v>0</v>
      </c>
      <c r="AT153" s="709">
        <v>0</v>
      </c>
      <c r="AU153" s="709">
        <v>0</v>
      </c>
      <c r="AV153" s="709">
        <v>0</v>
      </c>
      <c r="AW153" s="709">
        <v>0</v>
      </c>
      <c r="AX153" s="709">
        <v>0</v>
      </c>
    </row>
    <row r="154" spans="2:50" ht="13.2" x14ac:dyDescent="0.2">
      <c r="B154" s="290" t="str">
        <f>CHIFFRAGE_TC!B155</f>
        <v>Superficies comerciales</v>
      </c>
      <c r="C154" s="964">
        <f>CHIFFRAGE_TC!D155</f>
        <v>50</v>
      </c>
      <c r="D154" s="725"/>
      <c r="E154" s="208">
        <f>CHIFFRAGE_TC!$M155*CHIFFRAGE_TC!$T155</f>
        <v>0</v>
      </c>
      <c r="F154" s="17">
        <f>CHIFFRAGE_TC!$M155*CHIFFRAGE_TC!$U155</f>
        <v>87579.354490359343</v>
      </c>
      <c r="G154" s="17">
        <f>CHIFFRAGE_TC!$M155*CHIFFRAGE_TC!$V155</f>
        <v>262738.06347107806</v>
      </c>
      <c r="H154" s="204">
        <f>CHIFFRAGE_TC!$M155*CHIFFRAGE_TC!$W155</f>
        <v>0</v>
      </c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09">
        <v>0</v>
      </c>
      <c r="Y154" s="709">
        <v>0</v>
      </c>
      <c r="Z154" s="709">
        <v>0</v>
      </c>
      <c r="AA154" s="709">
        <v>0</v>
      </c>
      <c r="AB154" s="709">
        <v>0</v>
      </c>
      <c r="AC154" s="709">
        <v>0</v>
      </c>
      <c r="AD154" s="709">
        <v>0</v>
      </c>
      <c r="AE154" s="709">
        <v>0</v>
      </c>
      <c r="AF154" s="709">
        <v>0</v>
      </c>
      <c r="AG154" s="709">
        <v>0</v>
      </c>
      <c r="AH154" s="709">
        <v>0</v>
      </c>
      <c r="AI154" s="709">
        <v>0</v>
      </c>
      <c r="AJ154" s="709">
        <v>0</v>
      </c>
      <c r="AK154" s="709">
        <v>0</v>
      </c>
      <c r="AL154" s="709">
        <v>0</v>
      </c>
      <c r="AM154" s="709">
        <v>0</v>
      </c>
      <c r="AN154" s="709">
        <v>0</v>
      </c>
      <c r="AO154" s="709">
        <v>0</v>
      </c>
      <c r="AP154" s="709">
        <v>0</v>
      </c>
      <c r="AQ154" s="709">
        <v>0</v>
      </c>
      <c r="AR154" s="709">
        <v>0</v>
      </c>
      <c r="AS154" s="709">
        <v>0</v>
      </c>
      <c r="AT154" s="709">
        <v>0</v>
      </c>
      <c r="AU154" s="709">
        <v>0</v>
      </c>
      <c r="AV154" s="709">
        <v>0</v>
      </c>
      <c r="AW154" s="709">
        <v>0</v>
      </c>
      <c r="AX154" s="709">
        <v>0</v>
      </c>
    </row>
    <row r="155" spans="2:50" ht="26.4" x14ac:dyDescent="0.2">
      <c r="B155" s="292" t="str">
        <f>CHIFFRAGE_TC!B156</f>
        <v xml:space="preserve">Ingreso y circulaciones al piso tierra 
(y/c servicios, escaleras mecanicas, escaleras y ascencores) </v>
      </c>
      <c r="C155" s="964">
        <f>CHIFFRAGE_TC!D156</f>
        <v>40</v>
      </c>
      <c r="D155" s="725"/>
      <c r="E155" s="208">
        <f>CHIFFRAGE_TC!$M156*CHIFFRAGE_TC!$T156</f>
        <v>0</v>
      </c>
      <c r="F155" s="17">
        <f>CHIFFRAGE_TC!$M156*CHIFFRAGE_TC!$U156</f>
        <v>413683.95896887488</v>
      </c>
      <c r="G155" s="17">
        <f>CHIFFRAGE_TC!$M156*CHIFFRAGE_TC!$V156</f>
        <v>1241051.8769066245</v>
      </c>
      <c r="H155" s="204">
        <f>CHIFFRAGE_TC!$M156*CHIFFRAGE_TC!$W156</f>
        <v>0</v>
      </c>
      <c r="I155" s="709">
        <v>0</v>
      </c>
      <c r="J155" s="709">
        <v>0</v>
      </c>
      <c r="K155" s="709">
        <v>0</v>
      </c>
      <c r="L155" s="709">
        <v>0</v>
      </c>
      <c r="M155" s="709">
        <v>0</v>
      </c>
      <c r="N155" s="709">
        <v>0</v>
      </c>
      <c r="O155" s="709">
        <v>0</v>
      </c>
      <c r="P155" s="709">
        <v>0</v>
      </c>
      <c r="Q155" s="709">
        <v>0</v>
      </c>
      <c r="R155" s="709">
        <v>0</v>
      </c>
      <c r="S155" s="709">
        <v>0</v>
      </c>
      <c r="T155" s="709">
        <v>0</v>
      </c>
      <c r="U155" s="709">
        <v>0</v>
      </c>
      <c r="V155" s="709">
        <v>0</v>
      </c>
      <c r="W155" s="709">
        <v>0</v>
      </c>
      <c r="X155" s="709">
        <v>0</v>
      </c>
      <c r="Y155" s="709">
        <v>0</v>
      </c>
      <c r="Z155" s="709">
        <v>0</v>
      </c>
      <c r="AA155" s="709">
        <v>0</v>
      </c>
      <c r="AB155" s="709">
        <v>0</v>
      </c>
      <c r="AC155" s="709">
        <v>0</v>
      </c>
      <c r="AD155" s="709">
        <v>0</v>
      </c>
      <c r="AE155" s="709">
        <v>0</v>
      </c>
      <c r="AF155" s="709">
        <v>0</v>
      </c>
      <c r="AG155" s="709">
        <v>0</v>
      </c>
      <c r="AH155" s="709">
        <v>0</v>
      </c>
      <c r="AI155" s="709">
        <v>0</v>
      </c>
      <c r="AJ155" s="709">
        <v>0</v>
      </c>
      <c r="AK155" s="709">
        <v>0</v>
      </c>
      <c r="AL155" s="709">
        <v>0</v>
      </c>
      <c r="AM155" s="709">
        <v>0</v>
      </c>
      <c r="AN155" s="709">
        <v>0</v>
      </c>
      <c r="AO155" s="709">
        <v>0</v>
      </c>
      <c r="AP155" s="709">
        <v>0</v>
      </c>
      <c r="AQ155" s="709">
        <v>0</v>
      </c>
      <c r="AR155" s="709">
        <v>0</v>
      </c>
      <c r="AS155" s="709">
        <v>0</v>
      </c>
      <c r="AT155" s="709">
        <v>0</v>
      </c>
      <c r="AU155" s="709">
        <v>0</v>
      </c>
      <c r="AV155" s="709">
        <v>0</v>
      </c>
      <c r="AW155" s="709">
        <v>0</v>
      </c>
      <c r="AX155" s="709">
        <v>0</v>
      </c>
    </row>
    <row r="156" spans="2:50" ht="26.4" x14ac:dyDescent="0.2">
      <c r="B156" s="292" t="str">
        <f>CHIFFRAGE_TC!B157</f>
        <v>Escaleras mecanicas, escaleras y ascencores adicionales 
(piso tierra sobrelevado)</v>
      </c>
      <c r="C156" s="964">
        <f>CHIFFRAGE_TC!D157</f>
        <v>15</v>
      </c>
      <c r="D156" s="725"/>
      <c r="E156" s="208">
        <f>CHIFFRAGE_TC!$M157*CHIFFRAGE_TC!$T157</f>
        <v>0</v>
      </c>
      <c r="F156" s="17">
        <f>CHIFFRAGE_TC!$M157*CHIFFRAGE_TC!$U157</f>
        <v>93257.8125</v>
      </c>
      <c r="G156" s="17">
        <f>CHIFFRAGE_TC!$M157*CHIFFRAGE_TC!$V157</f>
        <v>279773.4375</v>
      </c>
      <c r="H156" s="204">
        <f>CHIFFRAGE_TC!$M157*CHIFFRAGE_TC!$W157</f>
        <v>0</v>
      </c>
      <c r="I156" s="709">
        <v>0</v>
      </c>
      <c r="J156" s="709">
        <v>0</v>
      </c>
      <c r="K156" s="709">
        <v>0</v>
      </c>
      <c r="L156" s="709">
        <v>0</v>
      </c>
      <c r="M156" s="709">
        <v>0</v>
      </c>
      <c r="N156" s="709">
        <v>0</v>
      </c>
      <c r="O156" s="709">
        <v>0</v>
      </c>
      <c r="P156" s="709">
        <v>0</v>
      </c>
      <c r="Q156" s="709">
        <v>0</v>
      </c>
      <c r="R156" s="709">
        <v>0</v>
      </c>
      <c r="S156" s="709">
        <v>0</v>
      </c>
      <c r="T156" s="709">
        <v>0</v>
      </c>
      <c r="U156" s="709">
        <v>0</v>
      </c>
      <c r="V156" s="709">
        <v>0</v>
      </c>
      <c r="W156" s="729">
        <f>F156</f>
        <v>93257.8125</v>
      </c>
      <c r="X156" s="729">
        <f>G156</f>
        <v>279773.4375</v>
      </c>
      <c r="Y156" s="729">
        <f>H156</f>
        <v>0</v>
      </c>
      <c r="Z156" s="709">
        <v>0</v>
      </c>
      <c r="AA156" s="709">
        <v>0</v>
      </c>
      <c r="AB156" s="709">
        <v>0</v>
      </c>
      <c r="AC156" s="709">
        <v>0</v>
      </c>
      <c r="AD156" s="709">
        <v>0</v>
      </c>
      <c r="AE156" s="709">
        <v>0</v>
      </c>
      <c r="AF156" s="709">
        <v>0</v>
      </c>
      <c r="AG156" s="709">
        <v>0</v>
      </c>
      <c r="AH156" s="709">
        <v>0</v>
      </c>
      <c r="AI156" s="709">
        <v>0</v>
      </c>
      <c r="AJ156" s="709">
        <v>0</v>
      </c>
      <c r="AK156" s="709">
        <v>0</v>
      </c>
      <c r="AL156" s="709">
        <v>0</v>
      </c>
      <c r="AM156" s="709">
        <v>0</v>
      </c>
      <c r="AN156" s="729">
        <f>F156</f>
        <v>93257.8125</v>
      </c>
      <c r="AO156" s="729">
        <f t="shared" ref="AO156" si="46">G156</f>
        <v>279773.4375</v>
      </c>
      <c r="AP156" s="729">
        <f t="shared" ref="AP156" si="47">H156</f>
        <v>0</v>
      </c>
      <c r="AQ156" s="709">
        <v>0</v>
      </c>
      <c r="AR156" s="709">
        <v>0</v>
      </c>
      <c r="AS156" s="709">
        <v>0</v>
      </c>
      <c r="AT156" s="709">
        <v>0</v>
      </c>
      <c r="AU156" s="709">
        <v>0</v>
      </c>
      <c r="AV156" s="709">
        <v>0</v>
      </c>
      <c r="AW156" s="709">
        <v>0</v>
      </c>
      <c r="AX156" s="709">
        <v>0</v>
      </c>
    </row>
    <row r="157" spans="2:50" ht="13.2" x14ac:dyDescent="0.2">
      <c r="B157" s="290" t="str">
        <f>CHIFFRAGE_TC!B158</f>
        <v>Anden al primer piso</v>
      </c>
      <c r="C157" s="964">
        <f>CHIFFRAGE_TC!D158</f>
        <v>50</v>
      </c>
      <c r="D157" s="725"/>
      <c r="E157" s="208">
        <f>CHIFFRAGE_TC!$M158*CHIFFRAGE_TC!$T158</f>
        <v>0</v>
      </c>
      <c r="F157" s="17">
        <f>CHIFFRAGE_TC!$M158*CHIFFRAGE_TC!$U158</f>
        <v>131402.95092782806</v>
      </c>
      <c r="G157" s="17">
        <f>CHIFFRAGE_TC!$M158*CHIFFRAGE_TC!$V158</f>
        <v>394208.85278348415</v>
      </c>
      <c r="H157" s="204">
        <f>CHIFFRAGE_TC!$M158*CHIFFRAGE_TC!$W158</f>
        <v>0</v>
      </c>
      <c r="I157" s="709">
        <v>0</v>
      </c>
      <c r="J157" s="709">
        <v>0</v>
      </c>
      <c r="K157" s="709">
        <v>0</v>
      </c>
      <c r="L157" s="709">
        <v>0</v>
      </c>
      <c r="M157" s="709">
        <v>0</v>
      </c>
      <c r="N157" s="709">
        <v>0</v>
      </c>
      <c r="O157" s="709">
        <v>0</v>
      </c>
      <c r="P157" s="709">
        <v>0</v>
      </c>
      <c r="Q157" s="709">
        <v>0</v>
      </c>
      <c r="R157" s="709">
        <v>0</v>
      </c>
      <c r="S157" s="709">
        <v>0</v>
      </c>
      <c r="T157" s="709">
        <v>0</v>
      </c>
      <c r="U157" s="709">
        <v>0</v>
      </c>
      <c r="V157" s="709">
        <v>0</v>
      </c>
      <c r="W157" s="709">
        <v>0</v>
      </c>
      <c r="X157" s="709">
        <v>0</v>
      </c>
      <c r="Y157" s="709">
        <v>0</v>
      </c>
      <c r="Z157" s="709">
        <v>0</v>
      </c>
      <c r="AA157" s="709">
        <v>0</v>
      </c>
      <c r="AB157" s="709">
        <v>0</v>
      </c>
      <c r="AC157" s="709">
        <v>0</v>
      </c>
      <c r="AD157" s="709">
        <v>0</v>
      </c>
      <c r="AE157" s="709">
        <v>0</v>
      </c>
      <c r="AF157" s="709">
        <v>0</v>
      </c>
      <c r="AG157" s="709">
        <v>0</v>
      </c>
      <c r="AH157" s="709">
        <v>0</v>
      </c>
      <c r="AI157" s="709">
        <v>0</v>
      </c>
      <c r="AJ157" s="709">
        <v>0</v>
      </c>
      <c r="AK157" s="709">
        <v>0</v>
      </c>
      <c r="AL157" s="709">
        <v>0</v>
      </c>
      <c r="AM157" s="709">
        <v>0</v>
      </c>
      <c r="AN157" s="709">
        <v>0</v>
      </c>
      <c r="AO157" s="709">
        <v>0</v>
      </c>
      <c r="AP157" s="709">
        <v>0</v>
      </c>
      <c r="AQ157" s="709">
        <v>0</v>
      </c>
      <c r="AR157" s="709">
        <v>0</v>
      </c>
      <c r="AS157" s="709">
        <v>0</v>
      </c>
      <c r="AT157" s="709">
        <v>0</v>
      </c>
      <c r="AU157" s="709">
        <v>0</v>
      </c>
      <c r="AV157" s="709">
        <v>0</v>
      </c>
      <c r="AW157" s="709">
        <v>0</v>
      </c>
      <c r="AX157" s="709">
        <v>0</v>
      </c>
    </row>
    <row r="158" spans="2:50" ht="13.2" x14ac:dyDescent="0.2">
      <c r="B158" s="290" t="str">
        <f>CHIFFRAGE_TC!B159</f>
        <v>Centro de mando + Locales tecnicos cubiertos</v>
      </c>
      <c r="C158" s="964">
        <f>CHIFFRAGE_TC!D159</f>
        <v>50</v>
      </c>
      <c r="D158" s="725"/>
      <c r="E158" s="208">
        <f>CHIFFRAGE_TC!$M159*CHIFFRAGE_TC!$T159</f>
        <v>0</v>
      </c>
      <c r="F158" s="17">
        <f>CHIFFRAGE_TC!$M159*CHIFFRAGE_TC!$U159</f>
        <v>28025.393436914987</v>
      </c>
      <c r="G158" s="17">
        <f>CHIFFRAGE_TC!$M159*CHIFFRAGE_TC!$V159</f>
        <v>84076.180310744967</v>
      </c>
      <c r="H158" s="204">
        <f>CHIFFRAGE_TC!$M159*CHIFFRAGE_TC!$W159</f>
        <v>0</v>
      </c>
      <c r="I158" s="709">
        <v>0</v>
      </c>
      <c r="J158" s="709">
        <v>0</v>
      </c>
      <c r="K158" s="709">
        <v>0</v>
      </c>
      <c r="L158" s="709">
        <v>0</v>
      </c>
      <c r="M158" s="709">
        <v>0</v>
      </c>
      <c r="N158" s="709">
        <v>0</v>
      </c>
      <c r="O158" s="709">
        <v>0</v>
      </c>
      <c r="P158" s="709">
        <v>0</v>
      </c>
      <c r="Q158" s="709">
        <v>0</v>
      </c>
      <c r="R158" s="709">
        <v>0</v>
      </c>
      <c r="S158" s="709">
        <v>0</v>
      </c>
      <c r="T158" s="709">
        <v>0</v>
      </c>
      <c r="U158" s="709">
        <v>0</v>
      </c>
      <c r="V158" s="709">
        <v>0</v>
      </c>
      <c r="W158" s="709">
        <v>0</v>
      </c>
      <c r="X158" s="709">
        <v>0</v>
      </c>
      <c r="Y158" s="709">
        <v>0</v>
      </c>
      <c r="Z158" s="709">
        <v>0</v>
      </c>
      <c r="AA158" s="709">
        <v>0</v>
      </c>
      <c r="AB158" s="709">
        <v>0</v>
      </c>
      <c r="AC158" s="709">
        <v>0</v>
      </c>
      <c r="AD158" s="709">
        <v>0</v>
      </c>
      <c r="AE158" s="709">
        <v>0</v>
      </c>
      <c r="AF158" s="709">
        <v>0</v>
      </c>
      <c r="AG158" s="709">
        <v>0</v>
      </c>
      <c r="AH158" s="709">
        <v>0</v>
      </c>
      <c r="AI158" s="709">
        <v>0</v>
      </c>
      <c r="AJ158" s="709">
        <v>0</v>
      </c>
      <c r="AK158" s="709">
        <v>0</v>
      </c>
      <c r="AL158" s="709">
        <v>0</v>
      </c>
      <c r="AM158" s="709">
        <v>0</v>
      </c>
      <c r="AN158" s="709">
        <v>0</v>
      </c>
      <c r="AO158" s="709">
        <v>0</v>
      </c>
      <c r="AP158" s="709">
        <v>0</v>
      </c>
      <c r="AQ158" s="709">
        <v>0</v>
      </c>
      <c r="AR158" s="709">
        <v>0</v>
      </c>
      <c r="AS158" s="709">
        <v>0</v>
      </c>
      <c r="AT158" s="709">
        <v>0</v>
      </c>
      <c r="AU158" s="709">
        <v>0</v>
      </c>
      <c r="AV158" s="709">
        <v>0</v>
      </c>
      <c r="AW158" s="709">
        <v>0</v>
      </c>
      <c r="AX158" s="709">
        <v>0</v>
      </c>
    </row>
    <row r="159" spans="2:50" ht="13.2" x14ac:dyDescent="0.2">
      <c r="B159" s="290" t="str">
        <f>CHIFFRAGE_TC!B160</f>
        <v xml:space="preserve">Locales tecnicos non cerrados </v>
      </c>
      <c r="C159" s="964">
        <f>CHIFFRAGE_TC!D160</f>
        <v>50</v>
      </c>
      <c r="D159" s="725"/>
      <c r="E159" s="208">
        <f>CHIFFRAGE_TC!$M160*CHIFFRAGE_TC!$T160</f>
        <v>0</v>
      </c>
      <c r="F159" s="17">
        <f>CHIFFRAGE_TC!$M160*CHIFFRAGE_TC!$U160</f>
        <v>61305.548143251537</v>
      </c>
      <c r="G159" s="17">
        <f>CHIFFRAGE_TC!$M160*CHIFFRAGE_TC!$V160</f>
        <v>183916.64442975461</v>
      </c>
      <c r="H159" s="204">
        <f>CHIFFRAGE_TC!$M160*CHIFFRAGE_TC!$W160</f>
        <v>0</v>
      </c>
      <c r="I159" s="709">
        <v>0</v>
      </c>
      <c r="J159" s="709">
        <v>0</v>
      </c>
      <c r="K159" s="709">
        <v>0</v>
      </c>
      <c r="L159" s="709">
        <v>0</v>
      </c>
      <c r="M159" s="709">
        <v>0</v>
      </c>
      <c r="N159" s="709">
        <v>0</v>
      </c>
      <c r="O159" s="709">
        <v>0</v>
      </c>
      <c r="P159" s="709">
        <v>0</v>
      </c>
      <c r="Q159" s="709">
        <v>0</v>
      </c>
      <c r="R159" s="709">
        <v>0</v>
      </c>
      <c r="S159" s="709">
        <v>0</v>
      </c>
      <c r="T159" s="709">
        <v>0</v>
      </c>
      <c r="U159" s="709">
        <v>0</v>
      </c>
      <c r="V159" s="709">
        <v>0</v>
      </c>
      <c r="W159" s="709">
        <v>0</v>
      </c>
      <c r="X159" s="709">
        <v>0</v>
      </c>
      <c r="Y159" s="709">
        <v>0</v>
      </c>
      <c r="Z159" s="709">
        <v>0</v>
      </c>
      <c r="AA159" s="709">
        <v>0</v>
      </c>
      <c r="AB159" s="709">
        <v>0</v>
      </c>
      <c r="AC159" s="709">
        <v>0</v>
      </c>
      <c r="AD159" s="709">
        <v>0</v>
      </c>
      <c r="AE159" s="709">
        <v>0</v>
      </c>
      <c r="AF159" s="709">
        <v>0</v>
      </c>
      <c r="AG159" s="709">
        <v>0</v>
      </c>
      <c r="AH159" s="709">
        <v>0</v>
      </c>
      <c r="AI159" s="709">
        <v>0</v>
      </c>
      <c r="AJ159" s="709">
        <v>0</v>
      </c>
      <c r="AK159" s="709">
        <v>0</v>
      </c>
      <c r="AL159" s="709">
        <v>0</v>
      </c>
      <c r="AM159" s="709">
        <v>0</v>
      </c>
      <c r="AN159" s="709">
        <v>0</v>
      </c>
      <c r="AO159" s="709">
        <v>0</v>
      </c>
      <c r="AP159" s="709">
        <v>0</v>
      </c>
      <c r="AQ159" s="709">
        <v>0</v>
      </c>
      <c r="AR159" s="709">
        <v>0</v>
      </c>
      <c r="AS159" s="709">
        <v>0</v>
      </c>
      <c r="AT159" s="709">
        <v>0</v>
      </c>
      <c r="AU159" s="709">
        <v>0</v>
      </c>
      <c r="AV159" s="709">
        <v>0</v>
      </c>
      <c r="AW159" s="709">
        <v>0</v>
      </c>
      <c r="AX159" s="709">
        <v>0</v>
      </c>
    </row>
    <row r="160" spans="2:50" ht="13.2" x14ac:dyDescent="0.2">
      <c r="B160" s="290" t="str">
        <f>CHIFFRAGE_TC!B161</f>
        <v>Adecuacion urbana 
(demolicion, reconstruccion, mobiliario urbano, paisaje)</v>
      </c>
      <c r="C160" s="964">
        <f>CHIFFRAGE_TC!D161</f>
        <v>50</v>
      </c>
      <c r="D160" s="725"/>
      <c r="E160" s="208">
        <f>CHIFFRAGE_TC!$M161*CHIFFRAGE_TC!$T161</f>
        <v>0</v>
      </c>
      <c r="F160" s="17">
        <f>CHIFFRAGE_TC!$M161*CHIFFRAGE_TC!$U161</f>
        <v>373526.77233374986</v>
      </c>
      <c r="G160" s="17">
        <f>CHIFFRAGE_TC!$M161*CHIFFRAGE_TC!$V161</f>
        <v>373526.77233374986</v>
      </c>
      <c r="H160" s="204">
        <f>CHIFFRAGE_TC!$M161*CHIFFRAGE_TC!$W161</f>
        <v>747053.54466749972</v>
      </c>
      <c r="I160" s="709">
        <v>0</v>
      </c>
      <c r="J160" s="709">
        <v>0</v>
      </c>
      <c r="K160" s="709">
        <v>0</v>
      </c>
      <c r="L160" s="709">
        <v>0</v>
      </c>
      <c r="M160" s="709">
        <v>0</v>
      </c>
      <c r="N160" s="709">
        <v>0</v>
      </c>
      <c r="O160" s="709">
        <v>0</v>
      </c>
      <c r="P160" s="709">
        <v>0</v>
      </c>
      <c r="Q160" s="709">
        <v>0</v>
      </c>
      <c r="R160" s="709">
        <v>0</v>
      </c>
      <c r="S160" s="709">
        <v>0</v>
      </c>
      <c r="T160" s="709">
        <v>0</v>
      </c>
      <c r="U160" s="709">
        <v>0</v>
      </c>
      <c r="V160" s="709">
        <v>0</v>
      </c>
      <c r="W160" s="709">
        <v>0</v>
      </c>
      <c r="X160" s="709">
        <v>0</v>
      </c>
      <c r="Y160" s="709">
        <v>0</v>
      </c>
      <c r="Z160" s="709">
        <v>0</v>
      </c>
      <c r="AA160" s="709">
        <v>0</v>
      </c>
      <c r="AB160" s="709">
        <v>0</v>
      </c>
      <c r="AC160" s="709">
        <v>0</v>
      </c>
      <c r="AD160" s="709">
        <v>0</v>
      </c>
      <c r="AE160" s="709">
        <v>0</v>
      </c>
      <c r="AF160" s="709">
        <v>0</v>
      </c>
      <c r="AG160" s="709">
        <v>0</v>
      </c>
      <c r="AH160" s="709">
        <v>0</v>
      </c>
      <c r="AI160" s="709">
        <v>0</v>
      </c>
      <c r="AJ160" s="709">
        <v>0</v>
      </c>
      <c r="AK160" s="709">
        <v>0</v>
      </c>
      <c r="AL160" s="709">
        <v>0</v>
      </c>
      <c r="AM160" s="709">
        <v>0</v>
      </c>
      <c r="AN160" s="709">
        <v>0</v>
      </c>
      <c r="AO160" s="709">
        <v>0</v>
      </c>
      <c r="AP160" s="709">
        <v>0</v>
      </c>
      <c r="AQ160" s="709">
        <v>0</v>
      </c>
      <c r="AR160" s="709">
        <v>0</v>
      </c>
      <c r="AS160" s="709">
        <v>0</v>
      </c>
      <c r="AT160" s="709">
        <v>0</v>
      </c>
      <c r="AU160" s="709">
        <v>0</v>
      </c>
      <c r="AV160" s="709">
        <v>0</v>
      </c>
      <c r="AW160" s="709">
        <v>0</v>
      </c>
      <c r="AX160" s="709">
        <v>0</v>
      </c>
    </row>
    <row r="161" spans="2:50" ht="13.2" x14ac:dyDescent="0.2">
      <c r="B161" s="289" t="str">
        <f>CHIFFRAGE_TC!B162</f>
        <v>Pasarela</v>
      </c>
      <c r="C161" s="964">
        <f>CHIFFRAGE_TC!D162</f>
        <v>50</v>
      </c>
      <c r="D161" s="725"/>
      <c r="E161" s="208">
        <f>CHIFFRAGE_TC!$M162*CHIFFRAGE_TC!$T162</f>
        <v>0</v>
      </c>
      <c r="F161" s="17">
        <f>CHIFFRAGE_TC!$M162*CHIFFRAGE_TC!$U162</f>
        <v>0</v>
      </c>
      <c r="G161" s="17">
        <f>CHIFFRAGE_TC!$M162*CHIFFRAGE_TC!$V162</f>
        <v>0</v>
      </c>
      <c r="H161" s="204">
        <f>CHIFFRAGE_TC!$M162*CHIFFRAGE_TC!$W162</f>
        <v>0</v>
      </c>
      <c r="I161" s="709">
        <v>0</v>
      </c>
      <c r="J161" s="709">
        <v>0</v>
      </c>
      <c r="K161" s="709">
        <v>0</v>
      </c>
      <c r="L161" s="709">
        <v>0</v>
      </c>
      <c r="M161" s="709">
        <v>0</v>
      </c>
      <c r="N161" s="709">
        <v>0</v>
      </c>
      <c r="O161" s="709">
        <v>0</v>
      </c>
      <c r="P161" s="709">
        <v>0</v>
      </c>
      <c r="Q161" s="709">
        <v>0</v>
      </c>
      <c r="R161" s="709">
        <v>0</v>
      </c>
      <c r="S161" s="709">
        <v>0</v>
      </c>
      <c r="T161" s="709">
        <v>0</v>
      </c>
      <c r="U161" s="709">
        <v>0</v>
      </c>
      <c r="V161" s="709">
        <v>0</v>
      </c>
      <c r="W161" s="709">
        <v>0</v>
      </c>
      <c r="X161" s="709">
        <v>0</v>
      </c>
      <c r="Y161" s="709">
        <v>0</v>
      </c>
      <c r="Z161" s="709">
        <v>0</v>
      </c>
      <c r="AA161" s="709">
        <v>0</v>
      </c>
      <c r="AB161" s="709">
        <v>0</v>
      </c>
      <c r="AC161" s="709">
        <v>0</v>
      </c>
      <c r="AD161" s="709">
        <v>0</v>
      </c>
      <c r="AE161" s="709">
        <v>0</v>
      </c>
      <c r="AF161" s="709">
        <v>0</v>
      </c>
      <c r="AG161" s="709">
        <v>0</v>
      </c>
      <c r="AH161" s="709">
        <v>0</v>
      </c>
      <c r="AI161" s="709">
        <v>0</v>
      </c>
      <c r="AJ161" s="709">
        <v>0</v>
      </c>
      <c r="AK161" s="709">
        <v>0</v>
      </c>
      <c r="AL161" s="709">
        <v>0</v>
      </c>
      <c r="AM161" s="709">
        <v>0</v>
      </c>
      <c r="AN161" s="709">
        <v>0</v>
      </c>
      <c r="AO161" s="709">
        <v>0</v>
      </c>
      <c r="AP161" s="709">
        <v>0</v>
      </c>
      <c r="AQ161" s="709">
        <v>0</v>
      </c>
      <c r="AR161" s="709">
        <v>0</v>
      </c>
      <c r="AS161" s="709">
        <v>0</v>
      </c>
      <c r="AT161" s="709">
        <v>0</v>
      </c>
      <c r="AU161" s="709">
        <v>0</v>
      </c>
      <c r="AV161" s="709">
        <v>0</v>
      </c>
      <c r="AW161" s="709">
        <v>0</v>
      </c>
      <c r="AX161" s="709">
        <v>0</v>
      </c>
    </row>
    <row r="162" spans="2:50" ht="13.2" x14ac:dyDescent="0.2">
      <c r="B162" s="293" t="str">
        <f>CHIFFRAGE_TC!B163</f>
        <v>Edificio - Estacion Centenario (Terminal)</v>
      </c>
      <c r="C162" s="964"/>
      <c r="D162" s="725"/>
      <c r="E162" s="210">
        <f>SUM(E163:E172)</f>
        <v>0</v>
      </c>
      <c r="F162" s="198">
        <f>SUM(F163:F172)</f>
        <v>888721.35030798847</v>
      </c>
      <c r="G162" s="198">
        <f>SUM(G163:G172)</f>
        <v>1258262.6868239657</v>
      </c>
      <c r="H162" s="205">
        <f>SUM(H163:H172)</f>
        <v>105404.38019999997</v>
      </c>
      <c r="I162" s="733">
        <f t="shared" ref="I162:AX162" si="48">SUM(I163:I172)</f>
        <v>0</v>
      </c>
      <c r="J162" s="733">
        <f t="shared" si="48"/>
        <v>0</v>
      </c>
      <c r="K162" s="733">
        <f t="shared" si="48"/>
        <v>0</v>
      </c>
      <c r="L162" s="733">
        <f t="shared" si="48"/>
        <v>0</v>
      </c>
      <c r="M162" s="733">
        <f t="shared" si="48"/>
        <v>0</v>
      </c>
      <c r="N162" s="733">
        <f t="shared" si="48"/>
        <v>0</v>
      </c>
      <c r="O162" s="733">
        <f t="shared" si="48"/>
        <v>0</v>
      </c>
      <c r="P162" s="733">
        <f t="shared" si="48"/>
        <v>0</v>
      </c>
      <c r="Q162" s="733">
        <f t="shared" si="48"/>
        <v>0</v>
      </c>
      <c r="R162" s="733">
        <f t="shared" si="48"/>
        <v>0</v>
      </c>
      <c r="S162" s="733">
        <f t="shared" si="48"/>
        <v>0</v>
      </c>
      <c r="T162" s="733">
        <f t="shared" si="48"/>
        <v>0</v>
      </c>
      <c r="U162" s="733">
        <f t="shared" si="48"/>
        <v>0</v>
      </c>
      <c r="V162" s="733">
        <f t="shared" si="48"/>
        <v>0</v>
      </c>
      <c r="W162" s="733">
        <f t="shared" si="48"/>
        <v>0</v>
      </c>
      <c r="X162" s="733">
        <f t="shared" si="48"/>
        <v>0</v>
      </c>
      <c r="Y162" s="733">
        <f t="shared" si="48"/>
        <v>0</v>
      </c>
      <c r="Z162" s="733">
        <f t="shared" si="48"/>
        <v>0</v>
      </c>
      <c r="AA162" s="733">
        <f t="shared" si="48"/>
        <v>0</v>
      </c>
      <c r="AB162" s="733">
        <f t="shared" si="48"/>
        <v>0</v>
      </c>
      <c r="AC162" s="733">
        <f t="shared" si="48"/>
        <v>0</v>
      </c>
      <c r="AD162" s="733">
        <f t="shared" si="48"/>
        <v>0</v>
      </c>
      <c r="AE162" s="733">
        <f t="shared" si="48"/>
        <v>0</v>
      </c>
      <c r="AF162" s="733">
        <f t="shared" si="48"/>
        <v>0</v>
      </c>
      <c r="AG162" s="733">
        <f t="shared" si="48"/>
        <v>0</v>
      </c>
      <c r="AH162" s="733">
        <f t="shared" si="48"/>
        <v>0</v>
      </c>
      <c r="AI162" s="733">
        <f t="shared" si="48"/>
        <v>0</v>
      </c>
      <c r="AJ162" s="733">
        <f t="shared" si="48"/>
        <v>0</v>
      </c>
      <c r="AK162" s="733">
        <f t="shared" si="48"/>
        <v>0</v>
      </c>
      <c r="AL162" s="733">
        <f t="shared" si="48"/>
        <v>0</v>
      </c>
      <c r="AM162" s="733">
        <f t="shared" si="48"/>
        <v>0</v>
      </c>
      <c r="AN162" s="733">
        <f t="shared" si="48"/>
        <v>0</v>
      </c>
      <c r="AO162" s="733">
        <f t="shared" si="48"/>
        <v>0</v>
      </c>
      <c r="AP162" s="733">
        <f t="shared" si="48"/>
        <v>0</v>
      </c>
      <c r="AQ162" s="733">
        <f t="shared" si="48"/>
        <v>0</v>
      </c>
      <c r="AR162" s="733">
        <f t="shared" si="48"/>
        <v>0</v>
      </c>
      <c r="AS162" s="733">
        <f t="shared" si="48"/>
        <v>0</v>
      </c>
      <c r="AT162" s="733">
        <f t="shared" si="48"/>
        <v>0</v>
      </c>
      <c r="AU162" s="733">
        <f t="shared" si="48"/>
        <v>0</v>
      </c>
      <c r="AV162" s="733">
        <f t="shared" si="48"/>
        <v>0</v>
      </c>
      <c r="AW162" s="733">
        <f t="shared" si="48"/>
        <v>0</v>
      </c>
      <c r="AX162" s="733">
        <f t="shared" si="48"/>
        <v>0</v>
      </c>
    </row>
    <row r="163" spans="2:50" ht="13.2" x14ac:dyDescent="0.2">
      <c r="B163" s="290" t="str">
        <f>CHIFFRAGE_TC!B164</f>
        <v>Fundaciones tipicas 
(edificio con piso tierra y primer piso)</v>
      </c>
      <c r="C163" s="964">
        <f>CHIFFRAGE_TC!D164</f>
        <v>50</v>
      </c>
      <c r="D163" s="725"/>
      <c r="E163" s="208">
        <f>CHIFFRAGE_TC!$M164*CHIFFRAGE_TC!$T164</f>
        <v>0</v>
      </c>
      <c r="F163" s="17">
        <f>CHIFFRAGE_TC!$M164*CHIFFRAGE_TC!$U164</f>
        <v>0</v>
      </c>
      <c r="G163" s="17">
        <f>CHIFFRAGE_TC!$M164*CHIFFRAGE_TC!$V164</f>
        <v>0</v>
      </c>
      <c r="H163" s="204">
        <f>CHIFFRAGE_TC!$M164*CHIFFRAGE_TC!$W164</f>
        <v>0</v>
      </c>
      <c r="I163" s="709">
        <v>0</v>
      </c>
      <c r="J163" s="709">
        <v>0</v>
      </c>
      <c r="K163" s="709">
        <v>0</v>
      </c>
      <c r="L163" s="709">
        <v>0</v>
      </c>
      <c r="M163" s="709">
        <v>0</v>
      </c>
      <c r="N163" s="709">
        <v>0</v>
      </c>
      <c r="O163" s="709">
        <v>0</v>
      </c>
      <c r="P163" s="709">
        <v>0</v>
      </c>
      <c r="Q163" s="709">
        <v>0</v>
      </c>
      <c r="R163" s="709">
        <v>0</v>
      </c>
      <c r="S163" s="709">
        <v>0</v>
      </c>
      <c r="T163" s="709">
        <v>0</v>
      </c>
      <c r="U163" s="709">
        <v>0</v>
      </c>
      <c r="V163" s="709">
        <v>0</v>
      </c>
      <c r="W163" s="709">
        <v>0</v>
      </c>
      <c r="X163" s="709">
        <v>0</v>
      </c>
      <c r="Y163" s="709">
        <v>0</v>
      </c>
      <c r="Z163" s="709">
        <v>0</v>
      </c>
      <c r="AA163" s="709">
        <v>0</v>
      </c>
      <c r="AB163" s="709">
        <v>0</v>
      </c>
      <c r="AC163" s="709">
        <v>0</v>
      </c>
      <c r="AD163" s="709">
        <v>0</v>
      </c>
      <c r="AE163" s="709">
        <v>0</v>
      </c>
      <c r="AF163" s="709">
        <v>0</v>
      </c>
      <c r="AG163" s="709">
        <v>0</v>
      </c>
      <c r="AH163" s="709">
        <v>0</v>
      </c>
      <c r="AI163" s="709">
        <v>0</v>
      </c>
      <c r="AJ163" s="709">
        <v>0</v>
      </c>
      <c r="AK163" s="709">
        <v>0</v>
      </c>
      <c r="AL163" s="709">
        <v>0</v>
      </c>
      <c r="AM163" s="709">
        <v>0</v>
      </c>
      <c r="AN163" s="709">
        <v>0</v>
      </c>
      <c r="AO163" s="709">
        <v>0</v>
      </c>
      <c r="AP163" s="709">
        <v>0</v>
      </c>
      <c r="AQ163" s="709">
        <v>0</v>
      </c>
      <c r="AR163" s="709">
        <v>0</v>
      </c>
      <c r="AS163" s="709">
        <v>0</v>
      </c>
      <c r="AT163" s="709">
        <v>0</v>
      </c>
      <c r="AU163" s="709">
        <v>0</v>
      </c>
      <c r="AV163" s="709">
        <v>0</v>
      </c>
      <c r="AW163" s="709">
        <v>0</v>
      </c>
      <c r="AX163" s="709">
        <v>0</v>
      </c>
    </row>
    <row r="164" spans="2:50" ht="13.2" x14ac:dyDescent="0.2">
      <c r="B164" s="290" t="str">
        <f>CHIFFRAGE_TC!B165</f>
        <v>Piso tierra sobrelevado y fundaciones</v>
      </c>
      <c r="C164" s="964">
        <f>CHIFFRAGE_TC!D165</f>
        <v>50</v>
      </c>
      <c r="D164" s="725"/>
      <c r="E164" s="208">
        <f>CHIFFRAGE_TC!$M165*CHIFFRAGE_TC!$T165</f>
        <v>0</v>
      </c>
      <c r="F164" s="17">
        <f>CHIFFRAGE_TC!$M165*CHIFFRAGE_TC!$U165</f>
        <v>651248.4919499997</v>
      </c>
      <c r="G164" s="17">
        <f>CHIFFRAGE_TC!$M165*CHIFFRAGE_TC!$V165</f>
        <v>651248.4919499997</v>
      </c>
      <c r="H164" s="204">
        <f>CHIFFRAGE_TC!$M165*CHIFFRAGE_TC!$W165</f>
        <v>0</v>
      </c>
      <c r="I164" s="709">
        <v>0</v>
      </c>
      <c r="J164" s="709">
        <v>0</v>
      </c>
      <c r="K164" s="709">
        <v>0</v>
      </c>
      <c r="L164" s="709">
        <v>0</v>
      </c>
      <c r="M164" s="709">
        <v>0</v>
      </c>
      <c r="N164" s="709">
        <v>0</v>
      </c>
      <c r="O164" s="709">
        <v>0</v>
      </c>
      <c r="P164" s="709">
        <v>0</v>
      </c>
      <c r="Q164" s="709">
        <v>0</v>
      </c>
      <c r="R164" s="709">
        <v>0</v>
      </c>
      <c r="S164" s="709">
        <v>0</v>
      </c>
      <c r="T164" s="709">
        <v>0</v>
      </c>
      <c r="U164" s="709">
        <v>0</v>
      </c>
      <c r="V164" s="709">
        <v>0</v>
      </c>
      <c r="W164" s="709">
        <v>0</v>
      </c>
      <c r="X164" s="709">
        <v>0</v>
      </c>
      <c r="Y164" s="709">
        <v>0</v>
      </c>
      <c r="Z164" s="709">
        <v>0</v>
      </c>
      <c r="AA164" s="709">
        <v>0</v>
      </c>
      <c r="AB164" s="709">
        <v>0</v>
      </c>
      <c r="AC164" s="709">
        <v>0</v>
      </c>
      <c r="AD164" s="709">
        <v>0</v>
      </c>
      <c r="AE164" s="709">
        <v>0</v>
      </c>
      <c r="AF164" s="709">
        <v>0</v>
      </c>
      <c r="AG164" s="709">
        <v>0</v>
      </c>
      <c r="AH164" s="709">
        <v>0</v>
      </c>
      <c r="AI164" s="709">
        <v>0</v>
      </c>
      <c r="AJ164" s="709">
        <v>0</v>
      </c>
      <c r="AK164" s="709">
        <v>0</v>
      </c>
      <c r="AL164" s="709">
        <v>0</v>
      </c>
      <c r="AM164" s="709">
        <v>0</v>
      </c>
      <c r="AN164" s="709">
        <v>0</v>
      </c>
      <c r="AO164" s="709">
        <v>0</v>
      </c>
      <c r="AP164" s="709">
        <v>0</v>
      </c>
      <c r="AQ164" s="709">
        <v>0</v>
      </c>
      <c r="AR164" s="709">
        <v>0</v>
      </c>
      <c r="AS164" s="709">
        <v>0</v>
      </c>
      <c r="AT164" s="709">
        <v>0</v>
      </c>
      <c r="AU164" s="709">
        <v>0</v>
      </c>
      <c r="AV164" s="709">
        <v>0</v>
      </c>
      <c r="AW164" s="709">
        <v>0</v>
      </c>
      <c r="AX164" s="709">
        <v>0</v>
      </c>
    </row>
    <row r="165" spans="2:50" ht="13.2" x14ac:dyDescent="0.2">
      <c r="B165" s="290" t="str">
        <f>CHIFFRAGE_TC!B166</f>
        <v>Superficies comerciales</v>
      </c>
      <c r="C165" s="964">
        <f>CHIFFRAGE_TC!D166</f>
        <v>50</v>
      </c>
      <c r="D165" s="725"/>
      <c r="E165" s="208">
        <f>CHIFFRAGE_TC!$M166*CHIFFRAGE_TC!$T166</f>
        <v>0</v>
      </c>
      <c r="F165" s="17">
        <f>CHIFFRAGE_TC!$M166*CHIFFRAGE_TC!$U166</f>
        <v>0</v>
      </c>
      <c r="G165" s="17">
        <f>CHIFFRAGE_TC!$M166*CHIFFRAGE_TC!$V166</f>
        <v>0</v>
      </c>
      <c r="H165" s="204">
        <f>CHIFFRAGE_TC!$M166*CHIFFRAGE_TC!$W166</f>
        <v>0</v>
      </c>
      <c r="I165" s="709">
        <v>0</v>
      </c>
      <c r="J165" s="709">
        <v>0</v>
      </c>
      <c r="K165" s="709">
        <v>0</v>
      </c>
      <c r="L165" s="709">
        <v>0</v>
      </c>
      <c r="M165" s="709">
        <v>0</v>
      </c>
      <c r="N165" s="709">
        <v>0</v>
      </c>
      <c r="O165" s="709">
        <v>0</v>
      </c>
      <c r="P165" s="709">
        <v>0</v>
      </c>
      <c r="Q165" s="709">
        <v>0</v>
      </c>
      <c r="R165" s="709">
        <v>0</v>
      </c>
      <c r="S165" s="709">
        <v>0</v>
      </c>
      <c r="T165" s="709">
        <v>0</v>
      </c>
      <c r="U165" s="709">
        <v>0</v>
      </c>
      <c r="V165" s="709">
        <v>0</v>
      </c>
      <c r="W165" s="709">
        <v>0</v>
      </c>
      <c r="X165" s="709">
        <v>0</v>
      </c>
      <c r="Y165" s="709">
        <v>0</v>
      </c>
      <c r="Z165" s="709">
        <v>0</v>
      </c>
      <c r="AA165" s="709">
        <v>0</v>
      </c>
      <c r="AB165" s="709">
        <v>0</v>
      </c>
      <c r="AC165" s="709">
        <v>0</v>
      </c>
      <c r="AD165" s="709">
        <v>0</v>
      </c>
      <c r="AE165" s="709">
        <v>0</v>
      </c>
      <c r="AF165" s="709">
        <v>0</v>
      </c>
      <c r="AG165" s="709">
        <v>0</v>
      </c>
      <c r="AH165" s="709">
        <v>0</v>
      </c>
      <c r="AI165" s="709">
        <v>0</v>
      </c>
      <c r="AJ165" s="709">
        <v>0</v>
      </c>
      <c r="AK165" s="709">
        <v>0</v>
      </c>
      <c r="AL165" s="709">
        <v>0</v>
      </c>
      <c r="AM165" s="709">
        <v>0</v>
      </c>
      <c r="AN165" s="709">
        <v>0</v>
      </c>
      <c r="AO165" s="709">
        <v>0</v>
      </c>
      <c r="AP165" s="709">
        <v>0</v>
      </c>
      <c r="AQ165" s="709">
        <v>0</v>
      </c>
      <c r="AR165" s="709">
        <v>0</v>
      </c>
      <c r="AS165" s="709">
        <v>0</v>
      </c>
      <c r="AT165" s="709">
        <v>0</v>
      </c>
      <c r="AU165" s="709">
        <v>0</v>
      </c>
      <c r="AV165" s="709">
        <v>0</v>
      </c>
      <c r="AW165" s="709">
        <v>0</v>
      </c>
      <c r="AX165" s="709">
        <v>0</v>
      </c>
    </row>
    <row r="166" spans="2:50" ht="26.4" x14ac:dyDescent="0.2">
      <c r="B166" s="292" t="str">
        <f>CHIFFRAGE_TC!B167</f>
        <v xml:space="preserve">Ingreso y circulaciones al piso tierra 
(y/c servicios, escaleras mecanicas, escaleras y ascencores) </v>
      </c>
      <c r="C166" s="964">
        <f>CHIFFRAGE_TC!D167</f>
        <v>40</v>
      </c>
      <c r="D166" s="725"/>
      <c r="E166" s="208">
        <f>CHIFFRAGE_TC!$M167*CHIFFRAGE_TC!$T167</f>
        <v>0</v>
      </c>
      <c r="F166" s="17">
        <f>CHIFFRAGE_TC!$M167*CHIFFRAGE_TC!$U167</f>
        <v>91929.768659749971</v>
      </c>
      <c r="G166" s="17">
        <f>CHIFFRAGE_TC!$M167*CHIFFRAGE_TC!$V167</f>
        <v>275789.30597924988</v>
      </c>
      <c r="H166" s="204">
        <f>CHIFFRAGE_TC!$M167*CHIFFRAGE_TC!$W167</f>
        <v>0</v>
      </c>
      <c r="I166" s="709">
        <v>0</v>
      </c>
      <c r="J166" s="709">
        <v>0</v>
      </c>
      <c r="K166" s="709">
        <v>0</v>
      </c>
      <c r="L166" s="709">
        <v>0</v>
      </c>
      <c r="M166" s="709">
        <v>0</v>
      </c>
      <c r="N166" s="709">
        <v>0</v>
      </c>
      <c r="O166" s="709">
        <v>0</v>
      </c>
      <c r="P166" s="709">
        <v>0</v>
      </c>
      <c r="Q166" s="709">
        <v>0</v>
      </c>
      <c r="R166" s="709">
        <v>0</v>
      </c>
      <c r="S166" s="709">
        <v>0</v>
      </c>
      <c r="T166" s="709">
        <v>0</v>
      </c>
      <c r="U166" s="709">
        <v>0</v>
      </c>
      <c r="V166" s="709">
        <v>0</v>
      </c>
      <c r="W166" s="709">
        <v>0</v>
      </c>
      <c r="X166" s="709">
        <v>0</v>
      </c>
      <c r="Y166" s="709">
        <v>0</v>
      </c>
      <c r="Z166" s="709">
        <v>0</v>
      </c>
      <c r="AA166" s="709">
        <v>0</v>
      </c>
      <c r="AB166" s="709">
        <v>0</v>
      </c>
      <c r="AC166" s="709">
        <v>0</v>
      </c>
      <c r="AD166" s="709">
        <v>0</v>
      </c>
      <c r="AE166" s="709">
        <v>0</v>
      </c>
      <c r="AF166" s="709">
        <v>0</v>
      </c>
      <c r="AG166" s="709">
        <v>0</v>
      </c>
      <c r="AH166" s="709">
        <v>0</v>
      </c>
      <c r="AI166" s="709">
        <v>0</v>
      </c>
      <c r="AJ166" s="709">
        <v>0</v>
      </c>
      <c r="AK166" s="709">
        <v>0</v>
      </c>
      <c r="AL166" s="709">
        <v>0</v>
      </c>
      <c r="AM166" s="709">
        <v>0</v>
      </c>
      <c r="AN166" s="709">
        <v>0</v>
      </c>
      <c r="AO166" s="709">
        <v>0</v>
      </c>
      <c r="AP166" s="709">
        <v>0</v>
      </c>
      <c r="AQ166" s="709">
        <v>0</v>
      </c>
      <c r="AR166" s="709">
        <v>0</v>
      </c>
      <c r="AS166" s="709">
        <v>0</v>
      </c>
      <c r="AT166" s="709">
        <v>0</v>
      </c>
      <c r="AU166" s="709">
        <v>0</v>
      </c>
      <c r="AV166" s="709">
        <v>0</v>
      </c>
      <c r="AW166" s="709">
        <v>0</v>
      </c>
      <c r="AX166" s="709">
        <v>0</v>
      </c>
    </row>
    <row r="167" spans="2:50" ht="26.4" x14ac:dyDescent="0.2">
      <c r="B167" s="292" t="str">
        <f>CHIFFRAGE_TC!B168</f>
        <v>Escaleras mecanicas, escaleras y ascencores adicionales 
(piso tierra sobrelevado)</v>
      </c>
      <c r="C167" s="964">
        <f>CHIFFRAGE_TC!D168</f>
        <v>15</v>
      </c>
      <c r="D167" s="725"/>
      <c r="E167" s="208">
        <f>CHIFFRAGE_TC!$M168*CHIFFRAGE_TC!$T168</f>
        <v>0</v>
      </c>
      <c r="F167" s="17">
        <f>CHIFFRAGE_TC!$M168*CHIFFRAGE_TC!$U168</f>
        <v>0</v>
      </c>
      <c r="G167" s="17">
        <f>CHIFFRAGE_TC!$M168*CHIFFRAGE_TC!$V168</f>
        <v>0</v>
      </c>
      <c r="H167" s="204">
        <f>CHIFFRAGE_TC!$M168*CHIFFRAGE_TC!$W168</f>
        <v>0</v>
      </c>
      <c r="I167" s="709">
        <v>0</v>
      </c>
      <c r="J167" s="709">
        <v>0</v>
      </c>
      <c r="K167" s="709">
        <v>0</v>
      </c>
      <c r="L167" s="709">
        <v>0</v>
      </c>
      <c r="M167" s="709">
        <v>0</v>
      </c>
      <c r="N167" s="709">
        <v>0</v>
      </c>
      <c r="O167" s="709">
        <v>0</v>
      </c>
      <c r="P167" s="709">
        <v>0</v>
      </c>
      <c r="Q167" s="709">
        <v>0</v>
      </c>
      <c r="R167" s="709">
        <v>0</v>
      </c>
      <c r="S167" s="709">
        <v>0</v>
      </c>
      <c r="T167" s="709">
        <v>0</v>
      </c>
      <c r="U167" s="709">
        <v>0</v>
      </c>
      <c r="V167" s="709">
        <v>0</v>
      </c>
      <c r="W167" s="729">
        <f>F167</f>
        <v>0</v>
      </c>
      <c r="X167" s="729">
        <f>G167</f>
        <v>0</v>
      </c>
      <c r="Y167" s="729">
        <f>H167</f>
        <v>0</v>
      </c>
      <c r="Z167" s="709">
        <v>0</v>
      </c>
      <c r="AA167" s="709">
        <v>0</v>
      </c>
      <c r="AB167" s="709">
        <v>0</v>
      </c>
      <c r="AC167" s="709">
        <v>0</v>
      </c>
      <c r="AD167" s="709">
        <v>0</v>
      </c>
      <c r="AE167" s="709">
        <v>0</v>
      </c>
      <c r="AF167" s="709">
        <v>0</v>
      </c>
      <c r="AG167" s="709">
        <v>0</v>
      </c>
      <c r="AH167" s="709">
        <v>0</v>
      </c>
      <c r="AI167" s="709">
        <v>0</v>
      </c>
      <c r="AJ167" s="709">
        <v>0</v>
      </c>
      <c r="AK167" s="709">
        <v>0</v>
      </c>
      <c r="AL167" s="709">
        <v>0</v>
      </c>
      <c r="AM167" s="709">
        <v>0</v>
      </c>
      <c r="AN167" s="729">
        <f>F167</f>
        <v>0</v>
      </c>
      <c r="AO167" s="729">
        <f t="shared" ref="AO167" si="49">G167</f>
        <v>0</v>
      </c>
      <c r="AP167" s="729">
        <f t="shared" ref="AP167" si="50">H167</f>
        <v>0</v>
      </c>
      <c r="AQ167" s="709">
        <v>0</v>
      </c>
      <c r="AR167" s="709">
        <v>0</v>
      </c>
      <c r="AS167" s="709">
        <v>0</v>
      </c>
      <c r="AT167" s="709">
        <v>0</v>
      </c>
      <c r="AU167" s="709">
        <v>0</v>
      </c>
      <c r="AV167" s="709">
        <v>0</v>
      </c>
      <c r="AW167" s="709">
        <v>0</v>
      </c>
      <c r="AX167" s="709">
        <v>0</v>
      </c>
    </row>
    <row r="168" spans="2:50" ht="13.2" x14ac:dyDescent="0.2">
      <c r="B168" s="290" t="str">
        <f>CHIFFRAGE_TC!B169</f>
        <v>Anden al primer piso</v>
      </c>
      <c r="C168" s="964">
        <f>CHIFFRAGE_TC!D169</f>
        <v>50</v>
      </c>
      <c r="D168" s="725"/>
      <c r="E168" s="208">
        <f>CHIFFRAGE_TC!$M169*CHIFFRAGE_TC!$T169</f>
        <v>0</v>
      </c>
      <c r="F168" s="17">
        <f>CHIFFRAGE_TC!$M169*CHIFFRAGE_TC!$U169</f>
        <v>26280.590185565616</v>
      </c>
      <c r="G168" s="17">
        <f>CHIFFRAGE_TC!$M169*CHIFFRAGE_TC!$V169</f>
        <v>78841.770556696851</v>
      </c>
      <c r="H168" s="204">
        <f>CHIFFRAGE_TC!$M169*CHIFFRAGE_TC!$W169</f>
        <v>0</v>
      </c>
      <c r="I168" s="709">
        <v>0</v>
      </c>
      <c r="J168" s="709">
        <v>0</v>
      </c>
      <c r="K168" s="709">
        <v>0</v>
      </c>
      <c r="L168" s="709">
        <v>0</v>
      </c>
      <c r="M168" s="709">
        <v>0</v>
      </c>
      <c r="N168" s="709">
        <v>0</v>
      </c>
      <c r="O168" s="709">
        <v>0</v>
      </c>
      <c r="P168" s="709">
        <v>0</v>
      </c>
      <c r="Q168" s="709">
        <v>0</v>
      </c>
      <c r="R168" s="709">
        <v>0</v>
      </c>
      <c r="S168" s="709">
        <v>0</v>
      </c>
      <c r="T168" s="709">
        <v>0</v>
      </c>
      <c r="U168" s="709">
        <v>0</v>
      </c>
      <c r="V168" s="709">
        <v>0</v>
      </c>
      <c r="W168" s="709">
        <v>0</v>
      </c>
      <c r="X168" s="709">
        <v>0</v>
      </c>
      <c r="Y168" s="709">
        <v>0</v>
      </c>
      <c r="Z168" s="709">
        <v>0</v>
      </c>
      <c r="AA168" s="709">
        <v>0</v>
      </c>
      <c r="AB168" s="709">
        <v>0</v>
      </c>
      <c r="AC168" s="709">
        <v>0</v>
      </c>
      <c r="AD168" s="709">
        <v>0</v>
      </c>
      <c r="AE168" s="709">
        <v>0</v>
      </c>
      <c r="AF168" s="709">
        <v>0</v>
      </c>
      <c r="AG168" s="709">
        <v>0</v>
      </c>
      <c r="AH168" s="709">
        <v>0</v>
      </c>
      <c r="AI168" s="709">
        <v>0</v>
      </c>
      <c r="AJ168" s="709">
        <v>0</v>
      </c>
      <c r="AK168" s="709">
        <v>0</v>
      </c>
      <c r="AL168" s="709">
        <v>0</v>
      </c>
      <c r="AM168" s="709">
        <v>0</v>
      </c>
      <c r="AN168" s="709">
        <v>0</v>
      </c>
      <c r="AO168" s="709">
        <v>0</v>
      </c>
      <c r="AP168" s="709">
        <v>0</v>
      </c>
      <c r="AQ168" s="709">
        <v>0</v>
      </c>
      <c r="AR168" s="709">
        <v>0</v>
      </c>
      <c r="AS168" s="709">
        <v>0</v>
      </c>
      <c r="AT168" s="709">
        <v>0</v>
      </c>
      <c r="AU168" s="709">
        <v>0</v>
      </c>
      <c r="AV168" s="709">
        <v>0</v>
      </c>
      <c r="AW168" s="709">
        <v>0</v>
      </c>
      <c r="AX168" s="709">
        <v>0</v>
      </c>
    </row>
    <row r="169" spans="2:50" ht="13.2" x14ac:dyDescent="0.2">
      <c r="B169" s="290" t="str">
        <f>CHIFFRAGE_TC!B170</f>
        <v>Centro de mando + Locales tecnicos cubiertos</v>
      </c>
      <c r="C169" s="964">
        <f>CHIFFRAGE_TC!D170</f>
        <v>50</v>
      </c>
      <c r="D169" s="725"/>
      <c r="E169" s="208">
        <f>CHIFFRAGE_TC!$M170*CHIFFRAGE_TC!$T170</f>
        <v>0</v>
      </c>
      <c r="F169" s="17">
        <f>CHIFFRAGE_TC!$M170*CHIFFRAGE_TC!$U170</f>
        <v>28025.393436914987</v>
      </c>
      <c r="G169" s="17">
        <f>CHIFFRAGE_TC!$M170*CHIFFRAGE_TC!$V170</f>
        <v>84076.180310744967</v>
      </c>
      <c r="H169" s="204">
        <f>CHIFFRAGE_TC!$M170*CHIFFRAGE_TC!$W170</f>
        <v>0</v>
      </c>
      <c r="I169" s="709">
        <v>0</v>
      </c>
      <c r="J169" s="709">
        <v>0</v>
      </c>
      <c r="K169" s="709">
        <v>0</v>
      </c>
      <c r="L169" s="709">
        <v>0</v>
      </c>
      <c r="M169" s="709">
        <v>0</v>
      </c>
      <c r="N169" s="709">
        <v>0</v>
      </c>
      <c r="O169" s="709">
        <v>0</v>
      </c>
      <c r="P169" s="709">
        <v>0</v>
      </c>
      <c r="Q169" s="709">
        <v>0</v>
      </c>
      <c r="R169" s="709">
        <v>0</v>
      </c>
      <c r="S169" s="709">
        <v>0</v>
      </c>
      <c r="T169" s="709">
        <v>0</v>
      </c>
      <c r="U169" s="709">
        <v>0</v>
      </c>
      <c r="V169" s="709">
        <v>0</v>
      </c>
      <c r="W169" s="709">
        <v>0</v>
      </c>
      <c r="X169" s="709">
        <v>0</v>
      </c>
      <c r="Y169" s="709">
        <v>0</v>
      </c>
      <c r="Z169" s="709">
        <v>0</v>
      </c>
      <c r="AA169" s="709">
        <v>0</v>
      </c>
      <c r="AB169" s="709">
        <v>0</v>
      </c>
      <c r="AC169" s="709">
        <v>0</v>
      </c>
      <c r="AD169" s="709">
        <v>0</v>
      </c>
      <c r="AE169" s="709">
        <v>0</v>
      </c>
      <c r="AF169" s="709">
        <v>0</v>
      </c>
      <c r="AG169" s="709">
        <v>0</v>
      </c>
      <c r="AH169" s="709">
        <v>0</v>
      </c>
      <c r="AI169" s="709">
        <v>0</v>
      </c>
      <c r="AJ169" s="709">
        <v>0</v>
      </c>
      <c r="AK169" s="709">
        <v>0</v>
      </c>
      <c r="AL169" s="709">
        <v>0</v>
      </c>
      <c r="AM169" s="709">
        <v>0</v>
      </c>
      <c r="AN169" s="709">
        <v>0</v>
      </c>
      <c r="AO169" s="709">
        <v>0</v>
      </c>
      <c r="AP169" s="709">
        <v>0</v>
      </c>
      <c r="AQ169" s="709">
        <v>0</v>
      </c>
      <c r="AR169" s="709">
        <v>0</v>
      </c>
      <c r="AS169" s="709">
        <v>0</v>
      </c>
      <c r="AT169" s="709">
        <v>0</v>
      </c>
      <c r="AU169" s="709">
        <v>0</v>
      </c>
      <c r="AV169" s="709">
        <v>0</v>
      </c>
      <c r="AW169" s="709">
        <v>0</v>
      </c>
      <c r="AX169" s="709">
        <v>0</v>
      </c>
    </row>
    <row r="170" spans="2:50" ht="13.2" x14ac:dyDescent="0.2">
      <c r="B170" s="290" t="str">
        <f>CHIFFRAGE_TC!B171</f>
        <v xml:space="preserve">Locales tecnicos non cerrados </v>
      </c>
      <c r="C170" s="964">
        <f>CHIFFRAGE_TC!D171</f>
        <v>50</v>
      </c>
      <c r="D170" s="725"/>
      <c r="E170" s="208">
        <f>CHIFFRAGE_TC!$M171*CHIFFRAGE_TC!$T171</f>
        <v>0</v>
      </c>
      <c r="F170" s="17">
        <f>CHIFFRAGE_TC!$M171*CHIFFRAGE_TC!$U171</f>
        <v>38534.915975758107</v>
      </c>
      <c r="G170" s="17">
        <f>CHIFFRAGE_TC!$M171*CHIFFRAGE_TC!$V171</f>
        <v>115604.74792727432</v>
      </c>
      <c r="H170" s="204">
        <f>CHIFFRAGE_TC!$M171*CHIFFRAGE_TC!$W171</f>
        <v>0</v>
      </c>
      <c r="I170" s="709">
        <v>0</v>
      </c>
      <c r="J170" s="709">
        <v>0</v>
      </c>
      <c r="K170" s="709">
        <v>0</v>
      </c>
      <c r="L170" s="709">
        <v>0</v>
      </c>
      <c r="M170" s="709">
        <v>0</v>
      </c>
      <c r="N170" s="709">
        <v>0</v>
      </c>
      <c r="O170" s="709">
        <v>0</v>
      </c>
      <c r="P170" s="709">
        <v>0</v>
      </c>
      <c r="Q170" s="709">
        <v>0</v>
      </c>
      <c r="R170" s="709">
        <v>0</v>
      </c>
      <c r="S170" s="709">
        <v>0</v>
      </c>
      <c r="T170" s="709">
        <v>0</v>
      </c>
      <c r="U170" s="709">
        <v>0</v>
      </c>
      <c r="V170" s="709">
        <v>0</v>
      </c>
      <c r="W170" s="709">
        <v>0</v>
      </c>
      <c r="X170" s="709">
        <v>0</v>
      </c>
      <c r="Y170" s="709">
        <v>0</v>
      </c>
      <c r="Z170" s="709">
        <v>0</v>
      </c>
      <c r="AA170" s="709">
        <v>0</v>
      </c>
      <c r="AB170" s="709">
        <v>0</v>
      </c>
      <c r="AC170" s="709">
        <v>0</v>
      </c>
      <c r="AD170" s="709">
        <v>0</v>
      </c>
      <c r="AE170" s="709">
        <v>0</v>
      </c>
      <c r="AF170" s="709">
        <v>0</v>
      </c>
      <c r="AG170" s="709">
        <v>0</v>
      </c>
      <c r="AH170" s="709">
        <v>0</v>
      </c>
      <c r="AI170" s="709">
        <v>0</v>
      </c>
      <c r="AJ170" s="709">
        <v>0</v>
      </c>
      <c r="AK170" s="709">
        <v>0</v>
      </c>
      <c r="AL170" s="709">
        <v>0</v>
      </c>
      <c r="AM170" s="709">
        <v>0</v>
      </c>
      <c r="AN170" s="709">
        <v>0</v>
      </c>
      <c r="AO170" s="709">
        <v>0</v>
      </c>
      <c r="AP170" s="709">
        <v>0</v>
      </c>
      <c r="AQ170" s="709">
        <v>0</v>
      </c>
      <c r="AR170" s="709">
        <v>0</v>
      </c>
      <c r="AS170" s="709">
        <v>0</v>
      </c>
      <c r="AT170" s="709">
        <v>0</v>
      </c>
      <c r="AU170" s="709">
        <v>0</v>
      </c>
      <c r="AV170" s="709">
        <v>0</v>
      </c>
      <c r="AW170" s="709">
        <v>0</v>
      </c>
      <c r="AX170" s="709">
        <v>0</v>
      </c>
    </row>
    <row r="171" spans="2:50" ht="13.2" x14ac:dyDescent="0.2">
      <c r="B171" s="290" t="str">
        <f>CHIFFRAGE_TC!B172</f>
        <v>Adecuacion urbana 
(demolicion, reconstruccion, mobiliario urbano, paisaje)</v>
      </c>
      <c r="C171" s="964">
        <f>CHIFFRAGE_TC!D172</f>
        <v>50</v>
      </c>
      <c r="D171" s="725"/>
      <c r="E171" s="208">
        <f>CHIFFRAGE_TC!$M172*CHIFFRAGE_TC!$T172</f>
        <v>0</v>
      </c>
      <c r="F171" s="17">
        <f>CHIFFRAGE_TC!$M172*CHIFFRAGE_TC!$U172</f>
        <v>52702.190099999985</v>
      </c>
      <c r="G171" s="17">
        <f>CHIFFRAGE_TC!$M172*CHIFFRAGE_TC!$V172</f>
        <v>52702.190099999985</v>
      </c>
      <c r="H171" s="204">
        <f>CHIFFRAGE_TC!$M172*CHIFFRAGE_TC!$W172</f>
        <v>105404.38019999997</v>
      </c>
      <c r="I171" s="709">
        <v>0</v>
      </c>
      <c r="J171" s="709">
        <v>0</v>
      </c>
      <c r="K171" s="709">
        <v>0</v>
      </c>
      <c r="L171" s="709">
        <v>0</v>
      </c>
      <c r="M171" s="709">
        <v>0</v>
      </c>
      <c r="N171" s="709">
        <v>0</v>
      </c>
      <c r="O171" s="709">
        <v>0</v>
      </c>
      <c r="P171" s="709">
        <v>0</v>
      </c>
      <c r="Q171" s="709">
        <v>0</v>
      </c>
      <c r="R171" s="709">
        <v>0</v>
      </c>
      <c r="S171" s="709">
        <v>0</v>
      </c>
      <c r="T171" s="709">
        <v>0</v>
      </c>
      <c r="U171" s="709">
        <v>0</v>
      </c>
      <c r="V171" s="709">
        <v>0</v>
      </c>
      <c r="W171" s="709">
        <v>0</v>
      </c>
      <c r="X171" s="709">
        <v>0</v>
      </c>
      <c r="Y171" s="709">
        <v>0</v>
      </c>
      <c r="Z171" s="709">
        <v>0</v>
      </c>
      <c r="AA171" s="709">
        <v>0</v>
      </c>
      <c r="AB171" s="709">
        <v>0</v>
      </c>
      <c r="AC171" s="709">
        <v>0</v>
      </c>
      <c r="AD171" s="709">
        <v>0</v>
      </c>
      <c r="AE171" s="709">
        <v>0</v>
      </c>
      <c r="AF171" s="709">
        <v>0</v>
      </c>
      <c r="AG171" s="709">
        <v>0</v>
      </c>
      <c r="AH171" s="709">
        <v>0</v>
      </c>
      <c r="AI171" s="709">
        <v>0</v>
      </c>
      <c r="AJ171" s="709">
        <v>0</v>
      </c>
      <c r="AK171" s="709">
        <v>0</v>
      </c>
      <c r="AL171" s="709">
        <v>0</v>
      </c>
      <c r="AM171" s="709">
        <v>0</v>
      </c>
      <c r="AN171" s="709">
        <v>0</v>
      </c>
      <c r="AO171" s="709">
        <v>0</v>
      </c>
      <c r="AP171" s="709">
        <v>0</v>
      </c>
      <c r="AQ171" s="709">
        <v>0</v>
      </c>
      <c r="AR171" s="709">
        <v>0</v>
      </c>
      <c r="AS171" s="709">
        <v>0</v>
      </c>
      <c r="AT171" s="709">
        <v>0</v>
      </c>
      <c r="AU171" s="709">
        <v>0</v>
      </c>
      <c r="AV171" s="709">
        <v>0</v>
      </c>
      <c r="AW171" s="709">
        <v>0</v>
      </c>
      <c r="AX171" s="709">
        <v>0</v>
      </c>
    </row>
    <row r="172" spans="2:50" ht="13.2" x14ac:dyDescent="0.2">
      <c r="B172" s="289" t="str">
        <f>CHIFFRAGE_TC!B173</f>
        <v>Pasarela</v>
      </c>
      <c r="C172" s="964">
        <f>CHIFFRAGE_TC!D173</f>
        <v>50</v>
      </c>
      <c r="D172" s="725"/>
      <c r="E172" s="208">
        <f>CHIFFRAGE_TC!$M173*CHIFFRAGE_TC!$T173</f>
        <v>0</v>
      </c>
      <c r="F172" s="17">
        <f>CHIFFRAGE_TC!$M173*CHIFFRAGE_TC!$U173</f>
        <v>0</v>
      </c>
      <c r="G172" s="17">
        <f>CHIFFRAGE_TC!$M173*CHIFFRAGE_TC!$V173</f>
        <v>0</v>
      </c>
      <c r="H172" s="204">
        <f>CHIFFRAGE_TC!$M173*CHIFFRAGE_TC!$W173</f>
        <v>0</v>
      </c>
      <c r="I172" s="709">
        <v>0</v>
      </c>
      <c r="J172" s="709">
        <v>0</v>
      </c>
      <c r="K172" s="709">
        <v>0</v>
      </c>
      <c r="L172" s="709">
        <v>0</v>
      </c>
      <c r="M172" s="709">
        <v>0</v>
      </c>
      <c r="N172" s="709">
        <v>0</v>
      </c>
      <c r="O172" s="709">
        <v>0</v>
      </c>
      <c r="P172" s="709">
        <v>0</v>
      </c>
      <c r="Q172" s="709">
        <v>0</v>
      </c>
      <c r="R172" s="709">
        <v>0</v>
      </c>
      <c r="S172" s="709">
        <v>0</v>
      </c>
      <c r="T172" s="709">
        <v>0</v>
      </c>
      <c r="U172" s="709">
        <v>0</v>
      </c>
      <c r="V172" s="709">
        <v>0</v>
      </c>
      <c r="W172" s="709">
        <v>0</v>
      </c>
      <c r="X172" s="709">
        <v>0</v>
      </c>
      <c r="Y172" s="709">
        <v>0</v>
      </c>
      <c r="Z172" s="709">
        <v>0</v>
      </c>
      <c r="AA172" s="709">
        <v>0</v>
      </c>
      <c r="AB172" s="709">
        <v>0</v>
      </c>
      <c r="AC172" s="709">
        <v>0</v>
      </c>
      <c r="AD172" s="709">
        <v>0</v>
      </c>
      <c r="AE172" s="709">
        <v>0</v>
      </c>
      <c r="AF172" s="709">
        <v>0</v>
      </c>
      <c r="AG172" s="709">
        <v>0</v>
      </c>
      <c r="AH172" s="709">
        <v>0</v>
      </c>
      <c r="AI172" s="709">
        <v>0</v>
      </c>
      <c r="AJ172" s="709">
        <v>0</v>
      </c>
      <c r="AK172" s="709">
        <v>0</v>
      </c>
      <c r="AL172" s="709">
        <v>0</v>
      </c>
      <c r="AM172" s="709">
        <v>0</v>
      </c>
      <c r="AN172" s="709">
        <v>0</v>
      </c>
      <c r="AO172" s="709">
        <v>0</v>
      </c>
      <c r="AP172" s="709">
        <v>0</v>
      </c>
      <c r="AQ172" s="709">
        <v>0</v>
      </c>
      <c r="AR172" s="709">
        <v>0</v>
      </c>
      <c r="AS172" s="709">
        <v>0</v>
      </c>
      <c r="AT172" s="709">
        <v>0</v>
      </c>
      <c r="AU172" s="709">
        <v>0</v>
      </c>
      <c r="AV172" s="709">
        <v>0</v>
      </c>
      <c r="AW172" s="709">
        <v>0</v>
      </c>
      <c r="AX172" s="709">
        <v>0</v>
      </c>
    </row>
    <row r="173" spans="2:50" ht="13.8" thickBot="1" x14ac:dyDescent="0.25">
      <c r="B173" s="294"/>
      <c r="C173" s="964"/>
      <c r="D173" s="725"/>
      <c r="E173" s="208"/>
      <c r="F173" s="17"/>
      <c r="G173" s="17"/>
      <c r="H173" s="204"/>
      <c r="I173" s="69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</row>
    <row r="174" spans="2:50" ht="16.2" thickBot="1" x14ac:dyDescent="0.25">
      <c r="B174" s="288" t="str">
        <f>CHIFFRAGE_TC!B175</f>
        <v xml:space="preserve">Centro(s) de mantenimiento </v>
      </c>
      <c r="C174" s="964"/>
      <c r="D174" s="725">
        <f>CHIFFRAGE_TC!K175</f>
        <v>0.25</v>
      </c>
      <c r="E174" s="209">
        <f>SUM(E175:E181)</f>
        <v>0</v>
      </c>
      <c r="F174" s="196">
        <f>SUM(F175:F181)</f>
        <v>1044939.8596252309</v>
      </c>
      <c r="G174" s="196">
        <f>SUM(G175:G181)</f>
        <v>2584666.7287848108</v>
      </c>
      <c r="H174" s="197">
        <f>SUM(H175:H181)</f>
        <v>694974.07663650764</v>
      </c>
      <c r="I174" s="698">
        <f t="shared" ref="I174:AX174" si="51">SUM(I175:I181)</f>
        <v>0</v>
      </c>
      <c r="J174" s="699">
        <f t="shared" si="51"/>
        <v>0</v>
      </c>
      <c r="K174" s="699">
        <f t="shared" si="51"/>
        <v>0</v>
      </c>
      <c r="L174" s="699">
        <f t="shared" si="51"/>
        <v>0</v>
      </c>
      <c r="M174" s="699">
        <f t="shared" si="51"/>
        <v>0</v>
      </c>
      <c r="N174" s="699">
        <f t="shared" si="51"/>
        <v>0</v>
      </c>
      <c r="O174" s="699">
        <f t="shared" si="51"/>
        <v>0</v>
      </c>
      <c r="P174" s="699">
        <f t="shared" si="51"/>
        <v>0</v>
      </c>
      <c r="Q174" s="699">
        <f t="shared" si="51"/>
        <v>0</v>
      </c>
      <c r="R174" s="699">
        <f t="shared" si="51"/>
        <v>0</v>
      </c>
      <c r="S174" s="699">
        <f t="shared" si="51"/>
        <v>0</v>
      </c>
      <c r="T174" s="699">
        <f t="shared" si="51"/>
        <v>0</v>
      </c>
      <c r="U174" s="699">
        <f t="shared" si="51"/>
        <v>0</v>
      </c>
      <c r="V174" s="699">
        <f t="shared" si="51"/>
        <v>0</v>
      </c>
      <c r="W174" s="699">
        <f t="shared" si="51"/>
        <v>0</v>
      </c>
      <c r="X174" s="699">
        <f t="shared" si="51"/>
        <v>108615.91990921872</v>
      </c>
      <c r="Y174" s="699">
        <f t="shared" si="51"/>
        <v>36205.30663640624</v>
      </c>
      <c r="Z174" s="699">
        <f t="shared" si="51"/>
        <v>0</v>
      </c>
      <c r="AA174" s="699">
        <f t="shared" si="51"/>
        <v>0</v>
      </c>
      <c r="AB174" s="699">
        <f t="shared" si="51"/>
        <v>0</v>
      </c>
      <c r="AC174" s="699">
        <f t="shared" si="51"/>
        <v>0</v>
      </c>
      <c r="AD174" s="699">
        <f t="shared" si="51"/>
        <v>0</v>
      </c>
      <c r="AE174" s="699">
        <f t="shared" si="51"/>
        <v>0</v>
      </c>
      <c r="AF174" s="699">
        <f t="shared" si="51"/>
        <v>0</v>
      </c>
      <c r="AG174" s="699">
        <f t="shared" si="51"/>
        <v>0</v>
      </c>
      <c r="AH174" s="699">
        <f t="shared" si="51"/>
        <v>0</v>
      </c>
      <c r="AI174" s="699">
        <f t="shared" si="51"/>
        <v>0</v>
      </c>
      <c r="AJ174" s="699">
        <f t="shared" si="51"/>
        <v>0</v>
      </c>
      <c r="AK174" s="699">
        <f t="shared" si="51"/>
        <v>0</v>
      </c>
      <c r="AL174" s="699">
        <f t="shared" si="51"/>
        <v>0</v>
      </c>
      <c r="AM174" s="699">
        <f t="shared" si="51"/>
        <v>0</v>
      </c>
      <c r="AN174" s="700">
        <f t="shared" si="51"/>
        <v>0</v>
      </c>
      <c r="AO174" s="700">
        <f t="shared" si="51"/>
        <v>0</v>
      </c>
      <c r="AP174" s="700">
        <f t="shared" si="51"/>
        <v>0</v>
      </c>
      <c r="AQ174" s="700">
        <f t="shared" si="51"/>
        <v>0</v>
      </c>
      <c r="AR174" s="700">
        <f t="shared" si="51"/>
        <v>0</v>
      </c>
      <c r="AS174" s="700">
        <f t="shared" si="51"/>
        <v>0</v>
      </c>
      <c r="AT174" s="700">
        <f t="shared" si="51"/>
        <v>0</v>
      </c>
      <c r="AU174" s="700">
        <f t="shared" si="51"/>
        <v>0</v>
      </c>
      <c r="AV174" s="700">
        <f t="shared" si="51"/>
        <v>0</v>
      </c>
      <c r="AW174" s="700">
        <f t="shared" si="51"/>
        <v>0</v>
      </c>
      <c r="AX174" s="700">
        <f t="shared" si="51"/>
        <v>0</v>
      </c>
    </row>
    <row r="175" spans="2:50" ht="13.2" x14ac:dyDescent="0.2">
      <c r="B175" s="290" t="str">
        <f>CHIFFRAGE_TC!B176</f>
        <v>Zona de almacenamiento de tipo local industrial</v>
      </c>
      <c r="C175" s="964">
        <f>CHIFFRAGE_TC!D176</f>
        <v>50</v>
      </c>
      <c r="D175" s="725"/>
      <c r="E175" s="208">
        <f>CHIFFRAGE_TC!$M176*CHIFFRAGE_TC!$T176</f>
        <v>0</v>
      </c>
      <c r="F175" s="17">
        <f>CHIFFRAGE_TC!$M176*CHIFFRAGE_TC!$U176</f>
        <v>286909.96531041717</v>
      </c>
      <c r="G175" s="17">
        <f>CHIFFRAGE_TC!$M176*CHIFFRAGE_TC!$V176</f>
        <v>860729.89593125158</v>
      </c>
      <c r="H175" s="204">
        <f>CHIFFRAGE_TC!$M176*CHIFFRAGE_TC!$W176</f>
        <v>0</v>
      </c>
      <c r="I175" s="709">
        <v>0</v>
      </c>
      <c r="J175" s="709">
        <v>0</v>
      </c>
      <c r="K175" s="709">
        <v>0</v>
      </c>
      <c r="L175" s="709">
        <v>0</v>
      </c>
      <c r="M175" s="709">
        <v>0</v>
      </c>
      <c r="N175" s="709">
        <v>0</v>
      </c>
      <c r="O175" s="709">
        <v>0</v>
      </c>
      <c r="P175" s="709">
        <v>0</v>
      </c>
      <c r="Q175" s="709">
        <v>0</v>
      </c>
      <c r="R175" s="709">
        <v>0</v>
      </c>
      <c r="S175" s="709">
        <v>0</v>
      </c>
      <c r="T175" s="709">
        <v>0</v>
      </c>
      <c r="U175" s="709">
        <v>0</v>
      </c>
      <c r="V175" s="709">
        <v>0</v>
      </c>
      <c r="W175" s="709">
        <v>0</v>
      </c>
      <c r="X175" s="709">
        <v>0</v>
      </c>
      <c r="Y175" s="709">
        <v>0</v>
      </c>
      <c r="Z175" s="709">
        <v>0</v>
      </c>
      <c r="AA175" s="709">
        <v>0</v>
      </c>
      <c r="AB175" s="709">
        <v>0</v>
      </c>
      <c r="AC175" s="709">
        <v>0</v>
      </c>
      <c r="AD175" s="709">
        <v>0</v>
      </c>
      <c r="AE175" s="709">
        <v>0</v>
      </c>
      <c r="AF175" s="709">
        <v>0</v>
      </c>
      <c r="AG175" s="709">
        <v>0</v>
      </c>
      <c r="AH175" s="709">
        <v>0</v>
      </c>
      <c r="AI175" s="709">
        <v>0</v>
      </c>
      <c r="AJ175" s="709">
        <v>0</v>
      </c>
      <c r="AK175" s="709">
        <v>0</v>
      </c>
      <c r="AL175" s="709">
        <v>0</v>
      </c>
      <c r="AM175" s="709">
        <v>0</v>
      </c>
      <c r="AN175" s="709">
        <v>0</v>
      </c>
      <c r="AO175" s="709">
        <v>0</v>
      </c>
      <c r="AP175" s="709">
        <v>0</v>
      </c>
      <c r="AQ175" s="709">
        <v>0</v>
      </c>
      <c r="AR175" s="709">
        <v>0</v>
      </c>
      <c r="AS175" s="709">
        <v>0</v>
      </c>
      <c r="AT175" s="709">
        <v>0</v>
      </c>
      <c r="AU175" s="709">
        <v>0</v>
      </c>
      <c r="AV175" s="709">
        <v>0</v>
      </c>
      <c r="AW175" s="709">
        <v>0</v>
      </c>
      <c r="AX175" s="709">
        <v>0</v>
      </c>
    </row>
    <row r="176" spans="2:50" ht="13.2" x14ac:dyDescent="0.2">
      <c r="B176" s="290" t="str">
        <f>CHIFFRAGE_TC!B177</f>
        <v>Almacen y taller</v>
      </c>
      <c r="C176" s="964">
        <f>CHIFFRAGE_TC!D177</f>
        <v>50</v>
      </c>
      <c r="D176" s="725"/>
      <c r="E176" s="208">
        <f>CHIFFRAGE_TC!$M177*CHIFFRAGE_TC!$T177</f>
        <v>0</v>
      </c>
      <c r="F176" s="17">
        <f>CHIFFRAGE_TC!$M177*CHIFFRAGE_TC!$U177</f>
        <v>62038.202696695276</v>
      </c>
      <c r="G176" s="17">
        <f>CHIFFRAGE_TC!$M177*CHIFFRAGE_TC!$V177</f>
        <v>186114.60809008582</v>
      </c>
      <c r="H176" s="204">
        <f>CHIFFRAGE_TC!$M177*CHIFFRAGE_TC!$W177</f>
        <v>0</v>
      </c>
      <c r="I176" s="709">
        <v>0</v>
      </c>
      <c r="J176" s="709">
        <v>0</v>
      </c>
      <c r="K176" s="709">
        <v>0</v>
      </c>
      <c r="L176" s="709">
        <v>0</v>
      </c>
      <c r="M176" s="709">
        <v>0</v>
      </c>
      <c r="N176" s="709">
        <v>0</v>
      </c>
      <c r="O176" s="709">
        <v>0</v>
      </c>
      <c r="P176" s="709">
        <v>0</v>
      </c>
      <c r="Q176" s="709">
        <v>0</v>
      </c>
      <c r="R176" s="709">
        <v>0</v>
      </c>
      <c r="S176" s="709">
        <v>0</v>
      </c>
      <c r="T176" s="709">
        <v>0</v>
      </c>
      <c r="U176" s="709">
        <v>0</v>
      </c>
      <c r="V176" s="709">
        <v>0</v>
      </c>
      <c r="W176" s="709">
        <v>0</v>
      </c>
      <c r="X176" s="709">
        <v>0</v>
      </c>
      <c r="Y176" s="709">
        <v>0</v>
      </c>
      <c r="Z176" s="709">
        <v>0</v>
      </c>
      <c r="AA176" s="709">
        <v>0</v>
      </c>
      <c r="AB176" s="709">
        <v>0</v>
      </c>
      <c r="AC176" s="709">
        <v>0</v>
      </c>
      <c r="AD176" s="709">
        <v>0</v>
      </c>
      <c r="AE176" s="709">
        <v>0</v>
      </c>
      <c r="AF176" s="709">
        <v>0</v>
      </c>
      <c r="AG176" s="709">
        <v>0</v>
      </c>
      <c r="AH176" s="709">
        <v>0</v>
      </c>
      <c r="AI176" s="709">
        <v>0</v>
      </c>
      <c r="AJ176" s="709">
        <v>0</v>
      </c>
      <c r="AK176" s="709">
        <v>0</v>
      </c>
      <c r="AL176" s="709">
        <v>0</v>
      </c>
      <c r="AM176" s="709">
        <v>0</v>
      </c>
      <c r="AN176" s="709">
        <v>0</v>
      </c>
      <c r="AO176" s="709">
        <v>0</v>
      </c>
      <c r="AP176" s="709">
        <v>0</v>
      </c>
      <c r="AQ176" s="709">
        <v>0</v>
      </c>
      <c r="AR176" s="709">
        <v>0</v>
      </c>
      <c r="AS176" s="709">
        <v>0</v>
      </c>
      <c r="AT176" s="709">
        <v>0</v>
      </c>
      <c r="AU176" s="709">
        <v>0</v>
      </c>
      <c r="AV176" s="709">
        <v>0</v>
      </c>
      <c r="AW176" s="709">
        <v>0</v>
      </c>
      <c r="AX176" s="709">
        <v>0</v>
      </c>
    </row>
    <row r="177" spans="2:50" ht="13.2" x14ac:dyDescent="0.2">
      <c r="B177" s="290" t="str">
        <f>CHIFFRAGE_TC!B178</f>
        <v>Local de supervision</v>
      </c>
      <c r="C177" s="964">
        <f>CHIFFRAGE_TC!D178</f>
        <v>50</v>
      </c>
      <c r="D177" s="725"/>
      <c r="E177" s="208">
        <f>CHIFFRAGE_TC!$M178*CHIFFRAGE_TC!$T178</f>
        <v>0</v>
      </c>
      <c r="F177" s="17">
        <f>CHIFFRAGE_TC!$M178*CHIFFRAGE_TC!$U178</f>
        <v>37222.921618017164</v>
      </c>
      <c r="G177" s="17">
        <f>CHIFFRAGE_TC!$M178*CHIFFRAGE_TC!$V178</f>
        <v>111668.76485405149</v>
      </c>
      <c r="H177" s="204">
        <f>CHIFFRAGE_TC!$M178*CHIFFRAGE_TC!$W178</f>
        <v>0</v>
      </c>
      <c r="I177" s="709">
        <v>0</v>
      </c>
      <c r="J177" s="709">
        <v>0</v>
      </c>
      <c r="K177" s="709">
        <v>0</v>
      </c>
      <c r="L177" s="709">
        <v>0</v>
      </c>
      <c r="M177" s="709">
        <v>0</v>
      </c>
      <c r="N177" s="709">
        <v>0</v>
      </c>
      <c r="O177" s="709">
        <v>0</v>
      </c>
      <c r="P177" s="709">
        <v>0</v>
      </c>
      <c r="Q177" s="709">
        <v>0</v>
      </c>
      <c r="R177" s="709">
        <v>0</v>
      </c>
      <c r="S177" s="709">
        <v>0</v>
      </c>
      <c r="T177" s="709">
        <v>0</v>
      </c>
      <c r="U177" s="709">
        <v>0</v>
      </c>
      <c r="V177" s="709">
        <v>0</v>
      </c>
      <c r="W177" s="709">
        <v>0</v>
      </c>
      <c r="X177" s="709">
        <v>0</v>
      </c>
      <c r="Y177" s="709">
        <v>0</v>
      </c>
      <c r="Z177" s="709">
        <v>0</v>
      </c>
      <c r="AA177" s="709">
        <v>0</v>
      </c>
      <c r="AB177" s="709">
        <v>0</v>
      </c>
      <c r="AC177" s="709">
        <v>0</v>
      </c>
      <c r="AD177" s="709">
        <v>0</v>
      </c>
      <c r="AE177" s="709">
        <v>0</v>
      </c>
      <c r="AF177" s="709">
        <v>0</v>
      </c>
      <c r="AG177" s="709">
        <v>0</v>
      </c>
      <c r="AH177" s="709">
        <v>0</v>
      </c>
      <c r="AI177" s="709">
        <v>0</v>
      </c>
      <c r="AJ177" s="709">
        <v>0</v>
      </c>
      <c r="AK177" s="709">
        <v>0</v>
      </c>
      <c r="AL177" s="709">
        <v>0</v>
      </c>
      <c r="AM177" s="709">
        <v>0</v>
      </c>
      <c r="AN177" s="709">
        <v>0</v>
      </c>
      <c r="AO177" s="709">
        <v>0</v>
      </c>
      <c r="AP177" s="709">
        <v>0</v>
      </c>
      <c r="AQ177" s="709">
        <v>0</v>
      </c>
      <c r="AR177" s="709">
        <v>0</v>
      </c>
      <c r="AS177" s="709">
        <v>0</v>
      </c>
      <c r="AT177" s="709">
        <v>0</v>
      </c>
      <c r="AU177" s="709">
        <v>0</v>
      </c>
      <c r="AV177" s="709">
        <v>0</v>
      </c>
      <c r="AW177" s="709">
        <v>0</v>
      </c>
      <c r="AX177" s="709">
        <v>0</v>
      </c>
    </row>
    <row r="178" spans="2:50" ht="13.2" x14ac:dyDescent="0.2">
      <c r="B178" s="290" t="str">
        <f>CHIFFRAGE_TC!B179</f>
        <v>Transporte cabinas</v>
      </c>
      <c r="C178" s="964">
        <f>CHIFFRAGE_TC!D179</f>
        <v>40</v>
      </c>
      <c r="D178" s="725"/>
      <c r="E178" s="208">
        <f>CHIFFRAGE_TC!$M179*CHIFFRAGE_TC!$T179</f>
        <v>0</v>
      </c>
      <c r="F178" s="17">
        <f>CHIFFRAGE_TC!$M179*CHIFFRAGE_TC!$U179</f>
        <v>476828.65455597261</v>
      </c>
      <c r="G178" s="17">
        <f>CHIFFRAGE_TC!$M179*CHIFFRAGE_TC!$V179</f>
        <v>953657.30911194521</v>
      </c>
      <c r="H178" s="204">
        <f>CHIFFRAGE_TC!$M179*CHIFFRAGE_TC!$W179</f>
        <v>476828.65455597261</v>
      </c>
      <c r="I178" s="709">
        <v>0</v>
      </c>
      <c r="J178" s="709">
        <v>0</v>
      </c>
      <c r="K178" s="709">
        <v>0</v>
      </c>
      <c r="L178" s="709">
        <v>0</v>
      </c>
      <c r="M178" s="709">
        <v>0</v>
      </c>
      <c r="N178" s="709">
        <v>0</v>
      </c>
      <c r="O178" s="709">
        <v>0</v>
      </c>
      <c r="P178" s="709">
        <v>0</v>
      </c>
      <c r="Q178" s="709">
        <v>0</v>
      </c>
      <c r="R178" s="709">
        <v>0</v>
      </c>
      <c r="S178" s="709">
        <v>0</v>
      </c>
      <c r="T178" s="709">
        <v>0</v>
      </c>
      <c r="U178" s="709">
        <v>0</v>
      </c>
      <c r="V178" s="709">
        <v>0</v>
      </c>
      <c r="W178" s="709">
        <v>0</v>
      </c>
      <c r="X178" s="709">
        <v>0</v>
      </c>
      <c r="Y178" s="709">
        <v>0</v>
      </c>
      <c r="Z178" s="709">
        <v>0</v>
      </c>
      <c r="AA178" s="709">
        <v>0</v>
      </c>
      <c r="AB178" s="709">
        <v>0</v>
      </c>
      <c r="AC178" s="709">
        <v>0</v>
      </c>
      <c r="AD178" s="709">
        <v>0</v>
      </c>
      <c r="AE178" s="709">
        <v>0</v>
      </c>
      <c r="AF178" s="709">
        <v>0</v>
      </c>
      <c r="AG178" s="709">
        <v>0</v>
      </c>
      <c r="AH178" s="709">
        <v>0</v>
      </c>
      <c r="AI178" s="709">
        <v>0</v>
      </c>
      <c r="AJ178" s="709">
        <v>0</v>
      </c>
      <c r="AK178" s="709">
        <v>0</v>
      </c>
      <c r="AL178" s="709">
        <v>0</v>
      </c>
      <c r="AM178" s="709">
        <v>0</v>
      </c>
      <c r="AN178" s="709">
        <v>0</v>
      </c>
      <c r="AO178" s="709">
        <v>0</v>
      </c>
      <c r="AP178" s="709">
        <v>0</v>
      </c>
      <c r="AQ178" s="709">
        <v>0</v>
      </c>
      <c r="AR178" s="709">
        <v>0</v>
      </c>
      <c r="AS178" s="709">
        <v>0</v>
      </c>
      <c r="AT178" s="709">
        <v>0</v>
      </c>
      <c r="AU178" s="709">
        <v>0</v>
      </c>
      <c r="AV178" s="709">
        <v>0</v>
      </c>
      <c r="AW178" s="709">
        <v>0</v>
      </c>
      <c r="AX178" s="709">
        <v>0</v>
      </c>
    </row>
    <row r="179" spans="2:50" ht="13.2" x14ac:dyDescent="0.2">
      <c r="B179" s="290" t="str">
        <f>CHIFFRAGE_TC!B180</f>
        <v>Instrumentos, elevador y piezas de recambio</v>
      </c>
      <c r="C179" s="964">
        <f>CHIFFRAGE_TC!D180</f>
        <v>15</v>
      </c>
      <c r="D179" s="725"/>
      <c r="E179" s="208">
        <f>CHIFFRAGE_TC!$M180*CHIFFRAGE_TC!$T180</f>
        <v>0</v>
      </c>
      <c r="F179" s="17">
        <f>CHIFFRAGE_TC!$M180*CHIFFRAGE_TC!$U180</f>
        <v>0</v>
      </c>
      <c r="G179" s="17">
        <f>CHIFFRAGE_TC!$M180*CHIFFRAGE_TC!$V180</f>
        <v>108615.91990921872</v>
      </c>
      <c r="H179" s="204">
        <f>CHIFFRAGE_TC!$M180*CHIFFRAGE_TC!$W180</f>
        <v>36205.30663640624</v>
      </c>
      <c r="I179" s="709">
        <v>0</v>
      </c>
      <c r="J179" s="709">
        <v>0</v>
      </c>
      <c r="K179" s="709">
        <v>0</v>
      </c>
      <c r="L179" s="709">
        <v>0</v>
      </c>
      <c r="M179" s="709">
        <v>0</v>
      </c>
      <c r="N179" s="709">
        <v>0</v>
      </c>
      <c r="O179" s="709">
        <v>0</v>
      </c>
      <c r="P179" s="709">
        <v>0</v>
      </c>
      <c r="Q179" s="709">
        <v>0</v>
      </c>
      <c r="R179" s="709">
        <v>0</v>
      </c>
      <c r="S179" s="709">
        <v>0</v>
      </c>
      <c r="T179" s="709">
        <v>0</v>
      </c>
      <c r="U179" s="709">
        <v>0</v>
      </c>
      <c r="V179" s="709">
        <v>0</v>
      </c>
      <c r="W179" s="729">
        <f>F179</f>
        <v>0</v>
      </c>
      <c r="X179" s="729">
        <f>G179</f>
        <v>108615.91990921872</v>
      </c>
      <c r="Y179" s="729">
        <f>H179</f>
        <v>36205.30663640624</v>
      </c>
      <c r="Z179" s="709">
        <v>0</v>
      </c>
      <c r="AA179" s="709">
        <v>0</v>
      </c>
      <c r="AB179" s="709">
        <v>0</v>
      </c>
      <c r="AC179" s="709">
        <v>0</v>
      </c>
      <c r="AD179" s="709">
        <v>0</v>
      </c>
      <c r="AE179" s="709">
        <v>0</v>
      </c>
      <c r="AF179" s="709">
        <v>0</v>
      </c>
      <c r="AG179" s="709">
        <v>0</v>
      </c>
      <c r="AH179" s="709">
        <v>0</v>
      </c>
      <c r="AI179" s="709">
        <v>0</v>
      </c>
      <c r="AJ179" s="709">
        <v>0</v>
      </c>
      <c r="AK179" s="709">
        <v>0</v>
      </c>
      <c r="AL179" s="709">
        <v>0</v>
      </c>
      <c r="AM179" s="709">
        <v>0</v>
      </c>
      <c r="AN179" s="709">
        <v>0</v>
      </c>
      <c r="AO179" s="709">
        <v>0</v>
      </c>
      <c r="AP179" s="709">
        <v>0</v>
      </c>
      <c r="AQ179" s="709">
        <v>0</v>
      </c>
      <c r="AR179" s="709">
        <v>0</v>
      </c>
      <c r="AS179" s="709">
        <v>0</v>
      </c>
      <c r="AT179" s="709">
        <v>0</v>
      </c>
      <c r="AU179" s="709">
        <v>0</v>
      </c>
      <c r="AV179" s="709">
        <v>0</v>
      </c>
      <c r="AW179" s="709">
        <v>0</v>
      </c>
      <c r="AX179" s="709">
        <v>0</v>
      </c>
    </row>
    <row r="180" spans="2:50" ht="13.2" x14ac:dyDescent="0.2">
      <c r="B180" s="290" t="str">
        <f>CHIFFRAGE_TC!B181</f>
        <v>Ascensores inclinados para las cabinas</v>
      </c>
      <c r="C180" s="964">
        <f>CHIFFRAGE_TC!D181</f>
        <v>40</v>
      </c>
      <c r="D180" s="725"/>
      <c r="E180" s="208">
        <f>CHIFFRAGE_TC!$M181*CHIFFRAGE_TC!$T181</f>
        <v>0</v>
      </c>
      <c r="F180" s="17">
        <f>CHIFFRAGE_TC!$M181*CHIFFRAGE_TC!$U181</f>
        <v>181940.11544412875</v>
      </c>
      <c r="G180" s="17">
        <f>CHIFFRAGE_TC!$M181*CHIFFRAGE_TC!$V181</f>
        <v>363880.2308882575</v>
      </c>
      <c r="H180" s="204">
        <f>CHIFFRAGE_TC!$M181*CHIFFRAGE_TC!$W181</f>
        <v>181940.11544412875</v>
      </c>
      <c r="I180" s="709">
        <v>0</v>
      </c>
      <c r="J180" s="709">
        <v>0</v>
      </c>
      <c r="K180" s="709">
        <v>0</v>
      </c>
      <c r="L180" s="709">
        <v>0</v>
      </c>
      <c r="M180" s="709">
        <v>0</v>
      </c>
      <c r="N180" s="709">
        <v>0</v>
      </c>
      <c r="O180" s="709">
        <v>0</v>
      </c>
      <c r="P180" s="709">
        <v>0</v>
      </c>
      <c r="Q180" s="709">
        <v>0</v>
      </c>
      <c r="R180" s="709">
        <v>0</v>
      </c>
      <c r="S180" s="709">
        <v>0</v>
      </c>
      <c r="T180" s="709">
        <v>0</v>
      </c>
      <c r="U180" s="709">
        <v>0</v>
      </c>
      <c r="V180" s="709">
        <v>0</v>
      </c>
      <c r="W180" s="709">
        <v>0</v>
      </c>
      <c r="X180" s="709">
        <v>0</v>
      </c>
      <c r="Y180" s="709">
        <v>0</v>
      </c>
      <c r="Z180" s="709">
        <v>0</v>
      </c>
      <c r="AA180" s="709">
        <v>0</v>
      </c>
      <c r="AB180" s="709">
        <v>0</v>
      </c>
      <c r="AC180" s="709">
        <v>0</v>
      </c>
      <c r="AD180" s="709">
        <v>0</v>
      </c>
      <c r="AE180" s="709">
        <v>0</v>
      </c>
      <c r="AF180" s="709">
        <v>0</v>
      </c>
      <c r="AG180" s="709">
        <v>0</v>
      </c>
      <c r="AH180" s="709">
        <v>0</v>
      </c>
      <c r="AI180" s="709">
        <v>0</v>
      </c>
      <c r="AJ180" s="709">
        <v>0</v>
      </c>
      <c r="AK180" s="709">
        <v>0</v>
      </c>
      <c r="AL180" s="709">
        <v>0</v>
      </c>
      <c r="AM180" s="709">
        <v>0</v>
      </c>
      <c r="AN180" s="709">
        <v>0</v>
      </c>
      <c r="AO180" s="709">
        <v>0</v>
      </c>
      <c r="AP180" s="709">
        <v>0</v>
      </c>
      <c r="AQ180" s="709">
        <v>0</v>
      </c>
      <c r="AR180" s="709">
        <v>0</v>
      </c>
      <c r="AS180" s="709">
        <v>0</v>
      </c>
      <c r="AT180" s="709">
        <v>0</v>
      </c>
      <c r="AU180" s="709">
        <v>0</v>
      </c>
      <c r="AV180" s="709">
        <v>0</v>
      </c>
      <c r="AW180" s="709">
        <v>0</v>
      </c>
      <c r="AX180" s="709">
        <v>0</v>
      </c>
    </row>
    <row r="181" spans="2:50" ht="13.2" x14ac:dyDescent="0.2">
      <c r="B181" s="289" t="str">
        <f>CHIFFRAGE_TC!B182</f>
        <v>Adecuacion urbana 
(demolicion, reconstruccion, mobiliario urbano, paisaje)</v>
      </c>
      <c r="C181" s="964">
        <f>CHIFFRAGE_TC!D182</f>
        <v>50</v>
      </c>
      <c r="D181" s="725"/>
      <c r="E181" s="208">
        <f>CHIFFRAGE_TC!$M182*CHIFFRAGE_TC!$T182</f>
        <v>0</v>
      </c>
      <c r="F181" s="17">
        <f>CHIFFRAGE_TC!$M182*CHIFFRAGE_TC!$U182</f>
        <v>0</v>
      </c>
      <c r="G181" s="17">
        <f>CHIFFRAGE_TC!$M182*CHIFFRAGE_TC!$V182</f>
        <v>0</v>
      </c>
      <c r="H181" s="204">
        <f>CHIFFRAGE_TC!$M182*CHIFFRAGE_TC!$W182</f>
        <v>0</v>
      </c>
      <c r="I181" s="709">
        <v>0</v>
      </c>
      <c r="J181" s="709">
        <v>0</v>
      </c>
      <c r="K181" s="709">
        <v>0</v>
      </c>
      <c r="L181" s="709">
        <v>0</v>
      </c>
      <c r="M181" s="709">
        <v>0</v>
      </c>
      <c r="N181" s="709">
        <v>0</v>
      </c>
      <c r="O181" s="709">
        <v>0</v>
      </c>
      <c r="P181" s="709">
        <v>0</v>
      </c>
      <c r="Q181" s="709">
        <v>0</v>
      </c>
      <c r="R181" s="709">
        <v>0</v>
      </c>
      <c r="S181" s="709">
        <v>0</v>
      </c>
      <c r="T181" s="709">
        <v>0</v>
      </c>
      <c r="U181" s="709">
        <v>0</v>
      </c>
      <c r="V181" s="709">
        <v>0</v>
      </c>
      <c r="W181" s="709">
        <v>0</v>
      </c>
      <c r="X181" s="709">
        <v>0</v>
      </c>
      <c r="Y181" s="709">
        <v>0</v>
      </c>
      <c r="Z181" s="709">
        <v>0</v>
      </c>
      <c r="AA181" s="709">
        <v>0</v>
      </c>
      <c r="AB181" s="709">
        <v>0</v>
      </c>
      <c r="AC181" s="709">
        <v>0</v>
      </c>
      <c r="AD181" s="709">
        <v>0</v>
      </c>
      <c r="AE181" s="709">
        <v>0</v>
      </c>
      <c r="AF181" s="709">
        <v>0</v>
      </c>
      <c r="AG181" s="709">
        <v>0</v>
      </c>
      <c r="AH181" s="709">
        <v>0</v>
      </c>
      <c r="AI181" s="709">
        <v>0</v>
      </c>
      <c r="AJ181" s="709">
        <v>0</v>
      </c>
      <c r="AK181" s="709">
        <v>0</v>
      </c>
      <c r="AL181" s="709">
        <v>0</v>
      </c>
      <c r="AM181" s="709">
        <v>0</v>
      </c>
      <c r="AN181" s="709">
        <v>0</v>
      </c>
      <c r="AO181" s="709">
        <v>0</v>
      </c>
      <c r="AP181" s="709">
        <v>0</v>
      </c>
      <c r="AQ181" s="709">
        <v>0</v>
      </c>
      <c r="AR181" s="709">
        <v>0</v>
      </c>
      <c r="AS181" s="709">
        <v>0</v>
      </c>
      <c r="AT181" s="709">
        <v>0</v>
      </c>
      <c r="AU181" s="709">
        <v>0</v>
      </c>
      <c r="AV181" s="709">
        <v>0</v>
      </c>
      <c r="AW181" s="709">
        <v>0</v>
      </c>
      <c r="AX181" s="709">
        <v>0</v>
      </c>
    </row>
    <row r="182" spans="2:50" ht="13.8" thickBot="1" x14ac:dyDescent="0.25">
      <c r="B182" s="290"/>
      <c r="C182" s="964"/>
      <c r="D182" s="725"/>
      <c r="E182" s="208"/>
      <c r="F182" s="17"/>
      <c r="G182" s="17"/>
      <c r="H182" s="204"/>
      <c r="I182" s="69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</row>
    <row r="183" spans="2:50" ht="16.2" thickBot="1" x14ac:dyDescent="0.25">
      <c r="B183" s="295" t="str">
        <f>CHIFFRAGE_TC!B184</f>
        <v>Operaciones adicionales : estacionamiento incitativo y buses</v>
      </c>
      <c r="C183" s="964"/>
      <c r="D183" s="725">
        <f>CHIFFRAGE_TC!K184</f>
        <v>0.19276693592062155</v>
      </c>
      <c r="E183" s="209">
        <f>SUM(E184:E190)</f>
        <v>0</v>
      </c>
      <c r="F183" s="196">
        <f>SUM(F184:F190)</f>
        <v>0</v>
      </c>
      <c r="G183" s="196">
        <f>SUM(G184:G190)</f>
        <v>1037580.6896937499</v>
      </c>
      <c r="H183" s="197">
        <f>SUM(H184:H190)</f>
        <v>1233833.60711375</v>
      </c>
      <c r="I183" s="698">
        <f t="shared" ref="I183:AX183" si="52">SUM(I184:I190)</f>
        <v>0</v>
      </c>
      <c r="J183" s="699">
        <f t="shared" si="52"/>
        <v>0</v>
      </c>
      <c r="K183" s="699">
        <f t="shared" si="52"/>
        <v>0</v>
      </c>
      <c r="L183" s="699">
        <f t="shared" si="52"/>
        <v>0</v>
      </c>
      <c r="M183" s="699">
        <f t="shared" si="52"/>
        <v>0</v>
      </c>
      <c r="N183" s="699">
        <f t="shared" si="52"/>
        <v>0</v>
      </c>
      <c r="O183" s="699">
        <f t="shared" si="52"/>
        <v>0</v>
      </c>
      <c r="P183" s="699">
        <f t="shared" si="52"/>
        <v>0</v>
      </c>
      <c r="Q183" s="699">
        <f t="shared" si="52"/>
        <v>0</v>
      </c>
      <c r="R183" s="699">
        <f t="shared" si="52"/>
        <v>1037580.6896937499</v>
      </c>
      <c r="S183" s="699">
        <f t="shared" si="52"/>
        <v>1233833.60711375</v>
      </c>
      <c r="T183" s="699">
        <f t="shared" si="52"/>
        <v>0</v>
      </c>
      <c r="U183" s="699">
        <f t="shared" si="52"/>
        <v>0</v>
      </c>
      <c r="V183" s="699">
        <f t="shared" si="52"/>
        <v>0</v>
      </c>
      <c r="W183" s="699">
        <f t="shared" si="52"/>
        <v>0</v>
      </c>
      <c r="X183" s="699">
        <f t="shared" si="52"/>
        <v>0</v>
      </c>
      <c r="Y183" s="699">
        <f t="shared" si="52"/>
        <v>0</v>
      </c>
      <c r="Z183" s="699">
        <f t="shared" si="52"/>
        <v>0</v>
      </c>
      <c r="AA183" s="699">
        <f t="shared" si="52"/>
        <v>0</v>
      </c>
      <c r="AB183" s="699">
        <f t="shared" si="52"/>
        <v>0</v>
      </c>
      <c r="AC183" s="699">
        <f t="shared" si="52"/>
        <v>1037580.6896937499</v>
      </c>
      <c r="AD183" s="699">
        <f t="shared" si="52"/>
        <v>1233833.60711375</v>
      </c>
      <c r="AE183" s="699">
        <f t="shared" si="52"/>
        <v>0</v>
      </c>
      <c r="AF183" s="699">
        <f t="shared" si="52"/>
        <v>0</v>
      </c>
      <c r="AG183" s="699">
        <f t="shared" si="52"/>
        <v>0</v>
      </c>
      <c r="AH183" s="699">
        <f t="shared" si="52"/>
        <v>0</v>
      </c>
      <c r="AI183" s="699">
        <f t="shared" si="52"/>
        <v>0</v>
      </c>
      <c r="AJ183" s="699">
        <f t="shared" si="52"/>
        <v>0</v>
      </c>
      <c r="AK183" s="699">
        <f t="shared" si="52"/>
        <v>0</v>
      </c>
      <c r="AL183" s="699">
        <f t="shared" si="52"/>
        <v>0</v>
      </c>
      <c r="AM183" s="699">
        <f t="shared" si="52"/>
        <v>0</v>
      </c>
      <c r="AN183" s="700">
        <f t="shared" si="52"/>
        <v>1037580.6896937499</v>
      </c>
      <c r="AO183" s="700">
        <f t="shared" si="52"/>
        <v>1233833.60711375</v>
      </c>
      <c r="AP183" s="700">
        <f t="shared" si="52"/>
        <v>0</v>
      </c>
      <c r="AQ183" s="700">
        <f t="shared" si="52"/>
        <v>0</v>
      </c>
      <c r="AR183" s="700">
        <f t="shared" si="52"/>
        <v>0</v>
      </c>
      <c r="AS183" s="700">
        <f t="shared" si="52"/>
        <v>0</v>
      </c>
      <c r="AT183" s="700">
        <f t="shared" si="52"/>
        <v>0</v>
      </c>
      <c r="AU183" s="700">
        <f t="shared" si="52"/>
        <v>0</v>
      </c>
      <c r="AV183" s="700">
        <f t="shared" si="52"/>
        <v>0</v>
      </c>
      <c r="AW183" s="700">
        <f t="shared" si="52"/>
        <v>0</v>
      </c>
      <c r="AX183" s="700">
        <f t="shared" si="52"/>
        <v>0</v>
      </c>
    </row>
    <row r="184" spans="2:50" ht="13.2" x14ac:dyDescent="0.2">
      <c r="B184" s="290" t="str">
        <f>CHIFFRAGE_TC!B185</f>
        <v>Estacionamiento incitativo</v>
      </c>
      <c r="C184" s="964">
        <f>CHIFFRAGE_TC!D185</f>
        <v>10</v>
      </c>
      <c r="D184" s="725"/>
      <c r="E184" s="208">
        <f>CHIFFRAGE_TC!$M185*CHIFFRAGE_TC!$T185</f>
        <v>0</v>
      </c>
      <c r="F184" s="17">
        <f>CHIFFRAGE_TC!$M185*CHIFFRAGE_TC!$U185</f>
        <v>0</v>
      </c>
      <c r="G184" s="17">
        <f>CHIFFRAGE_TC!$M185*CHIFFRAGE_TC!$V185</f>
        <v>189947.47681874994</v>
      </c>
      <c r="H184" s="204">
        <f>CHIFFRAGE_TC!$M185*CHIFFRAGE_TC!$W185</f>
        <v>189947.47681874994</v>
      </c>
      <c r="I184" s="709">
        <v>0</v>
      </c>
      <c r="J184" s="709">
        <v>0</v>
      </c>
      <c r="K184" s="709">
        <v>0</v>
      </c>
      <c r="L184" s="709">
        <v>0</v>
      </c>
      <c r="M184" s="709">
        <v>0</v>
      </c>
      <c r="N184" s="709">
        <v>0</v>
      </c>
      <c r="O184" s="709">
        <v>0</v>
      </c>
      <c r="P184" s="709">
        <v>0</v>
      </c>
      <c r="Q184" s="709">
        <v>0</v>
      </c>
      <c r="R184" s="729">
        <f>G184</f>
        <v>189947.47681874994</v>
      </c>
      <c r="S184" s="729">
        <f>H184</f>
        <v>189947.47681874994</v>
      </c>
      <c r="T184" s="709">
        <v>0</v>
      </c>
      <c r="U184" s="709">
        <v>0</v>
      </c>
      <c r="V184" s="709">
        <v>0</v>
      </c>
      <c r="W184" s="709">
        <v>0</v>
      </c>
      <c r="X184" s="709">
        <v>0</v>
      </c>
      <c r="Y184" s="709">
        <v>0</v>
      </c>
      <c r="Z184" s="709">
        <v>0</v>
      </c>
      <c r="AA184" s="709">
        <v>0</v>
      </c>
      <c r="AB184" s="709">
        <v>0</v>
      </c>
      <c r="AC184" s="729">
        <f>G184</f>
        <v>189947.47681874994</v>
      </c>
      <c r="AD184" s="729">
        <f>H184</f>
        <v>189947.47681874994</v>
      </c>
      <c r="AE184" s="709">
        <v>0</v>
      </c>
      <c r="AF184" s="709">
        <v>0</v>
      </c>
      <c r="AG184" s="709">
        <v>0</v>
      </c>
      <c r="AH184" s="709">
        <v>0</v>
      </c>
      <c r="AI184" s="709">
        <v>0</v>
      </c>
      <c r="AJ184" s="709">
        <v>0</v>
      </c>
      <c r="AK184" s="709">
        <v>0</v>
      </c>
      <c r="AL184" s="709">
        <v>0</v>
      </c>
      <c r="AM184" s="709">
        <v>0</v>
      </c>
      <c r="AN184" s="729">
        <f>G184</f>
        <v>189947.47681874994</v>
      </c>
      <c r="AO184" s="729">
        <f>H184</f>
        <v>189947.47681874994</v>
      </c>
      <c r="AP184" s="709">
        <v>0</v>
      </c>
      <c r="AQ184" s="709">
        <v>0</v>
      </c>
      <c r="AR184" s="709">
        <v>0</v>
      </c>
      <c r="AS184" s="709">
        <v>0</v>
      </c>
      <c r="AT184" s="709">
        <v>0</v>
      </c>
      <c r="AU184" s="709">
        <v>0</v>
      </c>
      <c r="AV184" s="709">
        <v>0</v>
      </c>
      <c r="AW184" s="709">
        <v>0</v>
      </c>
      <c r="AX184" s="709">
        <v>0</v>
      </c>
    </row>
    <row r="185" spans="2:50" ht="13.2" x14ac:dyDescent="0.2">
      <c r="B185" s="290" t="str">
        <f>CHIFFRAGE_TC!B186</f>
        <v>Creacion de vias de acceso en Samborondon</v>
      </c>
      <c r="C185" s="964">
        <f>CHIFFRAGE_TC!D186</f>
        <v>10</v>
      </c>
      <c r="D185" s="725"/>
      <c r="E185" s="208">
        <f>CHIFFRAGE_TC!$M186*CHIFFRAGE_TC!$T186</f>
        <v>0</v>
      </c>
      <c r="F185" s="17">
        <f>CHIFFRAGE_TC!$M186*CHIFFRAGE_TC!$U186</f>
        <v>0</v>
      </c>
      <c r="G185" s="17">
        <f>CHIFFRAGE_TC!$M186*CHIFFRAGE_TC!$V186</f>
        <v>197633.21287499991</v>
      </c>
      <c r="H185" s="204">
        <f>CHIFFRAGE_TC!$M186*CHIFFRAGE_TC!$W186</f>
        <v>197633.21287499991</v>
      </c>
      <c r="I185" s="709">
        <v>0</v>
      </c>
      <c r="J185" s="709">
        <v>0</v>
      </c>
      <c r="K185" s="709">
        <v>0</v>
      </c>
      <c r="L185" s="709">
        <v>0</v>
      </c>
      <c r="M185" s="709">
        <v>0</v>
      </c>
      <c r="N185" s="709">
        <v>0</v>
      </c>
      <c r="O185" s="709">
        <v>0</v>
      </c>
      <c r="P185" s="709">
        <v>0</v>
      </c>
      <c r="Q185" s="709">
        <v>0</v>
      </c>
      <c r="R185" s="729">
        <f>G185</f>
        <v>197633.21287499991</v>
      </c>
      <c r="S185" s="729">
        <f>H185</f>
        <v>197633.21287499991</v>
      </c>
      <c r="T185" s="709">
        <v>0</v>
      </c>
      <c r="U185" s="709">
        <v>0</v>
      </c>
      <c r="V185" s="709">
        <v>0</v>
      </c>
      <c r="W185" s="709">
        <v>0</v>
      </c>
      <c r="X185" s="709">
        <v>0</v>
      </c>
      <c r="Y185" s="709">
        <v>0</v>
      </c>
      <c r="Z185" s="709">
        <v>0</v>
      </c>
      <c r="AA185" s="709">
        <v>0</v>
      </c>
      <c r="AB185" s="709">
        <v>0</v>
      </c>
      <c r="AC185" s="729">
        <f t="shared" ref="AC185:AC190" si="53">G185</f>
        <v>197633.21287499991</v>
      </c>
      <c r="AD185" s="729">
        <f t="shared" ref="AD185:AD190" si="54">H185</f>
        <v>197633.21287499991</v>
      </c>
      <c r="AE185" s="709">
        <v>0</v>
      </c>
      <c r="AF185" s="709">
        <v>0</v>
      </c>
      <c r="AG185" s="709">
        <v>0</v>
      </c>
      <c r="AH185" s="709">
        <v>0</v>
      </c>
      <c r="AI185" s="709">
        <v>0</v>
      </c>
      <c r="AJ185" s="709">
        <v>0</v>
      </c>
      <c r="AK185" s="709">
        <v>0</v>
      </c>
      <c r="AL185" s="709">
        <v>0</v>
      </c>
      <c r="AM185" s="709">
        <v>0</v>
      </c>
      <c r="AN185" s="729">
        <f t="shared" ref="AN185:AN190" si="55">G185</f>
        <v>197633.21287499991</v>
      </c>
      <c r="AO185" s="729">
        <f t="shared" ref="AO185:AO190" si="56">H185</f>
        <v>197633.21287499991</v>
      </c>
      <c r="AP185" s="709">
        <v>0</v>
      </c>
      <c r="AQ185" s="709">
        <v>0</v>
      </c>
      <c r="AR185" s="709">
        <v>0</v>
      </c>
      <c r="AS185" s="709">
        <v>0</v>
      </c>
      <c r="AT185" s="709">
        <v>0</v>
      </c>
      <c r="AU185" s="709">
        <v>0</v>
      </c>
      <c r="AV185" s="709">
        <v>0</v>
      </c>
      <c r="AW185" s="709">
        <v>0</v>
      </c>
      <c r="AX185" s="709">
        <v>0</v>
      </c>
    </row>
    <row r="186" spans="2:50" ht="13.2" x14ac:dyDescent="0.2">
      <c r="B186" s="290" t="str">
        <f>CHIFFRAGE_TC!B187</f>
        <v>Compra de buses alimentadores para Samborondon (12 m)</v>
      </c>
      <c r="C186" s="964">
        <f>CHIFFRAGE_TC!D187</f>
        <v>10</v>
      </c>
      <c r="D186" s="725"/>
      <c r="E186" s="208">
        <f>CHIFFRAGE_TC!$M187*CHIFFRAGE_TC!$T187</f>
        <v>0</v>
      </c>
      <c r="F186" s="17">
        <f>CHIFFRAGE_TC!$M187*CHIFFRAGE_TC!$U187</f>
        <v>0</v>
      </c>
      <c r="G186" s="17">
        <f>CHIFFRAGE_TC!$M187*CHIFFRAGE_TC!$V187</f>
        <v>650000</v>
      </c>
      <c r="H186" s="204">
        <f>CHIFFRAGE_TC!$M187*CHIFFRAGE_TC!$W187</f>
        <v>650000</v>
      </c>
      <c r="I186" s="709">
        <v>0</v>
      </c>
      <c r="J186" s="709">
        <v>0</v>
      </c>
      <c r="K186" s="709">
        <v>0</v>
      </c>
      <c r="L186" s="709">
        <v>0</v>
      </c>
      <c r="M186" s="709">
        <v>0</v>
      </c>
      <c r="N186" s="709">
        <v>0</v>
      </c>
      <c r="O186" s="709">
        <v>0</v>
      </c>
      <c r="P186" s="709">
        <v>0</v>
      </c>
      <c r="Q186" s="709">
        <v>0</v>
      </c>
      <c r="R186" s="729">
        <f t="shared" ref="R186:R190" si="57">G186</f>
        <v>650000</v>
      </c>
      <c r="S186" s="729">
        <f t="shared" ref="S186:S190" si="58">H186</f>
        <v>650000</v>
      </c>
      <c r="T186" s="709">
        <v>0</v>
      </c>
      <c r="U186" s="709">
        <v>0</v>
      </c>
      <c r="V186" s="709">
        <v>0</v>
      </c>
      <c r="W186" s="709">
        <v>0</v>
      </c>
      <c r="X186" s="709">
        <v>0</v>
      </c>
      <c r="Y186" s="709">
        <v>0</v>
      </c>
      <c r="Z186" s="709">
        <v>0</v>
      </c>
      <c r="AA186" s="709">
        <v>0</v>
      </c>
      <c r="AB186" s="709">
        <v>0</v>
      </c>
      <c r="AC186" s="729">
        <f t="shared" si="53"/>
        <v>650000</v>
      </c>
      <c r="AD186" s="729">
        <f t="shared" si="54"/>
        <v>650000</v>
      </c>
      <c r="AE186" s="709">
        <v>0</v>
      </c>
      <c r="AF186" s="709">
        <v>0</v>
      </c>
      <c r="AG186" s="709">
        <v>0</v>
      </c>
      <c r="AH186" s="709">
        <v>0</v>
      </c>
      <c r="AI186" s="709">
        <v>0</v>
      </c>
      <c r="AJ186" s="709">
        <v>0</v>
      </c>
      <c r="AK186" s="709">
        <v>0</v>
      </c>
      <c r="AL186" s="709">
        <v>0</v>
      </c>
      <c r="AM186" s="709">
        <v>0</v>
      </c>
      <c r="AN186" s="729">
        <f t="shared" si="55"/>
        <v>650000</v>
      </c>
      <c r="AO186" s="729">
        <f t="shared" si="56"/>
        <v>650000</v>
      </c>
      <c r="AP186" s="709">
        <v>0</v>
      </c>
      <c r="AQ186" s="709">
        <v>0</v>
      </c>
      <c r="AR186" s="709">
        <v>0</v>
      </c>
      <c r="AS186" s="709">
        <v>0</v>
      </c>
      <c r="AT186" s="709">
        <v>0</v>
      </c>
      <c r="AU186" s="709">
        <v>0</v>
      </c>
      <c r="AV186" s="709">
        <v>0</v>
      </c>
      <c r="AW186" s="709">
        <v>0</v>
      </c>
      <c r="AX186" s="709">
        <v>0</v>
      </c>
    </row>
    <row r="187" spans="2:50" ht="13.2" x14ac:dyDescent="0.2">
      <c r="B187" s="290" t="str">
        <f>CHIFFRAGE_TC!B188</f>
        <v>Compra de buses alimentadores para Duran (12 m)</v>
      </c>
      <c r="C187" s="964">
        <f>CHIFFRAGE_TC!D188</f>
        <v>10</v>
      </c>
      <c r="D187" s="725"/>
      <c r="E187" s="208">
        <f>CHIFFRAGE_TC!$M188*CHIFFRAGE_TC!$T188</f>
        <v>0</v>
      </c>
      <c r="F187" s="17">
        <f>CHIFFRAGE_TC!$M188*CHIFFRAGE_TC!$U188</f>
        <v>0</v>
      </c>
      <c r="G187" s="17">
        <f>CHIFFRAGE_TC!$M188*CHIFFRAGE_TC!$V188</f>
        <v>0</v>
      </c>
      <c r="H187" s="204">
        <f>CHIFFRAGE_TC!$M188*CHIFFRAGE_TC!$W188</f>
        <v>0</v>
      </c>
      <c r="I187" s="709">
        <v>0</v>
      </c>
      <c r="J187" s="709">
        <v>0</v>
      </c>
      <c r="K187" s="709">
        <v>0</v>
      </c>
      <c r="L187" s="709">
        <v>0</v>
      </c>
      <c r="M187" s="709">
        <v>0</v>
      </c>
      <c r="N187" s="709">
        <v>0</v>
      </c>
      <c r="O187" s="709">
        <v>0</v>
      </c>
      <c r="P187" s="709">
        <v>0</v>
      </c>
      <c r="Q187" s="709">
        <v>0</v>
      </c>
      <c r="R187" s="729">
        <f t="shared" si="57"/>
        <v>0</v>
      </c>
      <c r="S187" s="729">
        <f t="shared" si="58"/>
        <v>0</v>
      </c>
      <c r="T187" s="709">
        <v>0</v>
      </c>
      <c r="U187" s="709">
        <v>0</v>
      </c>
      <c r="V187" s="709">
        <v>0</v>
      </c>
      <c r="W187" s="709">
        <v>0</v>
      </c>
      <c r="X187" s="709">
        <v>0</v>
      </c>
      <c r="Y187" s="709">
        <v>0</v>
      </c>
      <c r="Z187" s="709">
        <v>0</v>
      </c>
      <c r="AA187" s="709">
        <v>0</v>
      </c>
      <c r="AB187" s="709">
        <v>0</v>
      </c>
      <c r="AC187" s="729">
        <f t="shared" si="53"/>
        <v>0</v>
      </c>
      <c r="AD187" s="729">
        <f t="shared" si="54"/>
        <v>0</v>
      </c>
      <c r="AE187" s="709">
        <v>0</v>
      </c>
      <c r="AF187" s="709">
        <v>0</v>
      </c>
      <c r="AG187" s="709">
        <v>0</v>
      </c>
      <c r="AH187" s="709">
        <v>0</v>
      </c>
      <c r="AI187" s="709">
        <v>0</v>
      </c>
      <c r="AJ187" s="709">
        <v>0</v>
      </c>
      <c r="AK187" s="709">
        <v>0</v>
      </c>
      <c r="AL187" s="709">
        <v>0</v>
      </c>
      <c r="AM187" s="709">
        <v>0</v>
      </c>
      <c r="AN187" s="729">
        <f t="shared" si="55"/>
        <v>0</v>
      </c>
      <c r="AO187" s="729">
        <f t="shared" si="56"/>
        <v>0</v>
      </c>
      <c r="AP187" s="709">
        <v>0</v>
      </c>
      <c r="AQ187" s="709">
        <v>0</v>
      </c>
      <c r="AR187" s="709">
        <v>0</v>
      </c>
      <c r="AS187" s="709">
        <v>0</v>
      </c>
      <c r="AT187" s="709">
        <v>0</v>
      </c>
      <c r="AU187" s="709">
        <v>0</v>
      </c>
      <c r="AV187" s="709">
        <v>0</v>
      </c>
      <c r="AW187" s="709">
        <v>0</v>
      </c>
      <c r="AX187" s="709">
        <v>0</v>
      </c>
    </row>
    <row r="188" spans="2:50" ht="13.2" x14ac:dyDescent="0.2">
      <c r="B188" s="290" t="str">
        <f>CHIFFRAGE_TC!B189</f>
        <v>Creacion de paraderos en Samborondon</v>
      </c>
      <c r="C188" s="964">
        <f>CHIFFRAGE_TC!D189</f>
        <v>10</v>
      </c>
      <c r="D188" s="725"/>
      <c r="E188" s="208">
        <f>CHIFFRAGE_TC!$M189*CHIFFRAGE_TC!$T189</f>
        <v>0</v>
      </c>
      <c r="F188" s="17">
        <f>CHIFFRAGE_TC!$M189*CHIFFRAGE_TC!$U189</f>
        <v>0</v>
      </c>
      <c r="G188" s="17">
        <f>CHIFFRAGE_TC!$M189*CHIFFRAGE_TC!$V189</f>
        <v>0</v>
      </c>
      <c r="H188" s="204">
        <f>CHIFFRAGE_TC!$M189*CHIFFRAGE_TC!$W189</f>
        <v>162121.97525999995</v>
      </c>
      <c r="I188" s="709">
        <v>0</v>
      </c>
      <c r="J188" s="709">
        <v>0</v>
      </c>
      <c r="K188" s="709">
        <v>0</v>
      </c>
      <c r="L188" s="709">
        <v>0</v>
      </c>
      <c r="M188" s="709">
        <v>0</v>
      </c>
      <c r="N188" s="709">
        <v>0</v>
      </c>
      <c r="O188" s="709">
        <v>0</v>
      </c>
      <c r="P188" s="709">
        <v>0</v>
      </c>
      <c r="Q188" s="709">
        <v>0</v>
      </c>
      <c r="R188" s="729">
        <f t="shared" si="57"/>
        <v>0</v>
      </c>
      <c r="S188" s="729">
        <f t="shared" si="58"/>
        <v>162121.97525999995</v>
      </c>
      <c r="T188" s="709">
        <v>0</v>
      </c>
      <c r="U188" s="709">
        <v>0</v>
      </c>
      <c r="V188" s="709">
        <v>0</v>
      </c>
      <c r="W188" s="709">
        <v>0</v>
      </c>
      <c r="X188" s="709">
        <v>0</v>
      </c>
      <c r="Y188" s="709">
        <v>0</v>
      </c>
      <c r="Z188" s="709">
        <v>0</v>
      </c>
      <c r="AA188" s="709">
        <v>0</v>
      </c>
      <c r="AB188" s="709">
        <v>0</v>
      </c>
      <c r="AC188" s="729">
        <f t="shared" si="53"/>
        <v>0</v>
      </c>
      <c r="AD188" s="729">
        <f t="shared" si="54"/>
        <v>162121.97525999995</v>
      </c>
      <c r="AE188" s="709">
        <v>0</v>
      </c>
      <c r="AF188" s="709">
        <v>0</v>
      </c>
      <c r="AG188" s="709">
        <v>0</v>
      </c>
      <c r="AH188" s="709">
        <v>0</v>
      </c>
      <c r="AI188" s="709">
        <v>0</v>
      </c>
      <c r="AJ188" s="709">
        <v>0</v>
      </c>
      <c r="AK188" s="709">
        <v>0</v>
      </c>
      <c r="AL188" s="709">
        <v>0</v>
      </c>
      <c r="AM188" s="709">
        <v>0</v>
      </c>
      <c r="AN188" s="729">
        <f t="shared" si="55"/>
        <v>0</v>
      </c>
      <c r="AO188" s="729">
        <f t="shared" si="56"/>
        <v>162121.97525999995</v>
      </c>
      <c r="AP188" s="709">
        <v>0</v>
      </c>
      <c r="AQ188" s="709">
        <v>0</v>
      </c>
      <c r="AR188" s="709">
        <v>0</v>
      </c>
      <c r="AS188" s="709">
        <v>0</v>
      </c>
      <c r="AT188" s="709">
        <v>0</v>
      </c>
      <c r="AU188" s="709">
        <v>0</v>
      </c>
      <c r="AV188" s="709">
        <v>0</v>
      </c>
      <c r="AW188" s="709">
        <v>0</v>
      </c>
      <c r="AX188" s="709">
        <v>0</v>
      </c>
    </row>
    <row r="189" spans="2:50" ht="13.2" x14ac:dyDescent="0.2">
      <c r="B189" s="290" t="str">
        <f>CHIFFRAGE_TC!B190</f>
        <v>Creacion de paraderos en Duran</v>
      </c>
      <c r="C189" s="964">
        <f>CHIFFRAGE_TC!D190</f>
        <v>10</v>
      </c>
      <c r="D189" s="725"/>
      <c r="E189" s="208">
        <f>CHIFFRAGE_TC!$M190*CHIFFRAGE_TC!$T190</f>
        <v>0</v>
      </c>
      <c r="F189" s="17">
        <f>CHIFFRAGE_TC!$M190*CHIFFRAGE_TC!$U190</f>
        <v>0</v>
      </c>
      <c r="G189" s="17">
        <f>CHIFFRAGE_TC!$M190*CHIFFRAGE_TC!$V190</f>
        <v>0</v>
      </c>
      <c r="H189" s="204">
        <f>CHIFFRAGE_TC!$M190*CHIFFRAGE_TC!$W190</f>
        <v>0</v>
      </c>
      <c r="I189" s="709">
        <v>0</v>
      </c>
      <c r="J189" s="709">
        <v>0</v>
      </c>
      <c r="K189" s="709">
        <v>0</v>
      </c>
      <c r="L189" s="709">
        <v>0</v>
      </c>
      <c r="M189" s="709">
        <v>0</v>
      </c>
      <c r="N189" s="709">
        <v>0</v>
      </c>
      <c r="O189" s="709">
        <v>0</v>
      </c>
      <c r="P189" s="709">
        <v>0</v>
      </c>
      <c r="Q189" s="709">
        <v>0</v>
      </c>
      <c r="R189" s="729">
        <f t="shared" si="57"/>
        <v>0</v>
      </c>
      <c r="S189" s="729">
        <f t="shared" si="58"/>
        <v>0</v>
      </c>
      <c r="T189" s="709">
        <v>0</v>
      </c>
      <c r="U189" s="709">
        <v>0</v>
      </c>
      <c r="V189" s="709">
        <v>0</v>
      </c>
      <c r="W189" s="709">
        <v>0</v>
      </c>
      <c r="X189" s="709">
        <v>0</v>
      </c>
      <c r="Y189" s="709">
        <v>0</v>
      </c>
      <c r="Z189" s="709">
        <v>0</v>
      </c>
      <c r="AA189" s="709">
        <v>0</v>
      </c>
      <c r="AB189" s="709">
        <v>0</v>
      </c>
      <c r="AC189" s="729">
        <f t="shared" si="53"/>
        <v>0</v>
      </c>
      <c r="AD189" s="729">
        <f t="shared" si="54"/>
        <v>0</v>
      </c>
      <c r="AE189" s="709">
        <v>0</v>
      </c>
      <c r="AF189" s="709">
        <v>0</v>
      </c>
      <c r="AG189" s="709">
        <v>0</v>
      </c>
      <c r="AH189" s="709">
        <v>0</v>
      </c>
      <c r="AI189" s="709">
        <v>0</v>
      </c>
      <c r="AJ189" s="709">
        <v>0</v>
      </c>
      <c r="AK189" s="709">
        <v>0</v>
      </c>
      <c r="AL189" s="709">
        <v>0</v>
      </c>
      <c r="AM189" s="709">
        <v>0</v>
      </c>
      <c r="AN189" s="729">
        <f t="shared" si="55"/>
        <v>0</v>
      </c>
      <c r="AO189" s="729">
        <f t="shared" si="56"/>
        <v>0</v>
      </c>
      <c r="AP189" s="709">
        <v>0</v>
      </c>
      <c r="AQ189" s="709">
        <v>0</v>
      </c>
      <c r="AR189" s="709">
        <v>0</v>
      </c>
      <c r="AS189" s="709">
        <v>0</v>
      </c>
      <c r="AT189" s="709">
        <v>0</v>
      </c>
      <c r="AU189" s="709">
        <v>0</v>
      </c>
      <c r="AV189" s="709">
        <v>0</v>
      </c>
      <c r="AW189" s="709">
        <v>0</v>
      </c>
      <c r="AX189" s="709">
        <v>0</v>
      </c>
    </row>
    <row r="190" spans="2:50" ht="13.2" x14ac:dyDescent="0.2">
      <c r="B190" s="290" t="str">
        <f>CHIFFRAGE_TC!B191</f>
        <v>Modificacion de parada de bus</v>
      </c>
      <c r="C190" s="964">
        <f>CHIFFRAGE_TC!D191</f>
        <v>10</v>
      </c>
      <c r="D190" s="725"/>
      <c r="E190" s="208">
        <f>CHIFFRAGE_TC!$M191*CHIFFRAGE_TC!$T191</f>
        <v>0</v>
      </c>
      <c r="F190" s="17">
        <f>CHIFFRAGE_TC!$M191*CHIFFRAGE_TC!$U191</f>
        <v>0</v>
      </c>
      <c r="G190" s="17">
        <f>CHIFFRAGE_TC!$M191*CHIFFRAGE_TC!$V191</f>
        <v>0</v>
      </c>
      <c r="H190" s="204">
        <f>CHIFFRAGE_TC!$M191*CHIFFRAGE_TC!$W191</f>
        <v>34130.942159999991</v>
      </c>
      <c r="I190" s="709">
        <v>0</v>
      </c>
      <c r="J190" s="709">
        <v>0</v>
      </c>
      <c r="K190" s="709">
        <v>0</v>
      </c>
      <c r="L190" s="709">
        <v>0</v>
      </c>
      <c r="M190" s="709">
        <v>0</v>
      </c>
      <c r="N190" s="709">
        <v>0</v>
      </c>
      <c r="O190" s="709">
        <v>0</v>
      </c>
      <c r="P190" s="709">
        <v>0</v>
      </c>
      <c r="Q190" s="709">
        <v>0</v>
      </c>
      <c r="R190" s="729">
        <f t="shared" si="57"/>
        <v>0</v>
      </c>
      <c r="S190" s="729">
        <f t="shared" si="58"/>
        <v>34130.942159999991</v>
      </c>
      <c r="T190" s="709">
        <v>0</v>
      </c>
      <c r="U190" s="709">
        <v>0</v>
      </c>
      <c r="V190" s="709">
        <v>0</v>
      </c>
      <c r="W190" s="709">
        <v>0</v>
      </c>
      <c r="X190" s="709">
        <v>0</v>
      </c>
      <c r="Y190" s="709">
        <v>0</v>
      </c>
      <c r="Z190" s="709">
        <v>0</v>
      </c>
      <c r="AA190" s="709">
        <v>0</v>
      </c>
      <c r="AB190" s="709">
        <v>0</v>
      </c>
      <c r="AC190" s="729">
        <f t="shared" si="53"/>
        <v>0</v>
      </c>
      <c r="AD190" s="729">
        <f t="shared" si="54"/>
        <v>34130.942159999991</v>
      </c>
      <c r="AE190" s="709">
        <v>0</v>
      </c>
      <c r="AF190" s="709">
        <v>0</v>
      </c>
      <c r="AG190" s="709">
        <v>0</v>
      </c>
      <c r="AH190" s="709">
        <v>0</v>
      </c>
      <c r="AI190" s="709">
        <v>0</v>
      </c>
      <c r="AJ190" s="709">
        <v>0</v>
      </c>
      <c r="AK190" s="709">
        <v>0</v>
      </c>
      <c r="AL190" s="709">
        <v>0</v>
      </c>
      <c r="AM190" s="709">
        <v>0</v>
      </c>
      <c r="AN190" s="729">
        <f t="shared" si="55"/>
        <v>0</v>
      </c>
      <c r="AO190" s="729">
        <f t="shared" si="56"/>
        <v>34130.942159999991</v>
      </c>
      <c r="AP190" s="709">
        <v>0</v>
      </c>
      <c r="AQ190" s="709">
        <v>0</v>
      </c>
      <c r="AR190" s="709">
        <v>0</v>
      </c>
      <c r="AS190" s="709">
        <v>0</v>
      </c>
      <c r="AT190" s="709">
        <v>0</v>
      </c>
      <c r="AU190" s="709">
        <v>0</v>
      </c>
      <c r="AV190" s="709">
        <v>0</v>
      </c>
      <c r="AW190" s="709">
        <v>0</v>
      </c>
      <c r="AX190" s="709">
        <v>0</v>
      </c>
    </row>
    <row r="191" spans="2:50" ht="13.8" thickBot="1" x14ac:dyDescent="0.25">
      <c r="B191" s="289"/>
      <c r="C191" s="964"/>
      <c r="D191" s="725"/>
      <c r="E191" s="208"/>
      <c r="F191" s="17"/>
      <c r="G191" s="17"/>
      <c r="H191" s="204"/>
      <c r="I191" s="69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</row>
    <row r="192" spans="2:50" ht="16.2" thickBot="1" x14ac:dyDescent="0.25">
      <c r="B192" s="296" t="str">
        <f>CHIFFRAGE_TC!B193</f>
        <v>Gastos de estudios, gestion y administracion del proyecto</v>
      </c>
      <c r="C192" s="964"/>
      <c r="D192" s="725">
        <f>CHIFFRAGE_TC!K193</f>
        <v>0.10548810415228024</v>
      </c>
      <c r="E192" s="209">
        <f>SUM(E193:E197)</f>
        <v>5332198.1684703697</v>
      </c>
      <c r="F192" s="196">
        <f>SUM(F193:F197)</f>
        <v>5332198.1684703697</v>
      </c>
      <c r="G192" s="196">
        <f>SUM(G193:G197)</f>
        <v>592466.46316337434</v>
      </c>
      <c r="H192" s="197">
        <f>SUM(H193:H197)</f>
        <v>592466.46316337434</v>
      </c>
      <c r="I192" s="698">
        <f t="shared" ref="I192:AX192" si="59">SUM(I193:I197)</f>
        <v>0</v>
      </c>
      <c r="J192" s="699">
        <f t="shared" si="59"/>
        <v>0</v>
      </c>
      <c r="K192" s="699">
        <f t="shared" si="59"/>
        <v>0</v>
      </c>
      <c r="L192" s="699">
        <f t="shared" si="59"/>
        <v>0</v>
      </c>
      <c r="M192" s="699">
        <f t="shared" si="59"/>
        <v>0</v>
      </c>
      <c r="N192" s="699">
        <f t="shared" si="59"/>
        <v>0</v>
      </c>
      <c r="O192" s="699">
        <f t="shared" si="59"/>
        <v>0</v>
      </c>
      <c r="P192" s="699">
        <f t="shared" si="59"/>
        <v>0</v>
      </c>
      <c r="Q192" s="699">
        <f t="shared" si="59"/>
        <v>0</v>
      </c>
      <c r="R192" s="699">
        <f t="shared" si="59"/>
        <v>0</v>
      </c>
      <c r="S192" s="699">
        <f t="shared" si="59"/>
        <v>0</v>
      </c>
      <c r="T192" s="699">
        <f t="shared" si="59"/>
        <v>0</v>
      </c>
      <c r="U192" s="699">
        <f t="shared" si="59"/>
        <v>0</v>
      </c>
      <c r="V192" s="699">
        <f t="shared" si="59"/>
        <v>0</v>
      </c>
      <c r="W192" s="699">
        <f t="shared" si="59"/>
        <v>0</v>
      </c>
      <c r="X192" s="699">
        <f t="shared" si="59"/>
        <v>0</v>
      </c>
      <c r="Y192" s="699">
        <f t="shared" si="59"/>
        <v>0</v>
      </c>
      <c r="Z192" s="699">
        <f t="shared" si="59"/>
        <v>0</v>
      </c>
      <c r="AA192" s="699">
        <f t="shared" si="59"/>
        <v>0</v>
      </c>
      <c r="AB192" s="699">
        <f t="shared" si="59"/>
        <v>0</v>
      </c>
      <c r="AC192" s="699">
        <f t="shared" si="59"/>
        <v>0</v>
      </c>
      <c r="AD192" s="699">
        <f t="shared" si="59"/>
        <v>0</v>
      </c>
      <c r="AE192" s="699">
        <f t="shared" si="59"/>
        <v>0</v>
      </c>
      <c r="AF192" s="699">
        <f t="shared" si="59"/>
        <v>0</v>
      </c>
      <c r="AG192" s="699">
        <f t="shared" si="59"/>
        <v>0</v>
      </c>
      <c r="AH192" s="699">
        <f t="shared" si="59"/>
        <v>0</v>
      </c>
      <c r="AI192" s="699">
        <f t="shared" si="59"/>
        <v>0</v>
      </c>
      <c r="AJ192" s="699">
        <f t="shared" si="59"/>
        <v>0</v>
      </c>
      <c r="AK192" s="699">
        <f t="shared" si="59"/>
        <v>0</v>
      </c>
      <c r="AL192" s="699">
        <f t="shared" si="59"/>
        <v>0</v>
      </c>
      <c r="AM192" s="699">
        <f t="shared" si="59"/>
        <v>0</v>
      </c>
      <c r="AN192" s="700">
        <f t="shared" si="59"/>
        <v>0</v>
      </c>
      <c r="AO192" s="700">
        <f t="shared" si="59"/>
        <v>0</v>
      </c>
      <c r="AP192" s="700">
        <f t="shared" si="59"/>
        <v>0</v>
      </c>
      <c r="AQ192" s="700">
        <f t="shared" si="59"/>
        <v>0</v>
      </c>
      <c r="AR192" s="700">
        <f t="shared" si="59"/>
        <v>0</v>
      </c>
      <c r="AS192" s="700">
        <f t="shared" si="59"/>
        <v>0</v>
      </c>
      <c r="AT192" s="700">
        <f t="shared" si="59"/>
        <v>0</v>
      </c>
      <c r="AU192" s="700">
        <f t="shared" si="59"/>
        <v>0</v>
      </c>
      <c r="AV192" s="700">
        <f t="shared" si="59"/>
        <v>0</v>
      </c>
      <c r="AW192" s="700">
        <f t="shared" si="59"/>
        <v>0</v>
      </c>
      <c r="AX192" s="700">
        <f t="shared" si="59"/>
        <v>0</v>
      </c>
    </row>
    <row r="193" spans="1:50" ht="13.2" x14ac:dyDescent="0.2">
      <c r="B193" s="297" t="str">
        <f>CHIFFRAGE_TC!B194</f>
        <v>Estudios y diseños</v>
      </c>
      <c r="C193" s="964" t="str">
        <f>CHIFFRAGE_TC!D194</f>
        <v>Infinida</v>
      </c>
      <c r="D193" s="725"/>
      <c r="E193" s="208">
        <f>CHIFFRAGE_TC!$M194*CHIFFRAGE_TC!$T194</f>
        <v>3159821.1368713304</v>
      </c>
      <c r="F193" s="17">
        <f>CHIFFRAGE_TC!$M194*CHIFFRAGE_TC!$U194</f>
        <v>3159821.1368713304</v>
      </c>
      <c r="G193" s="17">
        <f>CHIFFRAGE_TC!$M194*CHIFFRAGE_TC!$V194</f>
        <v>0</v>
      </c>
      <c r="H193" s="204">
        <f>CHIFFRAGE_TC!$M194*CHIFFRAGE_TC!$W194</f>
        <v>0</v>
      </c>
      <c r="I193" s="709">
        <v>0</v>
      </c>
      <c r="J193" s="709">
        <v>0</v>
      </c>
      <c r="K193" s="709">
        <v>0</v>
      </c>
      <c r="L193" s="709">
        <v>0</v>
      </c>
      <c r="M193" s="709">
        <v>0</v>
      </c>
      <c r="N193" s="709">
        <v>0</v>
      </c>
      <c r="O193" s="709">
        <v>0</v>
      </c>
      <c r="P193" s="709">
        <v>0</v>
      </c>
      <c r="Q193" s="709">
        <v>0</v>
      </c>
      <c r="R193" s="709">
        <v>0</v>
      </c>
      <c r="S193" s="709">
        <v>0</v>
      </c>
      <c r="T193" s="709">
        <v>0</v>
      </c>
      <c r="U193" s="709">
        <v>0</v>
      </c>
      <c r="V193" s="709">
        <v>0</v>
      </c>
      <c r="W193" s="709">
        <v>0</v>
      </c>
      <c r="X193" s="709">
        <v>0</v>
      </c>
      <c r="Y193" s="709">
        <v>0</v>
      </c>
      <c r="Z193" s="709">
        <v>0</v>
      </c>
      <c r="AA193" s="709">
        <v>0</v>
      </c>
      <c r="AB193" s="709">
        <v>0</v>
      </c>
      <c r="AC193" s="709">
        <v>0</v>
      </c>
      <c r="AD193" s="709">
        <v>0</v>
      </c>
      <c r="AE193" s="709">
        <v>0</v>
      </c>
      <c r="AF193" s="709">
        <v>0</v>
      </c>
      <c r="AG193" s="709">
        <v>0</v>
      </c>
      <c r="AH193" s="709">
        <v>0</v>
      </c>
      <c r="AI193" s="709">
        <v>0</v>
      </c>
      <c r="AJ193" s="709">
        <v>0</v>
      </c>
      <c r="AK193" s="709">
        <v>0</v>
      </c>
      <c r="AL193" s="709">
        <v>0</v>
      </c>
      <c r="AM193" s="709">
        <v>0</v>
      </c>
      <c r="AN193" s="709">
        <v>0</v>
      </c>
      <c r="AO193" s="709">
        <v>0</v>
      </c>
      <c r="AP193" s="709">
        <v>0</v>
      </c>
      <c r="AQ193" s="709">
        <v>0</v>
      </c>
      <c r="AR193" s="709">
        <v>0</v>
      </c>
      <c r="AS193" s="709">
        <v>0</v>
      </c>
      <c r="AT193" s="709">
        <v>0</v>
      </c>
      <c r="AU193" s="709">
        <v>0</v>
      </c>
      <c r="AV193" s="709">
        <v>0</v>
      </c>
      <c r="AW193" s="709">
        <v>0</v>
      </c>
      <c r="AX193" s="709">
        <v>0</v>
      </c>
    </row>
    <row r="194" spans="1:50" ht="13.2" x14ac:dyDescent="0.2">
      <c r="B194" s="290" t="str">
        <f>CHIFFRAGE_TC!B195</f>
        <v>Supervision de obras</v>
      </c>
      <c r="C194" s="964" t="str">
        <f>CHIFFRAGE_TC!D195</f>
        <v>Infinida</v>
      </c>
      <c r="D194" s="725"/>
      <c r="E194" s="208">
        <f>CHIFFRAGE_TC!$M195*CHIFFRAGE_TC!$T195</f>
        <v>1579910.5684356652</v>
      </c>
      <c r="F194" s="17">
        <f>CHIFFRAGE_TC!$M195*CHIFFRAGE_TC!$U195</f>
        <v>1579910.5684356652</v>
      </c>
      <c r="G194" s="17">
        <f>CHIFFRAGE_TC!$M195*CHIFFRAGE_TC!$V195</f>
        <v>0</v>
      </c>
      <c r="H194" s="204">
        <f>CHIFFRAGE_TC!$M195*CHIFFRAGE_TC!$W195</f>
        <v>0</v>
      </c>
      <c r="I194" s="709">
        <v>0</v>
      </c>
      <c r="J194" s="709">
        <v>0</v>
      </c>
      <c r="K194" s="709">
        <v>0</v>
      </c>
      <c r="L194" s="709">
        <v>0</v>
      </c>
      <c r="M194" s="709">
        <v>0</v>
      </c>
      <c r="N194" s="709">
        <v>0</v>
      </c>
      <c r="O194" s="709">
        <v>0</v>
      </c>
      <c r="P194" s="709">
        <v>0</v>
      </c>
      <c r="Q194" s="709">
        <v>0</v>
      </c>
      <c r="R194" s="709">
        <v>0</v>
      </c>
      <c r="S194" s="709">
        <v>0</v>
      </c>
      <c r="T194" s="709">
        <v>0</v>
      </c>
      <c r="U194" s="709">
        <v>0</v>
      </c>
      <c r="V194" s="709">
        <v>0</v>
      </c>
      <c r="W194" s="709">
        <v>0</v>
      </c>
      <c r="X194" s="709">
        <v>0</v>
      </c>
      <c r="Y194" s="709">
        <v>0</v>
      </c>
      <c r="Z194" s="709">
        <v>0</v>
      </c>
      <c r="AA194" s="709">
        <v>0</v>
      </c>
      <c r="AB194" s="709">
        <v>0</v>
      </c>
      <c r="AC194" s="709">
        <v>0</v>
      </c>
      <c r="AD194" s="709">
        <v>0</v>
      </c>
      <c r="AE194" s="709">
        <v>0</v>
      </c>
      <c r="AF194" s="709">
        <v>0</v>
      </c>
      <c r="AG194" s="709">
        <v>0</v>
      </c>
      <c r="AH194" s="709">
        <v>0</v>
      </c>
      <c r="AI194" s="709">
        <v>0</v>
      </c>
      <c r="AJ194" s="709">
        <v>0</v>
      </c>
      <c r="AK194" s="709">
        <v>0</v>
      </c>
      <c r="AL194" s="709">
        <v>0</v>
      </c>
      <c r="AM194" s="709">
        <v>0</v>
      </c>
      <c r="AN194" s="709">
        <v>0</v>
      </c>
      <c r="AO194" s="709">
        <v>0</v>
      </c>
      <c r="AP194" s="709">
        <v>0</v>
      </c>
      <c r="AQ194" s="709">
        <v>0</v>
      </c>
      <c r="AR194" s="709">
        <v>0</v>
      </c>
      <c r="AS194" s="709">
        <v>0</v>
      </c>
      <c r="AT194" s="709">
        <v>0</v>
      </c>
      <c r="AU194" s="709">
        <v>0</v>
      </c>
      <c r="AV194" s="709">
        <v>0</v>
      </c>
      <c r="AW194" s="709">
        <v>0</v>
      </c>
      <c r="AX194" s="709">
        <v>0</v>
      </c>
    </row>
    <row r="195" spans="1:50" ht="13.2" x14ac:dyDescent="0.2">
      <c r="B195" s="290" t="str">
        <f>CHIFFRAGE_TC!B196</f>
        <v>Fiscalizacion del proyecto</v>
      </c>
      <c r="C195" s="964" t="str">
        <f>CHIFFRAGE_TC!D196</f>
        <v>Infinida</v>
      </c>
      <c r="D195" s="725"/>
      <c r="E195" s="1000"/>
      <c r="F195" s="1001"/>
      <c r="G195" s="1001"/>
      <c r="H195" s="1002"/>
      <c r="I195" s="709">
        <v>0</v>
      </c>
      <c r="J195" s="709">
        <v>0</v>
      </c>
      <c r="K195" s="709">
        <v>0</v>
      </c>
      <c r="L195" s="709">
        <v>0</v>
      </c>
      <c r="M195" s="709">
        <v>0</v>
      </c>
      <c r="N195" s="709">
        <v>0</v>
      </c>
      <c r="O195" s="709">
        <v>0</v>
      </c>
      <c r="P195" s="709">
        <v>0</v>
      </c>
      <c r="Q195" s="709">
        <v>0</v>
      </c>
      <c r="R195" s="709">
        <v>0</v>
      </c>
      <c r="S195" s="709">
        <v>0</v>
      </c>
      <c r="T195" s="709">
        <v>0</v>
      </c>
      <c r="U195" s="709">
        <v>0</v>
      </c>
      <c r="V195" s="709">
        <v>0</v>
      </c>
      <c r="W195" s="709">
        <v>0</v>
      </c>
      <c r="X195" s="709">
        <v>0</v>
      </c>
      <c r="Y195" s="709">
        <v>0</v>
      </c>
      <c r="Z195" s="709">
        <v>0</v>
      </c>
      <c r="AA195" s="709">
        <v>0</v>
      </c>
      <c r="AB195" s="709">
        <v>0</v>
      </c>
      <c r="AC195" s="709">
        <v>0</v>
      </c>
      <c r="AD195" s="709">
        <v>0</v>
      </c>
      <c r="AE195" s="709">
        <v>0</v>
      </c>
      <c r="AF195" s="709">
        <v>0</v>
      </c>
      <c r="AG195" s="709">
        <v>0</v>
      </c>
      <c r="AH195" s="709">
        <v>0</v>
      </c>
      <c r="AI195" s="709">
        <v>0</v>
      </c>
      <c r="AJ195" s="709">
        <v>0</v>
      </c>
      <c r="AK195" s="709">
        <v>0</v>
      </c>
      <c r="AL195" s="709">
        <v>0</v>
      </c>
      <c r="AM195" s="709">
        <v>0</v>
      </c>
      <c r="AN195" s="709">
        <v>0</v>
      </c>
      <c r="AO195" s="709">
        <v>0</v>
      </c>
      <c r="AP195" s="709">
        <v>0</v>
      </c>
      <c r="AQ195" s="709">
        <v>0</v>
      </c>
      <c r="AR195" s="709">
        <v>0</v>
      </c>
      <c r="AS195" s="709">
        <v>0</v>
      </c>
      <c r="AT195" s="709">
        <v>0</v>
      </c>
      <c r="AU195" s="709">
        <v>0</v>
      </c>
      <c r="AV195" s="709">
        <v>0</v>
      </c>
      <c r="AW195" s="709">
        <v>0</v>
      </c>
      <c r="AX195" s="709">
        <v>0</v>
      </c>
    </row>
    <row r="196" spans="1:50" ht="13.2" x14ac:dyDescent="0.2">
      <c r="B196" s="290" t="str">
        <f>CHIFFRAGE_TC!B197</f>
        <v>% gastos de Gestión externalizados (auditores, seguros)</v>
      </c>
      <c r="C196" s="964" t="str">
        <f>CHIFFRAGE_TC!D197</f>
        <v>Infinida</v>
      </c>
      <c r="D196" s="725"/>
      <c r="E196" s="208">
        <f>CHIFFRAGE_TC!$M197*CHIFFRAGE_TC!$T197</f>
        <v>592466.46316337434</v>
      </c>
      <c r="F196" s="17">
        <f>CHIFFRAGE_TC!$M197*CHIFFRAGE_TC!$U197</f>
        <v>592466.46316337434</v>
      </c>
      <c r="G196" s="17">
        <f>CHIFFRAGE_TC!$M197*CHIFFRAGE_TC!$V197</f>
        <v>592466.46316337434</v>
      </c>
      <c r="H196" s="204">
        <f>CHIFFRAGE_TC!$M197*CHIFFRAGE_TC!$W197</f>
        <v>592466.46316337434</v>
      </c>
      <c r="I196" s="709">
        <v>0</v>
      </c>
      <c r="J196" s="709">
        <v>0</v>
      </c>
      <c r="K196" s="709">
        <v>0</v>
      </c>
      <c r="L196" s="709">
        <v>0</v>
      </c>
      <c r="M196" s="709">
        <v>0</v>
      </c>
      <c r="N196" s="709">
        <v>0</v>
      </c>
      <c r="O196" s="709">
        <v>0</v>
      </c>
      <c r="P196" s="709">
        <v>0</v>
      </c>
      <c r="Q196" s="709">
        <v>0</v>
      </c>
      <c r="R196" s="709">
        <v>0</v>
      </c>
      <c r="S196" s="709">
        <v>0</v>
      </c>
      <c r="T196" s="709">
        <v>0</v>
      </c>
      <c r="U196" s="709">
        <v>0</v>
      </c>
      <c r="V196" s="709">
        <v>0</v>
      </c>
      <c r="W196" s="709">
        <v>0</v>
      </c>
      <c r="X196" s="709">
        <v>0</v>
      </c>
      <c r="Y196" s="709">
        <v>0</v>
      </c>
      <c r="Z196" s="709">
        <v>0</v>
      </c>
      <c r="AA196" s="709">
        <v>0</v>
      </c>
      <c r="AB196" s="709">
        <v>0</v>
      </c>
      <c r="AC196" s="709">
        <v>0</v>
      </c>
      <c r="AD196" s="709">
        <v>0</v>
      </c>
      <c r="AE196" s="709">
        <v>0</v>
      </c>
      <c r="AF196" s="709">
        <v>0</v>
      </c>
      <c r="AG196" s="709">
        <v>0</v>
      </c>
      <c r="AH196" s="709">
        <v>0</v>
      </c>
      <c r="AI196" s="709">
        <v>0</v>
      </c>
      <c r="AJ196" s="709">
        <v>0</v>
      </c>
      <c r="AK196" s="709">
        <v>0</v>
      </c>
      <c r="AL196" s="709">
        <v>0</v>
      </c>
      <c r="AM196" s="709">
        <v>0</v>
      </c>
      <c r="AN196" s="709">
        <v>0</v>
      </c>
      <c r="AO196" s="709">
        <v>0</v>
      </c>
      <c r="AP196" s="709">
        <v>0</v>
      </c>
      <c r="AQ196" s="709">
        <v>0</v>
      </c>
      <c r="AR196" s="709">
        <v>0</v>
      </c>
      <c r="AS196" s="709">
        <v>0</v>
      </c>
      <c r="AT196" s="709">
        <v>0</v>
      </c>
      <c r="AU196" s="709">
        <v>0</v>
      </c>
      <c r="AV196" s="709">
        <v>0</v>
      </c>
      <c r="AW196" s="709">
        <v>0</v>
      </c>
      <c r="AX196" s="709">
        <v>0</v>
      </c>
    </row>
    <row r="197" spans="1:50" ht="13.2" x14ac:dyDescent="0.2">
      <c r="B197" s="289" t="str">
        <f>CHIFFRAGE_TC!B198</f>
        <v>Tramites administrativos</v>
      </c>
      <c r="C197" s="964" t="str">
        <f>CHIFFRAGE_TC!D198</f>
        <v>Infinida</v>
      </c>
      <c r="D197" s="725"/>
      <c r="E197" s="1000"/>
      <c r="F197" s="1001"/>
      <c r="G197" s="1001"/>
      <c r="H197" s="1002"/>
      <c r="I197" s="709">
        <v>0</v>
      </c>
      <c r="J197" s="709">
        <v>0</v>
      </c>
      <c r="K197" s="709">
        <v>0</v>
      </c>
      <c r="L197" s="709">
        <v>0</v>
      </c>
      <c r="M197" s="709">
        <v>0</v>
      </c>
      <c r="N197" s="709">
        <v>0</v>
      </c>
      <c r="O197" s="709">
        <v>0</v>
      </c>
      <c r="P197" s="709">
        <v>0</v>
      </c>
      <c r="Q197" s="709">
        <v>0</v>
      </c>
      <c r="R197" s="709">
        <v>0</v>
      </c>
      <c r="S197" s="709">
        <v>0</v>
      </c>
      <c r="T197" s="709">
        <v>0</v>
      </c>
      <c r="U197" s="709">
        <v>0</v>
      </c>
      <c r="V197" s="709">
        <v>0</v>
      </c>
      <c r="W197" s="709">
        <v>0</v>
      </c>
      <c r="X197" s="709">
        <v>0</v>
      </c>
      <c r="Y197" s="709">
        <v>0</v>
      </c>
      <c r="Z197" s="709">
        <v>0</v>
      </c>
      <c r="AA197" s="709">
        <v>0</v>
      </c>
      <c r="AB197" s="709">
        <v>0</v>
      </c>
      <c r="AC197" s="709">
        <v>0</v>
      </c>
      <c r="AD197" s="709">
        <v>0</v>
      </c>
      <c r="AE197" s="709">
        <v>0</v>
      </c>
      <c r="AF197" s="709">
        <v>0</v>
      </c>
      <c r="AG197" s="709">
        <v>0</v>
      </c>
      <c r="AH197" s="709">
        <v>0</v>
      </c>
      <c r="AI197" s="709">
        <v>0</v>
      </c>
      <c r="AJ197" s="709">
        <v>0</v>
      </c>
      <c r="AK197" s="709">
        <v>0</v>
      </c>
      <c r="AL197" s="709">
        <v>0</v>
      </c>
      <c r="AM197" s="709">
        <v>0</v>
      </c>
      <c r="AN197" s="709">
        <v>0</v>
      </c>
      <c r="AO197" s="709">
        <v>0</v>
      </c>
      <c r="AP197" s="709">
        <v>0</v>
      </c>
      <c r="AQ197" s="709">
        <v>0</v>
      </c>
      <c r="AR197" s="709">
        <v>0</v>
      </c>
      <c r="AS197" s="709">
        <v>0</v>
      </c>
      <c r="AT197" s="709">
        <v>0</v>
      </c>
      <c r="AU197" s="709">
        <v>0</v>
      </c>
      <c r="AV197" s="709">
        <v>0</v>
      </c>
      <c r="AW197" s="709">
        <v>0</v>
      </c>
      <c r="AX197" s="709">
        <v>0</v>
      </c>
    </row>
    <row r="198" spans="1:50" ht="13.8" thickBot="1" x14ac:dyDescent="0.25">
      <c r="B198" s="298"/>
      <c r="C198" s="43"/>
      <c r="D198" s="725"/>
      <c r="E198" s="208"/>
      <c r="F198" s="17"/>
      <c r="G198" s="17"/>
      <c r="H198" s="204"/>
      <c r="I198" s="69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</row>
    <row r="199" spans="1:50" ht="15.6" x14ac:dyDescent="0.2">
      <c r="B199" s="299" t="str">
        <f>CHIFFRAGE_TC!J200</f>
        <v>Costo total sin operaciones adicionales (sin contingencias)</v>
      </c>
      <c r="C199" s="54"/>
      <c r="D199" s="725"/>
      <c r="E199" s="734">
        <f t="shared" ref="E199:AX199" si="60">E11+E32+E37+E44+E52+E56+E60+E69+E84+E174+E192</f>
        <v>5332198.1684703697</v>
      </c>
      <c r="F199" s="702">
        <f t="shared" si="60"/>
        <v>19303992.619395547</v>
      </c>
      <c r="G199" s="702">
        <f t="shared" si="60"/>
        <v>46396367.292470962</v>
      </c>
      <c r="H199" s="703">
        <f t="shared" si="60"/>
        <v>17540885.307906378</v>
      </c>
      <c r="I199" s="734">
        <f t="shared" si="60"/>
        <v>0</v>
      </c>
      <c r="J199" s="702">
        <f t="shared" si="60"/>
        <v>0</v>
      </c>
      <c r="K199" s="702">
        <f t="shared" si="60"/>
        <v>0</v>
      </c>
      <c r="L199" s="702">
        <f t="shared" si="60"/>
        <v>0</v>
      </c>
      <c r="M199" s="702">
        <f t="shared" si="60"/>
        <v>0</v>
      </c>
      <c r="N199" s="702">
        <f t="shared" si="60"/>
        <v>0</v>
      </c>
      <c r="O199" s="702">
        <f t="shared" si="60"/>
        <v>0</v>
      </c>
      <c r="P199" s="702">
        <f t="shared" si="60"/>
        <v>0</v>
      </c>
      <c r="Q199" s="702">
        <f t="shared" si="60"/>
        <v>0</v>
      </c>
      <c r="R199" s="702">
        <f t="shared" si="60"/>
        <v>0</v>
      </c>
      <c r="S199" s="702">
        <f t="shared" si="60"/>
        <v>0</v>
      </c>
      <c r="T199" s="702">
        <f t="shared" si="60"/>
        <v>0</v>
      </c>
      <c r="U199" s="702">
        <f t="shared" si="60"/>
        <v>0</v>
      </c>
      <c r="V199" s="702">
        <f t="shared" si="60"/>
        <v>0</v>
      </c>
      <c r="W199" s="702">
        <f t="shared" si="60"/>
        <v>1663222.1511201449</v>
      </c>
      <c r="X199" s="702">
        <f t="shared" si="60"/>
        <v>5098711.3707448021</v>
      </c>
      <c r="Y199" s="702">
        <f t="shared" si="60"/>
        <v>2327051.7925016573</v>
      </c>
      <c r="Z199" s="702">
        <f t="shared" si="60"/>
        <v>0</v>
      </c>
      <c r="AA199" s="702">
        <f t="shared" si="60"/>
        <v>0</v>
      </c>
      <c r="AB199" s="702">
        <f t="shared" si="60"/>
        <v>0</v>
      </c>
      <c r="AC199" s="702">
        <f t="shared" si="60"/>
        <v>0</v>
      </c>
      <c r="AD199" s="702">
        <f t="shared" si="60"/>
        <v>0</v>
      </c>
      <c r="AE199" s="702">
        <f t="shared" si="60"/>
        <v>0</v>
      </c>
      <c r="AF199" s="702">
        <f t="shared" si="60"/>
        <v>0</v>
      </c>
      <c r="AG199" s="702">
        <f t="shared" si="60"/>
        <v>0</v>
      </c>
      <c r="AH199" s="702">
        <f t="shared" si="60"/>
        <v>0</v>
      </c>
      <c r="AI199" s="702">
        <f t="shared" si="60"/>
        <v>0</v>
      </c>
      <c r="AJ199" s="702">
        <f t="shared" si="60"/>
        <v>0</v>
      </c>
      <c r="AK199" s="702">
        <f t="shared" si="60"/>
        <v>0</v>
      </c>
      <c r="AL199" s="702">
        <f t="shared" si="60"/>
        <v>0</v>
      </c>
      <c r="AM199" s="702">
        <f t="shared" si="60"/>
        <v>0</v>
      </c>
      <c r="AN199" s="702">
        <f t="shared" si="60"/>
        <v>1663222.1511201449</v>
      </c>
      <c r="AO199" s="702">
        <f t="shared" si="60"/>
        <v>4990095.4508355837</v>
      </c>
      <c r="AP199" s="702">
        <f t="shared" si="60"/>
        <v>2290846.4858652512</v>
      </c>
      <c r="AQ199" s="702">
        <f t="shared" si="60"/>
        <v>0</v>
      </c>
      <c r="AR199" s="702">
        <f t="shared" si="60"/>
        <v>0</v>
      </c>
      <c r="AS199" s="702">
        <f t="shared" si="60"/>
        <v>0</v>
      </c>
      <c r="AT199" s="702">
        <f t="shared" si="60"/>
        <v>0</v>
      </c>
      <c r="AU199" s="702">
        <f t="shared" si="60"/>
        <v>0</v>
      </c>
      <c r="AV199" s="702">
        <f t="shared" si="60"/>
        <v>0</v>
      </c>
      <c r="AW199" s="702">
        <f t="shared" si="60"/>
        <v>0</v>
      </c>
      <c r="AX199" s="703">
        <f t="shared" si="60"/>
        <v>0</v>
      </c>
    </row>
    <row r="200" spans="1:50" ht="15.6" x14ac:dyDescent="0.2">
      <c r="B200" s="299" t="str">
        <f>CHIFFRAGE_TC!J201</f>
        <v>Contingencias</v>
      </c>
      <c r="C200" s="54"/>
      <c r="D200" s="725"/>
      <c r="E200" s="735">
        <f t="shared" ref="E200:AX200" si="61">$D$11*E11+$D$32*E32+$D$37*E37+$D$44*E44+$D$52*E52+$D$56*E56+$D$60*E60+$D$69*E69+$D$84*E84+$D$174*E174+$D$192*E192</f>
        <v>562483.47575620026</v>
      </c>
      <c r="F200" s="727">
        <f t="shared" si="61"/>
        <v>3944594.4957768405</v>
      </c>
      <c r="G200" s="727">
        <f t="shared" si="61"/>
        <v>11180960.593167841</v>
      </c>
      <c r="H200" s="728">
        <f t="shared" si="61"/>
        <v>4188765.2824480063</v>
      </c>
      <c r="I200" s="735">
        <f t="shared" si="61"/>
        <v>0</v>
      </c>
      <c r="J200" s="727">
        <f t="shared" si="61"/>
        <v>0</v>
      </c>
      <c r="K200" s="727">
        <f t="shared" si="61"/>
        <v>0</v>
      </c>
      <c r="L200" s="727">
        <f t="shared" si="61"/>
        <v>0</v>
      </c>
      <c r="M200" s="727">
        <f t="shared" si="61"/>
        <v>0</v>
      </c>
      <c r="N200" s="727">
        <f t="shared" si="61"/>
        <v>0</v>
      </c>
      <c r="O200" s="727">
        <f t="shared" si="61"/>
        <v>0</v>
      </c>
      <c r="P200" s="727">
        <f t="shared" si="61"/>
        <v>0</v>
      </c>
      <c r="Q200" s="727">
        <f t="shared" si="61"/>
        <v>0</v>
      </c>
      <c r="R200" s="727">
        <f t="shared" si="61"/>
        <v>0</v>
      </c>
      <c r="S200" s="727">
        <f t="shared" si="61"/>
        <v>0</v>
      </c>
      <c r="T200" s="727">
        <f t="shared" si="61"/>
        <v>0</v>
      </c>
      <c r="U200" s="727">
        <f t="shared" si="61"/>
        <v>0</v>
      </c>
      <c r="V200" s="727">
        <f t="shared" si="61"/>
        <v>0</v>
      </c>
      <c r="W200" s="727">
        <f t="shared" si="61"/>
        <v>392824.58488925273</v>
      </c>
      <c r="X200" s="727">
        <f t="shared" si="61"/>
        <v>1205734.9840138501</v>
      </c>
      <c r="Y200" s="727">
        <f t="shared" si="61"/>
        <v>558781.99523463077</v>
      </c>
      <c r="Z200" s="727">
        <f t="shared" si="61"/>
        <v>0</v>
      </c>
      <c r="AA200" s="727">
        <f t="shared" si="61"/>
        <v>0</v>
      </c>
      <c r="AB200" s="727">
        <f t="shared" si="61"/>
        <v>0</v>
      </c>
      <c r="AC200" s="727">
        <f t="shared" si="61"/>
        <v>0</v>
      </c>
      <c r="AD200" s="727">
        <f t="shared" si="61"/>
        <v>0</v>
      </c>
      <c r="AE200" s="727">
        <f t="shared" si="61"/>
        <v>0</v>
      </c>
      <c r="AF200" s="727">
        <f t="shared" si="61"/>
        <v>0</v>
      </c>
      <c r="AG200" s="727">
        <f t="shared" si="61"/>
        <v>0</v>
      </c>
      <c r="AH200" s="727">
        <f t="shared" si="61"/>
        <v>0</v>
      </c>
      <c r="AI200" s="727">
        <f t="shared" si="61"/>
        <v>0</v>
      </c>
      <c r="AJ200" s="727">
        <f t="shared" si="61"/>
        <v>0</v>
      </c>
      <c r="AK200" s="727">
        <f t="shared" si="61"/>
        <v>0</v>
      </c>
      <c r="AL200" s="727">
        <f t="shared" si="61"/>
        <v>0</v>
      </c>
      <c r="AM200" s="727">
        <f t="shared" si="61"/>
        <v>0</v>
      </c>
      <c r="AN200" s="727">
        <f t="shared" si="61"/>
        <v>392824.58488925273</v>
      </c>
      <c r="AO200" s="727">
        <f t="shared" si="61"/>
        <v>1178581.0040365455</v>
      </c>
      <c r="AP200" s="727">
        <f t="shared" si="61"/>
        <v>549730.66857552924</v>
      </c>
      <c r="AQ200" s="727">
        <f t="shared" si="61"/>
        <v>0</v>
      </c>
      <c r="AR200" s="727">
        <f t="shared" si="61"/>
        <v>0</v>
      </c>
      <c r="AS200" s="727">
        <f t="shared" si="61"/>
        <v>0</v>
      </c>
      <c r="AT200" s="727">
        <f t="shared" si="61"/>
        <v>0</v>
      </c>
      <c r="AU200" s="727">
        <f t="shared" si="61"/>
        <v>0</v>
      </c>
      <c r="AV200" s="727">
        <f t="shared" si="61"/>
        <v>0</v>
      </c>
      <c r="AW200" s="727">
        <f t="shared" si="61"/>
        <v>0</v>
      </c>
      <c r="AX200" s="728">
        <f t="shared" si="61"/>
        <v>0</v>
      </c>
    </row>
    <row r="201" spans="1:50" ht="15.6" x14ac:dyDescent="0.2">
      <c r="B201" s="299" t="str">
        <f>CHIFFRAGE_TC!J202</f>
        <v>Costo total sin operaciones adicionales</v>
      </c>
      <c r="C201" s="54"/>
      <c r="D201" s="725"/>
      <c r="E201" s="736">
        <f t="shared" ref="E201:AX201" si="62">E199+E200</f>
        <v>5894681.6442265697</v>
      </c>
      <c r="F201" s="701">
        <f t="shared" si="62"/>
        <v>23248587.115172386</v>
      </c>
      <c r="G201" s="701">
        <f t="shared" si="62"/>
        <v>57577327.885638803</v>
      </c>
      <c r="H201" s="704">
        <f t="shared" si="62"/>
        <v>21729650.590354383</v>
      </c>
      <c r="I201" s="736">
        <f t="shared" si="62"/>
        <v>0</v>
      </c>
      <c r="J201" s="701">
        <f t="shared" si="62"/>
        <v>0</v>
      </c>
      <c r="K201" s="701">
        <f t="shared" si="62"/>
        <v>0</v>
      </c>
      <c r="L201" s="701">
        <f t="shared" si="62"/>
        <v>0</v>
      </c>
      <c r="M201" s="701">
        <f t="shared" si="62"/>
        <v>0</v>
      </c>
      <c r="N201" s="701">
        <f t="shared" si="62"/>
        <v>0</v>
      </c>
      <c r="O201" s="701">
        <f t="shared" si="62"/>
        <v>0</v>
      </c>
      <c r="P201" s="701">
        <f t="shared" si="62"/>
        <v>0</v>
      </c>
      <c r="Q201" s="701">
        <f t="shared" si="62"/>
        <v>0</v>
      </c>
      <c r="R201" s="701">
        <f t="shared" si="62"/>
        <v>0</v>
      </c>
      <c r="S201" s="701">
        <f t="shared" si="62"/>
        <v>0</v>
      </c>
      <c r="T201" s="701">
        <f t="shared" si="62"/>
        <v>0</v>
      </c>
      <c r="U201" s="701">
        <f t="shared" si="62"/>
        <v>0</v>
      </c>
      <c r="V201" s="701">
        <f t="shared" si="62"/>
        <v>0</v>
      </c>
      <c r="W201" s="701">
        <f t="shared" si="62"/>
        <v>2056046.7360093975</v>
      </c>
      <c r="X201" s="701">
        <f t="shared" si="62"/>
        <v>6304446.3547586519</v>
      </c>
      <c r="Y201" s="701">
        <f t="shared" si="62"/>
        <v>2885833.7877362883</v>
      </c>
      <c r="Z201" s="701">
        <f t="shared" si="62"/>
        <v>0</v>
      </c>
      <c r="AA201" s="701">
        <f t="shared" si="62"/>
        <v>0</v>
      </c>
      <c r="AB201" s="701">
        <f t="shared" si="62"/>
        <v>0</v>
      </c>
      <c r="AC201" s="701">
        <f t="shared" si="62"/>
        <v>0</v>
      </c>
      <c r="AD201" s="701">
        <f t="shared" si="62"/>
        <v>0</v>
      </c>
      <c r="AE201" s="701">
        <f t="shared" si="62"/>
        <v>0</v>
      </c>
      <c r="AF201" s="701">
        <f t="shared" si="62"/>
        <v>0</v>
      </c>
      <c r="AG201" s="701">
        <f t="shared" si="62"/>
        <v>0</v>
      </c>
      <c r="AH201" s="701">
        <f t="shared" si="62"/>
        <v>0</v>
      </c>
      <c r="AI201" s="701">
        <f t="shared" si="62"/>
        <v>0</v>
      </c>
      <c r="AJ201" s="701">
        <f t="shared" si="62"/>
        <v>0</v>
      </c>
      <c r="AK201" s="701">
        <f t="shared" si="62"/>
        <v>0</v>
      </c>
      <c r="AL201" s="701">
        <f t="shared" si="62"/>
        <v>0</v>
      </c>
      <c r="AM201" s="701">
        <f t="shared" si="62"/>
        <v>0</v>
      </c>
      <c r="AN201" s="701">
        <f t="shared" si="62"/>
        <v>2056046.7360093975</v>
      </c>
      <c r="AO201" s="701">
        <f t="shared" si="62"/>
        <v>6168676.4548721295</v>
      </c>
      <c r="AP201" s="701">
        <f t="shared" si="62"/>
        <v>2840577.1544407802</v>
      </c>
      <c r="AQ201" s="701">
        <f t="shared" si="62"/>
        <v>0</v>
      </c>
      <c r="AR201" s="701">
        <f t="shared" si="62"/>
        <v>0</v>
      </c>
      <c r="AS201" s="701">
        <f t="shared" si="62"/>
        <v>0</v>
      </c>
      <c r="AT201" s="701">
        <f t="shared" si="62"/>
        <v>0</v>
      </c>
      <c r="AU201" s="701">
        <f t="shared" si="62"/>
        <v>0</v>
      </c>
      <c r="AV201" s="701">
        <f t="shared" si="62"/>
        <v>0</v>
      </c>
      <c r="AW201" s="701">
        <f t="shared" si="62"/>
        <v>0</v>
      </c>
      <c r="AX201" s="704">
        <f t="shared" si="62"/>
        <v>0</v>
      </c>
    </row>
    <row r="202" spans="1:50" ht="15.6" x14ac:dyDescent="0.2">
      <c r="B202" s="299"/>
      <c r="C202" s="54"/>
      <c r="D202" s="725"/>
      <c r="E202" s="211"/>
      <c r="F202" s="144"/>
      <c r="G202" s="144"/>
      <c r="H202" s="206"/>
      <c r="I202" s="211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206"/>
    </row>
    <row r="203" spans="1:50" ht="15.6" x14ac:dyDescent="0.2">
      <c r="B203" s="299" t="str">
        <f>CHIFFRAGE_TC!J204</f>
        <v>Costo total incluyendo operaciones adicionales (sin contingencias)</v>
      </c>
      <c r="C203" s="54"/>
      <c r="D203" s="725"/>
      <c r="E203" s="736">
        <f t="shared" ref="E203:AX203" si="63">E199+E22+E183</f>
        <v>5332198.1684703697</v>
      </c>
      <c r="F203" s="701">
        <f t="shared" si="63"/>
        <v>19303992.619395547</v>
      </c>
      <c r="G203" s="701">
        <f t="shared" si="63"/>
        <v>47433947.982164711</v>
      </c>
      <c r="H203" s="704">
        <f t="shared" si="63"/>
        <v>18774718.915020127</v>
      </c>
      <c r="I203" s="736">
        <f t="shared" si="63"/>
        <v>0</v>
      </c>
      <c r="J203" s="701">
        <f t="shared" si="63"/>
        <v>0</v>
      </c>
      <c r="K203" s="701">
        <f t="shared" si="63"/>
        <v>0</v>
      </c>
      <c r="L203" s="701">
        <f t="shared" si="63"/>
        <v>0</v>
      </c>
      <c r="M203" s="701">
        <f t="shared" si="63"/>
        <v>0</v>
      </c>
      <c r="N203" s="701">
        <f t="shared" si="63"/>
        <v>0</v>
      </c>
      <c r="O203" s="701">
        <f t="shared" si="63"/>
        <v>0</v>
      </c>
      <c r="P203" s="701">
        <f t="shared" si="63"/>
        <v>0</v>
      </c>
      <c r="Q203" s="701">
        <f t="shared" si="63"/>
        <v>0</v>
      </c>
      <c r="R203" s="701">
        <f t="shared" si="63"/>
        <v>1037580.6896937499</v>
      </c>
      <c r="S203" s="701">
        <f t="shared" si="63"/>
        <v>1233833.60711375</v>
      </c>
      <c r="T203" s="701">
        <f t="shared" si="63"/>
        <v>0</v>
      </c>
      <c r="U203" s="701">
        <f t="shared" si="63"/>
        <v>0</v>
      </c>
      <c r="V203" s="701">
        <f t="shared" si="63"/>
        <v>0</v>
      </c>
      <c r="W203" s="701">
        <f t="shared" si="63"/>
        <v>1663222.1511201449</v>
      </c>
      <c r="X203" s="701">
        <f t="shared" si="63"/>
        <v>5098711.3707448021</v>
      </c>
      <c r="Y203" s="701">
        <f t="shared" si="63"/>
        <v>2327051.7925016573</v>
      </c>
      <c r="Z203" s="701">
        <f t="shared" si="63"/>
        <v>0</v>
      </c>
      <c r="AA203" s="701">
        <f t="shared" si="63"/>
        <v>0</v>
      </c>
      <c r="AB203" s="701">
        <f t="shared" si="63"/>
        <v>0</v>
      </c>
      <c r="AC203" s="701">
        <f t="shared" si="63"/>
        <v>1037580.6896937499</v>
      </c>
      <c r="AD203" s="701">
        <f t="shared" si="63"/>
        <v>1233833.60711375</v>
      </c>
      <c r="AE203" s="701">
        <f t="shared" si="63"/>
        <v>0</v>
      </c>
      <c r="AF203" s="701">
        <f t="shared" si="63"/>
        <v>0</v>
      </c>
      <c r="AG203" s="701">
        <f t="shared" si="63"/>
        <v>0</v>
      </c>
      <c r="AH203" s="701">
        <f t="shared" si="63"/>
        <v>0</v>
      </c>
      <c r="AI203" s="701">
        <f t="shared" si="63"/>
        <v>0</v>
      </c>
      <c r="AJ203" s="701">
        <f t="shared" si="63"/>
        <v>0</v>
      </c>
      <c r="AK203" s="701">
        <f t="shared" si="63"/>
        <v>0</v>
      </c>
      <c r="AL203" s="701">
        <f t="shared" si="63"/>
        <v>0</v>
      </c>
      <c r="AM203" s="701">
        <f t="shared" si="63"/>
        <v>0</v>
      </c>
      <c r="AN203" s="701">
        <f t="shared" si="63"/>
        <v>2700802.8408138948</v>
      </c>
      <c r="AO203" s="701">
        <f t="shared" si="63"/>
        <v>6223929.0579493335</v>
      </c>
      <c r="AP203" s="701">
        <f t="shared" si="63"/>
        <v>2290846.4858652512</v>
      </c>
      <c r="AQ203" s="701">
        <f t="shared" si="63"/>
        <v>0</v>
      </c>
      <c r="AR203" s="701">
        <f t="shared" si="63"/>
        <v>0</v>
      </c>
      <c r="AS203" s="701">
        <f t="shared" si="63"/>
        <v>0</v>
      </c>
      <c r="AT203" s="701">
        <f t="shared" si="63"/>
        <v>0</v>
      </c>
      <c r="AU203" s="701">
        <f t="shared" si="63"/>
        <v>0</v>
      </c>
      <c r="AV203" s="701">
        <f t="shared" si="63"/>
        <v>0</v>
      </c>
      <c r="AW203" s="701">
        <f t="shared" si="63"/>
        <v>0</v>
      </c>
      <c r="AX203" s="704">
        <f t="shared" si="63"/>
        <v>0</v>
      </c>
    </row>
    <row r="204" spans="1:50" ht="15.6" x14ac:dyDescent="0.2">
      <c r="B204" s="299" t="str">
        <f>CHIFFRAGE_TC!J205</f>
        <v>Contingencias</v>
      </c>
      <c r="C204" s="54"/>
      <c r="D204" s="725"/>
      <c r="E204" s="735">
        <f t="shared" ref="E204:AX204" si="64">$D$11*E11+$D$22*E22+$D$32*E32+$D$37*E37+$D$44*E44+$D$52*E52+$D$56*E56+$D$60*E60+$D$69*E69+$D$84*E84+$D$174*E174+$D$183*E183+$D$192*E192</f>
        <v>562483.47575620026</v>
      </c>
      <c r="F204" s="727">
        <f t="shared" si="64"/>
        <v>3944594.4957768405</v>
      </c>
      <c r="G204" s="727">
        <f t="shared" si="64"/>
        <v>11380971.843490511</v>
      </c>
      <c r="H204" s="728">
        <f t="shared" si="64"/>
        <v>4426607.6063272124</v>
      </c>
      <c r="I204" s="735">
        <f t="shared" si="64"/>
        <v>0</v>
      </c>
      <c r="J204" s="727">
        <f t="shared" si="64"/>
        <v>0</v>
      </c>
      <c r="K204" s="727">
        <f t="shared" si="64"/>
        <v>0</v>
      </c>
      <c r="L204" s="727">
        <f t="shared" si="64"/>
        <v>0</v>
      </c>
      <c r="M204" s="727">
        <f t="shared" si="64"/>
        <v>0</v>
      </c>
      <c r="N204" s="727">
        <f t="shared" si="64"/>
        <v>0</v>
      </c>
      <c r="O204" s="727">
        <f t="shared" si="64"/>
        <v>0</v>
      </c>
      <c r="P204" s="727">
        <f t="shared" si="64"/>
        <v>0</v>
      </c>
      <c r="Q204" s="727">
        <f t="shared" si="64"/>
        <v>0</v>
      </c>
      <c r="R204" s="727">
        <f t="shared" si="64"/>
        <v>200011.2503226694</v>
      </c>
      <c r="S204" s="727">
        <f t="shared" si="64"/>
        <v>237842.32387920559</v>
      </c>
      <c r="T204" s="727">
        <f t="shared" si="64"/>
        <v>0</v>
      </c>
      <c r="U204" s="727">
        <f t="shared" si="64"/>
        <v>0</v>
      </c>
      <c r="V204" s="727">
        <f t="shared" si="64"/>
        <v>0</v>
      </c>
      <c r="W204" s="727">
        <f t="shared" si="64"/>
        <v>392824.58488925273</v>
      </c>
      <c r="X204" s="727">
        <f t="shared" si="64"/>
        <v>1205734.9840138501</v>
      </c>
      <c r="Y204" s="727">
        <f t="shared" si="64"/>
        <v>558781.99523463077</v>
      </c>
      <c r="Z204" s="727">
        <f t="shared" si="64"/>
        <v>0</v>
      </c>
      <c r="AA204" s="727">
        <f t="shared" si="64"/>
        <v>0</v>
      </c>
      <c r="AB204" s="727">
        <f t="shared" si="64"/>
        <v>0</v>
      </c>
      <c r="AC204" s="727">
        <f t="shared" si="64"/>
        <v>200011.2503226694</v>
      </c>
      <c r="AD204" s="727">
        <f t="shared" si="64"/>
        <v>237842.32387920559</v>
      </c>
      <c r="AE204" s="727">
        <f t="shared" si="64"/>
        <v>0</v>
      </c>
      <c r="AF204" s="727">
        <f t="shared" si="64"/>
        <v>0</v>
      </c>
      <c r="AG204" s="727">
        <f t="shared" si="64"/>
        <v>0</v>
      </c>
      <c r="AH204" s="727">
        <f t="shared" si="64"/>
        <v>0</v>
      </c>
      <c r="AI204" s="727">
        <f t="shared" si="64"/>
        <v>0</v>
      </c>
      <c r="AJ204" s="727">
        <f t="shared" si="64"/>
        <v>0</v>
      </c>
      <c r="AK204" s="727">
        <f t="shared" si="64"/>
        <v>0</v>
      </c>
      <c r="AL204" s="727">
        <f t="shared" si="64"/>
        <v>0</v>
      </c>
      <c r="AM204" s="727">
        <f t="shared" si="64"/>
        <v>0</v>
      </c>
      <c r="AN204" s="727">
        <f t="shared" si="64"/>
        <v>592835.83521192218</v>
      </c>
      <c r="AO204" s="727">
        <f t="shared" si="64"/>
        <v>1416423.3279157511</v>
      </c>
      <c r="AP204" s="727">
        <f t="shared" si="64"/>
        <v>549730.66857552924</v>
      </c>
      <c r="AQ204" s="727">
        <f t="shared" si="64"/>
        <v>0</v>
      </c>
      <c r="AR204" s="727">
        <f t="shared" si="64"/>
        <v>0</v>
      </c>
      <c r="AS204" s="727">
        <f t="shared" si="64"/>
        <v>0</v>
      </c>
      <c r="AT204" s="727">
        <f t="shared" si="64"/>
        <v>0</v>
      </c>
      <c r="AU204" s="727">
        <f t="shared" si="64"/>
        <v>0</v>
      </c>
      <c r="AV204" s="727">
        <f t="shared" si="64"/>
        <v>0</v>
      </c>
      <c r="AW204" s="727">
        <f t="shared" si="64"/>
        <v>0</v>
      </c>
      <c r="AX204" s="728">
        <f t="shared" si="64"/>
        <v>0</v>
      </c>
    </row>
    <row r="205" spans="1:50" ht="16.2" thickBot="1" x14ac:dyDescent="0.25">
      <c r="B205" s="299" t="str">
        <f>CHIFFRAGE_TC!J206</f>
        <v>Costo total incluyendo operaciones adicionales</v>
      </c>
      <c r="C205" s="54"/>
      <c r="D205" s="725"/>
      <c r="E205" s="212">
        <f>E203+E204</f>
        <v>5894681.6442265697</v>
      </c>
      <c r="F205" s="705">
        <f>F203+F204</f>
        <v>23248587.115172386</v>
      </c>
      <c r="G205" s="705">
        <f>G203+G204</f>
        <v>58814919.825655222</v>
      </c>
      <c r="H205" s="706">
        <f>H203+H204</f>
        <v>23201326.52134734</v>
      </c>
      <c r="I205" s="212">
        <f t="shared" ref="I205:AX205" si="65">I203+I204</f>
        <v>0</v>
      </c>
      <c r="J205" s="705">
        <f t="shared" si="65"/>
        <v>0</v>
      </c>
      <c r="K205" s="705">
        <f t="shared" si="65"/>
        <v>0</v>
      </c>
      <c r="L205" s="705">
        <f t="shared" si="65"/>
        <v>0</v>
      </c>
      <c r="M205" s="705">
        <f t="shared" si="65"/>
        <v>0</v>
      </c>
      <c r="N205" s="705">
        <f t="shared" si="65"/>
        <v>0</v>
      </c>
      <c r="O205" s="705">
        <f t="shared" si="65"/>
        <v>0</v>
      </c>
      <c r="P205" s="705">
        <f t="shared" si="65"/>
        <v>0</v>
      </c>
      <c r="Q205" s="705">
        <f t="shared" si="65"/>
        <v>0</v>
      </c>
      <c r="R205" s="705">
        <f t="shared" si="65"/>
        <v>1237591.9400164192</v>
      </c>
      <c r="S205" s="705">
        <f t="shared" si="65"/>
        <v>1471675.9309929556</v>
      </c>
      <c r="T205" s="705">
        <f t="shared" si="65"/>
        <v>0</v>
      </c>
      <c r="U205" s="705">
        <f t="shared" si="65"/>
        <v>0</v>
      </c>
      <c r="V205" s="705">
        <f t="shared" si="65"/>
        <v>0</v>
      </c>
      <c r="W205" s="705">
        <f t="shared" si="65"/>
        <v>2056046.7360093975</v>
      </c>
      <c r="X205" s="705">
        <f t="shared" si="65"/>
        <v>6304446.3547586519</v>
      </c>
      <c r="Y205" s="705">
        <f t="shared" si="65"/>
        <v>2885833.7877362883</v>
      </c>
      <c r="Z205" s="705">
        <f t="shared" si="65"/>
        <v>0</v>
      </c>
      <c r="AA205" s="705">
        <f t="shared" si="65"/>
        <v>0</v>
      </c>
      <c r="AB205" s="705">
        <f t="shared" si="65"/>
        <v>0</v>
      </c>
      <c r="AC205" s="705">
        <f t="shared" si="65"/>
        <v>1237591.9400164192</v>
      </c>
      <c r="AD205" s="705">
        <f t="shared" si="65"/>
        <v>1471675.9309929556</v>
      </c>
      <c r="AE205" s="705">
        <f t="shared" si="65"/>
        <v>0</v>
      </c>
      <c r="AF205" s="705">
        <f t="shared" si="65"/>
        <v>0</v>
      </c>
      <c r="AG205" s="705">
        <f t="shared" si="65"/>
        <v>0</v>
      </c>
      <c r="AH205" s="705">
        <f t="shared" si="65"/>
        <v>0</v>
      </c>
      <c r="AI205" s="705">
        <f t="shared" si="65"/>
        <v>0</v>
      </c>
      <c r="AJ205" s="705">
        <f t="shared" si="65"/>
        <v>0</v>
      </c>
      <c r="AK205" s="705">
        <f t="shared" si="65"/>
        <v>0</v>
      </c>
      <c r="AL205" s="705">
        <f t="shared" si="65"/>
        <v>0</v>
      </c>
      <c r="AM205" s="705">
        <f t="shared" si="65"/>
        <v>0</v>
      </c>
      <c r="AN205" s="705">
        <f t="shared" si="65"/>
        <v>3293638.6760258172</v>
      </c>
      <c r="AO205" s="705">
        <f t="shared" si="65"/>
        <v>7640352.3858650848</v>
      </c>
      <c r="AP205" s="705">
        <f t="shared" si="65"/>
        <v>2840577.1544407802</v>
      </c>
      <c r="AQ205" s="705">
        <f t="shared" si="65"/>
        <v>0</v>
      </c>
      <c r="AR205" s="705">
        <f t="shared" si="65"/>
        <v>0</v>
      </c>
      <c r="AS205" s="705">
        <f t="shared" si="65"/>
        <v>0</v>
      </c>
      <c r="AT205" s="705">
        <f t="shared" si="65"/>
        <v>0</v>
      </c>
      <c r="AU205" s="705">
        <f t="shared" si="65"/>
        <v>0</v>
      </c>
      <c r="AV205" s="705">
        <f t="shared" si="65"/>
        <v>0</v>
      </c>
      <c r="AW205" s="705">
        <f t="shared" si="65"/>
        <v>0</v>
      </c>
      <c r="AX205" s="706">
        <f t="shared" si="65"/>
        <v>0</v>
      </c>
    </row>
    <row r="206" spans="1:50" x14ac:dyDescent="0.2">
      <c r="A206" s="38"/>
      <c r="B206" s="710"/>
      <c r="C206" s="128"/>
      <c r="D206" s="726"/>
      <c r="E206" s="16"/>
      <c r="F206" s="16"/>
      <c r="G206" s="16"/>
      <c r="H206" s="16"/>
      <c r="I206" s="720"/>
      <c r="J206" s="16"/>
    </row>
    <row r="207" spans="1:50" x14ac:dyDescent="0.2">
      <c r="A207" s="38"/>
      <c r="B207" s="710"/>
      <c r="C207" s="128"/>
      <c r="D207" s="726"/>
      <c r="E207" s="16"/>
      <c r="F207" s="16"/>
      <c r="G207" s="16"/>
      <c r="H207" s="721">
        <f>SUM(E199:H199)</f>
        <v>88573443.388243243</v>
      </c>
      <c r="I207" s="721">
        <f>CHIFFRAGE_TC!M200</f>
        <v>88573443.388243258</v>
      </c>
      <c r="J207" s="731" t="str">
        <f>IF(H207=I207,"Check OK!","NOK!")</f>
        <v>NOK!</v>
      </c>
    </row>
    <row r="208" spans="1:50" x14ac:dyDescent="0.2">
      <c r="A208" s="38"/>
      <c r="B208" s="710"/>
      <c r="C208" s="128"/>
      <c r="D208" s="726"/>
      <c r="E208" s="16"/>
      <c r="F208" s="16"/>
      <c r="G208" s="16"/>
      <c r="H208" s="721">
        <f t="shared" ref="H208:H209" si="66">SUM(E200:H200)</f>
        <v>19876803.847148888</v>
      </c>
      <c r="I208" s="721">
        <f>CHIFFRAGE_TC!M201</f>
        <v>19876803.847148888</v>
      </c>
      <c r="J208" s="731" t="str">
        <f>IF(H208=I208,"Check OK!","NOK!")</f>
        <v>Check OK!</v>
      </c>
    </row>
    <row r="209" spans="1:50" x14ac:dyDescent="0.2">
      <c r="A209" s="38"/>
      <c r="B209" s="710"/>
      <c r="C209" s="128"/>
      <c r="D209" s="726"/>
      <c r="E209" s="16"/>
      <c r="F209" s="16"/>
      <c r="G209" s="16"/>
      <c r="H209" s="721">
        <f t="shared" si="66"/>
        <v>108450247.23539214</v>
      </c>
      <c r="I209" s="721">
        <f>CHIFFRAGE_TC!M202</f>
        <v>108450247.23539215</v>
      </c>
      <c r="J209" s="731" t="str">
        <f>IF(H209=I209,"Check OK!","NOK!")</f>
        <v>Check OK!</v>
      </c>
    </row>
    <row r="210" spans="1:50" x14ac:dyDescent="0.2">
      <c r="A210" s="38"/>
      <c r="B210" s="710"/>
      <c r="C210" s="54"/>
      <c r="D210" s="725"/>
      <c r="E210" s="16"/>
      <c r="F210" s="16"/>
      <c r="G210" s="16"/>
      <c r="H210" s="721"/>
      <c r="I210" s="721"/>
      <c r="J210" s="16"/>
    </row>
    <row r="211" spans="1:50" x14ac:dyDescent="0.2">
      <c r="A211" s="38"/>
      <c r="B211" s="710"/>
      <c r="C211" s="54"/>
      <c r="D211" s="725"/>
      <c r="E211" s="16"/>
      <c r="F211" s="16"/>
      <c r="G211" s="16"/>
      <c r="H211" s="721">
        <f t="shared" ref="H211:H213" si="67">SUM(E203:H203)</f>
        <v>90844857.685050741</v>
      </c>
      <c r="I211" s="721">
        <f>CHIFFRAGE_TC!M204</f>
        <v>90844857.685050756</v>
      </c>
      <c r="J211" s="731" t="str">
        <f>IF(H211=I211,"Check OK!","NOK!")</f>
        <v>NOK!</v>
      </c>
    </row>
    <row r="212" spans="1:50" x14ac:dyDescent="0.2">
      <c r="B212" s="710"/>
      <c r="C212" s="54"/>
      <c r="D212" s="725"/>
      <c r="E212" s="16"/>
      <c r="F212" s="16"/>
      <c r="G212" s="16"/>
      <c r="H212" s="721">
        <f t="shared" si="67"/>
        <v>20314657.421350766</v>
      </c>
      <c r="I212" s="721">
        <f>CHIFFRAGE_TC!M205</f>
        <v>20314657.421350762</v>
      </c>
      <c r="J212" s="731" t="str">
        <f>IF(H212=I212,"Check OK!","NOK!")</f>
        <v>Check OK!</v>
      </c>
    </row>
    <row r="213" spans="1:50" x14ac:dyDescent="0.2">
      <c r="B213" s="710"/>
      <c r="C213" s="54"/>
      <c r="D213" s="725"/>
      <c r="E213" s="16"/>
      <c r="F213" s="16"/>
      <c r="G213" s="16"/>
      <c r="H213" s="721">
        <f t="shared" si="67"/>
        <v>111159515.10640152</v>
      </c>
      <c r="I213" s="721">
        <f>CHIFFRAGE_TC!M206</f>
        <v>111159515.10640152</v>
      </c>
      <c r="J213" s="731" t="str">
        <f>IF(H213=I213,"Check OK!","NOK!")</f>
        <v>Check OK!</v>
      </c>
    </row>
    <row r="214" spans="1:50" x14ac:dyDescent="0.2">
      <c r="B214" s="710"/>
      <c r="C214" s="54"/>
      <c r="D214" s="725"/>
      <c r="E214" s="722"/>
      <c r="F214" s="722"/>
      <c r="G214" s="722"/>
      <c r="H214" s="723"/>
      <c r="I214" s="720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50" x14ac:dyDescent="0.2">
      <c r="B215" s="710"/>
      <c r="C215" s="54"/>
      <c r="D215" s="725"/>
      <c r="E215" s="722"/>
      <c r="F215" s="722"/>
      <c r="G215" s="722"/>
      <c r="H215" s="723"/>
      <c r="I215" s="724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50" x14ac:dyDescent="0.2">
      <c r="B216" s="710"/>
      <c r="C216" s="54"/>
      <c r="D216" s="725"/>
      <c r="E216" s="722"/>
      <c r="F216" s="722"/>
      <c r="G216" s="722"/>
      <c r="H216" s="723"/>
      <c r="I216" s="724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50" ht="13.2" thickBot="1" x14ac:dyDescent="0.25">
      <c r="B217" s="710"/>
      <c r="C217" s="54"/>
      <c r="D217" s="725"/>
      <c r="E217" s="722"/>
      <c r="F217" s="722"/>
      <c r="G217" s="722"/>
      <c r="H217" s="723"/>
      <c r="I217" s="724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50" ht="16.2" thickBot="1" x14ac:dyDescent="0.25">
      <c r="B218" s="288" t="str">
        <f>B11</f>
        <v>Compra de terrenos para estaciones y servidumbres</v>
      </c>
      <c r="C218" s="739" t="s">
        <v>180</v>
      </c>
      <c r="D218" s="740">
        <f>D11</f>
        <v>0.25</v>
      </c>
      <c r="E218" s="722"/>
      <c r="F218" s="722"/>
      <c r="G218" s="722"/>
      <c r="H218" s="723"/>
      <c r="I218" s="724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50" x14ac:dyDescent="0.2">
      <c r="B219" s="738" t="s">
        <v>313</v>
      </c>
      <c r="C219" s="54"/>
      <c r="D219" s="725">
        <f>CHIFFRAGE_TC!Q12</f>
        <v>1</v>
      </c>
      <c r="E219" s="722">
        <f t="shared" ref="E219:AX219" si="68">E11*$D$219</f>
        <v>0</v>
      </c>
      <c r="F219" s="722">
        <f t="shared" si="68"/>
        <v>0</v>
      </c>
      <c r="G219" s="722">
        <f t="shared" si="68"/>
        <v>0</v>
      </c>
      <c r="H219" s="722">
        <f t="shared" si="68"/>
        <v>0</v>
      </c>
      <c r="I219" s="722">
        <f t="shared" si="68"/>
        <v>0</v>
      </c>
      <c r="J219" s="722">
        <f t="shared" si="68"/>
        <v>0</v>
      </c>
      <c r="K219" s="722">
        <f t="shared" si="68"/>
        <v>0</v>
      </c>
      <c r="L219" s="722">
        <f t="shared" si="68"/>
        <v>0</v>
      </c>
      <c r="M219" s="722">
        <f t="shared" si="68"/>
        <v>0</v>
      </c>
      <c r="N219" s="722">
        <f t="shared" si="68"/>
        <v>0</v>
      </c>
      <c r="O219" s="722">
        <f t="shared" si="68"/>
        <v>0</v>
      </c>
      <c r="P219" s="722">
        <f t="shared" si="68"/>
        <v>0</v>
      </c>
      <c r="Q219" s="722">
        <f t="shared" si="68"/>
        <v>0</v>
      </c>
      <c r="R219" s="722">
        <f t="shared" si="68"/>
        <v>0</v>
      </c>
      <c r="S219" s="722">
        <f t="shared" si="68"/>
        <v>0</v>
      </c>
      <c r="T219" s="722">
        <f t="shared" si="68"/>
        <v>0</v>
      </c>
      <c r="U219" s="722">
        <f t="shared" si="68"/>
        <v>0</v>
      </c>
      <c r="V219" s="722">
        <f t="shared" si="68"/>
        <v>0</v>
      </c>
      <c r="W219" s="722">
        <f t="shared" si="68"/>
        <v>0</v>
      </c>
      <c r="X219" s="722">
        <f t="shared" si="68"/>
        <v>0</v>
      </c>
      <c r="Y219" s="722">
        <f t="shared" si="68"/>
        <v>0</v>
      </c>
      <c r="Z219" s="722">
        <f t="shared" si="68"/>
        <v>0</v>
      </c>
      <c r="AA219" s="722">
        <f t="shared" si="68"/>
        <v>0</v>
      </c>
      <c r="AB219" s="722">
        <f t="shared" si="68"/>
        <v>0</v>
      </c>
      <c r="AC219" s="722">
        <f t="shared" si="68"/>
        <v>0</v>
      </c>
      <c r="AD219" s="722">
        <f t="shared" si="68"/>
        <v>0</v>
      </c>
      <c r="AE219" s="722">
        <f t="shared" si="68"/>
        <v>0</v>
      </c>
      <c r="AF219" s="722">
        <f t="shared" si="68"/>
        <v>0</v>
      </c>
      <c r="AG219" s="722">
        <f t="shared" si="68"/>
        <v>0</v>
      </c>
      <c r="AH219" s="722">
        <f t="shared" si="68"/>
        <v>0</v>
      </c>
      <c r="AI219" s="722">
        <f t="shared" si="68"/>
        <v>0</v>
      </c>
      <c r="AJ219" s="722">
        <f t="shared" si="68"/>
        <v>0</v>
      </c>
      <c r="AK219" s="722">
        <f t="shared" si="68"/>
        <v>0</v>
      </c>
      <c r="AL219" s="722">
        <f t="shared" si="68"/>
        <v>0</v>
      </c>
      <c r="AM219" s="722">
        <f t="shared" si="68"/>
        <v>0</v>
      </c>
      <c r="AN219" s="722">
        <f t="shared" si="68"/>
        <v>0</v>
      </c>
      <c r="AO219" s="722">
        <f t="shared" si="68"/>
        <v>0</v>
      </c>
      <c r="AP219" s="722">
        <f t="shared" si="68"/>
        <v>0</v>
      </c>
      <c r="AQ219" s="722">
        <f t="shared" si="68"/>
        <v>0</v>
      </c>
      <c r="AR219" s="722">
        <f t="shared" si="68"/>
        <v>0</v>
      </c>
      <c r="AS219" s="722">
        <f t="shared" si="68"/>
        <v>0</v>
      </c>
      <c r="AT219" s="722">
        <f t="shared" si="68"/>
        <v>0</v>
      </c>
      <c r="AU219" s="722">
        <f t="shared" si="68"/>
        <v>0</v>
      </c>
      <c r="AV219" s="722">
        <f t="shared" si="68"/>
        <v>0</v>
      </c>
      <c r="AW219" s="722">
        <f t="shared" si="68"/>
        <v>0</v>
      </c>
      <c r="AX219" s="722">
        <f t="shared" si="68"/>
        <v>0</v>
      </c>
    </row>
    <row r="220" spans="1:50" x14ac:dyDescent="0.2">
      <c r="B220" s="738" t="s">
        <v>406</v>
      </c>
      <c r="C220" s="54"/>
      <c r="D220" s="725">
        <f>CHIFFRAGE_TC!R12</f>
        <v>0</v>
      </c>
      <c r="E220" s="722">
        <f t="shared" ref="E220:AX220" si="69">E11*$D$220</f>
        <v>0</v>
      </c>
      <c r="F220" s="722">
        <f t="shared" si="69"/>
        <v>0</v>
      </c>
      <c r="G220" s="722">
        <f t="shared" si="69"/>
        <v>0</v>
      </c>
      <c r="H220" s="722">
        <f t="shared" si="69"/>
        <v>0</v>
      </c>
      <c r="I220" s="722">
        <f t="shared" si="69"/>
        <v>0</v>
      </c>
      <c r="J220" s="722">
        <f t="shared" si="69"/>
        <v>0</v>
      </c>
      <c r="K220" s="722">
        <f t="shared" si="69"/>
        <v>0</v>
      </c>
      <c r="L220" s="722">
        <f t="shared" si="69"/>
        <v>0</v>
      </c>
      <c r="M220" s="722">
        <f t="shared" si="69"/>
        <v>0</v>
      </c>
      <c r="N220" s="722">
        <f t="shared" si="69"/>
        <v>0</v>
      </c>
      <c r="O220" s="722">
        <f t="shared" si="69"/>
        <v>0</v>
      </c>
      <c r="P220" s="722">
        <f t="shared" si="69"/>
        <v>0</v>
      </c>
      <c r="Q220" s="722">
        <f t="shared" si="69"/>
        <v>0</v>
      </c>
      <c r="R220" s="722">
        <f t="shared" si="69"/>
        <v>0</v>
      </c>
      <c r="S220" s="722">
        <f t="shared" si="69"/>
        <v>0</v>
      </c>
      <c r="T220" s="722">
        <f t="shared" si="69"/>
        <v>0</v>
      </c>
      <c r="U220" s="722">
        <f t="shared" si="69"/>
        <v>0</v>
      </c>
      <c r="V220" s="722">
        <f t="shared" si="69"/>
        <v>0</v>
      </c>
      <c r="W220" s="722">
        <f t="shared" si="69"/>
        <v>0</v>
      </c>
      <c r="X220" s="722">
        <f t="shared" si="69"/>
        <v>0</v>
      </c>
      <c r="Y220" s="722">
        <f t="shared" si="69"/>
        <v>0</v>
      </c>
      <c r="Z220" s="722">
        <f t="shared" si="69"/>
        <v>0</v>
      </c>
      <c r="AA220" s="722">
        <f t="shared" si="69"/>
        <v>0</v>
      </c>
      <c r="AB220" s="722">
        <f t="shared" si="69"/>
        <v>0</v>
      </c>
      <c r="AC220" s="722">
        <f t="shared" si="69"/>
        <v>0</v>
      </c>
      <c r="AD220" s="722">
        <f t="shared" si="69"/>
        <v>0</v>
      </c>
      <c r="AE220" s="722">
        <f t="shared" si="69"/>
        <v>0</v>
      </c>
      <c r="AF220" s="722">
        <f t="shared" si="69"/>
        <v>0</v>
      </c>
      <c r="AG220" s="722">
        <f t="shared" si="69"/>
        <v>0</v>
      </c>
      <c r="AH220" s="722">
        <f t="shared" si="69"/>
        <v>0</v>
      </c>
      <c r="AI220" s="722">
        <f t="shared" si="69"/>
        <v>0</v>
      </c>
      <c r="AJ220" s="722">
        <f t="shared" si="69"/>
        <v>0</v>
      </c>
      <c r="AK220" s="722">
        <f t="shared" si="69"/>
        <v>0</v>
      </c>
      <c r="AL220" s="722">
        <f t="shared" si="69"/>
        <v>0</v>
      </c>
      <c r="AM220" s="722">
        <f t="shared" si="69"/>
        <v>0</v>
      </c>
      <c r="AN220" s="722">
        <f t="shared" si="69"/>
        <v>0</v>
      </c>
      <c r="AO220" s="722">
        <f t="shared" si="69"/>
        <v>0</v>
      </c>
      <c r="AP220" s="722">
        <f t="shared" si="69"/>
        <v>0</v>
      </c>
      <c r="AQ220" s="722">
        <f t="shared" si="69"/>
        <v>0</v>
      </c>
      <c r="AR220" s="722">
        <f t="shared" si="69"/>
        <v>0</v>
      </c>
      <c r="AS220" s="722">
        <f t="shared" si="69"/>
        <v>0</v>
      </c>
      <c r="AT220" s="722">
        <f t="shared" si="69"/>
        <v>0</v>
      </c>
      <c r="AU220" s="722">
        <f t="shared" si="69"/>
        <v>0</v>
      </c>
      <c r="AV220" s="722">
        <f t="shared" si="69"/>
        <v>0</v>
      </c>
      <c r="AW220" s="722">
        <f t="shared" si="69"/>
        <v>0</v>
      </c>
      <c r="AX220" s="722">
        <f t="shared" si="69"/>
        <v>0</v>
      </c>
    </row>
    <row r="221" spans="1:50" ht="13.2" thickBot="1" x14ac:dyDescent="0.25">
      <c r="B221" s="710"/>
      <c r="C221" s="54"/>
      <c r="D221" s="725"/>
      <c r="E221" s="722"/>
      <c r="F221" s="722"/>
      <c r="G221" s="722"/>
      <c r="H221" s="722"/>
      <c r="I221" s="722"/>
      <c r="J221" s="722"/>
      <c r="K221" s="722"/>
      <c r="L221" s="722"/>
      <c r="M221" s="722"/>
      <c r="N221" s="722"/>
      <c r="O221" s="722"/>
      <c r="P221" s="722"/>
      <c r="Q221" s="722"/>
      <c r="R221" s="722"/>
      <c r="S221" s="722"/>
      <c r="T221" s="722"/>
      <c r="U221" s="722"/>
      <c r="V221" s="722"/>
      <c r="W221" s="722"/>
      <c r="X221" s="722"/>
      <c r="Y221" s="722"/>
      <c r="Z221" s="722"/>
      <c r="AA221" s="722"/>
      <c r="AB221" s="722"/>
      <c r="AC221" s="722"/>
      <c r="AD221" s="722"/>
      <c r="AE221" s="722"/>
      <c r="AF221" s="722"/>
      <c r="AG221" s="722"/>
      <c r="AH221" s="722"/>
      <c r="AI221" s="722"/>
      <c r="AJ221" s="722"/>
      <c r="AK221" s="722"/>
      <c r="AL221" s="722"/>
      <c r="AM221" s="722"/>
      <c r="AN221" s="722"/>
      <c r="AO221" s="722"/>
      <c r="AP221" s="722"/>
      <c r="AQ221" s="722"/>
      <c r="AR221" s="722"/>
      <c r="AS221" s="722"/>
      <c r="AT221" s="722"/>
      <c r="AU221" s="722"/>
      <c r="AV221" s="722"/>
      <c r="AW221" s="722"/>
      <c r="AX221" s="722"/>
    </row>
    <row r="222" spans="1:50" ht="16.2" thickBot="1" x14ac:dyDescent="0.25">
      <c r="B222" s="288" t="str">
        <f>B22</f>
        <v>Compra de terrenos para estacionamiento (operacion adicional)</v>
      </c>
      <c r="C222" s="739" t="s">
        <v>180</v>
      </c>
      <c r="D222" s="740">
        <f>D22</f>
        <v>0</v>
      </c>
      <c r="E222" s="722"/>
      <c r="F222" s="722"/>
      <c r="G222" s="722"/>
      <c r="H222" s="722"/>
      <c r="I222" s="722"/>
      <c r="J222" s="722"/>
      <c r="K222" s="722"/>
      <c r="L222" s="722"/>
      <c r="M222" s="722"/>
      <c r="N222" s="722"/>
      <c r="O222" s="722"/>
      <c r="P222" s="722"/>
      <c r="Q222" s="722"/>
      <c r="R222" s="722"/>
      <c r="S222" s="722"/>
      <c r="T222" s="722"/>
      <c r="U222" s="722"/>
      <c r="V222" s="722"/>
      <c r="W222" s="722"/>
      <c r="X222" s="722"/>
      <c r="Y222" s="722"/>
      <c r="Z222" s="722"/>
      <c r="AA222" s="722"/>
      <c r="AB222" s="722"/>
      <c r="AC222" s="722"/>
      <c r="AD222" s="722"/>
      <c r="AE222" s="722"/>
      <c r="AF222" s="722"/>
      <c r="AG222" s="722"/>
      <c r="AH222" s="722"/>
      <c r="AI222" s="722"/>
      <c r="AJ222" s="722"/>
      <c r="AK222" s="722"/>
      <c r="AL222" s="722"/>
      <c r="AM222" s="722"/>
      <c r="AN222" s="722"/>
      <c r="AO222" s="722"/>
      <c r="AP222" s="722"/>
      <c r="AQ222" s="722"/>
      <c r="AR222" s="722"/>
      <c r="AS222" s="722"/>
      <c r="AT222" s="722"/>
      <c r="AU222" s="722"/>
      <c r="AV222" s="722"/>
      <c r="AW222" s="722"/>
      <c r="AX222" s="722"/>
    </row>
    <row r="223" spans="1:50" x14ac:dyDescent="0.2">
      <c r="B223" s="738" t="s">
        <v>313</v>
      </c>
      <c r="C223" s="54"/>
      <c r="D223" s="725">
        <f>CHIFFRAGE_TC!Q23</f>
        <v>0</v>
      </c>
      <c r="E223" s="722">
        <f t="shared" ref="E223:AX223" si="70">E22*$D$223</f>
        <v>0</v>
      </c>
      <c r="F223" s="722">
        <f t="shared" si="70"/>
        <v>0</v>
      </c>
      <c r="G223" s="722">
        <f t="shared" si="70"/>
        <v>0</v>
      </c>
      <c r="H223" s="722">
        <f t="shared" si="70"/>
        <v>0</v>
      </c>
      <c r="I223" s="722">
        <f t="shared" si="70"/>
        <v>0</v>
      </c>
      <c r="J223" s="722">
        <f t="shared" si="70"/>
        <v>0</v>
      </c>
      <c r="K223" s="722">
        <f t="shared" si="70"/>
        <v>0</v>
      </c>
      <c r="L223" s="722">
        <f t="shared" si="70"/>
        <v>0</v>
      </c>
      <c r="M223" s="722">
        <f t="shared" si="70"/>
        <v>0</v>
      </c>
      <c r="N223" s="722">
        <f t="shared" si="70"/>
        <v>0</v>
      </c>
      <c r="O223" s="722">
        <f t="shared" si="70"/>
        <v>0</v>
      </c>
      <c r="P223" s="722">
        <f t="shared" si="70"/>
        <v>0</v>
      </c>
      <c r="Q223" s="722">
        <f t="shared" si="70"/>
        <v>0</v>
      </c>
      <c r="R223" s="722">
        <f t="shared" si="70"/>
        <v>0</v>
      </c>
      <c r="S223" s="722">
        <f t="shared" si="70"/>
        <v>0</v>
      </c>
      <c r="T223" s="722">
        <f t="shared" si="70"/>
        <v>0</v>
      </c>
      <c r="U223" s="722">
        <f t="shared" si="70"/>
        <v>0</v>
      </c>
      <c r="V223" s="722">
        <f t="shared" si="70"/>
        <v>0</v>
      </c>
      <c r="W223" s="722">
        <f t="shared" si="70"/>
        <v>0</v>
      </c>
      <c r="X223" s="722">
        <f t="shared" si="70"/>
        <v>0</v>
      </c>
      <c r="Y223" s="722">
        <f t="shared" si="70"/>
        <v>0</v>
      </c>
      <c r="Z223" s="722">
        <f t="shared" si="70"/>
        <v>0</v>
      </c>
      <c r="AA223" s="722">
        <f t="shared" si="70"/>
        <v>0</v>
      </c>
      <c r="AB223" s="722">
        <f t="shared" si="70"/>
        <v>0</v>
      </c>
      <c r="AC223" s="722">
        <f t="shared" si="70"/>
        <v>0</v>
      </c>
      <c r="AD223" s="722">
        <f t="shared" si="70"/>
        <v>0</v>
      </c>
      <c r="AE223" s="722">
        <f t="shared" si="70"/>
        <v>0</v>
      </c>
      <c r="AF223" s="722">
        <f t="shared" si="70"/>
        <v>0</v>
      </c>
      <c r="AG223" s="722">
        <f t="shared" si="70"/>
        <v>0</v>
      </c>
      <c r="AH223" s="722">
        <f t="shared" si="70"/>
        <v>0</v>
      </c>
      <c r="AI223" s="722">
        <f t="shared" si="70"/>
        <v>0</v>
      </c>
      <c r="AJ223" s="722">
        <f t="shared" si="70"/>
        <v>0</v>
      </c>
      <c r="AK223" s="722">
        <f t="shared" si="70"/>
        <v>0</v>
      </c>
      <c r="AL223" s="722">
        <f t="shared" si="70"/>
        <v>0</v>
      </c>
      <c r="AM223" s="722">
        <f t="shared" si="70"/>
        <v>0</v>
      </c>
      <c r="AN223" s="722">
        <f t="shared" si="70"/>
        <v>0</v>
      </c>
      <c r="AO223" s="722">
        <f t="shared" si="70"/>
        <v>0</v>
      </c>
      <c r="AP223" s="722">
        <f t="shared" si="70"/>
        <v>0</v>
      </c>
      <c r="AQ223" s="722">
        <f t="shared" si="70"/>
        <v>0</v>
      </c>
      <c r="AR223" s="722">
        <f t="shared" si="70"/>
        <v>0</v>
      </c>
      <c r="AS223" s="722">
        <f t="shared" si="70"/>
        <v>0</v>
      </c>
      <c r="AT223" s="722">
        <f t="shared" si="70"/>
        <v>0</v>
      </c>
      <c r="AU223" s="722">
        <f t="shared" si="70"/>
        <v>0</v>
      </c>
      <c r="AV223" s="722">
        <f t="shared" si="70"/>
        <v>0</v>
      </c>
      <c r="AW223" s="722">
        <f t="shared" si="70"/>
        <v>0</v>
      </c>
      <c r="AX223" s="722">
        <f t="shared" si="70"/>
        <v>0</v>
      </c>
    </row>
    <row r="224" spans="1:50" x14ac:dyDescent="0.2">
      <c r="B224" s="738" t="s">
        <v>406</v>
      </c>
      <c r="C224" s="54"/>
      <c r="D224" s="725">
        <f>CHIFFRAGE_TC!R23</f>
        <v>0</v>
      </c>
      <c r="E224" s="722">
        <f t="shared" ref="E224:AX224" si="71">E22*$D$224</f>
        <v>0</v>
      </c>
      <c r="F224" s="722">
        <f t="shared" si="71"/>
        <v>0</v>
      </c>
      <c r="G224" s="722">
        <f t="shared" si="71"/>
        <v>0</v>
      </c>
      <c r="H224" s="722">
        <f t="shared" si="71"/>
        <v>0</v>
      </c>
      <c r="I224" s="722">
        <f t="shared" si="71"/>
        <v>0</v>
      </c>
      <c r="J224" s="722">
        <f t="shared" si="71"/>
        <v>0</v>
      </c>
      <c r="K224" s="722">
        <f t="shared" si="71"/>
        <v>0</v>
      </c>
      <c r="L224" s="722">
        <f t="shared" si="71"/>
        <v>0</v>
      </c>
      <c r="M224" s="722">
        <f t="shared" si="71"/>
        <v>0</v>
      </c>
      <c r="N224" s="722">
        <f t="shared" si="71"/>
        <v>0</v>
      </c>
      <c r="O224" s="722">
        <f t="shared" si="71"/>
        <v>0</v>
      </c>
      <c r="P224" s="722">
        <f t="shared" si="71"/>
        <v>0</v>
      </c>
      <c r="Q224" s="722">
        <f t="shared" si="71"/>
        <v>0</v>
      </c>
      <c r="R224" s="722">
        <f t="shared" si="71"/>
        <v>0</v>
      </c>
      <c r="S224" s="722">
        <f t="shared" si="71"/>
        <v>0</v>
      </c>
      <c r="T224" s="722">
        <f t="shared" si="71"/>
        <v>0</v>
      </c>
      <c r="U224" s="722">
        <f t="shared" si="71"/>
        <v>0</v>
      </c>
      <c r="V224" s="722">
        <f t="shared" si="71"/>
        <v>0</v>
      </c>
      <c r="W224" s="722">
        <f t="shared" si="71"/>
        <v>0</v>
      </c>
      <c r="X224" s="722">
        <f t="shared" si="71"/>
        <v>0</v>
      </c>
      <c r="Y224" s="722">
        <f t="shared" si="71"/>
        <v>0</v>
      </c>
      <c r="Z224" s="722">
        <f t="shared" si="71"/>
        <v>0</v>
      </c>
      <c r="AA224" s="722">
        <f t="shared" si="71"/>
        <v>0</v>
      </c>
      <c r="AB224" s="722">
        <f t="shared" si="71"/>
        <v>0</v>
      </c>
      <c r="AC224" s="722">
        <f t="shared" si="71"/>
        <v>0</v>
      </c>
      <c r="AD224" s="722">
        <f t="shared" si="71"/>
        <v>0</v>
      </c>
      <c r="AE224" s="722">
        <f t="shared" si="71"/>
        <v>0</v>
      </c>
      <c r="AF224" s="722">
        <f t="shared" si="71"/>
        <v>0</v>
      </c>
      <c r="AG224" s="722">
        <f t="shared" si="71"/>
        <v>0</v>
      </c>
      <c r="AH224" s="722">
        <f t="shared" si="71"/>
        <v>0</v>
      </c>
      <c r="AI224" s="722">
        <f t="shared" si="71"/>
        <v>0</v>
      </c>
      <c r="AJ224" s="722">
        <f t="shared" si="71"/>
        <v>0</v>
      </c>
      <c r="AK224" s="722">
        <f t="shared" si="71"/>
        <v>0</v>
      </c>
      <c r="AL224" s="722">
        <f t="shared" si="71"/>
        <v>0</v>
      </c>
      <c r="AM224" s="722">
        <f t="shared" si="71"/>
        <v>0</v>
      </c>
      <c r="AN224" s="722">
        <f t="shared" si="71"/>
        <v>0</v>
      </c>
      <c r="AO224" s="722">
        <f t="shared" si="71"/>
        <v>0</v>
      </c>
      <c r="AP224" s="722">
        <f t="shared" si="71"/>
        <v>0</v>
      </c>
      <c r="AQ224" s="722">
        <f t="shared" si="71"/>
        <v>0</v>
      </c>
      <c r="AR224" s="722">
        <f t="shared" si="71"/>
        <v>0</v>
      </c>
      <c r="AS224" s="722">
        <f t="shared" si="71"/>
        <v>0</v>
      </c>
      <c r="AT224" s="722">
        <f t="shared" si="71"/>
        <v>0</v>
      </c>
      <c r="AU224" s="722">
        <f t="shared" si="71"/>
        <v>0</v>
      </c>
      <c r="AV224" s="722">
        <f t="shared" si="71"/>
        <v>0</v>
      </c>
      <c r="AW224" s="722">
        <f t="shared" si="71"/>
        <v>0</v>
      </c>
      <c r="AX224" s="722">
        <f t="shared" si="71"/>
        <v>0</v>
      </c>
    </row>
    <row r="225" spans="2:50" ht="13.2" thickBot="1" x14ac:dyDescent="0.25">
      <c r="B225" s="710"/>
      <c r="C225" s="54"/>
      <c r="D225" s="725"/>
      <c r="E225" s="722"/>
      <c r="F225" s="722"/>
      <c r="G225" s="722"/>
      <c r="H225" s="722"/>
      <c r="I225" s="722"/>
      <c r="J225" s="722"/>
      <c r="K225" s="722"/>
      <c r="L225" s="722"/>
      <c r="M225" s="722"/>
      <c r="N225" s="722"/>
      <c r="O225" s="722"/>
      <c r="P225" s="722"/>
      <c r="Q225" s="722"/>
      <c r="R225" s="722"/>
      <c r="S225" s="722"/>
      <c r="T225" s="722"/>
      <c r="U225" s="722"/>
      <c r="V225" s="722"/>
      <c r="W225" s="722"/>
      <c r="X225" s="722"/>
      <c r="Y225" s="722"/>
      <c r="Z225" s="722"/>
      <c r="AA225" s="722"/>
      <c r="AB225" s="722"/>
      <c r="AC225" s="722"/>
      <c r="AD225" s="722"/>
      <c r="AE225" s="722"/>
      <c r="AF225" s="722"/>
      <c r="AG225" s="722"/>
      <c r="AH225" s="722"/>
      <c r="AI225" s="722"/>
      <c r="AJ225" s="722"/>
      <c r="AK225" s="722"/>
      <c r="AL225" s="722"/>
      <c r="AM225" s="722"/>
      <c r="AN225" s="722"/>
      <c r="AO225" s="722"/>
      <c r="AP225" s="722"/>
      <c r="AQ225" s="722"/>
      <c r="AR225" s="722"/>
      <c r="AS225" s="722"/>
      <c r="AT225" s="722"/>
      <c r="AU225" s="722"/>
      <c r="AV225" s="722"/>
      <c r="AW225" s="722"/>
      <c r="AX225" s="722"/>
    </row>
    <row r="226" spans="2:50" ht="16.2" thickBot="1" x14ac:dyDescent="0.25">
      <c r="B226" s="288" t="str">
        <f>B32</f>
        <v>Decontaminacion y proteccion</v>
      </c>
      <c r="C226" s="739" t="s">
        <v>180</v>
      </c>
      <c r="D226" s="740">
        <f>D32</f>
        <v>0.25</v>
      </c>
      <c r="E226" s="722"/>
      <c r="F226" s="722"/>
      <c r="G226" s="722"/>
      <c r="H226" s="722"/>
      <c r="I226" s="722"/>
      <c r="J226" s="722"/>
      <c r="K226" s="722"/>
      <c r="L226" s="722"/>
      <c r="M226" s="722"/>
      <c r="N226" s="722"/>
      <c r="O226" s="722"/>
      <c r="P226" s="722"/>
      <c r="Q226" s="722"/>
      <c r="R226" s="722"/>
      <c r="S226" s="722"/>
      <c r="T226" s="722"/>
      <c r="U226" s="722"/>
      <c r="V226" s="722"/>
      <c r="W226" s="722"/>
      <c r="X226" s="722"/>
      <c r="Y226" s="722"/>
      <c r="Z226" s="722"/>
      <c r="AA226" s="722"/>
      <c r="AB226" s="722"/>
      <c r="AC226" s="722"/>
      <c r="AD226" s="722"/>
      <c r="AE226" s="722"/>
      <c r="AF226" s="722"/>
      <c r="AG226" s="722"/>
      <c r="AH226" s="722"/>
      <c r="AI226" s="722"/>
      <c r="AJ226" s="722"/>
      <c r="AK226" s="722"/>
      <c r="AL226" s="722"/>
      <c r="AM226" s="722"/>
      <c r="AN226" s="722"/>
      <c r="AO226" s="722"/>
      <c r="AP226" s="722"/>
      <c r="AQ226" s="722"/>
      <c r="AR226" s="722"/>
      <c r="AS226" s="722"/>
      <c r="AT226" s="722"/>
      <c r="AU226" s="722"/>
      <c r="AV226" s="722"/>
      <c r="AW226" s="722"/>
      <c r="AX226" s="722"/>
    </row>
    <row r="227" spans="2:50" x14ac:dyDescent="0.2">
      <c r="B227" s="738" t="s">
        <v>313</v>
      </c>
      <c r="C227" s="54"/>
      <c r="D227" s="725">
        <f>CHIFFRAGE_TC!Q33</f>
        <v>0.79869671828289279</v>
      </c>
      <c r="E227" s="722">
        <f t="shared" ref="E227:AX227" si="72">E32*$D$227</f>
        <v>0</v>
      </c>
      <c r="F227" s="722">
        <f t="shared" si="72"/>
        <v>834005.41477650858</v>
      </c>
      <c r="G227" s="722">
        <f t="shared" si="72"/>
        <v>758004.04510574671</v>
      </c>
      <c r="H227" s="722">
        <f t="shared" si="72"/>
        <v>1516008.0902114934</v>
      </c>
      <c r="I227" s="722">
        <f t="shared" si="72"/>
        <v>0</v>
      </c>
      <c r="J227" s="722">
        <f t="shared" si="72"/>
        <v>0</v>
      </c>
      <c r="K227" s="722">
        <f t="shared" si="72"/>
        <v>0</v>
      </c>
      <c r="L227" s="722">
        <f t="shared" si="72"/>
        <v>0</v>
      </c>
      <c r="M227" s="722">
        <f t="shared" si="72"/>
        <v>0</v>
      </c>
      <c r="N227" s="722">
        <f t="shared" si="72"/>
        <v>0</v>
      </c>
      <c r="O227" s="722">
        <f t="shared" si="72"/>
        <v>0</v>
      </c>
      <c r="P227" s="722">
        <f t="shared" si="72"/>
        <v>0</v>
      </c>
      <c r="Q227" s="722">
        <f t="shared" si="72"/>
        <v>0</v>
      </c>
      <c r="R227" s="722">
        <f t="shared" si="72"/>
        <v>0</v>
      </c>
      <c r="S227" s="722">
        <f t="shared" si="72"/>
        <v>0</v>
      </c>
      <c r="T227" s="722">
        <f t="shared" si="72"/>
        <v>0</v>
      </c>
      <c r="U227" s="722">
        <f t="shared" si="72"/>
        <v>0</v>
      </c>
      <c r="V227" s="722">
        <f t="shared" si="72"/>
        <v>0</v>
      </c>
      <c r="W227" s="722">
        <f t="shared" si="72"/>
        <v>0</v>
      </c>
      <c r="X227" s="722">
        <f t="shared" si="72"/>
        <v>0</v>
      </c>
      <c r="Y227" s="722">
        <f t="shared" si="72"/>
        <v>0</v>
      </c>
      <c r="Z227" s="722">
        <f t="shared" si="72"/>
        <v>0</v>
      </c>
      <c r="AA227" s="722">
        <f t="shared" si="72"/>
        <v>0</v>
      </c>
      <c r="AB227" s="722">
        <f t="shared" si="72"/>
        <v>0</v>
      </c>
      <c r="AC227" s="722">
        <f t="shared" si="72"/>
        <v>0</v>
      </c>
      <c r="AD227" s="722">
        <f t="shared" si="72"/>
        <v>0</v>
      </c>
      <c r="AE227" s="722">
        <f t="shared" si="72"/>
        <v>0</v>
      </c>
      <c r="AF227" s="722">
        <f t="shared" si="72"/>
        <v>0</v>
      </c>
      <c r="AG227" s="722">
        <f t="shared" si="72"/>
        <v>0</v>
      </c>
      <c r="AH227" s="722">
        <f t="shared" si="72"/>
        <v>0</v>
      </c>
      <c r="AI227" s="722">
        <f t="shared" si="72"/>
        <v>0</v>
      </c>
      <c r="AJ227" s="722">
        <f t="shared" si="72"/>
        <v>0</v>
      </c>
      <c r="AK227" s="722">
        <f t="shared" si="72"/>
        <v>0</v>
      </c>
      <c r="AL227" s="722">
        <f t="shared" si="72"/>
        <v>0</v>
      </c>
      <c r="AM227" s="722">
        <f t="shared" si="72"/>
        <v>0</v>
      </c>
      <c r="AN227" s="722">
        <f t="shared" si="72"/>
        <v>0</v>
      </c>
      <c r="AO227" s="722">
        <f t="shared" si="72"/>
        <v>0</v>
      </c>
      <c r="AP227" s="722">
        <f t="shared" si="72"/>
        <v>0</v>
      </c>
      <c r="AQ227" s="722">
        <f t="shared" si="72"/>
        <v>0</v>
      </c>
      <c r="AR227" s="722">
        <f t="shared" si="72"/>
        <v>0</v>
      </c>
      <c r="AS227" s="722">
        <f t="shared" si="72"/>
        <v>0</v>
      </c>
      <c r="AT227" s="722">
        <f t="shared" si="72"/>
        <v>0</v>
      </c>
      <c r="AU227" s="722">
        <f t="shared" si="72"/>
        <v>0</v>
      </c>
      <c r="AV227" s="722">
        <f t="shared" si="72"/>
        <v>0</v>
      </c>
      <c r="AW227" s="722">
        <f t="shared" si="72"/>
        <v>0</v>
      </c>
      <c r="AX227" s="722">
        <f t="shared" si="72"/>
        <v>0</v>
      </c>
    </row>
    <row r="228" spans="2:50" x14ac:dyDescent="0.2">
      <c r="B228" s="738" t="s">
        <v>406</v>
      </c>
      <c r="C228" s="54"/>
      <c r="D228" s="725">
        <f>CHIFFRAGE_TC!R33</f>
        <v>0.20130328171710718</v>
      </c>
      <c r="E228" s="722">
        <f t="shared" ref="E228:AX228" si="73">E32*$D$228</f>
        <v>0</v>
      </c>
      <c r="F228" s="722">
        <f t="shared" si="73"/>
        <v>210202.47500864722</v>
      </c>
      <c r="G228" s="722">
        <f t="shared" si="73"/>
        <v>191047.11255440905</v>
      </c>
      <c r="H228" s="722">
        <f t="shared" si="73"/>
        <v>382094.22510881809</v>
      </c>
      <c r="I228" s="722">
        <f t="shared" si="73"/>
        <v>0</v>
      </c>
      <c r="J228" s="722">
        <f t="shared" si="73"/>
        <v>0</v>
      </c>
      <c r="K228" s="722">
        <f t="shared" si="73"/>
        <v>0</v>
      </c>
      <c r="L228" s="722">
        <f t="shared" si="73"/>
        <v>0</v>
      </c>
      <c r="M228" s="722">
        <f t="shared" si="73"/>
        <v>0</v>
      </c>
      <c r="N228" s="722">
        <f t="shared" si="73"/>
        <v>0</v>
      </c>
      <c r="O228" s="722">
        <f t="shared" si="73"/>
        <v>0</v>
      </c>
      <c r="P228" s="722">
        <f t="shared" si="73"/>
        <v>0</v>
      </c>
      <c r="Q228" s="722">
        <f t="shared" si="73"/>
        <v>0</v>
      </c>
      <c r="R228" s="722">
        <f t="shared" si="73"/>
        <v>0</v>
      </c>
      <c r="S228" s="722">
        <f t="shared" si="73"/>
        <v>0</v>
      </c>
      <c r="T228" s="722">
        <f t="shared" si="73"/>
        <v>0</v>
      </c>
      <c r="U228" s="722">
        <f t="shared" si="73"/>
        <v>0</v>
      </c>
      <c r="V228" s="722">
        <f t="shared" si="73"/>
        <v>0</v>
      </c>
      <c r="W228" s="722">
        <f t="shared" si="73"/>
        <v>0</v>
      </c>
      <c r="X228" s="722">
        <f t="shared" si="73"/>
        <v>0</v>
      </c>
      <c r="Y228" s="722">
        <f t="shared" si="73"/>
        <v>0</v>
      </c>
      <c r="Z228" s="722">
        <f t="shared" si="73"/>
        <v>0</v>
      </c>
      <c r="AA228" s="722">
        <f t="shared" si="73"/>
        <v>0</v>
      </c>
      <c r="AB228" s="722">
        <f t="shared" si="73"/>
        <v>0</v>
      </c>
      <c r="AC228" s="722">
        <f t="shared" si="73"/>
        <v>0</v>
      </c>
      <c r="AD228" s="722">
        <f t="shared" si="73"/>
        <v>0</v>
      </c>
      <c r="AE228" s="722">
        <f t="shared" si="73"/>
        <v>0</v>
      </c>
      <c r="AF228" s="722">
        <f t="shared" si="73"/>
        <v>0</v>
      </c>
      <c r="AG228" s="722">
        <f t="shared" si="73"/>
        <v>0</v>
      </c>
      <c r="AH228" s="722">
        <f t="shared" si="73"/>
        <v>0</v>
      </c>
      <c r="AI228" s="722">
        <f t="shared" si="73"/>
        <v>0</v>
      </c>
      <c r="AJ228" s="722">
        <f t="shared" si="73"/>
        <v>0</v>
      </c>
      <c r="AK228" s="722">
        <f t="shared" si="73"/>
        <v>0</v>
      </c>
      <c r="AL228" s="722">
        <f t="shared" si="73"/>
        <v>0</v>
      </c>
      <c r="AM228" s="722">
        <f t="shared" si="73"/>
        <v>0</v>
      </c>
      <c r="AN228" s="722">
        <f t="shared" si="73"/>
        <v>0</v>
      </c>
      <c r="AO228" s="722">
        <f t="shared" si="73"/>
        <v>0</v>
      </c>
      <c r="AP228" s="722">
        <f t="shared" si="73"/>
        <v>0</v>
      </c>
      <c r="AQ228" s="722">
        <f t="shared" si="73"/>
        <v>0</v>
      </c>
      <c r="AR228" s="722">
        <f t="shared" si="73"/>
        <v>0</v>
      </c>
      <c r="AS228" s="722">
        <f t="shared" si="73"/>
        <v>0</v>
      </c>
      <c r="AT228" s="722">
        <f t="shared" si="73"/>
        <v>0</v>
      </c>
      <c r="AU228" s="722">
        <f t="shared" si="73"/>
        <v>0</v>
      </c>
      <c r="AV228" s="722">
        <f t="shared" si="73"/>
        <v>0</v>
      </c>
      <c r="AW228" s="722">
        <f t="shared" si="73"/>
        <v>0</v>
      </c>
      <c r="AX228" s="722">
        <f t="shared" si="73"/>
        <v>0</v>
      </c>
    </row>
    <row r="229" spans="2:50" ht="13.2" thickBot="1" x14ac:dyDescent="0.25">
      <c r="B229" s="710"/>
      <c r="C229" s="54"/>
      <c r="D229" s="725"/>
      <c r="E229" s="722"/>
      <c r="F229" s="722"/>
      <c r="G229" s="722"/>
      <c r="H229" s="722"/>
      <c r="I229" s="722"/>
      <c r="J229" s="722"/>
      <c r="K229" s="722"/>
      <c r="L229" s="722"/>
      <c r="M229" s="722"/>
      <c r="N229" s="722"/>
      <c r="O229" s="722"/>
      <c r="P229" s="722"/>
      <c r="Q229" s="722"/>
      <c r="R229" s="722"/>
      <c r="S229" s="722"/>
      <c r="T229" s="722"/>
      <c r="U229" s="722"/>
      <c r="V229" s="722"/>
      <c r="W229" s="722"/>
      <c r="X229" s="722"/>
      <c r="Y229" s="722"/>
      <c r="Z229" s="722"/>
      <c r="AA229" s="722"/>
      <c r="AB229" s="722"/>
      <c r="AC229" s="722"/>
      <c r="AD229" s="722"/>
      <c r="AE229" s="722"/>
      <c r="AF229" s="722"/>
      <c r="AG229" s="722"/>
      <c r="AH229" s="722"/>
      <c r="AI229" s="722"/>
      <c r="AJ229" s="722"/>
      <c r="AK229" s="722"/>
      <c r="AL229" s="722"/>
      <c r="AM229" s="722"/>
      <c r="AN229" s="722"/>
      <c r="AO229" s="722"/>
      <c r="AP229" s="722"/>
      <c r="AQ229" s="722"/>
      <c r="AR229" s="722"/>
      <c r="AS229" s="722"/>
      <c r="AT229" s="722"/>
      <c r="AU229" s="722"/>
      <c r="AV229" s="722"/>
      <c r="AW229" s="722"/>
      <c r="AX229" s="722"/>
    </row>
    <row r="230" spans="2:50" ht="16.2" thickBot="1" x14ac:dyDescent="0.25">
      <c r="B230" s="288" t="str">
        <f>B37</f>
        <v>Infraestructura y estructuras de lineas</v>
      </c>
      <c r="C230" s="739" t="s">
        <v>180</v>
      </c>
      <c r="D230" s="740">
        <f>D37</f>
        <v>0.25</v>
      </c>
      <c r="E230" s="722"/>
      <c r="F230" s="722"/>
      <c r="G230" s="722"/>
      <c r="H230" s="722"/>
      <c r="I230" s="722"/>
      <c r="J230" s="722"/>
      <c r="K230" s="722"/>
      <c r="L230" s="722"/>
      <c r="M230" s="722"/>
      <c r="N230" s="722"/>
      <c r="O230" s="722"/>
      <c r="P230" s="722"/>
      <c r="Q230" s="722"/>
      <c r="R230" s="722"/>
      <c r="S230" s="722"/>
      <c r="T230" s="722"/>
      <c r="U230" s="722"/>
      <c r="V230" s="722"/>
      <c r="W230" s="722"/>
      <c r="X230" s="722"/>
      <c r="Y230" s="722"/>
      <c r="Z230" s="722"/>
      <c r="AA230" s="722"/>
      <c r="AB230" s="722"/>
      <c r="AC230" s="722"/>
      <c r="AD230" s="722"/>
      <c r="AE230" s="722"/>
      <c r="AF230" s="722"/>
      <c r="AG230" s="722"/>
      <c r="AH230" s="722"/>
      <c r="AI230" s="722"/>
      <c r="AJ230" s="722"/>
      <c r="AK230" s="722"/>
      <c r="AL230" s="722"/>
      <c r="AM230" s="722"/>
      <c r="AN230" s="722"/>
      <c r="AO230" s="722"/>
      <c r="AP230" s="722"/>
      <c r="AQ230" s="722"/>
      <c r="AR230" s="722"/>
      <c r="AS230" s="722"/>
      <c r="AT230" s="722"/>
      <c r="AU230" s="722"/>
      <c r="AV230" s="722"/>
      <c r="AW230" s="722"/>
      <c r="AX230" s="722"/>
    </row>
    <row r="231" spans="2:50" x14ac:dyDescent="0.2">
      <c r="B231" s="738" t="s">
        <v>313</v>
      </c>
      <c r="C231" s="54"/>
      <c r="D231" s="725">
        <f>CHIFFRAGE_TC!Q38</f>
        <v>0.5876292233224607</v>
      </c>
      <c r="E231" s="722">
        <f t="shared" ref="E231:AX231" si="74">E37*$D$231</f>
        <v>0</v>
      </c>
      <c r="F231" s="722">
        <f t="shared" si="74"/>
        <v>1111947.9539868878</v>
      </c>
      <c r="G231" s="722">
        <f t="shared" si="74"/>
        <v>3335843.8619606639</v>
      </c>
      <c r="H231" s="722">
        <f t="shared" si="74"/>
        <v>1111947.9539868878</v>
      </c>
      <c r="I231" s="722">
        <f t="shared" si="74"/>
        <v>0</v>
      </c>
      <c r="J231" s="722">
        <f t="shared" si="74"/>
        <v>0</v>
      </c>
      <c r="K231" s="722">
        <f t="shared" si="74"/>
        <v>0</v>
      </c>
      <c r="L231" s="722">
        <f t="shared" si="74"/>
        <v>0</v>
      </c>
      <c r="M231" s="722">
        <f t="shared" si="74"/>
        <v>0</v>
      </c>
      <c r="N231" s="722">
        <f t="shared" si="74"/>
        <v>0</v>
      </c>
      <c r="O231" s="722">
        <f t="shared" si="74"/>
        <v>0</v>
      </c>
      <c r="P231" s="722">
        <f t="shared" si="74"/>
        <v>0</v>
      </c>
      <c r="Q231" s="722">
        <f t="shared" si="74"/>
        <v>0</v>
      </c>
      <c r="R231" s="722">
        <f t="shared" si="74"/>
        <v>0</v>
      </c>
      <c r="S231" s="722">
        <f t="shared" si="74"/>
        <v>0</v>
      </c>
      <c r="T231" s="722">
        <f t="shared" si="74"/>
        <v>0</v>
      </c>
      <c r="U231" s="722">
        <f t="shared" si="74"/>
        <v>0</v>
      </c>
      <c r="V231" s="722">
        <f t="shared" si="74"/>
        <v>0</v>
      </c>
      <c r="W231" s="722">
        <f t="shared" si="74"/>
        <v>0</v>
      </c>
      <c r="X231" s="722">
        <f t="shared" si="74"/>
        <v>0</v>
      </c>
      <c r="Y231" s="722">
        <f t="shared" si="74"/>
        <v>0</v>
      </c>
      <c r="Z231" s="722">
        <f t="shared" si="74"/>
        <v>0</v>
      </c>
      <c r="AA231" s="722">
        <f t="shared" si="74"/>
        <v>0</v>
      </c>
      <c r="AB231" s="722">
        <f t="shared" si="74"/>
        <v>0</v>
      </c>
      <c r="AC231" s="722">
        <f t="shared" si="74"/>
        <v>0</v>
      </c>
      <c r="AD231" s="722">
        <f t="shared" si="74"/>
        <v>0</v>
      </c>
      <c r="AE231" s="722">
        <f t="shared" si="74"/>
        <v>0</v>
      </c>
      <c r="AF231" s="722">
        <f t="shared" si="74"/>
        <v>0</v>
      </c>
      <c r="AG231" s="722">
        <f t="shared" si="74"/>
        <v>0</v>
      </c>
      <c r="AH231" s="722">
        <f t="shared" si="74"/>
        <v>0</v>
      </c>
      <c r="AI231" s="722">
        <f t="shared" si="74"/>
        <v>0</v>
      </c>
      <c r="AJ231" s="722">
        <f t="shared" si="74"/>
        <v>0</v>
      </c>
      <c r="AK231" s="722">
        <f t="shared" si="74"/>
        <v>0</v>
      </c>
      <c r="AL231" s="722">
        <f t="shared" si="74"/>
        <v>0</v>
      </c>
      <c r="AM231" s="722">
        <f t="shared" si="74"/>
        <v>0</v>
      </c>
      <c r="AN231" s="722">
        <f t="shared" si="74"/>
        <v>0</v>
      </c>
      <c r="AO231" s="722">
        <f t="shared" si="74"/>
        <v>0</v>
      </c>
      <c r="AP231" s="722">
        <f t="shared" si="74"/>
        <v>0</v>
      </c>
      <c r="AQ231" s="722">
        <f t="shared" si="74"/>
        <v>0</v>
      </c>
      <c r="AR231" s="722">
        <f t="shared" si="74"/>
        <v>0</v>
      </c>
      <c r="AS231" s="722">
        <f t="shared" si="74"/>
        <v>0</v>
      </c>
      <c r="AT231" s="722">
        <f t="shared" si="74"/>
        <v>0</v>
      </c>
      <c r="AU231" s="722">
        <f t="shared" si="74"/>
        <v>0</v>
      </c>
      <c r="AV231" s="722">
        <f t="shared" si="74"/>
        <v>0</v>
      </c>
      <c r="AW231" s="722">
        <f t="shared" si="74"/>
        <v>0</v>
      </c>
      <c r="AX231" s="722">
        <f t="shared" si="74"/>
        <v>0</v>
      </c>
    </row>
    <row r="232" spans="2:50" x14ac:dyDescent="0.2">
      <c r="B232" s="738" t="s">
        <v>406</v>
      </c>
      <c r="C232" s="54"/>
      <c r="D232" s="725">
        <f>CHIFFRAGE_TC!R38</f>
        <v>0.41237077667753924</v>
      </c>
      <c r="E232" s="722">
        <f t="shared" ref="E232:AX232" si="75">E37*$D$232</f>
        <v>0</v>
      </c>
      <c r="F232" s="722">
        <f t="shared" si="75"/>
        <v>780313.20297178836</v>
      </c>
      <c r="G232" s="722">
        <f t="shared" si="75"/>
        <v>2340939.6089153653</v>
      </c>
      <c r="H232" s="722">
        <f t="shared" si="75"/>
        <v>780313.20297178836</v>
      </c>
      <c r="I232" s="722">
        <f t="shared" si="75"/>
        <v>0</v>
      </c>
      <c r="J232" s="722">
        <f t="shared" si="75"/>
        <v>0</v>
      </c>
      <c r="K232" s="722">
        <f t="shared" si="75"/>
        <v>0</v>
      </c>
      <c r="L232" s="722">
        <f t="shared" si="75"/>
        <v>0</v>
      </c>
      <c r="M232" s="722">
        <f t="shared" si="75"/>
        <v>0</v>
      </c>
      <c r="N232" s="722">
        <f t="shared" si="75"/>
        <v>0</v>
      </c>
      <c r="O232" s="722">
        <f t="shared" si="75"/>
        <v>0</v>
      </c>
      <c r="P232" s="722">
        <f t="shared" si="75"/>
        <v>0</v>
      </c>
      <c r="Q232" s="722">
        <f t="shared" si="75"/>
        <v>0</v>
      </c>
      <c r="R232" s="722">
        <f t="shared" si="75"/>
        <v>0</v>
      </c>
      <c r="S232" s="722">
        <f t="shared" si="75"/>
        <v>0</v>
      </c>
      <c r="T232" s="722">
        <f t="shared" si="75"/>
        <v>0</v>
      </c>
      <c r="U232" s="722">
        <f t="shared" si="75"/>
        <v>0</v>
      </c>
      <c r="V232" s="722">
        <f t="shared" si="75"/>
        <v>0</v>
      </c>
      <c r="W232" s="722">
        <f t="shared" si="75"/>
        <v>0</v>
      </c>
      <c r="X232" s="722">
        <f t="shared" si="75"/>
        <v>0</v>
      </c>
      <c r="Y232" s="722">
        <f t="shared" si="75"/>
        <v>0</v>
      </c>
      <c r="Z232" s="722">
        <f t="shared" si="75"/>
        <v>0</v>
      </c>
      <c r="AA232" s="722">
        <f t="shared" si="75"/>
        <v>0</v>
      </c>
      <c r="AB232" s="722">
        <f t="shared" si="75"/>
        <v>0</v>
      </c>
      <c r="AC232" s="722">
        <f t="shared" si="75"/>
        <v>0</v>
      </c>
      <c r="AD232" s="722">
        <f t="shared" si="75"/>
        <v>0</v>
      </c>
      <c r="AE232" s="722">
        <f t="shared" si="75"/>
        <v>0</v>
      </c>
      <c r="AF232" s="722">
        <f t="shared" si="75"/>
        <v>0</v>
      </c>
      <c r="AG232" s="722">
        <f t="shared" si="75"/>
        <v>0</v>
      </c>
      <c r="AH232" s="722">
        <f t="shared" si="75"/>
        <v>0</v>
      </c>
      <c r="AI232" s="722">
        <f t="shared" si="75"/>
        <v>0</v>
      </c>
      <c r="AJ232" s="722">
        <f t="shared" si="75"/>
        <v>0</v>
      </c>
      <c r="AK232" s="722">
        <f t="shared" si="75"/>
        <v>0</v>
      </c>
      <c r="AL232" s="722">
        <f t="shared" si="75"/>
        <v>0</v>
      </c>
      <c r="AM232" s="722">
        <f t="shared" si="75"/>
        <v>0</v>
      </c>
      <c r="AN232" s="722">
        <f t="shared" si="75"/>
        <v>0</v>
      </c>
      <c r="AO232" s="722">
        <f t="shared" si="75"/>
        <v>0</v>
      </c>
      <c r="AP232" s="722">
        <f t="shared" si="75"/>
        <v>0</v>
      </c>
      <c r="AQ232" s="722">
        <f t="shared" si="75"/>
        <v>0</v>
      </c>
      <c r="AR232" s="722">
        <f t="shared" si="75"/>
        <v>0</v>
      </c>
      <c r="AS232" s="722">
        <f t="shared" si="75"/>
        <v>0</v>
      </c>
      <c r="AT232" s="722">
        <f t="shared" si="75"/>
        <v>0</v>
      </c>
      <c r="AU232" s="722">
        <f t="shared" si="75"/>
        <v>0</v>
      </c>
      <c r="AV232" s="722">
        <f t="shared" si="75"/>
        <v>0</v>
      </c>
      <c r="AW232" s="722">
        <f t="shared" si="75"/>
        <v>0</v>
      </c>
      <c r="AX232" s="722">
        <f t="shared" si="75"/>
        <v>0</v>
      </c>
    </row>
    <row r="233" spans="2:50" ht="13.2" thickBot="1" x14ac:dyDescent="0.25">
      <c r="B233" s="710"/>
      <c r="C233" s="54"/>
      <c r="D233" s="725"/>
      <c r="E233" s="722"/>
      <c r="F233" s="722"/>
      <c r="G233" s="722"/>
      <c r="H233" s="722"/>
      <c r="I233" s="722"/>
      <c r="J233" s="722"/>
      <c r="K233" s="722"/>
      <c r="L233" s="722"/>
      <c r="M233" s="722"/>
      <c r="N233" s="722"/>
      <c r="O233" s="722"/>
      <c r="P233" s="722"/>
      <c r="Q233" s="722"/>
      <c r="R233" s="722"/>
      <c r="S233" s="722"/>
      <c r="T233" s="722"/>
      <c r="U233" s="722"/>
      <c r="V233" s="722"/>
      <c r="W233" s="722"/>
      <c r="X233" s="722"/>
      <c r="Y233" s="722"/>
      <c r="Z233" s="722"/>
      <c r="AA233" s="722"/>
      <c r="AB233" s="722"/>
      <c r="AC233" s="722"/>
      <c r="AD233" s="722"/>
      <c r="AE233" s="722"/>
      <c r="AF233" s="722"/>
      <c r="AG233" s="722"/>
      <c r="AH233" s="722"/>
      <c r="AI233" s="722"/>
      <c r="AJ233" s="722"/>
      <c r="AK233" s="722"/>
      <c r="AL233" s="722"/>
      <c r="AM233" s="722"/>
      <c r="AN233" s="722"/>
      <c r="AO233" s="722"/>
      <c r="AP233" s="722"/>
      <c r="AQ233" s="722"/>
      <c r="AR233" s="722"/>
      <c r="AS233" s="722"/>
      <c r="AT233" s="722"/>
      <c r="AU233" s="722"/>
      <c r="AV233" s="722"/>
      <c r="AW233" s="722"/>
      <c r="AX233" s="722"/>
    </row>
    <row r="234" spans="2:50" ht="16.2" thickBot="1" x14ac:dyDescent="0.25">
      <c r="B234" s="288" t="str">
        <f>B44</f>
        <v>Obras de via y reubicacion de redes</v>
      </c>
      <c r="C234" s="739" t="s">
        <v>180</v>
      </c>
      <c r="D234" s="740">
        <f>D44</f>
        <v>0.25</v>
      </c>
      <c r="E234" s="722"/>
      <c r="F234" s="722"/>
      <c r="G234" s="722"/>
      <c r="H234" s="722"/>
      <c r="I234" s="722"/>
      <c r="J234" s="722"/>
      <c r="K234" s="722"/>
      <c r="L234" s="722"/>
      <c r="M234" s="722"/>
      <c r="N234" s="722"/>
      <c r="O234" s="722"/>
      <c r="P234" s="722"/>
      <c r="Q234" s="722"/>
      <c r="R234" s="722"/>
      <c r="S234" s="722"/>
      <c r="T234" s="722"/>
      <c r="U234" s="722"/>
      <c r="V234" s="722"/>
      <c r="W234" s="722"/>
      <c r="X234" s="722"/>
      <c r="Y234" s="722"/>
      <c r="Z234" s="722"/>
      <c r="AA234" s="722"/>
      <c r="AB234" s="722"/>
      <c r="AC234" s="722"/>
      <c r="AD234" s="722"/>
      <c r="AE234" s="722"/>
      <c r="AF234" s="722"/>
      <c r="AG234" s="722"/>
      <c r="AH234" s="722"/>
      <c r="AI234" s="722"/>
      <c r="AJ234" s="722"/>
      <c r="AK234" s="722"/>
      <c r="AL234" s="722"/>
      <c r="AM234" s="722"/>
      <c r="AN234" s="722"/>
      <c r="AO234" s="722"/>
      <c r="AP234" s="722"/>
      <c r="AQ234" s="722"/>
      <c r="AR234" s="722"/>
      <c r="AS234" s="722"/>
      <c r="AT234" s="722"/>
      <c r="AU234" s="722"/>
      <c r="AV234" s="722"/>
      <c r="AW234" s="722"/>
      <c r="AX234" s="722"/>
    </row>
    <row r="235" spans="2:50" x14ac:dyDescent="0.2">
      <c r="B235" s="738" t="s">
        <v>313</v>
      </c>
      <c r="C235" s="54"/>
      <c r="D235" s="725">
        <f>CHIFFRAGE_TC!Q45</f>
        <v>0.79880999251295304</v>
      </c>
      <c r="E235" s="722">
        <f t="shared" ref="E235:AX235" si="76">E44*$D$235</f>
        <v>0</v>
      </c>
      <c r="F235" s="722">
        <f t="shared" si="76"/>
        <v>467229.08410969394</v>
      </c>
      <c r="G235" s="722">
        <f t="shared" si="76"/>
        <v>254800.45697530589</v>
      </c>
      <c r="H235" s="722">
        <f t="shared" si="76"/>
        <v>0</v>
      </c>
      <c r="I235" s="722">
        <f t="shared" si="76"/>
        <v>0</v>
      </c>
      <c r="J235" s="722">
        <f t="shared" si="76"/>
        <v>0</v>
      </c>
      <c r="K235" s="722">
        <f t="shared" si="76"/>
        <v>0</v>
      </c>
      <c r="L235" s="722">
        <f t="shared" si="76"/>
        <v>0</v>
      </c>
      <c r="M235" s="722">
        <f t="shared" si="76"/>
        <v>0</v>
      </c>
      <c r="N235" s="722">
        <f t="shared" si="76"/>
        <v>0</v>
      </c>
      <c r="O235" s="722">
        <f t="shared" si="76"/>
        <v>0</v>
      </c>
      <c r="P235" s="722">
        <f t="shared" si="76"/>
        <v>0</v>
      </c>
      <c r="Q235" s="722">
        <f t="shared" si="76"/>
        <v>0</v>
      </c>
      <c r="R235" s="722">
        <f t="shared" si="76"/>
        <v>0</v>
      </c>
      <c r="S235" s="722">
        <f t="shared" si="76"/>
        <v>0</v>
      </c>
      <c r="T235" s="722">
        <f t="shared" si="76"/>
        <v>0</v>
      </c>
      <c r="U235" s="722">
        <f t="shared" si="76"/>
        <v>0</v>
      </c>
      <c r="V235" s="722">
        <f t="shared" si="76"/>
        <v>0</v>
      </c>
      <c r="W235" s="722">
        <f t="shared" si="76"/>
        <v>0</v>
      </c>
      <c r="X235" s="722">
        <f t="shared" si="76"/>
        <v>0</v>
      </c>
      <c r="Y235" s="722">
        <f t="shared" si="76"/>
        <v>0</v>
      </c>
      <c r="Z235" s="722">
        <f t="shared" si="76"/>
        <v>0</v>
      </c>
      <c r="AA235" s="722">
        <f t="shared" si="76"/>
        <v>0</v>
      </c>
      <c r="AB235" s="722">
        <f t="shared" si="76"/>
        <v>0</v>
      </c>
      <c r="AC235" s="722">
        <f t="shared" si="76"/>
        <v>0</v>
      </c>
      <c r="AD235" s="722">
        <f t="shared" si="76"/>
        <v>0</v>
      </c>
      <c r="AE235" s="722">
        <f t="shared" si="76"/>
        <v>0</v>
      </c>
      <c r="AF235" s="722">
        <f t="shared" si="76"/>
        <v>0</v>
      </c>
      <c r="AG235" s="722">
        <f t="shared" si="76"/>
        <v>0</v>
      </c>
      <c r="AH235" s="722">
        <f t="shared" si="76"/>
        <v>0</v>
      </c>
      <c r="AI235" s="722">
        <f t="shared" si="76"/>
        <v>0</v>
      </c>
      <c r="AJ235" s="722">
        <f t="shared" si="76"/>
        <v>0</v>
      </c>
      <c r="AK235" s="722">
        <f t="shared" si="76"/>
        <v>0</v>
      </c>
      <c r="AL235" s="722">
        <f t="shared" si="76"/>
        <v>0</v>
      </c>
      <c r="AM235" s="722">
        <f t="shared" si="76"/>
        <v>0</v>
      </c>
      <c r="AN235" s="722">
        <f t="shared" si="76"/>
        <v>0</v>
      </c>
      <c r="AO235" s="722">
        <f t="shared" si="76"/>
        <v>0</v>
      </c>
      <c r="AP235" s="722">
        <f t="shared" si="76"/>
        <v>0</v>
      </c>
      <c r="AQ235" s="722">
        <f t="shared" si="76"/>
        <v>0</v>
      </c>
      <c r="AR235" s="722">
        <f t="shared" si="76"/>
        <v>0</v>
      </c>
      <c r="AS235" s="722">
        <f t="shared" si="76"/>
        <v>0</v>
      </c>
      <c r="AT235" s="722">
        <f t="shared" si="76"/>
        <v>0</v>
      </c>
      <c r="AU235" s="722">
        <f t="shared" si="76"/>
        <v>0</v>
      </c>
      <c r="AV235" s="722">
        <f t="shared" si="76"/>
        <v>0</v>
      </c>
      <c r="AW235" s="722">
        <f t="shared" si="76"/>
        <v>0</v>
      </c>
      <c r="AX235" s="722">
        <f t="shared" si="76"/>
        <v>0</v>
      </c>
    </row>
    <row r="236" spans="2:50" x14ac:dyDescent="0.2">
      <c r="B236" s="738" t="s">
        <v>406</v>
      </c>
      <c r="C236" s="54"/>
      <c r="D236" s="725">
        <f>CHIFFRAGE_TC!R45</f>
        <v>0.20119000748704682</v>
      </c>
      <c r="E236" s="722">
        <f t="shared" ref="E236:AX236" si="77">E44*$D$236</f>
        <v>0</v>
      </c>
      <c r="F236" s="722">
        <f t="shared" si="77"/>
        <v>117677.32478468097</v>
      </c>
      <c r="G236" s="722">
        <f t="shared" si="77"/>
        <v>64174.59261531895</v>
      </c>
      <c r="H236" s="722">
        <f t="shared" si="77"/>
        <v>0</v>
      </c>
      <c r="I236" s="722">
        <f t="shared" si="77"/>
        <v>0</v>
      </c>
      <c r="J236" s="722">
        <f t="shared" si="77"/>
        <v>0</v>
      </c>
      <c r="K236" s="722">
        <f t="shared" si="77"/>
        <v>0</v>
      </c>
      <c r="L236" s="722">
        <f t="shared" si="77"/>
        <v>0</v>
      </c>
      <c r="M236" s="722">
        <f t="shared" si="77"/>
        <v>0</v>
      </c>
      <c r="N236" s="722">
        <f t="shared" si="77"/>
        <v>0</v>
      </c>
      <c r="O236" s="722">
        <f t="shared" si="77"/>
        <v>0</v>
      </c>
      <c r="P236" s="722">
        <f t="shared" si="77"/>
        <v>0</v>
      </c>
      <c r="Q236" s="722">
        <f t="shared" si="77"/>
        <v>0</v>
      </c>
      <c r="R236" s="722">
        <f t="shared" si="77"/>
        <v>0</v>
      </c>
      <c r="S236" s="722">
        <f t="shared" si="77"/>
        <v>0</v>
      </c>
      <c r="T236" s="722">
        <f t="shared" si="77"/>
        <v>0</v>
      </c>
      <c r="U236" s="722">
        <f t="shared" si="77"/>
        <v>0</v>
      </c>
      <c r="V236" s="722">
        <f t="shared" si="77"/>
        <v>0</v>
      </c>
      <c r="W236" s="722">
        <f t="shared" si="77"/>
        <v>0</v>
      </c>
      <c r="X236" s="722">
        <f t="shared" si="77"/>
        <v>0</v>
      </c>
      <c r="Y236" s="722">
        <f t="shared" si="77"/>
        <v>0</v>
      </c>
      <c r="Z236" s="722">
        <f t="shared" si="77"/>
        <v>0</v>
      </c>
      <c r="AA236" s="722">
        <f t="shared" si="77"/>
        <v>0</v>
      </c>
      <c r="AB236" s="722">
        <f t="shared" si="77"/>
        <v>0</v>
      </c>
      <c r="AC236" s="722">
        <f t="shared" si="77"/>
        <v>0</v>
      </c>
      <c r="AD236" s="722">
        <f t="shared" si="77"/>
        <v>0</v>
      </c>
      <c r="AE236" s="722">
        <f t="shared" si="77"/>
        <v>0</v>
      </c>
      <c r="AF236" s="722">
        <f t="shared" si="77"/>
        <v>0</v>
      </c>
      <c r="AG236" s="722">
        <f t="shared" si="77"/>
        <v>0</v>
      </c>
      <c r="AH236" s="722">
        <f t="shared" si="77"/>
        <v>0</v>
      </c>
      <c r="AI236" s="722">
        <f t="shared" si="77"/>
        <v>0</v>
      </c>
      <c r="AJ236" s="722">
        <f t="shared" si="77"/>
        <v>0</v>
      </c>
      <c r="AK236" s="722">
        <f t="shared" si="77"/>
        <v>0</v>
      </c>
      <c r="AL236" s="722">
        <f t="shared" si="77"/>
        <v>0</v>
      </c>
      <c r="AM236" s="722">
        <f t="shared" si="77"/>
        <v>0</v>
      </c>
      <c r="AN236" s="722">
        <f t="shared" si="77"/>
        <v>0</v>
      </c>
      <c r="AO236" s="722">
        <f t="shared" si="77"/>
        <v>0</v>
      </c>
      <c r="AP236" s="722">
        <f t="shared" si="77"/>
        <v>0</v>
      </c>
      <c r="AQ236" s="722">
        <f t="shared" si="77"/>
        <v>0</v>
      </c>
      <c r="AR236" s="722">
        <f t="shared" si="77"/>
        <v>0</v>
      </c>
      <c r="AS236" s="722">
        <f t="shared" si="77"/>
        <v>0</v>
      </c>
      <c r="AT236" s="722">
        <f t="shared" si="77"/>
        <v>0</v>
      </c>
      <c r="AU236" s="722">
        <f t="shared" si="77"/>
        <v>0</v>
      </c>
      <c r="AV236" s="722">
        <f t="shared" si="77"/>
        <v>0</v>
      </c>
      <c r="AW236" s="722">
        <f t="shared" si="77"/>
        <v>0</v>
      </c>
      <c r="AX236" s="722">
        <f t="shared" si="77"/>
        <v>0</v>
      </c>
    </row>
    <row r="237" spans="2:50" ht="13.2" thickBot="1" x14ac:dyDescent="0.25">
      <c r="B237" s="710"/>
      <c r="C237" s="54"/>
      <c r="D237" s="725"/>
      <c r="E237" s="722"/>
      <c r="F237" s="722"/>
      <c r="G237" s="722"/>
      <c r="H237" s="722"/>
      <c r="I237" s="722"/>
      <c r="J237" s="722"/>
      <c r="K237" s="722"/>
      <c r="L237" s="722"/>
      <c r="M237" s="722"/>
      <c r="N237" s="722"/>
      <c r="O237" s="722"/>
      <c r="P237" s="722"/>
      <c r="Q237" s="722"/>
      <c r="R237" s="722"/>
      <c r="S237" s="722"/>
      <c r="T237" s="722"/>
      <c r="U237" s="722"/>
      <c r="V237" s="722"/>
      <c r="W237" s="722"/>
      <c r="X237" s="722"/>
      <c r="Y237" s="722"/>
      <c r="Z237" s="722"/>
      <c r="AA237" s="722"/>
      <c r="AB237" s="722"/>
      <c r="AC237" s="722"/>
      <c r="AD237" s="722"/>
      <c r="AE237" s="722"/>
      <c r="AF237" s="722"/>
      <c r="AG237" s="722"/>
      <c r="AH237" s="722"/>
      <c r="AI237" s="722"/>
      <c r="AJ237" s="722"/>
      <c r="AK237" s="722"/>
      <c r="AL237" s="722"/>
      <c r="AM237" s="722"/>
      <c r="AN237" s="722"/>
      <c r="AO237" s="722"/>
      <c r="AP237" s="722"/>
      <c r="AQ237" s="722"/>
      <c r="AR237" s="722"/>
      <c r="AS237" s="722"/>
      <c r="AT237" s="722"/>
      <c r="AU237" s="722"/>
      <c r="AV237" s="722"/>
      <c r="AW237" s="722"/>
      <c r="AX237" s="722"/>
    </row>
    <row r="238" spans="2:50" ht="16.2" thickBot="1" x14ac:dyDescent="0.25">
      <c r="B238" s="288" t="str">
        <f>B52</f>
        <v>Cabinas</v>
      </c>
      <c r="C238" s="739" t="s">
        <v>180</v>
      </c>
      <c r="D238" s="740">
        <f>D52</f>
        <v>0.15000000000000002</v>
      </c>
      <c r="E238" s="722"/>
      <c r="F238" s="722"/>
      <c r="G238" s="722"/>
      <c r="H238" s="722"/>
      <c r="I238" s="722"/>
      <c r="J238" s="722"/>
      <c r="K238" s="722"/>
      <c r="L238" s="722"/>
      <c r="M238" s="722"/>
      <c r="N238" s="722"/>
      <c r="O238" s="722"/>
      <c r="P238" s="722"/>
      <c r="Q238" s="722"/>
      <c r="R238" s="722"/>
      <c r="S238" s="722"/>
      <c r="T238" s="722"/>
      <c r="U238" s="722"/>
      <c r="V238" s="722"/>
      <c r="W238" s="722"/>
      <c r="X238" s="722"/>
      <c r="Y238" s="722"/>
      <c r="Z238" s="722"/>
      <c r="AA238" s="722"/>
      <c r="AB238" s="722"/>
      <c r="AC238" s="722"/>
      <c r="AD238" s="722"/>
      <c r="AE238" s="722"/>
      <c r="AF238" s="722"/>
      <c r="AG238" s="722"/>
      <c r="AH238" s="722"/>
      <c r="AI238" s="722"/>
      <c r="AJ238" s="722"/>
      <c r="AK238" s="722"/>
      <c r="AL238" s="722"/>
      <c r="AM238" s="722"/>
      <c r="AN238" s="722"/>
      <c r="AO238" s="722"/>
      <c r="AP238" s="722"/>
      <c r="AQ238" s="722"/>
      <c r="AR238" s="722"/>
      <c r="AS238" s="722"/>
      <c r="AT238" s="722"/>
      <c r="AU238" s="722"/>
      <c r="AV238" s="722"/>
      <c r="AW238" s="722"/>
      <c r="AX238" s="722"/>
    </row>
    <row r="239" spans="2:50" x14ac:dyDescent="0.2">
      <c r="B239" s="738" t="s">
        <v>313</v>
      </c>
      <c r="C239" s="54"/>
      <c r="D239" s="725">
        <f>CHIFFRAGE_TC!Q53</f>
        <v>5.773402115153356E-2</v>
      </c>
      <c r="E239" s="722">
        <f t="shared" ref="E239:AX239" si="78">E52*$D$239</f>
        <v>0</v>
      </c>
      <c r="F239" s="722">
        <f t="shared" si="78"/>
        <v>63990.999219420002</v>
      </c>
      <c r="G239" s="722">
        <f t="shared" si="78"/>
        <v>191972.99765825999</v>
      </c>
      <c r="H239" s="722">
        <f t="shared" si="78"/>
        <v>63990.999219420002</v>
      </c>
      <c r="I239" s="722">
        <f t="shared" si="78"/>
        <v>0</v>
      </c>
      <c r="J239" s="722">
        <f t="shared" si="78"/>
        <v>0</v>
      </c>
      <c r="K239" s="722">
        <f t="shared" si="78"/>
        <v>0</v>
      </c>
      <c r="L239" s="722">
        <f t="shared" si="78"/>
        <v>0</v>
      </c>
      <c r="M239" s="722">
        <f t="shared" si="78"/>
        <v>0</v>
      </c>
      <c r="N239" s="722">
        <f t="shared" si="78"/>
        <v>0</v>
      </c>
      <c r="O239" s="722">
        <f t="shared" si="78"/>
        <v>0</v>
      </c>
      <c r="P239" s="722">
        <f t="shared" si="78"/>
        <v>0</v>
      </c>
      <c r="Q239" s="722">
        <f t="shared" si="78"/>
        <v>0</v>
      </c>
      <c r="R239" s="722">
        <f t="shared" si="78"/>
        <v>0</v>
      </c>
      <c r="S239" s="722">
        <f t="shared" si="78"/>
        <v>0</v>
      </c>
      <c r="T239" s="722">
        <f t="shared" si="78"/>
        <v>0</v>
      </c>
      <c r="U239" s="722">
        <f t="shared" si="78"/>
        <v>0</v>
      </c>
      <c r="V239" s="722">
        <f t="shared" si="78"/>
        <v>0</v>
      </c>
      <c r="W239" s="722">
        <f t="shared" si="78"/>
        <v>13267.828202788896</v>
      </c>
      <c r="X239" s="722">
        <f t="shared" si="78"/>
        <v>39803.484608366693</v>
      </c>
      <c r="Y239" s="722">
        <f t="shared" si="78"/>
        <v>13267.828202788896</v>
      </c>
      <c r="Z239" s="722">
        <f t="shared" si="78"/>
        <v>0</v>
      </c>
      <c r="AA239" s="722">
        <f t="shared" si="78"/>
        <v>0</v>
      </c>
      <c r="AB239" s="722">
        <f t="shared" si="78"/>
        <v>0</v>
      </c>
      <c r="AC239" s="722">
        <f t="shared" si="78"/>
        <v>0</v>
      </c>
      <c r="AD239" s="722">
        <f t="shared" si="78"/>
        <v>0</v>
      </c>
      <c r="AE239" s="722">
        <f t="shared" si="78"/>
        <v>0</v>
      </c>
      <c r="AF239" s="722">
        <f t="shared" si="78"/>
        <v>0</v>
      </c>
      <c r="AG239" s="722">
        <f t="shared" si="78"/>
        <v>0</v>
      </c>
      <c r="AH239" s="722">
        <f t="shared" si="78"/>
        <v>0</v>
      </c>
      <c r="AI239" s="722">
        <f t="shared" si="78"/>
        <v>0</v>
      </c>
      <c r="AJ239" s="722">
        <f t="shared" si="78"/>
        <v>0</v>
      </c>
      <c r="AK239" s="722">
        <f t="shared" si="78"/>
        <v>0</v>
      </c>
      <c r="AL239" s="722">
        <f t="shared" si="78"/>
        <v>0</v>
      </c>
      <c r="AM239" s="722">
        <f t="shared" si="78"/>
        <v>0</v>
      </c>
      <c r="AN239" s="722">
        <f t="shared" si="78"/>
        <v>13267.828202788896</v>
      </c>
      <c r="AO239" s="722">
        <f t="shared" si="78"/>
        <v>39803.484608366693</v>
      </c>
      <c r="AP239" s="722">
        <f t="shared" si="78"/>
        <v>13267.828202788896</v>
      </c>
      <c r="AQ239" s="722">
        <f t="shared" si="78"/>
        <v>0</v>
      </c>
      <c r="AR239" s="722">
        <f t="shared" si="78"/>
        <v>0</v>
      </c>
      <c r="AS239" s="722">
        <f t="shared" si="78"/>
        <v>0</v>
      </c>
      <c r="AT239" s="722">
        <f t="shared" si="78"/>
        <v>0</v>
      </c>
      <c r="AU239" s="722">
        <f t="shared" si="78"/>
        <v>0</v>
      </c>
      <c r="AV239" s="722">
        <f t="shared" si="78"/>
        <v>0</v>
      </c>
      <c r="AW239" s="722">
        <f t="shared" si="78"/>
        <v>0</v>
      </c>
      <c r="AX239" s="722">
        <f t="shared" si="78"/>
        <v>0</v>
      </c>
    </row>
    <row r="240" spans="2:50" x14ac:dyDescent="0.2">
      <c r="B240" s="738" t="s">
        <v>406</v>
      </c>
      <c r="C240" s="54"/>
      <c r="D240" s="725">
        <f>CHIFFRAGE_TC!R53</f>
        <v>0.94226597884846641</v>
      </c>
      <c r="E240" s="722">
        <f t="shared" ref="E240:AX240" si="79">E52*$D$240</f>
        <v>0</v>
      </c>
      <c r="F240" s="722">
        <f t="shared" si="79"/>
        <v>1044384.9278871269</v>
      </c>
      <c r="G240" s="722">
        <f t="shared" si="79"/>
        <v>3133154.7836613804</v>
      </c>
      <c r="H240" s="722">
        <f t="shared" si="79"/>
        <v>1044384.9278871269</v>
      </c>
      <c r="I240" s="722">
        <f t="shared" si="79"/>
        <v>0</v>
      </c>
      <c r="J240" s="722">
        <f t="shared" si="79"/>
        <v>0</v>
      </c>
      <c r="K240" s="722">
        <f t="shared" si="79"/>
        <v>0</v>
      </c>
      <c r="L240" s="722">
        <f t="shared" si="79"/>
        <v>0</v>
      </c>
      <c r="M240" s="722">
        <f t="shared" si="79"/>
        <v>0</v>
      </c>
      <c r="N240" s="722">
        <f t="shared" si="79"/>
        <v>0</v>
      </c>
      <c r="O240" s="722">
        <f t="shared" si="79"/>
        <v>0</v>
      </c>
      <c r="P240" s="722">
        <f t="shared" si="79"/>
        <v>0</v>
      </c>
      <c r="Q240" s="722">
        <f t="shared" si="79"/>
        <v>0</v>
      </c>
      <c r="R240" s="722">
        <f t="shared" si="79"/>
        <v>0</v>
      </c>
      <c r="S240" s="722">
        <f t="shared" si="79"/>
        <v>0</v>
      </c>
      <c r="T240" s="722">
        <f t="shared" si="79"/>
        <v>0</v>
      </c>
      <c r="U240" s="722">
        <f t="shared" si="79"/>
        <v>0</v>
      </c>
      <c r="V240" s="722">
        <f t="shared" si="79"/>
        <v>0</v>
      </c>
      <c r="W240" s="722">
        <f t="shared" si="79"/>
        <v>216541.70070504589</v>
      </c>
      <c r="X240" s="722">
        <f t="shared" si="79"/>
        <v>649625.10211513762</v>
      </c>
      <c r="Y240" s="722">
        <f t="shared" si="79"/>
        <v>216541.70070504589</v>
      </c>
      <c r="Z240" s="722">
        <f t="shared" si="79"/>
        <v>0</v>
      </c>
      <c r="AA240" s="722">
        <f t="shared" si="79"/>
        <v>0</v>
      </c>
      <c r="AB240" s="722">
        <f t="shared" si="79"/>
        <v>0</v>
      </c>
      <c r="AC240" s="722">
        <f t="shared" si="79"/>
        <v>0</v>
      </c>
      <c r="AD240" s="722">
        <f t="shared" si="79"/>
        <v>0</v>
      </c>
      <c r="AE240" s="722">
        <f t="shared" si="79"/>
        <v>0</v>
      </c>
      <c r="AF240" s="722">
        <f t="shared" si="79"/>
        <v>0</v>
      </c>
      <c r="AG240" s="722">
        <f t="shared" si="79"/>
        <v>0</v>
      </c>
      <c r="AH240" s="722">
        <f t="shared" si="79"/>
        <v>0</v>
      </c>
      <c r="AI240" s="722">
        <f t="shared" si="79"/>
        <v>0</v>
      </c>
      <c r="AJ240" s="722">
        <f t="shared" si="79"/>
        <v>0</v>
      </c>
      <c r="AK240" s="722">
        <f t="shared" si="79"/>
        <v>0</v>
      </c>
      <c r="AL240" s="722">
        <f t="shared" si="79"/>
        <v>0</v>
      </c>
      <c r="AM240" s="722">
        <f t="shared" si="79"/>
        <v>0</v>
      </c>
      <c r="AN240" s="722">
        <f t="shared" si="79"/>
        <v>216541.70070504589</v>
      </c>
      <c r="AO240" s="722">
        <f t="shared" si="79"/>
        <v>649625.10211513762</v>
      </c>
      <c r="AP240" s="722">
        <f t="shared" si="79"/>
        <v>216541.70070504589</v>
      </c>
      <c r="AQ240" s="722">
        <f t="shared" si="79"/>
        <v>0</v>
      </c>
      <c r="AR240" s="722">
        <f t="shared" si="79"/>
        <v>0</v>
      </c>
      <c r="AS240" s="722">
        <f t="shared" si="79"/>
        <v>0</v>
      </c>
      <c r="AT240" s="722">
        <f t="shared" si="79"/>
        <v>0</v>
      </c>
      <c r="AU240" s="722">
        <f t="shared" si="79"/>
        <v>0</v>
      </c>
      <c r="AV240" s="722">
        <f t="shared" si="79"/>
        <v>0</v>
      </c>
      <c r="AW240" s="722">
        <f t="shared" si="79"/>
        <v>0</v>
      </c>
      <c r="AX240" s="722">
        <f t="shared" si="79"/>
        <v>0</v>
      </c>
    </row>
    <row r="241" spans="2:50" ht="13.2" thickBot="1" x14ac:dyDescent="0.25">
      <c r="B241" s="710"/>
      <c r="C241" s="54"/>
      <c r="D241" s="725"/>
      <c r="E241" s="722"/>
      <c r="F241" s="722"/>
      <c r="G241" s="722"/>
      <c r="H241" s="722"/>
      <c r="I241" s="722"/>
      <c r="J241" s="722"/>
      <c r="K241" s="722"/>
      <c r="L241" s="722"/>
      <c r="M241" s="722"/>
      <c r="N241" s="722"/>
      <c r="O241" s="722"/>
      <c r="P241" s="722"/>
      <c r="Q241" s="722"/>
      <c r="R241" s="722"/>
      <c r="S241" s="722"/>
      <c r="T241" s="722"/>
      <c r="U241" s="722"/>
      <c r="V241" s="722"/>
      <c r="W241" s="722"/>
      <c r="X241" s="722"/>
      <c r="Y241" s="722"/>
      <c r="Z241" s="722"/>
      <c r="AA241" s="722"/>
      <c r="AB241" s="722"/>
      <c r="AC241" s="722"/>
      <c r="AD241" s="722"/>
      <c r="AE241" s="722"/>
      <c r="AF241" s="722"/>
      <c r="AG241" s="722"/>
      <c r="AH241" s="722"/>
      <c r="AI241" s="722"/>
      <c r="AJ241" s="722"/>
      <c r="AK241" s="722"/>
      <c r="AL241" s="722"/>
      <c r="AM241" s="722"/>
      <c r="AN241" s="722"/>
      <c r="AO241" s="722"/>
      <c r="AP241" s="722"/>
      <c r="AQ241" s="722"/>
      <c r="AR241" s="722"/>
      <c r="AS241" s="722"/>
      <c r="AT241" s="722"/>
      <c r="AU241" s="722"/>
      <c r="AV241" s="722"/>
      <c r="AW241" s="722"/>
      <c r="AX241" s="722"/>
    </row>
    <row r="242" spans="2:50" ht="16.2" thickBot="1" x14ac:dyDescent="0.25">
      <c r="B242" s="288" t="str">
        <f>B56</f>
        <v>Tecnologias en las estaciones</v>
      </c>
      <c r="C242" s="739" t="s">
        <v>180</v>
      </c>
      <c r="D242" s="740">
        <f>D56</f>
        <v>0.25</v>
      </c>
      <c r="E242" s="722"/>
      <c r="F242" s="722"/>
      <c r="G242" s="722"/>
      <c r="H242" s="722"/>
      <c r="I242" s="722"/>
      <c r="J242" s="722"/>
      <c r="K242" s="722"/>
      <c r="L242" s="722"/>
      <c r="M242" s="722"/>
      <c r="N242" s="722"/>
      <c r="O242" s="722"/>
      <c r="P242" s="722"/>
      <c r="Q242" s="722"/>
      <c r="R242" s="722"/>
      <c r="S242" s="722"/>
      <c r="T242" s="722"/>
      <c r="U242" s="722"/>
      <c r="V242" s="722"/>
      <c r="W242" s="722"/>
      <c r="X242" s="722"/>
      <c r="Y242" s="722"/>
      <c r="Z242" s="722"/>
      <c r="AA242" s="722"/>
      <c r="AB242" s="722"/>
      <c r="AC242" s="722"/>
      <c r="AD242" s="722"/>
      <c r="AE242" s="722"/>
      <c r="AF242" s="722"/>
      <c r="AG242" s="722"/>
      <c r="AH242" s="722"/>
      <c r="AI242" s="722"/>
      <c r="AJ242" s="722"/>
      <c r="AK242" s="722"/>
      <c r="AL242" s="722"/>
      <c r="AM242" s="722"/>
      <c r="AN242" s="722"/>
      <c r="AO242" s="722"/>
      <c r="AP242" s="722"/>
      <c r="AQ242" s="722"/>
      <c r="AR242" s="722"/>
      <c r="AS242" s="722"/>
      <c r="AT242" s="722"/>
      <c r="AU242" s="722"/>
      <c r="AV242" s="722"/>
      <c r="AW242" s="722"/>
      <c r="AX242" s="722"/>
    </row>
    <row r="243" spans="2:50" x14ac:dyDescent="0.2">
      <c r="B243" s="738" t="s">
        <v>313</v>
      </c>
      <c r="C243" s="54"/>
      <c r="D243" s="725">
        <f>CHIFFRAGE_TC!Q57</f>
        <v>7.9522838118778333E-2</v>
      </c>
      <c r="E243" s="722">
        <f t="shared" ref="E243:AX243" si="80">E56*$D$243</f>
        <v>0</v>
      </c>
      <c r="F243" s="722">
        <f t="shared" si="80"/>
        <v>0</v>
      </c>
      <c r="G243" s="722">
        <f t="shared" si="80"/>
        <v>1255969.1380202482</v>
      </c>
      <c r="H243" s="722">
        <f t="shared" si="80"/>
        <v>538272.48772296356</v>
      </c>
      <c r="I243" s="722">
        <f t="shared" si="80"/>
        <v>0</v>
      </c>
      <c r="J243" s="722">
        <f t="shared" si="80"/>
        <v>0</v>
      </c>
      <c r="K243" s="722">
        <f t="shared" si="80"/>
        <v>0</v>
      </c>
      <c r="L243" s="722">
        <f t="shared" si="80"/>
        <v>0</v>
      </c>
      <c r="M243" s="722">
        <f t="shared" si="80"/>
        <v>0</v>
      </c>
      <c r="N243" s="722">
        <f t="shared" si="80"/>
        <v>0</v>
      </c>
      <c r="O243" s="722">
        <f t="shared" si="80"/>
        <v>0</v>
      </c>
      <c r="P243" s="722">
        <f t="shared" si="80"/>
        <v>0</v>
      </c>
      <c r="Q243" s="722">
        <f t="shared" si="80"/>
        <v>0</v>
      </c>
      <c r="R243" s="722">
        <f t="shared" si="80"/>
        <v>0</v>
      </c>
      <c r="S243" s="722">
        <f t="shared" si="80"/>
        <v>0</v>
      </c>
      <c r="T243" s="722">
        <f t="shared" si="80"/>
        <v>0</v>
      </c>
      <c r="U243" s="722">
        <f t="shared" si="80"/>
        <v>0</v>
      </c>
      <c r="V243" s="722">
        <f t="shared" si="80"/>
        <v>0</v>
      </c>
      <c r="W243" s="722">
        <f t="shared" si="80"/>
        <v>0</v>
      </c>
      <c r="X243" s="722">
        <f t="shared" si="80"/>
        <v>0</v>
      </c>
      <c r="Y243" s="722">
        <f t="shared" si="80"/>
        <v>0</v>
      </c>
      <c r="Z243" s="722">
        <f t="shared" si="80"/>
        <v>0</v>
      </c>
      <c r="AA243" s="722">
        <f t="shared" si="80"/>
        <v>0</v>
      </c>
      <c r="AB243" s="722">
        <f t="shared" si="80"/>
        <v>0</v>
      </c>
      <c r="AC243" s="722">
        <f t="shared" si="80"/>
        <v>0</v>
      </c>
      <c r="AD243" s="722">
        <f t="shared" si="80"/>
        <v>0</v>
      </c>
      <c r="AE243" s="722">
        <f t="shared" si="80"/>
        <v>0</v>
      </c>
      <c r="AF243" s="722">
        <f t="shared" si="80"/>
        <v>0</v>
      </c>
      <c r="AG243" s="722">
        <f t="shared" si="80"/>
        <v>0</v>
      </c>
      <c r="AH243" s="722">
        <f t="shared" si="80"/>
        <v>0</v>
      </c>
      <c r="AI243" s="722">
        <f t="shared" si="80"/>
        <v>0</v>
      </c>
      <c r="AJ243" s="722">
        <f t="shared" si="80"/>
        <v>0</v>
      </c>
      <c r="AK243" s="722">
        <f t="shared" si="80"/>
        <v>0</v>
      </c>
      <c r="AL243" s="722">
        <f t="shared" si="80"/>
        <v>0</v>
      </c>
      <c r="AM243" s="722">
        <f t="shared" si="80"/>
        <v>0</v>
      </c>
      <c r="AN243" s="722">
        <f t="shared" si="80"/>
        <v>0</v>
      </c>
      <c r="AO243" s="722">
        <f t="shared" si="80"/>
        <v>0</v>
      </c>
      <c r="AP243" s="722">
        <f t="shared" si="80"/>
        <v>0</v>
      </c>
      <c r="AQ243" s="722">
        <f t="shared" si="80"/>
        <v>0</v>
      </c>
      <c r="AR243" s="722">
        <f t="shared" si="80"/>
        <v>0</v>
      </c>
      <c r="AS243" s="722">
        <f t="shared" si="80"/>
        <v>0</v>
      </c>
      <c r="AT243" s="722">
        <f t="shared" si="80"/>
        <v>0</v>
      </c>
      <c r="AU243" s="722">
        <f t="shared" si="80"/>
        <v>0</v>
      </c>
      <c r="AV243" s="722">
        <f t="shared" si="80"/>
        <v>0</v>
      </c>
      <c r="AW243" s="722">
        <f t="shared" si="80"/>
        <v>0</v>
      </c>
      <c r="AX243" s="722">
        <f t="shared" si="80"/>
        <v>0</v>
      </c>
    </row>
    <row r="244" spans="2:50" x14ac:dyDescent="0.2">
      <c r="B244" s="738" t="s">
        <v>406</v>
      </c>
      <c r="C244" s="54"/>
      <c r="D244" s="725">
        <f>CHIFFRAGE_TC!R57</f>
        <v>0.92047716188122175</v>
      </c>
      <c r="E244" s="722">
        <f t="shared" ref="E244:AX244" si="81">E56*$D$244</f>
        <v>0</v>
      </c>
      <c r="F244" s="722">
        <f t="shared" si="81"/>
        <v>0</v>
      </c>
      <c r="G244" s="722">
        <f t="shared" si="81"/>
        <v>14537847.679034054</v>
      </c>
      <c r="H244" s="722">
        <f t="shared" si="81"/>
        <v>6230506.1481574532</v>
      </c>
      <c r="I244" s="722">
        <f t="shared" si="81"/>
        <v>0</v>
      </c>
      <c r="J244" s="722">
        <f t="shared" si="81"/>
        <v>0</v>
      </c>
      <c r="K244" s="722">
        <f t="shared" si="81"/>
        <v>0</v>
      </c>
      <c r="L244" s="722">
        <f t="shared" si="81"/>
        <v>0</v>
      </c>
      <c r="M244" s="722">
        <f t="shared" si="81"/>
        <v>0</v>
      </c>
      <c r="N244" s="722">
        <f t="shared" si="81"/>
        <v>0</v>
      </c>
      <c r="O244" s="722">
        <f t="shared" si="81"/>
        <v>0</v>
      </c>
      <c r="P244" s="722">
        <f t="shared" si="81"/>
        <v>0</v>
      </c>
      <c r="Q244" s="722">
        <f t="shared" si="81"/>
        <v>0</v>
      </c>
      <c r="R244" s="722">
        <f t="shared" si="81"/>
        <v>0</v>
      </c>
      <c r="S244" s="722">
        <f t="shared" si="81"/>
        <v>0</v>
      </c>
      <c r="T244" s="722">
        <f t="shared" si="81"/>
        <v>0</v>
      </c>
      <c r="U244" s="722">
        <f t="shared" si="81"/>
        <v>0</v>
      </c>
      <c r="V244" s="722">
        <f t="shared" si="81"/>
        <v>0</v>
      </c>
      <c r="W244" s="722">
        <f t="shared" si="81"/>
        <v>0</v>
      </c>
      <c r="X244" s="722">
        <f t="shared" si="81"/>
        <v>0</v>
      </c>
      <c r="Y244" s="722">
        <f t="shared" si="81"/>
        <v>0</v>
      </c>
      <c r="Z244" s="722">
        <f t="shared" si="81"/>
        <v>0</v>
      </c>
      <c r="AA244" s="722">
        <f t="shared" si="81"/>
        <v>0</v>
      </c>
      <c r="AB244" s="722">
        <f t="shared" si="81"/>
        <v>0</v>
      </c>
      <c r="AC244" s="722">
        <f t="shared" si="81"/>
        <v>0</v>
      </c>
      <c r="AD244" s="722">
        <f t="shared" si="81"/>
        <v>0</v>
      </c>
      <c r="AE244" s="722">
        <f t="shared" si="81"/>
        <v>0</v>
      </c>
      <c r="AF244" s="722">
        <f t="shared" si="81"/>
        <v>0</v>
      </c>
      <c r="AG244" s="722">
        <f t="shared" si="81"/>
        <v>0</v>
      </c>
      <c r="AH244" s="722">
        <f t="shared" si="81"/>
        <v>0</v>
      </c>
      <c r="AI244" s="722">
        <f t="shared" si="81"/>
        <v>0</v>
      </c>
      <c r="AJ244" s="722">
        <f t="shared" si="81"/>
        <v>0</v>
      </c>
      <c r="AK244" s="722">
        <f t="shared" si="81"/>
        <v>0</v>
      </c>
      <c r="AL244" s="722">
        <f t="shared" si="81"/>
        <v>0</v>
      </c>
      <c r="AM244" s="722">
        <f t="shared" si="81"/>
        <v>0</v>
      </c>
      <c r="AN244" s="722">
        <f t="shared" si="81"/>
        <v>0</v>
      </c>
      <c r="AO244" s="722">
        <f t="shared" si="81"/>
        <v>0</v>
      </c>
      <c r="AP244" s="722">
        <f t="shared" si="81"/>
        <v>0</v>
      </c>
      <c r="AQ244" s="722">
        <f t="shared" si="81"/>
        <v>0</v>
      </c>
      <c r="AR244" s="722">
        <f t="shared" si="81"/>
        <v>0</v>
      </c>
      <c r="AS244" s="722">
        <f t="shared" si="81"/>
        <v>0</v>
      </c>
      <c r="AT244" s="722">
        <f t="shared" si="81"/>
        <v>0</v>
      </c>
      <c r="AU244" s="722">
        <f t="shared" si="81"/>
        <v>0</v>
      </c>
      <c r="AV244" s="722">
        <f t="shared" si="81"/>
        <v>0</v>
      </c>
      <c r="AW244" s="722">
        <f t="shared" si="81"/>
        <v>0</v>
      </c>
      <c r="AX244" s="722">
        <f t="shared" si="81"/>
        <v>0</v>
      </c>
    </row>
    <row r="245" spans="2:50" ht="13.2" thickBot="1" x14ac:dyDescent="0.25">
      <c r="B245" s="710"/>
      <c r="C245" s="54"/>
      <c r="D245" s="725"/>
      <c r="E245" s="722"/>
      <c r="F245" s="722"/>
      <c r="G245" s="722"/>
      <c r="H245" s="722"/>
      <c r="I245" s="722"/>
      <c r="J245" s="722"/>
      <c r="K245" s="722"/>
      <c r="L245" s="722"/>
      <c r="M245" s="722"/>
      <c r="N245" s="722"/>
      <c r="O245" s="722"/>
      <c r="P245" s="722"/>
      <c r="Q245" s="722"/>
      <c r="R245" s="722"/>
      <c r="S245" s="722"/>
      <c r="T245" s="722"/>
      <c r="U245" s="722"/>
      <c r="V245" s="722"/>
      <c r="W245" s="722"/>
      <c r="X245" s="722"/>
      <c r="Y245" s="722"/>
      <c r="Z245" s="722"/>
      <c r="AA245" s="722"/>
      <c r="AB245" s="722"/>
      <c r="AC245" s="722"/>
      <c r="AD245" s="722"/>
      <c r="AE245" s="722"/>
      <c r="AF245" s="722"/>
      <c r="AG245" s="722"/>
      <c r="AH245" s="722"/>
      <c r="AI245" s="722"/>
      <c r="AJ245" s="722"/>
      <c r="AK245" s="722"/>
      <c r="AL245" s="722"/>
      <c r="AM245" s="722"/>
      <c r="AN245" s="722"/>
      <c r="AO245" s="722"/>
      <c r="AP245" s="722"/>
      <c r="AQ245" s="722"/>
      <c r="AR245" s="722"/>
      <c r="AS245" s="722"/>
      <c r="AT245" s="722"/>
      <c r="AU245" s="722"/>
      <c r="AV245" s="722"/>
      <c r="AW245" s="722"/>
      <c r="AX245" s="722"/>
    </row>
    <row r="246" spans="2:50" ht="16.2" thickBot="1" x14ac:dyDescent="0.25">
      <c r="B246" s="288" t="str">
        <f>B60</f>
        <v>Equipamiento electrico</v>
      </c>
      <c r="C246" s="739" t="s">
        <v>180</v>
      </c>
      <c r="D246" s="740">
        <f>D60</f>
        <v>0.25</v>
      </c>
      <c r="E246" s="722"/>
      <c r="F246" s="722"/>
      <c r="G246" s="722"/>
      <c r="H246" s="722"/>
      <c r="I246" s="722"/>
      <c r="J246" s="722"/>
      <c r="K246" s="722"/>
      <c r="L246" s="722"/>
      <c r="M246" s="722"/>
      <c r="N246" s="722"/>
      <c r="O246" s="722"/>
      <c r="P246" s="722"/>
      <c r="Q246" s="722"/>
      <c r="R246" s="722"/>
      <c r="S246" s="722"/>
      <c r="T246" s="722"/>
      <c r="U246" s="722"/>
      <c r="V246" s="722"/>
      <c r="W246" s="722"/>
      <c r="X246" s="722"/>
      <c r="Y246" s="722"/>
      <c r="Z246" s="722"/>
      <c r="AA246" s="722"/>
      <c r="AB246" s="722"/>
      <c r="AC246" s="722"/>
      <c r="AD246" s="722"/>
      <c r="AE246" s="722"/>
      <c r="AF246" s="722"/>
      <c r="AG246" s="722"/>
      <c r="AH246" s="722"/>
      <c r="AI246" s="722"/>
      <c r="AJ246" s="722"/>
      <c r="AK246" s="722"/>
      <c r="AL246" s="722"/>
      <c r="AM246" s="722"/>
      <c r="AN246" s="722"/>
      <c r="AO246" s="722"/>
      <c r="AP246" s="722"/>
      <c r="AQ246" s="722"/>
      <c r="AR246" s="722"/>
      <c r="AS246" s="722"/>
      <c r="AT246" s="722"/>
      <c r="AU246" s="722"/>
      <c r="AV246" s="722"/>
      <c r="AW246" s="722"/>
      <c r="AX246" s="722"/>
    </row>
    <row r="247" spans="2:50" x14ac:dyDescent="0.2">
      <c r="B247" s="738" t="s">
        <v>313</v>
      </c>
      <c r="C247" s="707"/>
      <c r="D247" s="725">
        <f>CHIFFRAGE_TC!Q61</f>
        <v>8.5500636337618258E-2</v>
      </c>
      <c r="E247" s="722">
        <f t="shared" ref="E247:AX247" si="82">E60*$D$247</f>
        <v>0</v>
      </c>
      <c r="F247" s="722">
        <f t="shared" si="82"/>
        <v>92701.122361016503</v>
      </c>
      <c r="G247" s="722">
        <f t="shared" si="82"/>
        <v>233439.97476891198</v>
      </c>
      <c r="H247" s="722">
        <f t="shared" si="82"/>
        <v>47591.959028707926</v>
      </c>
      <c r="I247" s="722">
        <f t="shared" si="82"/>
        <v>0</v>
      </c>
      <c r="J247" s="722">
        <f t="shared" si="82"/>
        <v>0</v>
      </c>
      <c r="K247" s="722">
        <f t="shared" si="82"/>
        <v>0</v>
      </c>
      <c r="L247" s="722">
        <f t="shared" si="82"/>
        <v>0</v>
      </c>
      <c r="M247" s="722">
        <f t="shared" si="82"/>
        <v>0</v>
      </c>
      <c r="N247" s="722">
        <f t="shared" si="82"/>
        <v>0</v>
      </c>
      <c r="O247" s="722">
        <f t="shared" si="82"/>
        <v>0</v>
      </c>
      <c r="P247" s="722">
        <f t="shared" si="82"/>
        <v>0</v>
      </c>
      <c r="Q247" s="722">
        <f t="shared" si="82"/>
        <v>0</v>
      </c>
      <c r="R247" s="722">
        <f t="shared" si="82"/>
        <v>0</v>
      </c>
      <c r="S247" s="722">
        <f t="shared" si="82"/>
        <v>0</v>
      </c>
      <c r="T247" s="722">
        <f t="shared" si="82"/>
        <v>0</v>
      </c>
      <c r="U247" s="722">
        <f t="shared" si="82"/>
        <v>0</v>
      </c>
      <c r="V247" s="722">
        <f t="shared" si="82"/>
        <v>0</v>
      </c>
      <c r="W247" s="722">
        <f t="shared" si="82"/>
        <v>92701.122361016503</v>
      </c>
      <c r="X247" s="722">
        <f t="shared" si="82"/>
        <v>77880.018310784682</v>
      </c>
      <c r="Y247" s="722">
        <f t="shared" si="82"/>
        <v>47591.959028707926</v>
      </c>
      <c r="Z247" s="722">
        <f t="shared" si="82"/>
        <v>0</v>
      </c>
      <c r="AA247" s="722">
        <f t="shared" si="82"/>
        <v>0</v>
      </c>
      <c r="AB247" s="722">
        <f t="shared" si="82"/>
        <v>0</v>
      </c>
      <c r="AC247" s="722">
        <f t="shared" si="82"/>
        <v>0</v>
      </c>
      <c r="AD247" s="722">
        <f t="shared" si="82"/>
        <v>0</v>
      </c>
      <c r="AE247" s="722">
        <f t="shared" si="82"/>
        <v>0</v>
      </c>
      <c r="AF247" s="722">
        <f t="shared" si="82"/>
        <v>0</v>
      </c>
      <c r="AG247" s="722">
        <f t="shared" si="82"/>
        <v>0</v>
      </c>
      <c r="AH247" s="722">
        <f t="shared" si="82"/>
        <v>0</v>
      </c>
      <c r="AI247" s="722">
        <f t="shared" si="82"/>
        <v>0</v>
      </c>
      <c r="AJ247" s="722">
        <f t="shared" si="82"/>
        <v>0</v>
      </c>
      <c r="AK247" s="722">
        <f t="shared" si="82"/>
        <v>0</v>
      </c>
      <c r="AL247" s="722">
        <f t="shared" si="82"/>
        <v>0</v>
      </c>
      <c r="AM247" s="722">
        <f t="shared" si="82"/>
        <v>0</v>
      </c>
      <c r="AN247" s="722">
        <f t="shared" si="82"/>
        <v>92701.122361016503</v>
      </c>
      <c r="AO247" s="722">
        <f t="shared" si="82"/>
        <v>77880.018310784682</v>
      </c>
      <c r="AP247" s="722">
        <f t="shared" si="82"/>
        <v>47591.959028707926</v>
      </c>
      <c r="AQ247" s="722">
        <f t="shared" si="82"/>
        <v>0</v>
      </c>
      <c r="AR247" s="722">
        <f t="shared" si="82"/>
        <v>0</v>
      </c>
      <c r="AS247" s="722">
        <f t="shared" si="82"/>
        <v>0</v>
      </c>
      <c r="AT247" s="722">
        <f t="shared" si="82"/>
        <v>0</v>
      </c>
      <c r="AU247" s="722">
        <f t="shared" si="82"/>
        <v>0</v>
      </c>
      <c r="AV247" s="722">
        <f t="shared" si="82"/>
        <v>0</v>
      </c>
      <c r="AW247" s="722">
        <f t="shared" si="82"/>
        <v>0</v>
      </c>
      <c r="AX247" s="722">
        <f t="shared" si="82"/>
        <v>0</v>
      </c>
    </row>
    <row r="248" spans="2:50" x14ac:dyDescent="0.2">
      <c r="B248" s="738" t="s">
        <v>406</v>
      </c>
      <c r="C248" s="707"/>
      <c r="D248" s="725">
        <f>CHIFFRAGE_TC!R61</f>
        <v>0.91449936366238183</v>
      </c>
      <c r="E248" s="722">
        <f t="shared" ref="E248:AX248" si="83">E60*$D$248</f>
        <v>0</v>
      </c>
      <c r="F248" s="722">
        <f t="shared" si="83"/>
        <v>991514.46166066872</v>
      </c>
      <c r="G248" s="722">
        <f t="shared" si="83"/>
        <v>2496831.8076201966</v>
      </c>
      <c r="H248" s="722">
        <f t="shared" si="83"/>
        <v>509034.99800095096</v>
      </c>
      <c r="I248" s="722">
        <f t="shared" si="83"/>
        <v>0</v>
      </c>
      <c r="J248" s="722">
        <f t="shared" si="83"/>
        <v>0</v>
      </c>
      <c r="K248" s="722">
        <f t="shared" si="83"/>
        <v>0</v>
      </c>
      <c r="L248" s="722">
        <f t="shared" si="83"/>
        <v>0</v>
      </c>
      <c r="M248" s="722">
        <f t="shared" si="83"/>
        <v>0</v>
      </c>
      <c r="N248" s="722">
        <f t="shared" si="83"/>
        <v>0</v>
      </c>
      <c r="O248" s="722">
        <f t="shared" si="83"/>
        <v>0</v>
      </c>
      <c r="P248" s="722">
        <f t="shared" si="83"/>
        <v>0</v>
      </c>
      <c r="Q248" s="722">
        <f t="shared" si="83"/>
        <v>0</v>
      </c>
      <c r="R248" s="722">
        <f t="shared" si="83"/>
        <v>0</v>
      </c>
      <c r="S248" s="722">
        <f t="shared" si="83"/>
        <v>0</v>
      </c>
      <c r="T248" s="722">
        <f t="shared" si="83"/>
        <v>0</v>
      </c>
      <c r="U248" s="722">
        <f t="shared" si="83"/>
        <v>0</v>
      </c>
      <c r="V248" s="722">
        <f t="shared" si="83"/>
        <v>0</v>
      </c>
      <c r="W248" s="722">
        <f t="shared" si="83"/>
        <v>991514.46166066872</v>
      </c>
      <c r="X248" s="722">
        <f t="shared" si="83"/>
        <v>832990.60963703704</v>
      </c>
      <c r="Y248" s="722">
        <f t="shared" si="83"/>
        <v>509034.99800095096</v>
      </c>
      <c r="Z248" s="722">
        <f t="shared" si="83"/>
        <v>0</v>
      </c>
      <c r="AA248" s="722">
        <f t="shared" si="83"/>
        <v>0</v>
      </c>
      <c r="AB248" s="722">
        <f t="shared" si="83"/>
        <v>0</v>
      </c>
      <c r="AC248" s="722">
        <f t="shared" si="83"/>
        <v>0</v>
      </c>
      <c r="AD248" s="722">
        <f t="shared" si="83"/>
        <v>0</v>
      </c>
      <c r="AE248" s="722">
        <f t="shared" si="83"/>
        <v>0</v>
      </c>
      <c r="AF248" s="722">
        <f t="shared" si="83"/>
        <v>0</v>
      </c>
      <c r="AG248" s="722">
        <f t="shared" si="83"/>
        <v>0</v>
      </c>
      <c r="AH248" s="722">
        <f t="shared" si="83"/>
        <v>0</v>
      </c>
      <c r="AI248" s="722">
        <f t="shared" si="83"/>
        <v>0</v>
      </c>
      <c r="AJ248" s="722">
        <f t="shared" si="83"/>
        <v>0</v>
      </c>
      <c r="AK248" s="722">
        <f t="shared" si="83"/>
        <v>0</v>
      </c>
      <c r="AL248" s="722">
        <f t="shared" si="83"/>
        <v>0</v>
      </c>
      <c r="AM248" s="722">
        <f t="shared" si="83"/>
        <v>0</v>
      </c>
      <c r="AN248" s="722">
        <f t="shared" si="83"/>
        <v>991514.46166066872</v>
      </c>
      <c r="AO248" s="722">
        <f t="shared" si="83"/>
        <v>832990.60963703704</v>
      </c>
      <c r="AP248" s="722">
        <f t="shared" si="83"/>
        <v>509034.99800095096</v>
      </c>
      <c r="AQ248" s="722">
        <f t="shared" si="83"/>
        <v>0</v>
      </c>
      <c r="AR248" s="722">
        <f t="shared" si="83"/>
        <v>0</v>
      </c>
      <c r="AS248" s="722">
        <f t="shared" si="83"/>
        <v>0</v>
      </c>
      <c r="AT248" s="722">
        <f t="shared" si="83"/>
        <v>0</v>
      </c>
      <c r="AU248" s="722">
        <f t="shared" si="83"/>
        <v>0</v>
      </c>
      <c r="AV248" s="722">
        <f t="shared" si="83"/>
        <v>0</v>
      </c>
      <c r="AW248" s="722">
        <f t="shared" si="83"/>
        <v>0</v>
      </c>
      <c r="AX248" s="722">
        <f t="shared" si="83"/>
        <v>0</v>
      </c>
    </row>
    <row r="249" spans="2:50" ht="13.2" thickBot="1" x14ac:dyDescent="0.25">
      <c r="B249" s="707"/>
      <c r="C249" s="707"/>
      <c r="D249" s="725"/>
      <c r="E249" s="722"/>
      <c r="F249" s="722"/>
      <c r="G249" s="722"/>
      <c r="H249" s="722"/>
      <c r="I249" s="722"/>
      <c r="J249" s="722"/>
      <c r="K249" s="722"/>
      <c r="L249" s="722"/>
      <c r="M249" s="722"/>
      <c r="N249" s="722"/>
      <c r="O249" s="722"/>
      <c r="P249" s="722"/>
      <c r="Q249" s="722"/>
      <c r="R249" s="722"/>
      <c r="S249" s="722"/>
      <c r="T249" s="722"/>
      <c r="U249" s="722"/>
      <c r="V249" s="722"/>
      <c r="W249" s="722"/>
      <c r="X249" s="722"/>
      <c r="Y249" s="722"/>
      <c r="Z249" s="722"/>
      <c r="AA249" s="722"/>
      <c r="AB249" s="722"/>
      <c r="AC249" s="722"/>
      <c r="AD249" s="722"/>
      <c r="AE249" s="722"/>
      <c r="AF249" s="722"/>
      <c r="AG249" s="722"/>
      <c r="AH249" s="722"/>
      <c r="AI249" s="722"/>
      <c r="AJ249" s="722"/>
      <c r="AK249" s="722"/>
      <c r="AL249" s="722"/>
      <c r="AM249" s="722"/>
      <c r="AN249" s="722"/>
      <c r="AO249" s="722"/>
      <c r="AP249" s="722"/>
      <c r="AQ249" s="722"/>
      <c r="AR249" s="722"/>
      <c r="AS249" s="722"/>
      <c r="AT249" s="722"/>
      <c r="AU249" s="722"/>
      <c r="AV249" s="722"/>
      <c r="AW249" s="722"/>
      <c r="AX249" s="722"/>
    </row>
    <row r="250" spans="2:50" ht="16.2" thickBot="1" x14ac:dyDescent="0.25">
      <c r="B250" s="288" t="str">
        <f>B69</f>
        <v>Telecomunicaciones y boleteria</v>
      </c>
      <c r="C250" s="739" t="s">
        <v>180</v>
      </c>
      <c r="D250" s="740">
        <f>D69</f>
        <v>0.25</v>
      </c>
      <c r="E250" s="722"/>
      <c r="F250" s="722"/>
      <c r="G250" s="722"/>
      <c r="H250" s="722"/>
      <c r="I250" s="722"/>
      <c r="J250" s="722"/>
      <c r="K250" s="722"/>
      <c r="L250" s="722"/>
      <c r="M250" s="722"/>
      <c r="N250" s="722"/>
      <c r="O250" s="722"/>
      <c r="P250" s="722"/>
      <c r="Q250" s="722"/>
      <c r="R250" s="722"/>
      <c r="S250" s="722"/>
      <c r="T250" s="722"/>
      <c r="U250" s="722"/>
      <c r="V250" s="722"/>
      <c r="W250" s="722"/>
      <c r="X250" s="722"/>
      <c r="Y250" s="722"/>
      <c r="Z250" s="722"/>
      <c r="AA250" s="722"/>
      <c r="AB250" s="722"/>
      <c r="AC250" s="722"/>
      <c r="AD250" s="722"/>
      <c r="AE250" s="722"/>
      <c r="AF250" s="722"/>
      <c r="AG250" s="722"/>
      <c r="AH250" s="722"/>
      <c r="AI250" s="722"/>
      <c r="AJ250" s="722"/>
      <c r="AK250" s="722"/>
      <c r="AL250" s="722"/>
      <c r="AM250" s="722"/>
      <c r="AN250" s="722"/>
      <c r="AO250" s="722"/>
      <c r="AP250" s="722"/>
      <c r="AQ250" s="722"/>
      <c r="AR250" s="722"/>
      <c r="AS250" s="722"/>
      <c r="AT250" s="722"/>
      <c r="AU250" s="722"/>
      <c r="AV250" s="722"/>
      <c r="AW250" s="722"/>
      <c r="AX250" s="722"/>
    </row>
    <row r="251" spans="2:50" x14ac:dyDescent="0.2">
      <c r="B251" s="738" t="s">
        <v>313</v>
      </c>
      <c r="C251" s="54"/>
      <c r="D251" s="725">
        <f>CHIFFRAGE_TC!Q70</f>
        <v>0.61889161566014428</v>
      </c>
      <c r="E251" s="722">
        <f t="shared" ref="E251:AX251" si="84">E69*$D$251</f>
        <v>0</v>
      </c>
      <c r="F251" s="722">
        <f t="shared" si="84"/>
        <v>100682.16264742137</v>
      </c>
      <c r="G251" s="722">
        <f t="shared" si="84"/>
        <v>1751617.5998520388</v>
      </c>
      <c r="H251" s="722">
        <f t="shared" si="84"/>
        <v>931066.73547056725</v>
      </c>
      <c r="I251" s="722">
        <f t="shared" si="84"/>
        <v>0</v>
      </c>
      <c r="J251" s="722">
        <f t="shared" si="84"/>
        <v>0</v>
      </c>
      <c r="K251" s="722">
        <f t="shared" si="84"/>
        <v>0</v>
      </c>
      <c r="L251" s="722">
        <f t="shared" si="84"/>
        <v>0</v>
      </c>
      <c r="M251" s="722">
        <f t="shared" si="84"/>
        <v>0</v>
      </c>
      <c r="N251" s="722">
        <f t="shared" si="84"/>
        <v>0</v>
      </c>
      <c r="O251" s="722">
        <f t="shared" si="84"/>
        <v>0</v>
      </c>
      <c r="P251" s="722">
        <f t="shared" si="84"/>
        <v>0</v>
      </c>
      <c r="Q251" s="722">
        <f t="shared" si="84"/>
        <v>0</v>
      </c>
      <c r="R251" s="722">
        <f t="shared" si="84"/>
        <v>0</v>
      </c>
      <c r="S251" s="722">
        <f t="shared" si="84"/>
        <v>0</v>
      </c>
      <c r="T251" s="722">
        <f t="shared" si="84"/>
        <v>0</v>
      </c>
      <c r="U251" s="722">
        <f t="shared" si="84"/>
        <v>0</v>
      </c>
      <c r="V251" s="722">
        <f t="shared" si="84"/>
        <v>0</v>
      </c>
      <c r="W251" s="722">
        <f t="shared" si="84"/>
        <v>100682.16264742137</v>
      </c>
      <c r="X251" s="722">
        <f t="shared" si="84"/>
        <v>1751617.5998520388</v>
      </c>
      <c r="Y251" s="722">
        <f t="shared" si="84"/>
        <v>931066.73547056725</v>
      </c>
      <c r="Z251" s="722">
        <f t="shared" si="84"/>
        <v>0</v>
      </c>
      <c r="AA251" s="722">
        <f t="shared" si="84"/>
        <v>0</v>
      </c>
      <c r="AB251" s="722">
        <f t="shared" si="84"/>
        <v>0</v>
      </c>
      <c r="AC251" s="722">
        <f t="shared" si="84"/>
        <v>0</v>
      </c>
      <c r="AD251" s="722">
        <f t="shared" si="84"/>
        <v>0</v>
      </c>
      <c r="AE251" s="722">
        <f t="shared" si="84"/>
        <v>0</v>
      </c>
      <c r="AF251" s="722">
        <f t="shared" si="84"/>
        <v>0</v>
      </c>
      <c r="AG251" s="722">
        <f t="shared" si="84"/>
        <v>0</v>
      </c>
      <c r="AH251" s="722">
        <f t="shared" si="84"/>
        <v>0</v>
      </c>
      <c r="AI251" s="722">
        <f t="shared" si="84"/>
        <v>0</v>
      </c>
      <c r="AJ251" s="722">
        <f t="shared" si="84"/>
        <v>0</v>
      </c>
      <c r="AK251" s="722">
        <f t="shared" si="84"/>
        <v>0</v>
      </c>
      <c r="AL251" s="722">
        <f t="shared" si="84"/>
        <v>0</v>
      </c>
      <c r="AM251" s="722">
        <f t="shared" si="84"/>
        <v>0</v>
      </c>
      <c r="AN251" s="722">
        <f t="shared" si="84"/>
        <v>100682.16264742137</v>
      </c>
      <c r="AO251" s="722">
        <f t="shared" si="84"/>
        <v>1751617.5998520388</v>
      </c>
      <c r="AP251" s="722">
        <f t="shared" si="84"/>
        <v>931066.73547056725</v>
      </c>
      <c r="AQ251" s="722">
        <f t="shared" si="84"/>
        <v>0</v>
      </c>
      <c r="AR251" s="722">
        <f t="shared" si="84"/>
        <v>0</v>
      </c>
      <c r="AS251" s="722">
        <f t="shared" si="84"/>
        <v>0</v>
      </c>
      <c r="AT251" s="722">
        <f t="shared" si="84"/>
        <v>0</v>
      </c>
      <c r="AU251" s="722">
        <f t="shared" si="84"/>
        <v>0</v>
      </c>
      <c r="AV251" s="722">
        <f t="shared" si="84"/>
        <v>0</v>
      </c>
      <c r="AW251" s="722">
        <f t="shared" si="84"/>
        <v>0</v>
      </c>
      <c r="AX251" s="722">
        <f t="shared" si="84"/>
        <v>0</v>
      </c>
    </row>
    <row r="252" spans="2:50" x14ac:dyDescent="0.2">
      <c r="B252" s="738" t="s">
        <v>406</v>
      </c>
      <c r="C252" s="54"/>
      <c r="D252" s="725">
        <f>CHIFFRAGE_TC!R70</f>
        <v>0.38110838433985578</v>
      </c>
      <c r="E252" s="722">
        <f t="shared" ref="E252:AX252" si="85">E69*$D$252</f>
        <v>0</v>
      </c>
      <c r="F252" s="722">
        <f t="shared" si="85"/>
        <v>61999.250543203576</v>
      </c>
      <c r="G252" s="722">
        <f t="shared" si="85"/>
        <v>1078631.7613122193</v>
      </c>
      <c r="H252" s="722">
        <f t="shared" si="85"/>
        <v>573343.26445719018</v>
      </c>
      <c r="I252" s="722">
        <f t="shared" si="85"/>
        <v>0</v>
      </c>
      <c r="J252" s="722">
        <f t="shared" si="85"/>
        <v>0</v>
      </c>
      <c r="K252" s="722">
        <f t="shared" si="85"/>
        <v>0</v>
      </c>
      <c r="L252" s="722">
        <f t="shared" si="85"/>
        <v>0</v>
      </c>
      <c r="M252" s="722">
        <f t="shared" si="85"/>
        <v>0</v>
      </c>
      <c r="N252" s="722">
        <f t="shared" si="85"/>
        <v>0</v>
      </c>
      <c r="O252" s="722">
        <f t="shared" si="85"/>
        <v>0</v>
      </c>
      <c r="P252" s="722">
        <f t="shared" si="85"/>
        <v>0</v>
      </c>
      <c r="Q252" s="722">
        <f t="shared" si="85"/>
        <v>0</v>
      </c>
      <c r="R252" s="722">
        <f t="shared" si="85"/>
        <v>0</v>
      </c>
      <c r="S252" s="722">
        <f t="shared" si="85"/>
        <v>0</v>
      </c>
      <c r="T252" s="722">
        <f t="shared" si="85"/>
        <v>0</v>
      </c>
      <c r="U252" s="722">
        <f t="shared" si="85"/>
        <v>0</v>
      </c>
      <c r="V252" s="722">
        <f t="shared" si="85"/>
        <v>0</v>
      </c>
      <c r="W252" s="722">
        <f t="shared" si="85"/>
        <v>61999.250543203576</v>
      </c>
      <c r="X252" s="722">
        <f t="shared" si="85"/>
        <v>1078631.7613122193</v>
      </c>
      <c r="Y252" s="722">
        <f t="shared" si="85"/>
        <v>573343.26445719018</v>
      </c>
      <c r="Z252" s="722">
        <f t="shared" si="85"/>
        <v>0</v>
      </c>
      <c r="AA252" s="722">
        <f t="shared" si="85"/>
        <v>0</v>
      </c>
      <c r="AB252" s="722">
        <f t="shared" si="85"/>
        <v>0</v>
      </c>
      <c r="AC252" s="722">
        <f t="shared" si="85"/>
        <v>0</v>
      </c>
      <c r="AD252" s="722">
        <f t="shared" si="85"/>
        <v>0</v>
      </c>
      <c r="AE252" s="722">
        <f t="shared" si="85"/>
        <v>0</v>
      </c>
      <c r="AF252" s="722">
        <f t="shared" si="85"/>
        <v>0</v>
      </c>
      <c r="AG252" s="722">
        <f t="shared" si="85"/>
        <v>0</v>
      </c>
      <c r="AH252" s="722">
        <f t="shared" si="85"/>
        <v>0</v>
      </c>
      <c r="AI252" s="722">
        <f t="shared" si="85"/>
        <v>0</v>
      </c>
      <c r="AJ252" s="722">
        <f t="shared" si="85"/>
        <v>0</v>
      </c>
      <c r="AK252" s="722">
        <f t="shared" si="85"/>
        <v>0</v>
      </c>
      <c r="AL252" s="722">
        <f t="shared" si="85"/>
        <v>0</v>
      </c>
      <c r="AM252" s="722">
        <f t="shared" si="85"/>
        <v>0</v>
      </c>
      <c r="AN252" s="722">
        <f t="shared" si="85"/>
        <v>61999.250543203576</v>
      </c>
      <c r="AO252" s="722">
        <f t="shared" si="85"/>
        <v>1078631.7613122193</v>
      </c>
      <c r="AP252" s="722">
        <f t="shared" si="85"/>
        <v>573343.26445719018</v>
      </c>
      <c r="AQ252" s="722">
        <f t="shared" si="85"/>
        <v>0</v>
      </c>
      <c r="AR252" s="722">
        <f t="shared" si="85"/>
        <v>0</v>
      </c>
      <c r="AS252" s="722">
        <f t="shared" si="85"/>
        <v>0</v>
      </c>
      <c r="AT252" s="722">
        <f t="shared" si="85"/>
        <v>0</v>
      </c>
      <c r="AU252" s="722">
        <f t="shared" si="85"/>
        <v>0</v>
      </c>
      <c r="AV252" s="722">
        <f t="shared" si="85"/>
        <v>0</v>
      </c>
      <c r="AW252" s="722">
        <f t="shared" si="85"/>
        <v>0</v>
      </c>
      <c r="AX252" s="722">
        <f t="shared" si="85"/>
        <v>0</v>
      </c>
    </row>
    <row r="253" spans="2:50" ht="13.2" thickBot="1" x14ac:dyDescent="0.25">
      <c r="B253" s="707"/>
      <c r="C253" s="54"/>
      <c r="D253" s="725"/>
      <c r="E253" s="722"/>
      <c r="F253" s="722"/>
      <c r="G253" s="722"/>
      <c r="H253" s="722"/>
      <c r="I253" s="722"/>
      <c r="J253" s="722"/>
      <c r="K253" s="722"/>
      <c r="L253" s="722"/>
      <c r="M253" s="722"/>
      <c r="N253" s="722"/>
      <c r="O253" s="722"/>
      <c r="P253" s="722"/>
      <c r="Q253" s="722"/>
      <c r="R253" s="722"/>
      <c r="S253" s="722"/>
      <c r="T253" s="722"/>
      <c r="U253" s="722"/>
      <c r="V253" s="722"/>
      <c r="W253" s="722"/>
      <c r="X253" s="722"/>
      <c r="Y253" s="722"/>
      <c r="Z253" s="722"/>
      <c r="AA253" s="722"/>
      <c r="AB253" s="722"/>
      <c r="AC253" s="722"/>
      <c r="AD253" s="722"/>
      <c r="AE253" s="722"/>
      <c r="AF253" s="722"/>
      <c r="AG253" s="722"/>
      <c r="AH253" s="722"/>
      <c r="AI253" s="722"/>
      <c r="AJ253" s="722"/>
      <c r="AK253" s="722"/>
      <c r="AL253" s="722"/>
      <c r="AM253" s="722"/>
      <c r="AN253" s="722"/>
      <c r="AO253" s="722"/>
      <c r="AP253" s="722"/>
      <c r="AQ253" s="722"/>
      <c r="AR253" s="722"/>
      <c r="AS253" s="722"/>
      <c r="AT253" s="722"/>
      <c r="AU253" s="722"/>
      <c r="AV253" s="722"/>
      <c r="AW253" s="722"/>
      <c r="AX253" s="722"/>
    </row>
    <row r="254" spans="2:50" ht="16.2" thickBot="1" x14ac:dyDescent="0.25">
      <c r="B254" s="288" t="str">
        <f>B84</f>
        <v>Estaciones</v>
      </c>
      <c r="C254" s="739" t="s">
        <v>180</v>
      </c>
      <c r="D254" s="740">
        <f>D84</f>
        <v>0.25000000000000006</v>
      </c>
      <c r="E254" s="722"/>
      <c r="F254" s="722"/>
      <c r="G254" s="722"/>
      <c r="H254" s="722"/>
      <c r="I254" s="722"/>
      <c r="J254" s="722"/>
      <c r="K254" s="722"/>
      <c r="L254" s="722"/>
      <c r="M254" s="722"/>
      <c r="N254" s="722"/>
      <c r="O254" s="722"/>
      <c r="P254" s="722"/>
      <c r="Q254" s="722"/>
      <c r="R254" s="722"/>
      <c r="S254" s="722"/>
      <c r="T254" s="722"/>
      <c r="U254" s="722"/>
      <c r="V254" s="722"/>
      <c r="W254" s="722"/>
      <c r="X254" s="722"/>
      <c r="Y254" s="722"/>
      <c r="Z254" s="722"/>
      <c r="AA254" s="722"/>
      <c r="AB254" s="722"/>
      <c r="AC254" s="722"/>
      <c r="AD254" s="722"/>
      <c r="AE254" s="722"/>
      <c r="AF254" s="722"/>
      <c r="AG254" s="722"/>
      <c r="AH254" s="722"/>
      <c r="AI254" s="722"/>
      <c r="AJ254" s="722"/>
      <c r="AK254" s="722"/>
      <c r="AL254" s="722"/>
      <c r="AM254" s="722"/>
      <c r="AN254" s="722"/>
      <c r="AO254" s="722"/>
      <c r="AP254" s="722"/>
      <c r="AQ254" s="722"/>
      <c r="AR254" s="722"/>
      <c r="AS254" s="722"/>
      <c r="AT254" s="722"/>
      <c r="AU254" s="722"/>
      <c r="AV254" s="722"/>
      <c r="AW254" s="722"/>
      <c r="AX254" s="722"/>
    </row>
    <row r="255" spans="2:50" x14ac:dyDescent="0.2">
      <c r="B255" s="738" t="s">
        <v>313</v>
      </c>
      <c r="C255" s="54"/>
      <c r="D255" s="725">
        <f>CHIFFRAGE_TC!Q85</f>
        <v>0.79936701500304164</v>
      </c>
      <c r="E255" s="722">
        <f t="shared" ref="E255:AX255" si="86">E84*$D$255</f>
        <v>0</v>
      </c>
      <c r="F255" s="722">
        <f t="shared" si="86"/>
        <v>5635702.2943170629</v>
      </c>
      <c r="G255" s="722">
        <f t="shared" si="86"/>
        <v>9268627.5094898324</v>
      </c>
      <c r="H255" s="722">
        <f t="shared" si="86"/>
        <v>2018313.6033593917</v>
      </c>
      <c r="I255" s="722">
        <f t="shared" si="86"/>
        <v>0</v>
      </c>
      <c r="J255" s="722">
        <f t="shared" si="86"/>
        <v>0</v>
      </c>
      <c r="K255" s="722">
        <f t="shared" si="86"/>
        <v>0</v>
      </c>
      <c r="L255" s="722">
        <f t="shared" si="86"/>
        <v>0</v>
      </c>
      <c r="M255" s="722">
        <f t="shared" si="86"/>
        <v>0</v>
      </c>
      <c r="N255" s="722">
        <f t="shared" si="86"/>
        <v>0</v>
      </c>
      <c r="O255" s="722">
        <f t="shared" si="86"/>
        <v>0</v>
      </c>
      <c r="P255" s="722">
        <f t="shared" si="86"/>
        <v>0</v>
      </c>
      <c r="Q255" s="722">
        <f t="shared" si="86"/>
        <v>0</v>
      </c>
      <c r="R255" s="722">
        <f t="shared" si="86"/>
        <v>0</v>
      </c>
      <c r="S255" s="722">
        <f t="shared" si="86"/>
        <v>0</v>
      </c>
      <c r="T255" s="722">
        <f t="shared" si="86"/>
        <v>0</v>
      </c>
      <c r="U255" s="722">
        <f t="shared" si="86"/>
        <v>0</v>
      </c>
      <c r="V255" s="722">
        <f t="shared" si="86"/>
        <v>0</v>
      </c>
      <c r="W255" s="722">
        <f t="shared" si="86"/>
        <v>149094.4384076767</v>
      </c>
      <c r="X255" s="722">
        <f t="shared" si="86"/>
        <v>447283.31522303005</v>
      </c>
      <c r="Y255" s="722">
        <f t="shared" si="86"/>
        <v>0</v>
      </c>
      <c r="Z255" s="722">
        <f t="shared" si="86"/>
        <v>0</v>
      </c>
      <c r="AA255" s="722">
        <f t="shared" si="86"/>
        <v>0</v>
      </c>
      <c r="AB255" s="722">
        <f t="shared" si="86"/>
        <v>0</v>
      </c>
      <c r="AC255" s="722">
        <f t="shared" si="86"/>
        <v>0</v>
      </c>
      <c r="AD255" s="722">
        <f t="shared" si="86"/>
        <v>0</v>
      </c>
      <c r="AE255" s="722">
        <f t="shared" si="86"/>
        <v>0</v>
      </c>
      <c r="AF255" s="722">
        <f t="shared" si="86"/>
        <v>0</v>
      </c>
      <c r="AG255" s="722">
        <f t="shared" si="86"/>
        <v>0</v>
      </c>
      <c r="AH255" s="722">
        <f t="shared" si="86"/>
        <v>0</v>
      </c>
      <c r="AI255" s="722">
        <f t="shared" si="86"/>
        <v>0</v>
      </c>
      <c r="AJ255" s="722">
        <f t="shared" si="86"/>
        <v>0</v>
      </c>
      <c r="AK255" s="722">
        <f t="shared" si="86"/>
        <v>0</v>
      </c>
      <c r="AL255" s="722">
        <f t="shared" si="86"/>
        <v>0</v>
      </c>
      <c r="AM255" s="722">
        <f t="shared" si="86"/>
        <v>0</v>
      </c>
      <c r="AN255" s="722">
        <f t="shared" si="86"/>
        <v>149094.4384076767</v>
      </c>
      <c r="AO255" s="722">
        <f t="shared" si="86"/>
        <v>447283.31522303005</v>
      </c>
      <c r="AP255" s="722">
        <f t="shared" si="86"/>
        <v>0</v>
      </c>
      <c r="AQ255" s="722">
        <f t="shared" si="86"/>
        <v>0</v>
      </c>
      <c r="AR255" s="722">
        <f t="shared" si="86"/>
        <v>0</v>
      </c>
      <c r="AS255" s="722">
        <f t="shared" si="86"/>
        <v>0</v>
      </c>
      <c r="AT255" s="722">
        <f t="shared" si="86"/>
        <v>0</v>
      </c>
      <c r="AU255" s="722">
        <f t="shared" si="86"/>
        <v>0</v>
      </c>
      <c r="AV255" s="722">
        <f t="shared" si="86"/>
        <v>0</v>
      </c>
      <c r="AW255" s="722">
        <f t="shared" si="86"/>
        <v>0</v>
      </c>
      <c r="AX255" s="722">
        <f t="shared" si="86"/>
        <v>0</v>
      </c>
    </row>
    <row r="256" spans="2:50" x14ac:dyDescent="0.2">
      <c r="B256" s="738" t="s">
        <v>406</v>
      </c>
      <c r="C256" s="54"/>
      <c r="D256" s="725">
        <f>CHIFFRAGE_TC!R85</f>
        <v>0.20063298499695845</v>
      </c>
      <c r="E256" s="722">
        <f t="shared" ref="E256:AX256" si="87">E84*$D$256</f>
        <v>0</v>
      </c>
      <c r="F256" s="722">
        <f t="shared" si="87"/>
        <v>1414503.9170258197</v>
      </c>
      <c r="G256" s="722">
        <f t="shared" si="87"/>
        <v>2326331.1709788204</v>
      </c>
      <c r="H256" s="722">
        <f t="shared" si="87"/>
        <v>506576.17252373265</v>
      </c>
      <c r="I256" s="722">
        <f t="shared" si="87"/>
        <v>0</v>
      </c>
      <c r="J256" s="722">
        <f t="shared" si="87"/>
        <v>0</v>
      </c>
      <c r="K256" s="722">
        <f t="shared" si="87"/>
        <v>0</v>
      </c>
      <c r="L256" s="722">
        <f t="shared" si="87"/>
        <v>0</v>
      </c>
      <c r="M256" s="722">
        <f t="shared" si="87"/>
        <v>0</v>
      </c>
      <c r="N256" s="722">
        <f t="shared" si="87"/>
        <v>0</v>
      </c>
      <c r="O256" s="722">
        <f t="shared" si="87"/>
        <v>0</v>
      </c>
      <c r="P256" s="722">
        <f t="shared" si="87"/>
        <v>0</v>
      </c>
      <c r="Q256" s="722">
        <f t="shared" si="87"/>
        <v>0</v>
      </c>
      <c r="R256" s="722">
        <f t="shared" si="87"/>
        <v>0</v>
      </c>
      <c r="S256" s="722">
        <f t="shared" si="87"/>
        <v>0</v>
      </c>
      <c r="T256" s="722">
        <f t="shared" si="87"/>
        <v>0</v>
      </c>
      <c r="U256" s="722">
        <f t="shared" si="87"/>
        <v>0</v>
      </c>
      <c r="V256" s="722">
        <f t="shared" si="87"/>
        <v>0</v>
      </c>
      <c r="W256" s="722">
        <f t="shared" si="87"/>
        <v>37421.186592323327</v>
      </c>
      <c r="X256" s="722">
        <f t="shared" si="87"/>
        <v>112263.55977696998</v>
      </c>
      <c r="Y256" s="722">
        <f t="shared" si="87"/>
        <v>0</v>
      </c>
      <c r="Z256" s="722">
        <f t="shared" si="87"/>
        <v>0</v>
      </c>
      <c r="AA256" s="722">
        <f t="shared" si="87"/>
        <v>0</v>
      </c>
      <c r="AB256" s="722">
        <f t="shared" si="87"/>
        <v>0</v>
      </c>
      <c r="AC256" s="722">
        <f t="shared" si="87"/>
        <v>0</v>
      </c>
      <c r="AD256" s="722">
        <f t="shared" si="87"/>
        <v>0</v>
      </c>
      <c r="AE256" s="722">
        <f t="shared" si="87"/>
        <v>0</v>
      </c>
      <c r="AF256" s="722">
        <f t="shared" si="87"/>
        <v>0</v>
      </c>
      <c r="AG256" s="722">
        <f t="shared" si="87"/>
        <v>0</v>
      </c>
      <c r="AH256" s="722">
        <f t="shared" si="87"/>
        <v>0</v>
      </c>
      <c r="AI256" s="722">
        <f t="shared" si="87"/>
        <v>0</v>
      </c>
      <c r="AJ256" s="722">
        <f t="shared" si="87"/>
        <v>0</v>
      </c>
      <c r="AK256" s="722">
        <f t="shared" si="87"/>
        <v>0</v>
      </c>
      <c r="AL256" s="722">
        <f t="shared" si="87"/>
        <v>0</v>
      </c>
      <c r="AM256" s="722">
        <f t="shared" si="87"/>
        <v>0</v>
      </c>
      <c r="AN256" s="722">
        <f t="shared" si="87"/>
        <v>37421.186592323327</v>
      </c>
      <c r="AO256" s="722">
        <f t="shared" si="87"/>
        <v>112263.55977696998</v>
      </c>
      <c r="AP256" s="722">
        <f t="shared" si="87"/>
        <v>0</v>
      </c>
      <c r="AQ256" s="722">
        <f t="shared" si="87"/>
        <v>0</v>
      </c>
      <c r="AR256" s="722">
        <f t="shared" si="87"/>
        <v>0</v>
      </c>
      <c r="AS256" s="722">
        <f t="shared" si="87"/>
        <v>0</v>
      </c>
      <c r="AT256" s="722">
        <f t="shared" si="87"/>
        <v>0</v>
      </c>
      <c r="AU256" s="722">
        <f t="shared" si="87"/>
        <v>0</v>
      </c>
      <c r="AV256" s="722">
        <f t="shared" si="87"/>
        <v>0</v>
      </c>
      <c r="AW256" s="722">
        <f t="shared" si="87"/>
        <v>0</v>
      </c>
      <c r="AX256" s="722">
        <f t="shared" si="87"/>
        <v>0</v>
      </c>
    </row>
    <row r="257" spans="2:50" ht="13.2" thickBot="1" x14ac:dyDescent="0.25">
      <c r="B257" s="710"/>
      <c r="C257" s="54"/>
      <c r="D257" s="725"/>
      <c r="E257" s="722"/>
      <c r="F257" s="722"/>
      <c r="G257" s="722"/>
      <c r="H257" s="722"/>
      <c r="I257" s="722"/>
      <c r="J257" s="722"/>
      <c r="K257" s="722"/>
      <c r="L257" s="722"/>
      <c r="M257" s="722"/>
      <c r="N257" s="722"/>
      <c r="O257" s="722"/>
      <c r="P257" s="722"/>
      <c r="Q257" s="722"/>
      <c r="R257" s="722"/>
      <c r="S257" s="722"/>
      <c r="T257" s="722"/>
      <c r="U257" s="722"/>
      <c r="V257" s="722"/>
      <c r="W257" s="722"/>
      <c r="X257" s="722"/>
      <c r="Y257" s="722"/>
      <c r="Z257" s="722"/>
      <c r="AA257" s="722"/>
      <c r="AB257" s="722"/>
      <c r="AC257" s="722"/>
      <c r="AD257" s="722"/>
      <c r="AE257" s="722"/>
      <c r="AF257" s="722"/>
      <c r="AG257" s="722"/>
      <c r="AH257" s="722"/>
      <c r="AI257" s="722"/>
      <c r="AJ257" s="722"/>
      <c r="AK257" s="722"/>
      <c r="AL257" s="722"/>
      <c r="AM257" s="722"/>
      <c r="AN257" s="722"/>
      <c r="AO257" s="722"/>
      <c r="AP257" s="722"/>
      <c r="AQ257" s="722"/>
      <c r="AR257" s="722"/>
      <c r="AS257" s="722"/>
      <c r="AT257" s="722"/>
      <c r="AU257" s="722"/>
      <c r="AV257" s="722"/>
      <c r="AW257" s="722"/>
      <c r="AX257" s="722"/>
    </row>
    <row r="258" spans="2:50" ht="16.2" thickBot="1" x14ac:dyDescent="0.25">
      <c r="B258" s="288" t="str">
        <f>B174</f>
        <v xml:space="preserve">Centro(s) de mantenimiento </v>
      </c>
      <c r="C258" s="739" t="s">
        <v>180</v>
      </c>
      <c r="D258" s="740">
        <f>D174</f>
        <v>0.25</v>
      </c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722"/>
      <c r="V258" s="722"/>
      <c r="W258" s="722"/>
      <c r="X258" s="722"/>
      <c r="Y258" s="722"/>
      <c r="Z258" s="722"/>
      <c r="AA258" s="722"/>
      <c r="AB258" s="722"/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722"/>
      <c r="AN258" s="722"/>
      <c r="AO258" s="722"/>
      <c r="AP258" s="722"/>
      <c r="AQ258" s="722"/>
      <c r="AR258" s="722"/>
      <c r="AS258" s="722"/>
      <c r="AT258" s="722"/>
      <c r="AU258" s="722"/>
      <c r="AV258" s="722"/>
      <c r="AW258" s="722"/>
      <c r="AX258" s="722"/>
    </row>
    <row r="259" spans="2:50" x14ac:dyDescent="0.2">
      <c r="B259" s="738" t="s">
        <v>313</v>
      </c>
      <c r="C259" s="54"/>
      <c r="D259" s="725">
        <f>CHIFFRAGE_TC!Q175</f>
        <v>0.33731844248357756</v>
      </c>
      <c r="E259" s="722">
        <f>E174*$D$259</f>
        <v>0</v>
      </c>
      <c r="F259" s="722">
        <f t="shared" ref="F259:AV259" si="88">F174*$D$259</f>
        <v>352477.48593779106</v>
      </c>
      <c r="G259" s="722">
        <f t="shared" si="88"/>
        <v>871855.75529281574</v>
      </c>
      <c r="H259" s="722">
        <f t="shared" si="88"/>
        <v>234427.57309748922</v>
      </c>
      <c r="I259" s="722">
        <f t="shared" si="88"/>
        <v>0</v>
      </c>
      <c r="J259" s="722">
        <f t="shared" si="88"/>
        <v>0</v>
      </c>
      <c r="K259" s="722">
        <f t="shared" si="88"/>
        <v>0</v>
      </c>
      <c r="L259" s="722">
        <f t="shared" si="88"/>
        <v>0</v>
      </c>
      <c r="M259" s="722">
        <f t="shared" si="88"/>
        <v>0</v>
      </c>
      <c r="N259" s="722">
        <f t="shared" si="88"/>
        <v>0</v>
      </c>
      <c r="O259" s="722">
        <f t="shared" si="88"/>
        <v>0</v>
      </c>
      <c r="P259" s="722">
        <f t="shared" si="88"/>
        <v>0</v>
      </c>
      <c r="Q259" s="722">
        <f t="shared" si="88"/>
        <v>0</v>
      </c>
      <c r="R259" s="722">
        <f t="shared" si="88"/>
        <v>0</v>
      </c>
      <c r="S259" s="722">
        <f t="shared" si="88"/>
        <v>0</v>
      </c>
      <c r="T259" s="722">
        <f t="shared" si="88"/>
        <v>0</v>
      </c>
      <c r="U259" s="722">
        <f t="shared" si="88"/>
        <v>0</v>
      </c>
      <c r="V259" s="722">
        <f t="shared" si="88"/>
        <v>0</v>
      </c>
      <c r="W259" s="722">
        <f t="shared" si="88"/>
        <v>0</v>
      </c>
      <c r="X259" s="722">
        <f t="shared" si="88"/>
        <v>36638.152932698664</v>
      </c>
      <c r="Y259" s="722">
        <f t="shared" si="88"/>
        <v>12212.717644232887</v>
      </c>
      <c r="Z259" s="722">
        <f t="shared" si="88"/>
        <v>0</v>
      </c>
      <c r="AA259" s="722">
        <f t="shared" si="88"/>
        <v>0</v>
      </c>
      <c r="AB259" s="722">
        <f t="shared" si="88"/>
        <v>0</v>
      </c>
      <c r="AC259" s="722">
        <f t="shared" si="88"/>
        <v>0</v>
      </c>
      <c r="AD259" s="722">
        <f t="shared" si="88"/>
        <v>0</v>
      </c>
      <c r="AE259" s="722">
        <f t="shared" si="88"/>
        <v>0</v>
      </c>
      <c r="AF259" s="722">
        <f t="shared" si="88"/>
        <v>0</v>
      </c>
      <c r="AG259" s="722">
        <f t="shared" si="88"/>
        <v>0</v>
      </c>
      <c r="AH259" s="722">
        <f t="shared" si="88"/>
        <v>0</v>
      </c>
      <c r="AI259" s="722">
        <f t="shared" si="88"/>
        <v>0</v>
      </c>
      <c r="AJ259" s="722">
        <f t="shared" si="88"/>
        <v>0</v>
      </c>
      <c r="AK259" s="722">
        <f t="shared" si="88"/>
        <v>0</v>
      </c>
      <c r="AL259" s="722">
        <f t="shared" si="88"/>
        <v>0</v>
      </c>
      <c r="AM259" s="722">
        <f t="shared" si="88"/>
        <v>0</v>
      </c>
      <c r="AN259" s="722">
        <f t="shared" si="88"/>
        <v>0</v>
      </c>
      <c r="AO259" s="722">
        <f t="shared" si="88"/>
        <v>0</v>
      </c>
      <c r="AP259" s="722">
        <f t="shared" si="88"/>
        <v>0</v>
      </c>
      <c r="AQ259" s="722">
        <f t="shared" si="88"/>
        <v>0</v>
      </c>
      <c r="AR259" s="722">
        <f t="shared" si="88"/>
        <v>0</v>
      </c>
      <c r="AS259" s="722">
        <f t="shared" si="88"/>
        <v>0</v>
      </c>
      <c r="AT259" s="722">
        <f t="shared" si="88"/>
        <v>0</v>
      </c>
      <c r="AU259" s="722">
        <f t="shared" si="88"/>
        <v>0</v>
      </c>
      <c r="AV259" s="722">
        <f t="shared" si="88"/>
        <v>0</v>
      </c>
      <c r="AW259" s="722">
        <f>AW174*$D$259</f>
        <v>0</v>
      </c>
      <c r="AX259" s="722">
        <f t="shared" ref="AX259" si="89">AX174*$D$259</f>
        <v>0</v>
      </c>
    </row>
    <row r="260" spans="2:50" x14ac:dyDescent="0.2">
      <c r="B260" s="738" t="s">
        <v>406</v>
      </c>
      <c r="C260" s="54"/>
      <c r="D260" s="725">
        <f>CHIFFRAGE_TC!R175</f>
        <v>0.66268155751642255</v>
      </c>
      <c r="E260" s="722">
        <f>E174*$D$260</f>
        <v>0</v>
      </c>
      <c r="F260" s="722">
        <f t="shared" ref="F260:AV260" si="90">F174*$D$260</f>
        <v>692462.37368743995</v>
      </c>
      <c r="G260" s="722">
        <f t="shared" si="90"/>
        <v>1712810.9734919954</v>
      </c>
      <c r="H260" s="722">
        <f t="shared" si="90"/>
        <v>460546.50353901851</v>
      </c>
      <c r="I260" s="722">
        <f t="shared" si="90"/>
        <v>0</v>
      </c>
      <c r="J260" s="722">
        <f t="shared" si="90"/>
        <v>0</v>
      </c>
      <c r="K260" s="722">
        <f t="shared" si="90"/>
        <v>0</v>
      </c>
      <c r="L260" s="722">
        <f t="shared" si="90"/>
        <v>0</v>
      </c>
      <c r="M260" s="722">
        <f t="shared" si="90"/>
        <v>0</v>
      </c>
      <c r="N260" s="722">
        <f t="shared" si="90"/>
        <v>0</v>
      </c>
      <c r="O260" s="722">
        <f t="shared" si="90"/>
        <v>0</v>
      </c>
      <c r="P260" s="722">
        <f t="shared" si="90"/>
        <v>0</v>
      </c>
      <c r="Q260" s="722">
        <f t="shared" si="90"/>
        <v>0</v>
      </c>
      <c r="R260" s="722">
        <f t="shared" si="90"/>
        <v>0</v>
      </c>
      <c r="S260" s="722">
        <f t="shared" si="90"/>
        <v>0</v>
      </c>
      <c r="T260" s="722">
        <f t="shared" si="90"/>
        <v>0</v>
      </c>
      <c r="U260" s="722">
        <f t="shared" si="90"/>
        <v>0</v>
      </c>
      <c r="V260" s="722">
        <f t="shared" si="90"/>
        <v>0</v>
      </c>
      <c r="W260" s="722">
        <f t="shared" si="90"/>
        <v>0</v>
      </c>
      <c r="X260" s="722">
        <f t="shared" si="90"/>
        <v>71977.76697652007</v>
      </c>
      <c r="Y260" s="722">
        <f t="shared" si="90"/>
        <v>23992.588992173358</v>
      </c>
      <c r="Z260" s="722">
        <f t="shared" si="90"/>
        <v>0</v>
      </c>
      <c r="AA260" s="722">
        <f t="shared" si="90"/>
        <v>0</v>
      </c>
      <c r="AB260" s="722">
        <f t="shared" si="90"/>
        <v>0</v>
      </c>
      <c r="AC260" s="722">
        <f t="shared" si="90"/>
        <v>0</v>
      </c>
      <c r="AD260" s="722">
        <f t="shared" si="90"/>
        <v>0</v>
      </c>
      <c r="AE260" s="722">
        <f t="shared" si="90"/>
        <v>0</v>
      </c>
      <c r="AF260" s="722">
        <f t="shared" si="90"/>
        <v>0</v>
      </c>
      <c r="AG260" s="722">
        <f t="shared" si="90"/>
        <v>0</v>
      </c>
      <c r="AH260" s="722">
        <f t="shared" si="90"/>
        <v>0</v>
      </c>
      <c r="AI260" s="722">
        <f t="shared" si="90"/>
        <v>0</v>
      </c>
      <c r="AJ260" s="722">
        <f t="shared" si="90"/>
        <v>0</v>
      </c>
      <c r="AK260" s="722">
        <f t="shared" si="90"/>
        <v>0</v>
      </c>
      <c r="AL260" s="722">
        <f t="shared" si="90"/>
        <v>0</v>
      </c>
      <c r="AM260" s="722">
        <f t="shared" si="90"/>
        <v>0</v>
      </c>
      <c r="AN260" s="722">
        <f t="shared" si="90"/>
        <v>0</v>
      </c>
      <c r="AO260" s="722">
        <f t="shared" si="90"/>
        <v>0</v>
      </c>
      <c r="AP260" s="722">
        <f t="shared" si="90"/>
        <v>0</v>
      </c>
      <c r="AQ260" s="722">
        <f t="shared" si="90"/>
        <v>0</v>
      </c>
      <c r="AR260" s="722">
        <f t="shared" si="90"/>
        <v>0</v>
      </c>
      <c r="AS260" s="722">
        <f t="shared" si="90"/>
        <v>0</v>
      </c>
      <c r="AT260" s="722">
        <f t="shared" si="90"/>
        <v>0</v>
      </c>
      <c r="AU260" s="722">
        <f t="shared" si="90"/>
        <v>0</v>
      </c>
      <c r="AV260" s="722">
        <f t="shared" si="90"/>
        <v>0</v>
      </c>
      <c r="AW260" s="722">
        <f>AW174*$D$260</f>
        <v>0</v>
      </c>
      <c r="AX260" s="722">
        <f t="shared" ref="AX260" si="91">AX174*$D$260</f>
        <v>0</v>
      </c>
    </row>
    <row r="261" spans="2:50" ht="13.2" thickBot="1" x14ac:dyDescent="0.25">
      <c r="B261" s="710"/>
      <c r="C261" s="54"/>
      <c r="D261" s="725"/>
      <c r="E261" s="722"/>
      <c r="F261" s="722"/>
      <c r="G261" s="722"/>
      <c r="H261" s="722"/>
      <c r="I261" s="722"/>
      <c r="J261" s="722"/>
      <c r="K261" s="722"/>
      <c r="L261" s="722"/>
      <c r="M261" s="722"/>
      <c r="N261" s="722"/>
      <c r="O261" s="722"/>
      <c r="P261" s="722"/>
      <c r="Q261" s="722"/>
      <c r="R261" s="722"/>
      <c r="S261" s="722"/>
      <c r="T261" s="722"/>
      <c r="U261" s="722"/>
      <c r="V261" s="722"/>
      <c r="W261" s="722"/>
      <c r="X261" s="722"/>
      <c r="Y261" s="722"/>
      <c r="Z261" s="722"/>
      <c r="AA261" s="722"/>
      <c r="AB261" s="722"/>
      <c r="AC261" s="722"/>
      <c r="AD261" s="722"/>
      <c r="AE261" s="722"/>
      <c r="AF261" s="722"/>
      <c r="AG261" s="722"/>
      <c r="AH261" s="722"/>
      <c r="AI261" s="722"/>
      <c r="AJ261" s="722"/>
      <c r="AK261" s="722"/>
      <c r="AL261" s="722"/>
      <c r="AM261" s="722"/>
      <c r="AN261" s="722"/>
      <c r="AO261" s="722"/>
      <c r="AP261" s="722"/>
      <c r="AQ261" s="722"/>
      <c r="AR261" s="722"/>
      <c r="AS261" s="722"/>
      <c r="AT261" s="722"/>
      <c r="AU261" s="722"/>
      <c r="AV261" s="722"/>
      <c r="AW261" s="722"/>
      <c r="AX261" s="722"/>
    </row>
    <row r="262" spans="2:50" ht="16.2" thickBot="1" x14ac:dyDescent="0.25">
      <c r="B262" s="288" t="str">
        <f>B183</f>
        <v>Operaciones adicionales : estacionamiento incitativo y buses</v>
      </c>
      <c r="C262" s="739" t="s">
        <v>180</v>
      </c>
      <c r="D262" s="740">
        <f>D183</f>
        <v>0.19276693592062155</v>
      </c>
      <c r="E262" s="722"/>
      <c r="F262" s="722"/>
      <c r="G262" s="722"/>
      <c r="H262" s="722"/>
      <c r="I262" s="722"/>
      <c r="J262" s="722"/>
      <c r="K262" s="722"/>
      <c r="L262" s="722"/>
      <c r="M262" s="722"/>
      <c r="N262" s="722"/>
      <c r="O262" s="722"/>
      <c r="P262" s="722"/>
      <c r="Q262" s="722"/>
      <c r="R262" s="722"/>
      <c r="S262" s="722"/>
      <c r="T262" s="722"/>
      <c r="U262" s="722"/>
      <c r="V262" s="722"/>
      <c r="W262" s="722"/>
      <c r="X262" s="722"/>
      <c r="Y262" s="722"/>
      <c r="Z262" s="722"/>
      <c r="AA262" s="722"/>
      <c r="AB262" s="722"/>
      <c r="AC262" s="722"/>
      <c r="AD262" s="722"/>
      <c r="AE262" s="722"/>
      <c r="AF262" s="722"/>
      <c r="AG262" s="722"/>
      <c r="AH262" s="722"/>
      <c r="AI262" s="722"/>
      <c r="AJ262" s="722"/>
      <c r="AK262" s="722"/>
      <c r="AL262" s="722"/>
      <c r="AM262" s="722"/>
      <c r="AN262" s="722"/>
      <c r="AO262" s="722"/>
      <c r="AP262" s="722"/>
      <c r="AQ262" s="722"/>
      <c r="AR262" s="722"/>
      <c r="AS262" s="722"/>
      <c r="AT262" s="722"/>
      <c r="AU262" s="722"/>
      <c r="AV262" s="722"/>
      <c r="AW262" s="722"/>
      <c r="AX262" s="722"/>
    </row>
    <row r="263" spans="2:50" x14ac:dyDescent="0.2">
      <c r="B263" s="738" t="s">
        <v>313</v>
      </c>
      <c r="C263" s="54"/>
      <c r="D263" s="725">
        <f>CHIFFRAGE_TC!Q184</f>
        <v>0.80257619941669145</v>
      </c>
      <c r="E263" s="722">
        <f>E183*$D$263</f>
        <v>0</v>
      </c>
      <c r="F263" s="722">
        <f t="shared" ref="F263:AV263" si="92">F183*$D$263</f>
        <v>0</v>
      </c>
      <c r="G263" s="722">
        <f t="shared" si="92"/>
        <v>832737.56652255927</v>
      </c>
      <c r="H263" s="722">
        <f t="shared" si="92"/>
        <v>990245.48710994073</v>
      </c>
      <c r="I263" s="722">
        <f t="shared" si="92"/>
        <v>0</v>
      </c>
      <c r="J263" s="722">
        <f t="shared" si="92"/>
        <v>0</v>
      </c>
      <c r="K263" s="722">
        <f t="shared" si="92"/>
        <v>0</v>
      </c>
      <c r="L263" s="722">
        <f t="shared" si="92"/>
        <v>0</v>
      </c>
      <c r="M263" s="722">
        <f t="shared" si="92"/>
        <v>0</v>
      </c>
      <c r="N263" s="722">
        <f t="shared" si="92"/>
        <v>0</v>
      </c>
      <c r="O263" s="722">
        <f t="shared" si="92"/>
        <v>0</v>
      </c>
      <c r="P263" s="722">
        <f t="shared" si="92"/>
        <v>0</v>
      </c>
      <c r="Q263" s="722">
        <f t="shared" si="92"/>
        <v>0</v>
      </c>
      <c r="R263" s="722">
        <f t="shared" si="92"/>
        <v>832737.56652255927</v>
      </c>
      <c r="S263" s="722">
        <f t="shared" si="92"/>
        <v>990245.48710994073</v>
      </c>
      <c r="T263" s="722">
        <f t="shared" si="92"/>
        <v>0</v>
      </c>
      <c r="U263" s="722">
        <f t="shared" si="92"/>
        <v>0</v>
      </c>
      <c r="V263" s="722">
        <f t="shared" si="92"/>
        <v>0</v>
      </c>
      <c r="W263" s="722">
        <f t="shared" si="92"/>
        <v>0</v>
      </c>
      <c r="X263" s="722">
        <f t="shared" si="92"/>
        <v>0</v>
      </c>
      <c r="Y263" s="722">
        <f t="shared" si="92"/>
        <v>0</v>
      </c>
      <c r="Z263" s="722">
        <f t="shared" si="92"/>
        <v>0</v>
      </c>
      <c r="AA263" s="722">
        <f t="shared" si="92"/>
        <v>0</v>
      </c>
      <c r="AB263" s="722">
        <f t="shared" si="92"/>
        <v>0</v>
      </c>
      <c r="AC263" s="722">
        <f t="shared" si="92"/>
        <v>832737.56652255927</v>
      </c>
      <c r="AD263" s="722">
        <f t="shared" si="92"/>
        <v>990245.48710994073</v>
      </c>
      <c r="AE263" s="722">
        <f t="shared" si="92"/>
        <v>0</v>
      </c>
      <c r="AF263" s="722">
        <f t="shared" si="92"/>
        <v>0</v>
      </c>
      <c r="AG263" s="722">
        <f t="shared" si="92"/>
        <v>0</v>
      </c>
      <c r="AH263" s="722">
        <f t="shared" si="92"/>
        <v>0</v>
      </c>
      <c r="AI263" s="722">
        <f t="shared" si="92"/>
        <v>0</v>
      </c>
      <c r="AJ263" s="722">
        <f t="shared" si="92"/>
        <v>0</v>
      </c>
      <c r="AK263" s="722">
        <f t="shared" si="92"/>
        <v>0</v>
      </c>
      <c r="AL263" s="722">
        <f t="shared" si="92"/>
        <v>0</v>
      </c>
      <c r="AM263" s="722">
        <f t="shared" si="92"/>
        <v>0</v>
      </c>
      <c r="AN263" s="722">
        <f t="shared" si="92"/>
        <v>832737.56652255927</v>
      </c>
      <c r="AO263" s="722">
        <f t="shared" si="92"/>
        <v>990245.48710994073</v>
      </c>
      <c r="AP263" s="722">
        <f t="shared" si="92"/>
        <v>0</v>
      </c>
      <c r="AQ263" s="722">
        <f t="shared" si="92"/>
        <v>0</v>
      </c>
      <c r="AR263" s="722">
        <f t="shared" si="92"/>
        <v>0</v>
      </c>
      <c r="AS263" s="722">
        <f t="shared" si="92"/>
        <v>0</v>
      </c>
      <c r="AT263" s="722">
        <f t="shared" si="92"/>
        <v>0</v>
      </c>
      <c r="AU263" s="722">
        <f t="shared" si="92"/>
        <v>0</v>
      </c>
      <c r="AV263" s="722">
        <f t="shared" si="92"/>
        <v>0</v>
      </c>
      <c r="AW263" s="722">
        <f>AW183*$D$263</f>
        <v>0</v>
      </c>
      <c r="AX263" s="722">
        <f t="shared" ref="AX263" si="93">AX183*$D$263</f>
        <v>0</v>
      </c>
    </row>
    <row r="264" spans="2:50" x14ac:dyDescent="0.2">
      <c r="B264" s="738" t="s">
        <v>406</v>
      </c>
      <c r="C264" s="54"/>
      <c r="D264" s="725">
        <f>CHIFFRAGE_TC!R184</f>
        <v>0.19742380058330852</v>
      </c>
      <c r="E264" s="722">
        <f>E183*$D$264</f>
        <v>0</v>
      </c>
      <c r="F264" s="722">
        <f t="shared" ref="F264:AV264" si="94">F183*$D$264</f>
        <v>0</v>
      </c>
      <c r="G264" s="722">
        <f t="shared" si="94"/>
        <v>204843.12317119059</v>
      </c>
      <c r="H264" s="722">
        <f t="shared" si="94"/>
        <v>243588.12000380922</v>
      </c>
      <c r="I264" s="722">
        <f t="shared" si="94"/>
        <v>0</v>
      </c>
      <c r="J264" s="722">
        <f t="shared" si="94"/>
        <v>0</v>
      </c>
      <c r="K264" s="722">
        <f t="shared" si="94"/>
        <v>0</v>
      </c>
      <c r="L264" s="722">
        <f t="shared" si="94"/>
        <v>0</v>
      </c>
      <c r="M264" s="722">
        <f t="shared" si="94"/>
        <v>0</v>
      </c>
      <c r="N264" s="722">
        <f t="shared" si="94"/>
        <v>0</v>
      </c>
      <c r="O264" s="722">
        <f t="shared" si="94"/>
        <v>0</v>
      </c>
      <c r="P264" s="722">
        <f t="shared" si="94"/>
        <v>0</v>
      </c>
      <c r="Q264" s="722">
        <f t="shared" si="94"/>
        <v>0</v>
      </c>
      <c r="R264" s="722">
        <f t="shared" si="94"/>
        <v>204843.12317119059</v>
      </c>
      <c r="S264" s="722">
        <f t="shared" si="94"/>
        <v>243588.12000380922</v>
      </c>
      <c r="T264" s="722">
        <f t="shared" si="94"/>
        <v>0</v>
      </c>
      <c r="U264" s="722">
        <f t="shared" si="94"/>
        <v>0</v>
      </c>
      <c r="V264" s="722">
        <f t="shared" si="94"/>
        <v>0</v>
      </c>
      <c r="W264" s="722">
        <f t="shared" si="94"/>
        <v>0</v>
      </c>
      <c r="X264" s="722">
        <f t="shared" si="94"/>
        <v>0</v>
      </c>
      <c r="Y264" s="722">
        <f t="shared" si="94"/>
        <v>0</v>
      </c>
      <c r="Z264" s="722">
        <f t="shared" si="94"/>
        <v>0</v>
      </c>
      <c r="AA264" s="722">
        <f t="shared" si="94"/>
        <v>0</v>
      </c>
      <c r="AB264" s="722">
        <f t="shared" si="94"/>
        <v>0</v>
      </c>
      <c r="AC264" s="722">
        <f t="shared" si="94"/>
        <v>204843.12317119059</v>
      </c>
      <c r="AD264" s="722">
        <f t="shared" si="94"/>
        <v>243588.12000380922</v>
      </c>
      <c r="AE264" s="722">
        <f t="shared" si="94"/>
        <v>0</v>
      </c>
      <c r="AF264" s="722">
        <f t="shared" si="94"/>
        <v>0</v>
      </c>
      <c r="AG264" s="722">
        <f t="shared" si="94"/>
        <v>0</v>
      </c>
      <c r="AH264" s="722">
        <f t="shared" si="94"/>
        <v>0</v>
      </c>
      <c r="AI264" s="722">
        <f t="shared" si="94"/>
        <v>0</v>
      </c>
      <c r="AJ264" s="722">
        <f t="shared" si="94"/>
        <v>0</v>
      </c>
      <c r="AK264" s="722">
        <f t="shared" si="94"/>
        <v>0</v>
      </c>
      <c r="AL264" s="722">
        <f t="shared" si="94"/>
        <v>0</v>
      </c>
      <c r="AM264" s="722">
        <f t="shared" si="94"/>
        <v>0</v>
      </c>
      <c r="AN264" s="722">
        <f t="shared" si="94"/>
        <v>204843.12317119059</v>
      </c>
      <c r="AO264" s="722">
        <f t="shared" si="94"/>
        <v>243588.12000380922</v>
      </c>
      <c r="AP264" s="722">
        <f t="shared" si="94"/>
        <v>0</v>
      </c>
      <c r="AQ264" s="722">
        <f t="shared" si="94"/>
        <v>0</v>
      </c>
      <c r="AR264" s="722">
        <f t="shared" si="94"/>
        <v>0</v>
      </c>
      <c r="AS264" s="722">
        <f t="shared" si="94"/>
        <v>0</v>
      </c>
      <c r="AT264" s="722">
        <f t="shared" si="94"/>
        <v>0</v>
      </c>
      <c r="AU264" s="722">
        <f t="shared" si="94"/>
        <v>0</v>
      </c>
      <c r="AV264" s="722">
        <f t="shared" si="94"/>
        <v>0</v>
      </c>
      <c r="AW264" s="722">
        <f>AW183*$D$264</f>
        <v>0</v>
      </c>
      <c r="AX264" s="722">
        <f t="shared" ref="AX264" si="95">AX183*$D$264</f>
        <v>0</v>
      </c>
    </row>
    <row r="265" spans="2:50" ht="13.2" thickBot="1" x14ac:dyDescent="0.25">
      <c r="B265" s="710"/>
      <c r="C265" s="54"/>
      <c r="D265" s="725"/>
      <c r="E265" s="722"/>
      <c r="F265" s="722"/>
      <c r="G265" s="722"/>
      <c r="H265" s="722"/>
      <c r="I265" s="722"/>
      <c r="J265" s="722"/>
      <c r="K265" s="722"/>
      <c r="L265" s="722"/>
      <c r="M265" s="722"/>
      <c r="N265" s="722"/>
      <c r="O265" s="722"/>
      <c r="P265" s="722"/>
      <c r="Q265" s="722"/>
      <c r="R265" s="722"/>
      <c r="S265" s="722"/>
      <c r="T265" s="722"/>
      <c r="U265" s="722"/>
      <c r="V265" s="722"/>
      <c r="W265" s="722"/>
      <c r="X265" s="722"/>
      <c r="Y265" s="722"/>
      <c r="Z265" s="722"/>
      <c r="AA265" s="722"/>
      <c r="AB265" s="722"/>
      <c r="AC265" s="722"/>
      <c r="AD265" s="722"/>
      <c r="AE265" s="722"/>
      <c r="AF265" s="722"/>
      <c r="AG265" s="722"/>
      <c r="AH265" s="722"/>
      <c r="AI265" s="722"/>
      <c r="AJ265" s="722"/>
      <c r="AK265" s="722"/>
      <c r="AL265" s="722"/>
      <c r="AM265" s="722"/>
      <c r="AN265" s="722"/>
      <c r="AO265" s="722"/>
      <c r="AP265" s="722"/>
      <c r="AQ265" s="722"/>
      <c r="AR265" s="722"/>
      <c r="AS265" s="722"/>
      <c r="AT265" s="722"/>
      <c r="AU265" s="722"/>
      <c r="AV265" s="722"/>
      <c r="AW265" s="722"/>
      <c r="AX265" s="722"/>
    </row>
    <row r="266" spans="2:50" ht="16.2" thickBot="1" x14ac:dyDescent="0.25">
      <c r="B266" s="288" t="str">
        <f>B192</f>
        <v>Gastos de estudios, gestion y administracion del proyecto</v>
      </c>
      <c r="C266" s="739" t="s">
        <v>180</v>
      </c>
      <c r="D266" s="740">
        <f>D192</f>
        <v>0.10548810415228024</v>
      </c>
      <c r="E266" s="722"/>
      <c r="F266" s="722"/>
      <c r="G266" s="722"/>
      <c r="H266" s="722"/>
      <c r="I266" s="722"/>
      <c r="J266" s="722"/>
      <c r="K266" s="722"/>
      <c r="L266" s="722"/>
      <c r="M266" s="722"/>
      <c r="N266" s="722"/>
      <c r="O266" s="722"/>
      <c r="P266" s="722"/>
      <c r="Q266" s="722"/>
      <c r="R266" s="722"/>
      <c r="S266" s="722"/>
      <c r="T266" s="722"/>
      <c r="U266" s="722"/>
      <c r="V266" s="722"/>
      <c r="W266" s="722"/>
      <c r="X266" s="722"/>
      <c r="Y266" s="722"/>
      <c r="Z266" s="722"/>
      <c r="AA266" s="722"/>
      <c r="AB266" s="722"/>
      <c r="AC266" s="722"/>
      <c r="AD266" s="722"/>
      <c r="AE266" s="722"/>
      <c r="AF266" s="722"/>
      <c r="AG266" s="722"/>
      <c r="AH266" s="722"/>
      <c r="AI266" s="722"/>
      <c r="AJ266" s="722"/>
      <c r="AK266" s="722"/>
      <c r="AL266" s="722"/>
      <c r="AM266" s="722"/>
      <c r="AN266" s="722"/>
      <c r="AO266" s="722"/>
      <c r="AP266" s="722"/>
      <c r="AQ266" s="722"/>
      <c r="AR266" s="722"/>
      <c r="AS266" s="722"/>
      <c r="AT266" s="722"/>
      <c r="AU266" s="722"/>
      <c r="AV266" s="722"/>
      <c r="AW266" s="722"/>
      <c r="AX266" s="722"/>
    </row>
    <row r="267" spans="2:50" x14ac:dyDescent="0.2">
      <c r="B267" s="738" t="s">
        <v>313</v>
      </c>
      <c r="C267" s="54"/>
      <c r="D267" s="725">
        <f>CHIFFRAGE_TC!Q193</f>
        <v>0.27744052076140113</v>
      </c>
      <c r="E267" s="722">
        <f>E192*$D$267</f>
        <v>1479367.8366634087</v>
      </c>
      <c r="F267" s="722">
        <f t="shared" ref="F267:AV267" si="96">F192*$D$267</f>
        <v>1479367.8366634087</v>
      </c>
      <c r="G267" s="722">
        <f t="shared" si="96"/>
        <v>164374.20407371206</v>
      </c>
      <c r="H267" s="722">
        <f t="shared" si="96"/>
        <v>164374.20407371206</v>
      </c>
      <c r="I267" s="722">
        <f t="shared" si="96"/>
        <v>0</v>
      </c>
      <c r="J267" s="722">
        <f t="shared" si="96"/>
        <v>0</v>
      </c>
      <c r="K267" s="722">
        <f t="shared" si="96"/>
        <v>0</v>
      </c>
      <c r="L267" s="722">
        <f t="shared" si="96"/>
        <v>0</v>
      </c>
      <c r="M267" s="722">
        <f t="shared" si="96"/>
        <v>0</v>
      </c>
      <c r="N267" s="722">
        <f t="shared" si="96"/>
        <v>0</v>
      </c>
      <c r="O267" s="722">
        <f t="shared" si="96"/>
        <v>0</v>
      </c>
      <c r="P267" s="722">
        <f t="shared" si="96"/>
        <v>0</v>
      </c>
      <c r="Q267" s="722">
        <f t="shared" si="96"/>
        <v>0</v>
      </c>
      <c r="R267" s="722">
        <f t="shared" si="96"/>
        <v>0</v>
      </c>
      <c r="S267" s="722">
        <f t="shared" si="96"/>
        <v>0</v>
      </c>
      <c r="T267" s="722">
        <f t="shared" si="96"/>
        <v>0</v>
      </c>
      <c r="U267" s="722">
        <f t="shared" si="96"/>
        <v>0</v>
      </c>
      <c r="V267" s="722">
        <f t="shared" si="96"/>
        <v>0</v>
      </c>
      <c r="W267" s="722">
        <f t="shared" si="96"/>
        <v>0</v>
      </c>
      <c r="X267" s="722">
        <f t="shared" si="96"/>
        <v>0</v>
      </c>
      <c r="Y267" s="722">
        <f t="shared" si="96"/>
        <v>0</v>
      </c>
      <c r="Z267" s="722">
        <f t="shared" si="96"/>
        <v>0</v>
      </c>
      <c r="AA267" s="722">
        <f t="shared" si="96"/>
        <v>0</v>
      </c>
      <c r="AB267" s="722">
        <f t="shared" si="96"/>
        <v>0</v>
      </c>
      <c r="AC267" s="722">
        <f t="shared" si="96"/>
        <v>0</v>
      </c>
      <c r="AD267" s="722">
        <f t="shared" si="96"/>
        <v>0</v>
      </c>
      <c r="AE267" s="722">
        <f t="shared" si="96"/>
        <v>0</v>
      </c>
      <c r="AF267" s="722">
        <f t="shared" si="96"/>
        <v>0</v>
      </c>
      <c r="AG267" s="722">
        <f t="shared" si="96"/>
        <v>0</v>
      </c>
      <c r="AH267" s="722">
        <f t="shared" si="96"/>
        <v>0</v>
      </c>
      <c r="AI267" s="722">
        <f t="shared" si="96"/>
        <v>0</v>
      </c>
      <c r="AJ267" s="722">
        <f t="shared" si="96"/>
        <v>0</v>
      </c>
      <c r="AK267" s="722">
        <f t="shared" si="96"/>
        <v>0</v>
      </c>
      <c r="AL267" s="722">
        <f t="shared" si="96"/>
        <v>0</v>
      </c>
      <c r="AM267" s="722">
        <f t="shared" si="96"/>
        <v>0</v>
      </c>
      <c r="AN267" s="722">
        <f t="shared" si="96"/>
        <v>0</v>
      </c>
      <c r="AO267" s="722">
        <f t="shared" si="96"/>
        <v>0</v>
      </c>
      <c r="AP267" s="722">
        <f t="shared" si="96"/>
        <v>0</v>
      </c>
      <c r="AQ267" s="722">
        <f t="shared" si="96"/>
        <v>0</v>
      </c>
      <c r="AR267" s="722">
        <f t="shared" si="96"/>
        <v>0</v>
      </c>
      <c r="AS267" s="722">
        <f t="shared" si="96"/>
        <v>0</v>
      </c>
      <c r="AT267" s="722">
        <f t="shared" si="96"/>
        <v>0</v>
      </c>
      <c r="AU267" s="722">
        <f t="shared" si="96"/>
        <v>0</v>
      </c>
      <c r="AV267" s="722">
        <f t="shared" si="96"/>
        <v>0</v>
      </c>
      <c r="AW267" s="722">
        <f>AW192*$D$267</f>
        <v>0</v>
      </c>
      <c r="AX267" s="722">
        <f t="shared" ref="AX267" si="97">AX192*$D$267</f>
        <v>0</v>
      </c>
    </row>
    <row r="268" spans="2:50" x14ac:dyDescent="0.2">
      <c r="B268" s="738" t="s">
        <v>406</v>
      </c>
      <c r="C268" s="54"/>
      <c r="D268" s="725">
        <f>CHIFFRAGE_TC!R193</f>
        <v>0.72255947923859887</v>
      </c>
      <c r="E268" s="722">
        <f>E192*$D$268</f>
        <v>3852830.331806961</v>
      </c>
      <c r="F268" s="722">
        <f t="shared" ref="F268:AV268" si="98">F192*$D$268</f>
        <v>3852830.331806961</v>
      </c>
      <c r="G268" s="722">
        <f t="shared" si="98"/>
        <v>428092.25908966229</v>
      </c>
      <c r="H268" s="722">
        <f t="shared" si="98"/>
        <v>428092.25908966229</v>
      </c>
      <c r="I268" s="722">
        <f t="shared" si="98"/>
        <v>0</v>
      </c>
      <c r="J268" s="722">
        <f t="shared" si="98"/>
        <v>0</v>
      </c>
      <c r="K268" s="722">
        <f t="shared" si="98"/>
        <v>0</v>
      </c>
      <c r="L268" s="722">
        <f t="shared" si="98"/>
        <v>0</v>
      </c>
      <c r="M268" s="722">
        <f t="shared" si="98"/>
        <v>0</v>
      </c>
      <c r="N268" s="722">
        <f t="shared" si="98"/>
        <v>0</v>
      </c>
      <c r="O268" s="722">
        <f t="shared" si="98"/>
        <v>0</v>
      </c>
      <c r="P268" s="722">
        <f t="shared" si="98"/>
        <v>0</v>
      </c>
      <c r="Q268" s="722">
        <f t="shared" si="98"/>
        <v>0</v>
      </c>
      <c r="R268" s="722">
        <f t="shared" si="98"/>
        <v>0</v>
      </c>
      <c r="S268" s="722">
        <f t="shared" si="98"/>
        <v>0</v>
      </c>
      <c r="T268" s="722">
        <f t="shared" si="98"/>
        <v>0</v>
      </c>
      <c r="U268" s="722">
        <f t="shared" si="98"/>
        <v>0</v>
      </c>
      <c r="V268" s="722">
        <f t="shared" si="98"/>
        <v>0</v>
      </c>
      <c r="W268" s="722">
        <f t="shared" si="98"/>
        <v>0</v>
      </c>
      <c r="X268" s="722">
        <f t="shared" si="98"/>
        <v>0</v>
      </c>
      <c r="Y268" s="722">
        <f t="shared" si="98"/>
        <v>0</v>
      </c>
      <c r="Z268" s="722">
        <f t="shared" si="98"/>
        <v>0</v>
      </c>
      <c r="AA268" s="722">
        <f t="shared" si="98"/>
        <v>0</v>
      </c>
      <c r="AB268" s="722">
        <f t="shared" si="98"/>
        <v>0</v>
      </c>
      <c r="AC268" s="722">
        <f t="shared" si="98"/>
        <v>0</v>
      </c>
      <c r="AD268" s="722">
        <f t="shared" si="98"/>
        <v>0</v>
      </c>
      <c r="AE268" s="722">
        <f t="shared" si="98"/>
        <v>0</v>
      </c>
      <c r="AF268" s="722">
        <f t="shared" si="98"/>
        <v>0</v>
      </c>
      <c r="AG268" s="722">
        <f t="shared" si="98"/>
        <v>0</v>
      </c>
      <c r="AH268" s="722">
        <f t="shared" si="98"/>
        <v>0</v>
      </c>
      <c r="AI268" s="722">
        <f t="shared" si="98"/>
        <v>0</v>
      </c>
      <c r="AJ268" s="722">
        <f t="shared" si="98"/>
        <v>0</v>
      </c>
      <c r="AK268" s="722">
        <f t="shared" si="98"/>
        <v>0</v>
      </c>
      <c r="AL268" s="722">
        <f t="shared" si="98"/>
        <v>0</v>
      </c>
      <c r="AM268" s="722">
        <f t="shared" si="98"/>
        <v>0</v>
      </c>
      <c r="AN268" s="722">
        <f t="shared" si="98"/>
        <v>0</v>
      </c>
      <c r="AO268" s="722">
        <f t="shared" si="98"/>
        <v>0</v>
      </c>
      <c r="AP268" s="722">
        <f t="shared" si="98"/>
        <v>0</v>
      </c>
      <c r="AQ268" s="722">
        <f t="shared" si="98"/>
        <v>0</v>
      </c>
      <c r="AR268" s="722">
        <f t="shared" si="98"/>
        <v>0</v>
      </c>
      <c r="AS268" s="722">
        <f t="shared" si="98"/>
        <v>0</v>
      </c>
      <c r="AT268" s="722">
        <f t="shared" si="98"/>
        <v>0</v>
      </c>
      <c r="AU268" s="722">
        <f t="shared" si="98"/>
        <v>0</v>
      </c>
      <c r="AV268" s="722">
        <f t="shared" si="98"/>
        <v>0</v>
      </c>
      <c r="AW268" s="722">
        <f>AW192*$D$268</f>
        <v>0</v>
      </c>
      <c r="AX268" s="722">
        <f t="shared" ref="AX268" si="99">AX192*$D$268</f>
        <v>0</v>
      </c>
    </row>
    <row r="269" spans="2:50" x14ac:dyDescent="0.2">
      <c r="B269" s="710"/>
      <c r="C269" s="54"/>
      <c r="D269" s="725"/>
      <c r="E269" s="722"/>
      <c r="F269" s="722"/>
      <c r="G269" s="722"/>
      <c r="H269" s="722"/>
      <c r="I269" s="724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</row>
    <row r="270" spans="2:50" x14ac:dyDescent="0.2">
      <c r="B270" s="710"/>
      <c r="C270" s="54"/>
      <c r="D270" s="725"/>
      <c r="E270" s="722"/>
      <c r="F270" s="722"/>
      <c r="G270" s="722"/>
      <c r="H270" s="722"/>
      <c r="I270" s="724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</row>
    <row r="271" spans="2:50" x14ac:dyDescent="0.2">
      <c r="B271" s="710"/>
      <c r="C271" s="54"/>
      <c r="D271" s="725"/>
      <c r="E271" s="722"/>
      <c r="F271" s="722"/>
      <c r="G271" s="722"/>
      <c r="H271" s="722"/>
      <c r="I271" s="724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</row>
    <row r="272" spans="2:50" x14ac:dyDescent="0.2">
      <c r="B272" s="710"/>
      <c r="C272" s="54"/>
      <c r="D272" s="725"/>
      <c r="E272" s="722"/>
      <c r="F272" s="722"/>
      <c r="G272" s="722"/>
      <c r="H272" s="722"/>
      <c r="I272" s="724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</row>
    <row r="273" spans="2:50" x14ac:dyDescent="0.2">
      <c r="B273" s="738" t="s">
        <v>407</v>
      </c>
      <c r="C273" s="16" t="s">
        <v>409</v>
      </c>
      <c r="D273" s="725" t="s">
        <v>411</v>
      </c>
      <c r="E273" s="741">
        <f>E219+E223+E227+E231+E235+E239+E243+E247+E251+E255+E259+E263+E267</f>
        <v>1479367.8366634087</v>
      </c>
      <c r="F273" s="741">
        <f t="shared" ref="F273:AX274" si="100">F219+F223+F227+F231+F235+F239+F243+F247+F251+F255+F259+F263+F267</f>
        <v>10138104.35401921</v>
      </c>
      <c r="G273" s="741">
        <f t="shared" si="100"/>
        <v>18919243.109720096</v>
      </c>
      <c r="H273" s="741">
        <f t="shared" si="100"/>
        <v>7616239.0932805734</v>
      </c>
      <c r="I273" s="741">
        <f t="shared" si="100"/>
        <v>0</v>
      </c>
      <c r="J273" s="741">
        <f t="shared" si="100"/>
        <v>0</v>
      </c>
      <c r="K273" s="741">
        <f t="shared" si="100"/>
        <v>0</v>
      </c>
      <c r="L273" s="741">
        <f t="shared" si="100"/>
        <v>0</v>
      </c>
      <c r="M273" s="741">
        <f t="shared" si="100"/>
        <v>0</v>
      </c>
      <c r="N273" s="741">
        <f t="shared" si="100"/>
        <v>0</v>
      </c>
      <c r="O273" s="741">
        <f t="shared" si="100"/>
        <v>0</v>
      </c>
      <c r="P273" s="741">
        <f t="shared" si="100"/>
        <v>0</v>
      </c>
      <c r="Q273" s="741">
        <f t="shared" si="100"/>
        <v>0</v>
      </c>
      <c r="R273" s="741">
        <f t="shared" si="100"/>
        <v>832737.56652255927</v>
      </c>
      <c r="S273" s="741">
        <f t="shared" si="100"/>
        <v>990245.48710994073</v>
      </c>
      <c r="T273" s="741">
        <f t="shared" si="100"/>
        <v>0</v>
      </c>
      <c r="U273" s="741">
        <f t="shared" si="100"/>
        <v>0</v>
      </c>
      <c r="V273" s="741">
        <f t="shared" si="100"/>
        <v>0</v>
      </c>
      <c r="W273" s="741">
        <f t="shared" si="100"/>
        <v>355745.55161890347</v>
      </c>
      <c r="X273" s="741">
        <f t="shared" si="100"/>
        <v>2353222.5709269191</v>
      </c>
      <c r="Y273" s="741">
        <f t="shared" si="100"/>
        <v>1004139.240346297</v>
      </c>
      <c r="Z273" s="741">
        <f t="shared" si="100"/>
        <v>0</v>
      </c>
      <c r="AA273" s="741">
        <f t="shared" si="100"/>
        <v>0</v>
      </c>
      <c r="AB273" s="741">
        <f t="shared" si="100"/>
        <v>0</v>
      </c>
      <c r="AC273" s="741">
        <f t="shared" si="100"/>
        <v>832737.56652255927</v>
      </c>
      <c r="AD273" s="741">
        <f t="shared" si="100"/>
        <v>990245.48710994073</v>
      </c>
      <c r="AE273" s="741">
        <f t="shared" si="100"/>
        <v>0</v>
      </c>
      <c r="AF273" s="741">
        <f t="shared" si="100"/>
        <v>0</v>
      </c>
      <c r="AG273" s="741">
        <f t="shared" si="100"/>
        <v>0</v>
      </c>
      <c r="AH273" s="741">
        <f t="shared" si="100"/>
        <v>0</v>
      </c>
      <c r="AI273" s="741">
        <f t="shared" si="100"/>
        <v>0</v>
      </c>
      <c r="AJ273" s="741">
        <f t="shared" si="100"/>
        <v>0</v>
      </c>
      <c r="AK273" s="741">
        <f t="shared" si="100"/>
        <v>0</v>
      </c>
      <c r="AL273" s="741">
        <f t="shared" si="100"/>
        <v>0</v>
      </c>
      <c r="AM273" s="741">
        <f t="shared" si="100"/>
        <v>0</v>
      </c>
      <c r="AN273" s="741">
        <f t="shared" si="100"/>
        <v>1188483.1181414628</v>
      </c>
      <c r="AO273" s="741">
        <f t="shared" si="100"/>
        <v>3306829.9051041612</v>
      </c>
      <c r="AP273" s="741">
        <f t="shared" si="100"/>
        <v>991926.52270206413</v>
      </c>
      <c r="AQ273" s="741">
        <f t="shared" si="100"/>
        <v>0</v>
      </c>
      <c r="AR273" s="741">
        <f t="shared" si="100"/>
        <v>0</v>
      </c>
      <c r="AS273" s="741">
        <f t="shared" si="100"/>
        <v>0</v>
      </c>
      <c r="AT273" s="741">
        <f t="shared" si="100"/>
        <v>0</v>
      </c>
      <c r="AU273" s="741">
        <f t="shared" si="100"/>
        <v>0</v>
      </c>
      <c r="AV273" s="741">
        <f t="shared" si="100"/>
        <v>0</v>
      </c>
      <c r="AW273" s="741">
        <f t="shared" si="100"/>
        <v>0</v>
      </c>
      <c r="AX273" s="741">
        <f t="shared" si="100"/>
        <v>0</v>
      </c>
    </row>
    <row r="274" spans="2:50" x14ac:dyDescent="0.2">
      <c r="B274" s="738" t="s">
        <v>408</v>
      </c>
      <c r="C274" s="16" t="s">
        <v>409</v>
      </c>
      <c r="D274" s="725" t="s">
        <v>411</v>
      </c>
      <c r="E274" s="741">
        <f>E220+E224+E228+E232+E236+E240+E244+E248+E252+E256+E260+E264+E268</f>
        <v>3852830.331806961</v>
      </c>
      <c r="F274" s="741">
        <f t="shared" si="100"/>
        <v>9165888.2653763369</v>
      </c>
      <c r="G274" s="741">
        <f t="shared" si="100"/>
        <v>28514704.872444618</v>
      </c>
      <c r="H274" s="741">
        <f t="shared" si="100"/>
        <v>11158479.821739553</v>
      </c>
      <c r="I274" s="741">
        <f t="shared" si="100"/>
        <v>0</v>
      </c>
      <c r="J274" s="741">
        <f t="shared" si="100"/>
        <v>0</v>
      </c>
      <c r="K274" s="741">
        <f t="shared" si="100"/>
        <v>0</v>
      </c>
      <c r="L274" s="741">
        <f t="shared" si="100"/>
        <v>0</v>
      </c>
      <c r="M274" s="741">
        <f t="shared" si="100"/>
        <v>0</v>
      </c>
      <c r="N274" s="741">
        <f t="shared" si="100"/>
        <v>0</v>
      </c>
      <c r="O274" s="741">
        <f t="shared" si="100"/>
        <v>0</v>
      </c>
      <c r="P274" s="741">
        <f t="shared" si="100"/>
        <v>0</v>
      </c>
      <c r="Q274" s="741">
        <f t="shared" si="100"/>
        <v>0</v>
      </c>
      <c r="R274" s="741">
        <f t="shared" si="100"/>
        <v>204843.12317119059</v>
      </c>
      <c r="S274" s="741">
        <f t="shared" si="100"/>
        <v>243588.12000380922</v>
      </c>
      <c r="T274" s="741">
        <f t="shared" si="100"/>
        <v>0</v>
      </c>
      <c r="U274" s="741">
        <f t="shared" si="100"/>
        <v>0</v>
      </c>
      <c r="V274" s="741">
        <f t="shared" si="100"/>
        <v>0</v>
      </c>
      <c r="W274" s="741">
        <f t="shared" si="100"/>
        <v>1307476.5995012415</v>
      </c>
      <c r="X274" s="741">
        <f t="shared" si="100"/>
        <v>2745488.7998178839</v>
      </c>
      <c r="Y274" s="741">
        <f t="shared" si="100"/>
        <v>1322912.5521553603</v>
      </c>
      <c r="Z274" s="741">
        <f t="shared" si="100"/>
        <v>0</v>
      </c>
      <c r="AA274" s="741">
        <f t="shared" si="100"/>
        <v>0</v>
      </c>
      <c r="AB274" s="741">
        <f t="shared" si="100"/>
        <v>0</v>
      </c>
      <c r="AC274" s="741">
        <f t="shared" si="100"/>
        <v>204843.12317119059</v>
      </c>
      <c r="AD274" s="741">
        <f t="shared" si="100"/>
        <v>243588.12000380922</v>
      </c>
      <c r="AE274" s="741">
        <f t="shared" si="100"/>
        <v>0</v>
      </c>
      <c r="AF274" s="741">
        <f t="shared" si="100"/>
        <v>0</v>
      </c>
      <c r="AG274" s="741">
        <f t="shared" si="100"/>
        <v>0</v>
      </c>
      <c r="AH274" s="741">
        <f t="shared" si="100"/>
        <v>0</v>
      </c>
      <c r="AI274" s="741">
        <f t="shared" si="100"/>
        <v>0</v>
      </c>
      <c r="AJ274" s="741">
        <f t="shared" si="100"/>
        <v>0</v>
      </c>
      <c r="AK274" s="741">
        <f t="shared" si="100"/>
        <v>0</v>
      </c>
      <c r="AL274" s="741">
        <f t="shared" si="100"/>
        <v>0</v>
      </c>
      <c r="AM274" s="741">
        <f t="shared" si="100"/>
        <v>0</v>
      </c>
      <c r="AN274" s="741">
        <f t="shared" si="100"/>
        <v>1512319.722672432</v>
      </c>
      <c r="AO274" s="741">
        <f t="shared" si="100"/>
        <v>2917099.1528451731</v>
      </c>
      <c r="AP274" s="741">
        <f t="shared" si="100"/>
        <v>1298919.963163187</v>
      </c>
      <c r="AQ274" s="741">
        <f t="shared" si="100"/>
        <v>0</v>
      </c>
      <c r="AR274" s="741">
        <f t="shared" si="100"/>
        <v>0</v>
      </c>
      <c r="AS274" s="741">
        <f t="shared" si="100"/>
        <v>0</v>
      </c>
      <c r="AT274" s="741">
        <f t="shared" si="100"/>
        <v>0</v>
      </c>
      <c r="AU274" s="741">
        <f t="shared" si="100"/>
        <v>0</v>
      </c>
      <c r="AV274" s="741">
        <f t="shared" si="100"/>
        <v>0</v>
      </c>
      <c r="AW274" s="741">
        <f t="shared" si="100"/>
        <v>0</v>
      </c>
      <c r="AX274" s="741">
        <f t="shared" si="100"/>
        <v>0</v>
      </c>
    </row>
    <row r="275" spans="2:50" x14ac:dyDescent="0.2">
      <c r="B275" s="1"/>
      <c r="C275" s="16"/>
      <c r="D275" s="725"/>
      <c r="E275" s="722"/>
      <c r="F275" s="722"/>
      <c r="G275" s="722"/>
      <c r="H275" s="722"/>
      <c r="I275" s="724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</row>
    <row r="276" spans="2:50" x14ac:dyDescent="0.2">
      <c r="B276" s="738" t="s">
        <v>407</v>
      </c>
      <c r="C276" s="16" t="s">
        <v>180</v>
      </c>
      <c r="D276" s="725" t="s">
        <v>411</v>
      </c>
      <c r="E276" s="722">
        <f>$D$218*E219+$D$222*E223+$D$226*E227+$D$230*E231+$D$234*E235+$D$238*E239+$D$242*E243+$D$246*E247+$D$250*E251+$D$254*E255+$D$258*E259+$D$262*E263+$D$266*E267</f>
        <v>156055.70843348317</v>
      </c>
      <c r="F276" s="722">
        <f t="shared" ref="F276:AX277" si="101">$D$218*F219+$D$222*F223+$D$226*F227+$D$230*F231+$D$234*F235+$D$238*F239+$D$242*F243+$D$246*F247+$D$250*F251+$D$254*F255+$D$258*F259+$D$262*F263+$D$266*F267</f>
        <v>2314340.7378504919</v>
      </c>
      <c r="G276" s="722">
        <f t="shared" si="101"/>
        <v>4639199.3272989541</v>
      </c>
      <c r="H276" s="722">
        <f t="shared" si="101"/>
        <v>1817231.8621209709</v>
      </c>
      <c r="I276" s="722">
        <f t="shared" si="101"/>
        <v>0</v>
      </c>
      <c r="J276" s="722">
        <f t="shared" si="101"/>
        <v>0</v>
      </c>
      <c r="K276" s="722">
        <f t="shared" si="101"/>
        <v>0</v>
      </c>
      <c r="L276" s="722">
        <f t="shared" si="101"/>
        <v>0</v>
      </c>
      <c r="M276" s="722">
        <f t="shared" si="101"/>
        <v>0</v>
      </c>
      <c r="N276" s="722">
        <f t="shared" si="101"/>
        <v>0</v>
      </c>
      <c r="O276" s="722">
        <f t="shared" si="101"/>
        <v>0</v>
      </c>
      <c r="P276" s="722">
        <f t="shared" si="101"/>
        <v>0</v>
      </c>
      <c r="Q276" s="722">
        <f t="shared" si="101"/>
        <v>0</v>
      </c>
      <c r="R276" s="722">
        <f t="shared" si="101"/>
        <v>160524.2691245485</v>
      </c>
      <c r="S276" s="722">
        <f t="shared" si="101"/>
        <v>190886.58835940663</v>
      </c>
      <c r="T276" s="722">
        <f t="shared" si="101"/>
        <v>0</v>
      </c>
      <c r="U276" s="722">
        <f t="shared" si="101"/>
        <v>0</v>
      </c>
      <c r="V276" s="722">
        <f t="shared" si="101"/>
        <v>0</v>
      </c>
      <c r="W276" s="722">
        <f t="shared" si="101"/>
        <v>87609.605084446986</v>
      </c>
      <c r="X276" s="722">
        <f t="shared" si="101"/>
        <v>584325.29427089309</v>
      </c>
      <c r="Y276" s="722">
        <f t="shared" si="101"/>
        <v>249708.02726629536</v>
      </c>
      <c r="Z276" s="722">
        <f t="shared" si="101"/>
        <v>0</v>
      </c>
      <c r="AA276" s="722">
        <f t="shared" si="101"/>
        <v>0</v>
      </c>
      <c r="AB276" s="722">
        <f t="shared" si="101"/>
        <v>0</v>
      </c>
      <c r="AC276" s="722">
        <f t="shared" si="101"/>
        <v>160524.2691245485</v>
      </c>
      <c r="AD276" s="722">
        <f t="shared" si="101"/>
        <v>190886.58835940663</v>
      </c>
      <c r="AE276" s="722">
        <f t="shared" si="101"/>
        <v>0</v>
      </c>
      <c r="AF276" s="722">
        <f t="shared" si="101"/>
        <v>0</v>
      </c>
      <c r="AG276" s="722">
        <f t="shared" si="101"/>
        <v>0</v>
      </c>
      <c r="AH276" s="722">
        <f t="shared" si="101"/>
        <v>0</v>
      </c>
      <c r="AI276" s="722">
        <f t="shared" si="101"/>
        <v>0</v>
      </c>
      <c r="AJ276" s="722">
        <f t="shared" si="101"/>
        <v>0</v>
      </c>
      <c r="AK276" s="722">
        <f t="shared" si="101"/>
        <v>0</v>
      </c>
      <c r="AL276" s="722">
        <f t="shared" si="101"/>
        <v>0</v>
      </c>
      <c r="AM276" s="722">
        <f t="shared" si="101"/>
        <v>0</v>
      </c>
      <c r="AN276" s="722">
        <f t="shared" si="101"/>
        <v>248133.87420899549</v>
      </c>
      <c r="AO276" s="722">
        <f t="shared" si="101"/>
        <v>766052.34439712507</v>
      </c>
      <c r="AP276" s="722">
        <f t="shared" si="101"/>
        <v>246654.84785523714</v>
      </c>
      <c r="AQ276" s="722">
        <f t="shared" si="101"/>
        <v>0</v>
      </c>
      <c r="AR276" s="722">
        <f t="shared" si="101"/>
        <v>0</v>
      </c>
      <c r="AS276" s="722">
        <f t="shared" si="101"/>
        <v>0</v>
      </c>
      <c r="AT276" s="722">
        <f t="shared" si="101"/>
        <v>0</v>
      </c>
      <c r="AU276" s="722">
        <f t="shared" si="101"/>
        <v>0</v>
      </c>
      <c r="AV276" s="722">
        <f t="shared" si="101"/>
        <v>0</v>
      </c>
      <c r="AW276" s="722">
        <f t="shared" si="101"/>
        <v>0</v>
      </c>
      <c r="AX276" s="722">
        <f t="shared" si="101"/>
        <v>0</v>
      </c>
    </row>
    <row r="277" spans="2:50" x14ac:dyDescent="0.2">
      <c r="B277" s="738" t="s">
        <v>408</v>
      </c>
      <c r="C277" s="16" t="s">
        <v>180</v>
      </c>
      <c r="D277" s="725" t="s">
        <v>411</v>
      </c>
      <c r="E277" s="722">
        <f>$D$218*E220+$D$222*E224+$D$226*E228+$D$230*E232+$D$234*E236+$D$238*E240+$D$242*E244+$D$246*E248+$D$250*E252+$D$254*E256+$D$258*E260+$D$262*E264+$D$266*E268</f>
        <v>406427.76732271718</v>
      </c>
      <c r="F277" s="722">
        <f t="shared" si="101"/>
        <v>1630253.7579263484</v>
      </c>
      <c r="G277" s="722">
        <f t="shared" si="101"/>
        <v>6741772.5161915598</v>
      </c>
      <c r="H277" s="722">
        <f t="shared" si="101"/>
        <v>2609375.7442062413</v>
      </c>
      <c r="I277" s="722">
        <f t="shared" si="101"/>
        <v>0</v>
      </c>
      <c r="J277" s="722">
        <f t="shared" si="101"/>
        <v>0</v>
      </c>
      <c r="K277" s="722">
        <f t="shared" si="101"/>
        <v>0</v>
      </c>
      <c r="L277" s="722">
        <f t="shared" si="101"/>
        <v>0</v>
      </c>
      <c r="M277" s="722">
        <f t="shared" si="101"/>
        <v>0</v>
      </c>
      <c r="N277" s="722">
        <f t="shared" si="101"/>
        <v>0</v>
      </c>
      <c r="O277" s="722">
        <f t="shared" si="101"/>
        <v>0</v>
      </c>
      <c r="P277" s="722">
        <f t="shared" si="101"/>
        <v>0</v>
      </c>
      <c r="Q277" s="722">
        <f t="shared" si="101"/>
        <v>0</v>
      </c>
      <c r="R277" s="722">
        <f t="shared" si="101"/>
        <v>39486.981198120884</v>
      </c>
      <c r="S277" s="722">
        <f t="shared" si="101"/>
        <v>46955.735519798967</v>
      </c>
      <c r="T277" s="722">
        <f t="shared" si="101"/>
        <v>0</v>
      </c>
      <c r="U277" s="722">
        <f t="shared" si="101"/>
        <v>0</v>
      </c>
      <c r="V277" s="722">
        <f t="shared" si="101"/>
        <v>0</v>
      </c>
      <c r="W277" s="722">
        <f t="shared" si="101"/>
        <v>305214.97980480577</v>
      </c>
      <c r="X277" s="722">
        <f t="shared" si="101"/>
        <v>621409.68974295736</v>
      </c>
      <c r="Y277" s="722">
        <f t="shared" si="101"/>
        <v>309073.96796833549</v>
      </c>
      <c r="Z277" s="722">
        <f t="shared" si="101"/>
        <v>0</v>
      </c>
      <c r="AA277" s="722">
        <f t="shared" si="101"/>
        <v>0</v>
      </c>
      <c r="AB277" s="722">
        <f t="shared" si="101"/>
        <v>0</v>
      </c>
      <c r="AC277" s="722">
        <f t="shared" si="101"/>
        <v>39486.981198120884</v>
      </c>
      <c r="AD277" s="722">
        <f t="shared" si="101"/>
        <v>46955.735519798967</v>
      </c>
      <c r="AE277" s="722">
        <f t="shared" si="101"/>
        <v>0</v>
      </c>
      <c r="AF277" s="722">
        <f t="shared" si="101"/>
        <v>0</v>
      </c>
      <c r="AG277" s="722">
        <f t="shared" si="101"/>
        <v>0</v>
      </c>
      <c r="AH277" s="722">
        <f t="shared" si="101"/>
        <v>0</v>
      </c>
      <c r="AI277" s="722">
        <f t="shared" si="101"/>
        <v>0</v>
      </c>
      <c r="AJ277" s="722">
        <f t="shared" si="101"/>
        <v>0</v>
      </c>
      <c r="AK277" s="722">
        <f t="shared" si="101"/>
        <v>0</v>
      </c>
      <c r="AL277" s="722">
        <f t="shared" si="101"/>
        <v>0</v>
      </c>
      <c r="AM277" s="722">
        <f t="shared" si="101"/>
        <v>0</v>
      </c>
      <c r="AN277" s="722">
        <f t="shared" si="101"/>
        <v>344701.96100292663</v>
      </c>
      <c r="AO277" s="722">
        <f t="shared" si="101"/>
        <v>650370.98351862631</v>
      </c>
      <c r="AP277" s="722">
        <f t="shared" si="101"/>
        <v>303075.82072029216</v>
      </c>
      <c r="AQ277" s="722">
        <f t="shared" si="101"/>
        <v>0</v>
      </c>
      <c r="AR277" s="722">
        <f t="shared" si="101"/>
        <v>0</v>
      </c>
      <c r="AS277" s="722">
        <f t="shared" si="101"/>
        <v>0</v>
      </c>
      <c r="AT277" s="722">
        <f t="shared" si="101"/>
        <v>0</v>
      </c>
      <c r="AU277" s="722">
        <f t="shared" si="101"/>
        <v>0</v>
      </c>
      <c r="AV277" s="722">
        <f t="shared" si="101"/>
        <v>0</v>
      </c>
      <c r="AW277" s="722">
        <f t="shared" si="101"/>
        <v>0</v>
      </c>
      <c r="AX277" s="722">
        <f t="shared" si="101"/>
        <v>0</v>
      </c>
    </row>
    <row r="278" spans="2:50" x14ac:dyDescent="0.2">
      <c r="B278" s="710"/>
      <c r="C278" s="16"/>
      <c r="D278" s="725"/>
      <c r="E278" s="722"/>
      <c r="F278" s="722"/>
      <c r="G278" s="722"/>
      <c r="H278" s="722"/>
      <c r="I278" s="724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</row>
    <row r="279" spans="2:50" x14ac:dyDescent="0.2">
      <c r="B279" s="738" t="s">
        <v>407</v>
      </c>
      <c r="C279" s="16" t="s">
        <v>410</v>
      </c>
      <c r="D279" s="725" t="s">
        <v>411</v>
      </c>
      <c r="E279" s="722">
        <f>E273+E276</f>
        <v>1635423.5450968919</v>
      </c>
      <c r="F279" s="722">
        <f t="shared" ref="F279:AX280" si="102">F273+F276</f>
        <v>12452445.091869701</v>
      </c>
      <c r="G279" s="722">
        <f t="shared" si="102"/>
        <v>23558442.43701905</v>
      </c>
      <c r="H279" s="722">
        <f t="shared" si="102"/>
        <v>9433470.9554015435</v>
      </c>
      <c r="I279" s="722">
        <f t="shared" si="102"/>
        <v>0</v>
      </c>
      <c r="J279" s="722">
        <f t="shared" si="102"/>
        <v>0</v>
      </c>
      <c r="K279" s="722">
        <f t="shared" si="102"/>
        <v>0</v>
      </c>
      <c r="L279" s="722">
        <f t="shared" si="102"/>
        <v>0</v>
      </c>
      <c r="M279" s="722">
        <f t="shared" si="102"/>
        <v>0</v>
      </c>
      <c r="N279" s="722">
        <f t="shared" si="102"/>
        <v>0</v>
      </c>
      <c r="O279" s="722">
        <f t="shared" si="102"/>
        <v>0</v>
      </c>
      <c r="P279" s="722">
        <f t="shared" si="102"/>
        <v>0</v>
      </c>
      <c r="Q279" s="722">
        <f t="shared" si="102"/>
        <v>0</v>
      </c>
      <c r="R279" s="722">
        <f t="shared" si="102"/>
        <v>993261.8356471078</v>
      </c>
      <c r="S279" s="722">
        <f t="shared" si="102"/>
        <v>1181132.0754693474</v>
      </c>
      <c r="T279" s="722">
        <f t="shared" si="102"/>
        <v>0</v>
      </c>
      <c r="U279" s="722">
        <f t="shared" si="102"/>
        <v>0</v>
      </c>
      <c r="V279" s="722">
        <f t="shared" si="102"/>
        <v>0</v>
      </c>
      <c r="W279" s="722">
        <f t="shared" si="102"/>
        <v>443355.15670335048</v>
      </c>
      <c r="X279" s="722">
        <f t="shared" si="102"/>
        <v>2937547.8651978122</v>
      </c>
      <c r="Y279" s="722">
        <f t="shared" si="102"/>
        <v>1253847.2676125923</v>
      </c>
      <c r="Z279" s="722">
        <f t="shared" si="102"/>
        <v>0</v>
      </c>
      <c r="AA279" s="722">
        <f t="shared" si="102"/>
        <v>0</v>
      </c>
      <c r="AB279" s="722">
        <f t="shared" si="102"/>
        <v>0</v>
      </c>
      <c r="AC279" s="722">
        <f t="shared" si="102"/>
        <v>993261.8356471078</v>
      </c>
      <c r="AD279" s="722">
        <f t="shared" si="102"/>
        <v>1181132.0754693474</v>
      </c>
      <c r="AE279" s="722">
        <f t="shared" si="102"/>
        <v>0</v>
      </c>
      <c r="AF279" s="722">
        <f t="shared" si="102"/>
        <v>0</v>
      </c>
      <c r="AG279" s="722">
        <f t="shared" si="102"/>
        <v>0</v>
      </c>
      <c r="AH279" s="722">
        <f t="shared" si="102"/>
        <v>0</v>
      </c>
      <c r="AI279" s="722">
        <f t="shared" si="102"/>
        <v>0</v>
      </c>
      <c r="AJ279" s="722">
        <f t="shared" si="102"/>
        <v>0</v>
      </c>
      <c r="AK279" s="722">
        <f t="shared" si="102"/>
        <v>0</v>
      </c>
      <c r="AL279" s="722">
        <f t="shared" si="102"/>
        <v>0</v>
      </c>
      <c r="AM279" s="722">
        <f t="shared" si="102"/>
        <v>0</v>
      </c>
      <c r="AN279" s="722">
        <f t="shared" si="102"/>
        <v>1436616.9923504582</v>
      </c>
      <c r="AO279" s="722">
        <f t="shared" si="102"/>
        <v>4072882.2495012861</v>
      </c>
      <c r="AP279" s="722">
        <f t="shared" si="102"/>
        <v>1238581.3705573012</v>
      </c>
      <c r="AQ279" s="722">
        <f t="shared" si="102"/>
        <v>0</v>
      </c>
      <c r="AR279" s="722">
        <f t="shared" si="102"/>
        <v>0</v>
      </c>
      <c r="AS279" s="722">
        <f t="shared" si="102"/>
        <v>0</v>
      </c>
      <c r="AT279" s="722">
        <f t="shared" si="102"/>
        <v>0</v>
      </c>
      <c r="AU279" s="722">
        <f t="shared" si="102"/>
        <v>0</v>
      </c>
      <c r="AV279" s="722">
        <f t="shared" si="102"/>
        <v>0</v>
      </c>
      <c r="AW279" s="722">
        <f t="shared" si="102"/>
        <v>0</v>
      </c>
      <c r="AX279" s="722">
        <f t="shared" si="102"/>
        <v>0</v>
      </c>
    </row>
    <row r="280" spans="2:50" x14ac:dyDescent="0.2">
      <c r="B280" s="738" t="s">
        <v>408</v>
      </c>
      <c r="C280" s="16" t="s">
        <v>410</v>
      </c>
      <c r="D280" s="725" t="s">
        <v>411</v>
      </c>
      <c r="E280" s="722">
        <f>E274+E277</f>
        <v>4259258.0991296778</v>
      </c>
      <c r="F280" s="722">
        <f t="shared" si="102"/>
        <v>10796142.023302685</v>
      </c>
      <c r="G280" s="722">
        <f t="shared" si="102"/>
        <v>35256477.388636179</v>
      </c>
      <c r="H280" s="722">
        <f t="shared" si="102"/>
        <v>13767855.565945793</v>
      </c>
      <c r="I280" s="722">
        <f t="shared" si="102"/>
        <v>0</v>
      </c>
      <c r="J280" s="722">
        <f t="shared" si="102"/>
        <v>0</v>
      </c>
      <c r="K280" s="722">
        <f t="shared" si="102"/>
        <v>0</v>
      </c>
      <c r="L280" s="722">
        <f t="shared" si="102"/>
        <v>0</v>
      </c>
      <c r="M280" s="722">
        <f t="shared" si="102"/>
        <v>0</v>
      </c>
      <c r="N280" s="722">
        <f t="shared" si="102"/>
        <v>0</v>
      </c>
      <c r="O280" s="722">
        <f t="shared" si="102"/>
        <v>0</v>
      </c>
      <c r="P280" s="722">
        <f t="shared" si="102"/>
        <v>0</v>
      </c>
      <c r="Q280" s="722">
        <f t="shared" si="102"/>
        <v>0</v>
      </c>
      <c r="R280" s="722">
        <f t="shared" si="102"/>
        <v>244330.10436931148</v>
      </c>
      <c r="S280" s="722">
        <f t="shared" si="102"/>
        <v>290543.85552360816</v>
      </c>
      <c r="T280" s="722">
        <f t="shared" si="102"/>
        <v>0</v>
      </c>
      <c r="U280" s="722">
        <f t="shared" si="102"/>
        <v>0</v>
      </c>
      <c r="V280" s="722">
        <f t="shared" si="102"/>
        <v>0</v>
      </c>
      <c r="W280" s="722">
        <f t="shared" si="102"/>
        <v>1612691.5793060472</v>
      </c>
      <c r="X280" s="722">
        <f t="shared" si="102"/>
        <v>3366898.4895608411</v>
      </c>
      <c r="Y280" s="722">
        <f t="shared" si="102"/>
        <v>1631986.520123696</v>
      </c>
      <c r="Z280" s="722">
        <f t="shared" si="102"/>
        <v>0</v>
      </c>
      <c r="AA280" s="722">
        <f t="shared" si="102"/>
        <v>0</v>
      </c>
      <c r="AB280" s="722">
        <f t="shared" si="102"/>
        <v>0</v>
      </c>
      <c r="AC280" s="722">
        <f t="shared" si="102"/>
        <v>244330.10436931148</v>
      </c>
      <c r="AD280" s="722">
        <f t="shared" si="102"/>
        <v>290543.85552360816</v>
      </c>
      <c r="AE280" s="722">
        <f t="shared" si="102"/>
        <v>0</v>
      </c>
      <c r="AF280" s="722">
        <f t="shared" si="102"/>
        <v>0</v>
      </c>
      <c r="AG280" s="722">
        <f t="shared" si="102"/>
        <v>0</v>
      </c>
      <c r="AH280" s="722">
        <f t="shared" si="102"/>
        <v>0</v>
      </c>
      <c r="AI280" s="722">
        <f t="shared" si="102"/>
        <v>0</v>
      </c>
      <c r="AJ280" s="722">
        <f t="shared" si="102"/>
        <v>0</v>
      </c>
      <c r="AK280" s="722">
        <f t="shared" si="102"/>
        <v>0</v>
      </c>
      <c r="AL280" s="722">
        <f t="shared" si="102"/>
        <v>0</v>
      </c>
      <c r="AM280" s="722">
        <f t="shared" si="102"/>
        <v>0</v>
      </c>
      <c r="AN280" s="722">
        <f t="shared" si="102"/>
        <v>1857021.6836753585</v>
      </c>
      <c r="AO280" s="722">
        <f t="shared" si="102"/>
        <v>3567470.1363637997</v>
      </c>
      <c r="AP280" s="722">
        <f t="shared" si="102"/>
        <v>1601995.7838834792</v>
      </c>
      <c r="AQ280" s="722">
        <f t="shared" si="102"/>
        <v>0</v>
      </c>
      <c r="AR280" s="722">
        <f t="shared" si="102"/>
        <v>0</v>
      </c>
      <c r="AS280" s="722">
        <f t="shared" si="102"/>
        <v>0</v>
      </c>
      <c r="AT280" s="722">
        <f t="shared" si="102"/>
        <v>0</v>
      </c>
      <c r="AU280" s="722">
        <f t="shared" si="102"/>
        <v>0</v>
      </c>
      <c r="AV280" s="722">
        <f t="shared" si="102"/>
        <v>0</v>
      </c>
      <c r="AW280" s="722">
        <f t="shared" si="102"/>
        <v>0</v>
      </c>
      <c r="AX280" s="722">
        <f t="shared" si="102"/>
        <v>0</v>
      </c>
    </row>
    <row r="281" spans="2:50" x14ac:dyDescent="0.2">
      <c r="B281" s="710"/>
      <c r="C281" s="54"/>
      <c r="D281" s="725"/>
      <c r="E281" s="722"/>
      <c r="F281" s="722"/>
      <c r="G281" s="722"/>
      <c r="H281" s="722"/>
      <c r="I281" s="724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</row>
    <row r="282" spans="2:50" x14ac:dyDescent="0.2">
      <c r="B282" s="710"/>
      <c r="C282" s="54"/>
      <c r="D282" s="725"/>
      <c r="E282" s="722"/>
      <c r="F282" s="722"/>
      <c r="G282" s="722"/>
      <c r="H282" s="721">
        <f>SUM(E279:H279)+SUM(E280:H280)</f>
        <v>111159515.10640152</v>
      </c>
      <c r="I282" s="742">
        <f>CHIFFRAGE_TC!M206</f>
        <v>111159515.10640152</v>
      </c>
      <c r="J282" s="731" t="str">
        <f>IF(H282=I282,"Check OK!","NOK!")</f>
        <v>Check OK!</v>
      </c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</row>
    <row r="283" spans="2:50" x14ac:dyDescent="0.2">
      <c r="B283" s="710"/>
      <c r="C283" s="54"/>
      <c r="D283" s="725"/>
      <c r="E283" s="722"/>
      <c r="F283" s="722"/>
      <c r="G283" s="722"/>
      <c r="H283" s="721"/>
      <c r="I283" s="724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</row>
    <row r="284" spans="2:50" x14ac:dyDescent="0.2">
      <c r="B284" s="710"/>
      <c r="C284" s="54"/>
      <c r="D284" s="725"/>
      <c r="E284" s="722"/>
      <c r="F284" s="722"/>
      <c r="G284" s="722"/>
      <c r="H284" s="721"/>
      <c r="I284" s="724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</row>
    <row r="285" spans="2:50" x14ac:dyDescent="0.2">
      <c r="B285" s="743" t="s">
        <v>413</v>
      </c>
      <c r="C285" s="744"/>
      <c r="D285" s="745"/>
      <c r="E285" s="746"/>
      <c r="F285" s="746"/>
      <c r="G285" s="746"/>
      <c r="H285" s="747"/>
      <c r="I285" s="748"/>
      <c r="J285" s="731"/>
      <c r="K285" s="731"/>
      <c r="L285" s="731"/>
      <c r="M285" s="731"/>
      <c r="N285" s="731"/>
      <c r="O285" s="731"/>
      <c r="P285" s="731"/>
      <c r="Q285" s="731"/>
      <c r="R285" s="731"/>
      <c r="S285" s="731"/>
      <c r="T285" s="731"/>
      <c r="U285" s="731"/>
      <c r="V285" s="731"/>
      <c r="W285" s="731"/>
      <c r="X285" s="731"/>
      <c r="Y285" s="731"/>
      <c r="Z285" s="731"/>
      <c r="AA285" s="731"/>
      <c r="AB285" s="731"/>
      <c r="AC285" s="731"/>
      <c r="AD285" s="731"/>
      <c r="AE285" s="731"/>
      <c r="AF285" s="731"/>
      <c r="AG285" s="731"/>
      <c r="AH285" s="731"/>
      <c r="AI285" s="731"/>
      <c r="AJ285" s="731"/>
      <c r="AK285" s="731"/>
      <c r="AL285" s="731"/>
      <c r="AM285" s="731"/>
      <c r="AN285" s="731"/>
      <c r="AO285" s="749"/>
      <c r="AP285" s="749"/>
      <c r="AQ285" s="749"/>
      <c r="AR285" s="749"/>
      <c r="AS285" s="749"/>
      <c r="AT285" s="749"/>
      <c r="AU285" s="749"/>
      <c r="AV285" s="749"/>
      <c r="AW285" s="749"/>
      <c r="AX285" s="749"/>
    </row>
    <row r="286" spans="2:50" x14ac:dyDescent="0.2">
      <c r="B286" s="753"/>
      <c r="C286" s="16"/>
      <c r="D286" s="725"/>
      <c r="E286" s="722"/>
      <c r="F286" s="722"/>
      <c r="G286" s="722"/>
      <c r="H286" s="721"/>
      <c r="I286" s="724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752"/>
      <c r="AP286" s="752"/>
      <c r="AQ286" s="752"/>
      <c r="AR286" s="752"/>
      <c r="AS286" s="752"/>
      <c r="AT286" s="752"/>
      <c r="AU286" s="752"/>
      <c r="AV286" s="752"/>
      <c r="AW286" s="752"/>
      <c r="AX286" s="752"/>
    </row>
    <row r="287" spans="2:50" x14ac:dyDescent="0.2">
      <c r="B287" s="753"/>
      <c r="C287" s="16"/>
      <c r="D287" s="725"/>
      <c r="E287" s="754">
        <f t="shared" ref="E287:AX287" si="103">E9</f>
        <v>2015</v>
      </c>
      <c r="F287" s="754">
        <f t="shared" si="103"/>
        <v>2016</v>
      </c>
      <c r="G287" s="754">
        <f t="shared" si="103"/>
        <v>2017</v>
      </c>
      <c r="H287" s="754">
        <f t="shared" si="103"/>
        <v>2018</v>
      </c>
      <c r="I287" s="754">
        <f t="shared" si="103"/>
        <v>2019</v>
      </c>
      <c r="J287" s="754">
        <f t="shared" si="103"/>
        <v>2020</v>
      </c>
      <c r="K287" s="754">
        <f t="shared" si="103"/>
        <v>2021</v>
      </c>
      <c r="L287" s="754">
        <f t="shared" si="103"/>
        <v>2022</v>
      </c>
      <c r="M287" s="754">
        <f t="shared" si="103"/>
        <v>2023</v>
      </c>
      <c r="N287" s="754">
        <f t="shared" si="103"/>
        <v>2024</v>
      </c>
      <c r="O287" s="754">
        <f t="shared" si="103"/>
        <v>2025</v>
      </c>
      <c r="P287" s="754">
        <f t="shared" si="103"/>
        <v>2026</v>
      </c>
      <c r="Q287" s="754">
        <f t="shared" si="103"/>
        <v>2027</v>
      </c>
      <c r="R287" s="754">
        <f t="shared" si="103"/>
        <v>2028</v>
      </c>
      <c r="S287" s="754">
        <f t="shared" si="103"/>
        <v>2029</v>
      </c>
      <c r="T287" s="754">
        <f t="shared" si="103"/>
        <v>2030</v>
      </c>
      <c r="U287" s="754">
        <f t="shared" si="103"/>
        <v>2031</v>
      </c>
      <c r="V287" s="754">
        <f t="shared" si="103"/>
        <v>2032</v>
      </c>
      <c r="W287" s="754">
        <f t="shared" si="103"/>
        <v>2033</v>
      </c>
      <c r="X287" s="754">
        <f t="shared" si="103"/>
        <v>2034</v>
      </c>
      <c r="Y287" s="754">
        <f t="shared" si="103"/>
        <v>2035</v>
      </c>
      <c r="Z287" s="754">
        <f t="shared" si="103"/>
        <v>2036</v>
      </c>
      <c r="AA287" s="754">
        <f t="shared" si="103"/>
        <v>2037</v>
      </c>
      <c r="AB287" s="754">
        <f t="shared" si="103"/>
        <v>2038</v>
      </c>
      <c r="AC287" s="754">
        <f t="shared" si="103"/>
        <v>2039</v>
      </c>
      <c r="AD287" s="754">
        <f t="shared" si="103"/>
        <v>2040</v>
      </c>
      <c r="AE287" s="754">
        <f t="shared" si="103"/>
        <v>2041</v>
      </c>
      <c r="AF287" s="754">
        <f t="shared" si="103"/>
        <v>2042</v>
      </c>
      <c r="AG287" s="754">
        <f t="shared" si="103"/>
        <v>2043</v>
      </c>
      <c r="AH287" s="754">
        <f t="shared" si="103"/>
        <v>2044</v>
      </c>
      <c r="AI287" s="754">
        <f t="shared" si="103"/>
        <v>2045</v>
      </c>
      <c r="AJ287" s="754">
        <f t="shared" si="103"/>
        <v>2046</v>
      </c>
      <c r="AK287" s="754">
        <f t="shared" si="103"/>
        <v>2047</v>
      </c>
      <c r="AL287" s="754">
        <f t="shared" si="103"/>
        <v>2048</v>
      </c>
      <c r="AM287" s="754">
        <f t="shared" si="103"/>
        <v>2049</v>
      </c>
      <c r="AN287" s="754">
        <f t="shared" si="103"/>
        <v>2050</v>
      </c>
      <c r="AO287" s="754">
        <f t="shared" si="103"/>
        <v>2051</v>
      </c>
      <c r="AP287" s="754">
        <f t="shared" si="103"/>
        <v>2052</v>
      </c>
      <c r="AQ287" s="754">
        <f t="shared" si="103"/>
        <v>2053</v>
      </c>
      <c r="AR287" s="754">
        <f t="shared" si="103"/>
        <v>2054</v>
      </c>
      <c r="AS287" s="754">
        <f t="shared" si="103"/>
        <v>2055</v>
      </c>
      <c r="AT287" s="754">
        <f t="shared" si="103"/>
        <v>2056</v>
      </c>
      <c r="AU287" s="754">
        <f t="shared" si="103"/>
        <v>2057</v>
      </c>
      <c r="AV287" s="754">
        <f t="shared" si="103"/>
        <v>2058</v>
      </c>
      <c r="AW287" s="754">
        <f t="shared" si="103"/>
        <v>2059</v>
      </c>
      <c r="AX287" s="754">
        <f t="shared" si="103"/>
        <v>2060</v>
      </c>
    </row>
    <row r="288" spans="2:50" x14ac:dyDescent="0.2">
      <c r="B288" s="710"/>
      <c r="C288" s="54"/>
      <c r="D288" s="725"/>
      <c r="E288" s="722"/>
      <c r="F288" s="722"/>
      <c r="K288" s="755">
        <v>1</v>
      </c>
      <c r="L288" s="756">
        <v>2</v>
      </c>
      <c r="M288" s="755">
        <v>3</v>
      </c>
      <c r="N288" s="755">
        <v>4</v>
      </c>
      <c r="O288" s="756">
        <v>5</v>
      </c>
      <c r="P288" s="755">
        <v>6</v>
      </c>
      <c r="Q288" s="755">
        <v>7</v>
      </c>
      <c r="R288" s="756">
        <v>8</v>
      </c>
      <c r="S288" s="755">
        <v>9</v>
      </c>
      <c r="T288" s="755">
        <v>10</v>
      </c>
      <c r="U288" s="756">
        <v>11</v>
      </c>
      <c r="V288" s="755">
        <v>12</v>
      </c>
      <c r="W288" s="755">
        <v>13</v>
      </c>
      <c r="X288" s="756">
        <v>14</v>
      </c>
      <c r="Y288" s="755">
        <v>15</v>
      </c>
      <c r="Z288" s="755">
        <v>16</v>
      </c>
      <c r="AA288" s="756">
        <v>17</v>
      </c>
      <c r="AB288" s="755">
        <v>18</v>
      </c>
      <c r="AC288" s="755">
        <v>19</v>
      </c>
      <c r="AD288" s="756">
        <v>20</v>
      </c>
      <c r="AE288" s="755">
        <v>21</v>
      </c>
      <c r="AF288" s="755">
        <v>22</v>
      </c>
      <c r="AG288" s="756">
        <v>23</v>
      </c>
      <c r="AH288" s="755">
        <v>24</v>
      </c>
      <c r="AI288" s="755">
        <v>25</v>
      </c>
      <c r="AJ288" s="756">
        <v>26</v>
      </c>
      <c r="AK288" s="755">
        <v>27</v>
      </c>
      <c r="AL288" s="755">
        <v>28</v>
      </c>
      <c r="AM288" s="756">
        <v>29</v>
      </c>
      <c r="AN288" s="755">
        <v>30</v>
      </c>
      <c r="AO288" s="755">
        <v>31</v>
      </c>
      <c r="AP288" s="756">
        <v>32</v>
      </c>
      <c r="AQ288" s="755">
        <v>33</v>
      </c>
      <c r="AR288" s="755">
        <v>34</v>
      </c>
      <c r="AS288" s="756">
        <v>35</v>
      </c>
      <c r="AT288" s="755">
        <v>36</v>
      </c>
      <c r="AU288" s="755">
        <v>37</v>
      </c>
      <c r="AV288" s="756">
        <v>38</v>
      </c>
      <c r="AW288" s="755">
        <v>39</v>
      </c>
      <c r="AX288" s="755">
        <v>40</v>
      </c>
    </row>
    <row r="289" spans="2:50" x14ac:dyDescent="0.2">
      <c r="B289" s="737" t="s">
        <v>407</v>
      </c>
      <c r="C289" s="16" t="s">
        <v>409</v>
      </c>
      <c r="D289" s="740" t="s">
        <v>412</v>
      </c>
      <c r="E289" s="757">
        <f>E273</f>
        <v>1479367.8366634087</v>
      </c>
      <c r="F289" s="757">
        <f>F273*(1+PARAMETROS!$C$88)</f>
        <v>10396626.015046701</v>
      </c>
      <c r="G289" s="757">
        <f>G273*(1+PARAMETROS!$C$88)*(1+PARAMETROS!$D$88)</f>
        <v>19886725.904243406</v>
      </c>
      <c r="H289" s="757">
        <f>H273*(1+PARAMETROS!$C$88)*(1+PARAMETROS!$D$88)*(1+PARAMETROS!$E$88)</f>
        <v>8205857.3829110386</v>
      </c>
      <c r="I289" s="757">
        <f>I273*(1+PARAMETROS!$C$88)*(1+PARAMETROS!$D$88)*(1+PARAMETROS!$E$88)*(1+PARAMETROS!$F$88)</f>
        <v>0</v>
      </c>
      <c r="J289" s="757">
        <f>J273*(1+PARAMETROS!$C$88)*(1+PARAMETROS!$D$88)*(1+PARAMETROS!$E$88)*(1+PARAMETROS!$F$88)*(1+PARAMETROS!$G$88)</f>
        <v>0</v>
      </c>
      <c r="K289" s="757">
        <f>K273*(1+PARAMETROS!$C$88)*(1+PARAMETROS!$D$88)*(1+PARAMETROS!$E$88)*(1+PARAMETROS!$F$88)*(1+PARAMETROS!$G$88)*(1+PARAMETROS!$H$88)^K$288</f>
        <v>0</v>
      </c>
      <c r="L289" s="722">
        <f>L273*(1+PARAMETROS!$C$88)*(1+PARAMETROS!$D$88)*(1+PARAMETROS!$E$88)*(1+PARAMETROS!$F$88)*(1+PARAMETROS!$G$88)*(1+PARAMETROS!$H$88)^L$288</f>
        <v>0</v>
      </c>
      <c r="M289" s="722">
        <f>M273*(1+PARAMETROS!$C$88)*(1+PARAMETROS!$D$88)*(1+PARAMETROS!$E$88)*(1+PARAMETROS!$F$88)*(1+PARAMETROS!$G$88)*(1+PARAMETROS!$H$88)^M$288</f>
        <v>0</v>
      </c>
      <c r="N289" s="722">
        <f>N273*(1+PARAMETROS!$C$88)*(1+PARAMETROS!$D$88)*(1+PARAMETROS!$E$88)*(1+PARAMETROS!$F$88)*(1+PARAMETROS!$G$88)*(1+PARAMETROS!$H$88)^N$288</f>
        <v>0</v>
      </c>
      <c r="O289" s="722">
        <f>O273*(1+PARAMETROS!$C$88)*(1+PARAMETROS!$D$88)*(1+PARAMETROS!$E$88)*(1+PARAMETROS!$F$88)*(1+PARAMETROS!$G$88)*(1+PARAMETROS!$H$88)^O$288</f>
        <v>0</v>
      </c>
      <c r="P289" s="722">
        <f>P273*(1+PARAMETROS!$C$88)*(1+PARAMETROS!$D$88)*(1+PARAMETROS!$E$88)*(1+PARAMETROS!$F$88)*(1+PARAMETROS!$G$88)*(1+PARAMETROS!$H$88)^P$288</f>
        <v>0</v>
      </c>
      <c r="Q289" s="722">
        <f>Q273*(1+PARAMETROS!$C$88)*(1+PARAMETROS!$D$88)*(1+PARAMETROS!$E$88)*(1+PARAMETROS!$F$88)*(1+PARAMETROS!$G$88)*(1+PARAMETROS!$H$88)^Q$288</f>
        <v>0</v>
      </c>
      <c r="R289" s="722">
        <f>R273*(1+PARAMETROS!$C$88)*(1+PARAMETROS!$D$88)*(1+PARAMETROS!$E$88)*(1+PARAMETROS!$F$88)*(1+PARAMETROS!$G$88)*(1+PARAMETROS!$H$88)^R$288</f>
        <v>1104436.2619603919</v>
      </c>
      <c r="S289" s="722">
        <f>S273*(1+PARAMETROS!$C$88)*(1+PARAMETROS!$D$88)*(1+PARAMETROS!$E$88)*(1+PARAMETROS!$F$88)*(1+PARAMETROS!$G$88)*(1+PARAMETROS!$H$88)^S$288</f>
        <v>1339601.2495861948</v>
      </c>
      <c r="T289" s="722">
        <f>T273*(1+PARAMETROS!$C$88)*(1+PARAMETROS!$D$88)*(1+PARAMETROS!$E$88)*(1+PARAMETROS!$F$88)*(1+PARAMETROS!$G$88)*(1+PARAMETROS!$H$88)^T$288</f>
        <v>0</v>
      </c>
      <c r="U289" s="722">
        <f>U273*(1+PARAMETROS!$C$88)*(1+PARAMETROS!$D$88)*(1+PARAMETROS!$E$88)*(1+PARAMETROS!$F$88)*(1+PARAMETROS!$G$88)*(1+PARAMETROS!$H$88)^U$288</f>
        <v>0</v>
      </c>
      <c r="V289" s="722">
        <f>V273*(1+PARAMETROS!$C$88)*(1+PARAMETROS!$D$88)*(1+PARAMETROS!$E$88)*(1+PARAMETROS!$F$88)*(1+PARAMETROS!$G$88)*(1+PARAMETROS!$H$88)^V$288</f>
        <v>0</v>
      </c>
      <c r="W289" s="722">
        <f>W273*(1+PARAMETROS!$C$88)*(1+PARAMETROS!$D$88)*(1+PARAMETROS!$E$88)*(1+PARAMETROS!$F$88)*(1+PARAMETROS!$G$88)*(1+PARAMETROS!$H$88)^W$288</f>
        <v>520922.16562564456</v>
      </c>
      <c r="X289" s="722">
        <f>X273*(1+PARAMETROS!$C$88)*(1+PARAMETROS!$D$88)*(1+PARAMETROS!$E$88)*(1+PARAMETROS!$F$88)*(1+PARAMETROS!$G$88)*(1+PARAMETROS!$H$88)^X$288</f>
        <v>3514766.9678883036</v>
      </c>
      <c r="Y289" s="722">
        <f>Y273*(1+PARAMETROS!$C$88)*(1+PARAMETROS!$D$88)*(1+PARAMETROS!$E$88)*(1+PARAMETROS!$F$88)*(1+PARAMETROS!$G$88)*(1+PARAMETROS!$H$88)^Y$288</f>
        <v>1529775.290390077</v>
      </c>
      <c r="Z289" s="722">
        <f>Z273*(1+PARAMETROS!$C$88)*(1+PARAMETROS!$D$88)*(1+PARAMETROS!$E$88)*(1+PARAMETROS!$F$88)*(1+PARAMETROS!$G$88)*(1+PARAMETROS!$H$88)^Z$288</f>
        <v>0</v>
      </c>
      <c r="AA289" s="722">
        <f>AA273*(1+PARAMETROS!$C$88)*(1+PARAMETROS!$D$88)*(1+PARAMETROS!$E$88)*(1+PARAMETROS!$F$88)*(1+PARAMETROS!$G$88)*(1+PARAMETROS!$H$88)^AA$288</f>
        <v>0</v>
      </c>
      <c r="AB289" s="722">
        <f>AB273*(1+PARAMETROS!$C$88)*(1+PARAMETROS!$D$88)*(1+PARAMETROS!$E$88)*(1+PARAMETROS!$F$88)*(1+PARAMETROS!$G$88)*(1+PARAMETROS!$H$88)^AB$288</f>
        <v>0</v>
      </c>
      <c r="AC289" s="722">
        <f>AC273*(1+PARAMETROS!$C$88)*(1+PARAMETROS!$D$88)*(1+PARAMETROS!$E$88)*(1+PARAMETROS!$F$88)*(1+PARAMETROS!$G$88)*(1+PARAMETROS!$H$88)^AC$288</f>
        <v>1373227.673380977</v>
      </c>
      <c r="AD289" s="722">
        <f>AD273*(1+PARAMETROS!$C$88)*(1+PARAMETROS!$D$88)*(1+PARAMETROS!$E$88)*(1+PARAMETROS!$F$88)*(1+PARAMETROS!$G$88)*(1+PARAMETROS!$H$88)^AD$288</f>
        <v>1665625.7772288469</v>
      </c>
      <c r="AE289" s="722">
        <f>AE273*(1+PARAMETROS!$C$88)*(1+PARAMETROS!$D$88)*(1+PARAMETROS!$E$88)*(1+PARAMETROS!$F$88)*(1+PARAMETROS!$G$88)*(1+PARAMETROS!$H$88)^AE$288</f>
        <v>0</v>
      </c>
      <c r="AF289" s="722">
        <f>AF273*(1+PARAMETROS!$C$88)*(1+PARAMETROS!$D$88)*(1+PARAMETROS!$E$88)*(1+PARAMETROS!$F$88)*(1+PARAMETROS!$G$88)*(1+PARAMETROS!$H$88)^AF$288</f>
        <v>0</v>
      </c>
      <c r="AG289" s="722">
        <f>AG273*(1+PARAMETROS!$C$88)*(1+PARAMETROS!$D$88)*(1+PARAMETROS!$E$88)*(1+PARAMETROS!$F$88)*(1+PARAMETROS!$G$88)*(1+PARAMETROS!$H$88)^AG$288</f>
        <v>0</v>
      </c>
      <c r="AH289" s="722">
        <f>AH273*(1+PARAMETROS!$C$88)*(1+PARAMETROS!$D$88)*(1+PARAMETROS!$E$88)*(1+PARAMETROS!$F$88)*(1+PARAMETROS!$G$88)*(1+PARAMETROS!$H$88)^AH$288</f>
        <v>0</v>
      </c>
      <c r="AI289" s="722">
        <f>AI273*(1+PARAMETROS!$C$88)*(1+PARAMETROS!$D$88)*(1+PARAMETROS!$E$88)*(1+PARAMETROS!$F$88)*(1+PARAMETROS!$G$88)*(1+PARAMETROS!$H$88)^AI$288</f>
        <v>0</v>
      </c>
      <c r="AJ289" s="722">
        <f>AJ273*(1+PARAMETROS!$C$88)*(1+PARAMETROS!$D$88)*(1+PARAMETROS!$E$88)*(1+PARAMETROS!$F$88)*(1+PARAMETROS!$G$88)*(1+PARAMETROS!$H$88)^AJ$288</f>
        <v>0</v>
      </c>
      <c r="AK289" s="722">
        <f>AK273*(1+PARAMETROS!$C$88)*(1+PARAMETROS!$D$88)*(1+PARAMETROS!$E$88)*(1+PARAMETROS!$F$88)*(1+PARAMETROS!$G$88)*(1+PARAMETROS!$H$88)^AK$288</f>
        <v>0</v>
      </c>
      <c r="AL289" s="722">
        <f>AL273*(1+PARAMETROS!$C$88)*(1+PARAMETROS!$D$88)*(1+PARAMETROS!$E$88)*(1+PARAMETROS!$F$88)*(1+PARAMETROS!$G$88)*(1+PARAMETROS!$H$88)^AL$288</f>
        <v>0</v>
      </c>
      <c r="AM289" s="722">
        <f>AM273*(1+PARAMETROS!$C$88)*(1+PARAMETROS!$D$88)*(1+PARAMETROS!$E$88)*(1+PARAMETROS!$F$88)*(1+PARAMETROS!$G$88)*(1+PARAMETROS!$H$88)^AM$288</f>
        <v>0</v>
      </c>
      <c r="AN289" s="722">
        <f>AN273*(1+PARAMETROS!$C$88)*(1+PARAMETROS!$D$88)*(1+PARAMETROS!$E$88)*(1+PARAMETROS!$F$88)*(1+PARAMETROS!$G$88)*(1+PARAMETROS!$H$88)^AN$288</f>
        <v>2436852.8011429133</v>
      </c>
      <c r="AO289" s="722">
        <f>AO273*(1+PARAMETROS!$C$88)*(1+PARAMETROS!$D$88)*(1+PARAMETROS!$E$88)*(1+PARAMETROS!$F$88)*(1+PARAMETROS!$G$88)*(1+PARAMETROS!$H$88)^AO$288</f>
        <v>6915893.6681850376</v>
      </c>
      <c r="AP289" s="722">
        <f>AP273*(1+PARAMETROS!$C$88)*(1+PARAMETROS!$D$88)*(1+PARAMETROS!$E$88)*(1+PARAMETROS!$F$88)*(1+PARAMETROS!$G$88)*(1+PARAMETROS!$H$88)^AP$288</f>
        <v>2116002.2515862677</v>
      </c>
      <c r="AQ289" s="722">
        <f>AQ273*(1+PARAMETROS!$C$88)*(1+PARAMETROS!$D$88)*(1+PARAMETROS!$E$88)*(1+PARAMETROS!$F$88)*(1+PARAMETROS!$G$88)*(1+PARAMETROS!$H$88)^AQ$288</f>
        <v>0</v>
      </c>
      <c r="AR289" s="722">
        <f>AR273*(1+PARAMETROS!$C$88)*(1+PARAMETROS!$D$88)*(1+PARAMETROS!$E$88)*(1+PARAMETROS!$F$88)*(1+PARAMETROS!$G$88)*(1+PARAMETROS!$H$88)^AR$288</f>
        <v>0</v>
      </c>
      <c r="AS289" s="722">
        <f>AS273*(1+PARAMETROS!$C$88)*(1+PARAMETROS!$D$88)*(1+PARAMETROS!$E$88)*(1+PARAMETROS!$F$88)*(1+PARAMETROS!$G$88)*(1+PARAMETROS!$H$88)^AS$288</f>
        <v>0</v>
      </c>
      <c r="AT289" s="722">
        <f>AT273*(1+PARAMETROS!$C$88)*(1+PARAMETROS!$D$88)*(1+PARAMETROS!$E$88)*(1+PARAMETROS!$F$88)*(1+PARAMETROS!$G$88)*(1+PARAMETROS!$H$88)^AT$288</f>
        <v>0</v>
      </c>
      <c r="AU289" s="722">
        <f>AU273*(1+PARAMETROS!$C$88)*(1+PARAMETROS!$D$88)*(1+PARAMETROS!$E$88)*(1+PARAMETROS!$F$88)*(1+PARAMETROS!$G$88)*(1+PARAMETROS!$H$88)^AU$288</f>
        <v>0</v>
      </c>
      <c r="AV289" s="722">
        <f>AV273*(1+PARAMETROS!$C$88)*(1+PARAMETROS!$D$88)*(1+PARAMETROS!$E$88)*(1+PARAMETROS!$F$88)*(1+PARAMETROS!$G$88)*(1+PARAMETROS!$H$88)^AV$288</f>
        <v>0</v>
      </c>
      <c r="AW289" s="722">
        <f>AW273*(1+PARAMETROS!$C$88)*(1+PARAMETROS!$D$88)*(1+PARAMETROS!$E$88)*(1+PARAMETROS!$F$88)*(1+PARAMETROS!$G$88)*(1+PARAMETROS!$H$88)^AW$288</f>
        <v>0</v>
      </c>
      <c r="AX289" s="722">
        <f>AX273*(1+PARAMETROS!$C$88)*(1+PARAMETROS!$D$88)*(1+PARAMETROS!$E$88)*(1+PARAMETROS!$F$88)*(1+PARAMETROS!$G$88)*(1+PARAMETROS!$H$88)^AX$288</f>
        <v>0</v>
      </c>
    </row>
    <row r="290" spans="2:50" x14ac:dyDescent="0.2">
      <c r="B290" s="737" t="s">
        <v>408</v>
      </c>
      <c r="C290" s="16" t="s">
        <v>409</v>
      </c>
      <c r="D290" s="740" t="s">
        <v>412</v>
      </c>
      <c r="E290" s="757">
        <f t="shared" ref="E290:E293" si="104">E274</f>
        <v>3852830.331806961</v>
      </c>
      <c r="F290" s="757">
        <f>F274*(1+PARAMETROS!$C$93)</f>
        <v>9273129.158081241</v>
      </c>
      <c r="G290" s="757">
        <f>G274*(1+PARAMETROS!$C$93)*(1+PARAMETROS!$D$93)</f>
        <v>29281051.823244002</v>
      </c>
      <c r="H290" s="757">
        <f>H274*(1+PARAMETROS!$C$93)*(1+PARAMETROS!$D$93)*(1+PARAMETROS!$E$93)</f>
        <v>11630245.089381544</v>
      </c>
      <c r="I290" s="757">
        <f>I274*(1+PARAMETROS!$C$93)*(1+PARAMETROS!$D$93)*(1+PARAMETROS!$E$93)*(1+PARAMETROS!$F$93)</f>
        <v>0</v>
      </c>
      <c r="J290" s="757">
        <f>J274*(1+PARAMETROS!$C$93)*(1+PARAMETROS!$D$93)*(1+PARAMETROS!$E$93)*(1+PARAMETROS!$F$93)*(1+PARAMETROS!$G$93)</f>
        <v>0</v>
      </c>
      <c r="K290" s="757">
        <f>K274*(1+PARAMETROS!$C$93)*(1+PARAMETROS!$D$93)*(1+PARAMETROS!$E$93)*(1+PARAMETROS!$F$93)*(1+PARAMETROS!$G$93)*(1+PARAMETROS!$H$93)^K$288</f>
        <v>0</v>
      </c>
      <c r="L290" s="723">
        <f>L274*(1+PARAMETROS!$C$93)*(1+PARAMETROS!$D$93)*(1+PARAMETROS!$E$93)*(1+PARAMETROS!$F$93)*(1+PARAMETROS!$G$93)*(1+PARAMETROS!$H$93)^L$288</f>
        <v>0</v>
      </c>
      <c r="M290" s="723">
        <f>M274*(1+PARAMETROS!$C$93)*(1+PARAMETROS!$D$93)*(1+PARAMETROS!$E$93)*(1+PARAMETROS!$F$93)*(1+PARAMETROS!$G$93)*(1+PARAMETROS!$H$93)^M$288</f>
        <v>0</v>
      </c>
      <c r="N290" s="723">
        <f>N274*(1+PARAMETROS!$C$93)*(1+PARAMETROS!$D$93)*(1+PARAMETROS!$E$93)*(1+PARAMETROS!$F$93)*(1+PARAMETROS!$G$93)*(1+PARAMETROS!$H$93)^N$288</f>
        <v>0</v>
      </c>
      <c r="O290" s="723">
        <f>O274*(1+PARAMETROS!$C$93)*(1+PARAMETROS!$D$93)*(1+PARAMETROS!$E$93)*(1+PARAMETROS!$F$93)*(1+PARAMETROS!$G$93)*(1+PARAMETROS!$H$93)^O$288</f>
        <v>0</v>
      </c>
      <c r="P290" s="723">
        <f>P274*(1+PARAMETROS!$C$93)*(1+PARAMETROS!$D$93)*(1+PARAMETROS!$E$93)*(1+PARAMETROS!$F$93)*(1+PARAMETROS!$G$93)*(1+PARAMETROS!$H$93)^P$288</f>
        <v>0</v>
      </c>
      <c r="Q290" s="723">
        <f>Q274*(1+PARAMETROS!$C$93)*(1+PARAMETROS!$D$93)*(1+PARAMETROS!$E$93)*(1+PARAMETROS!$F$93)*(1+PARAMETROS!$G$93)*(1+PARAMETROS!$H$93)^Q$288</f>
        <v>0</v>
      </c>
      <c r="R290" s="723">
        <f>R274*(1+PARAMETROS!$C$93)*(1+PARAMETROS!$D$93)*(1+PARAMETROS!$E$93)*(1+PARAMETROS!$F$93)*(1+PARAMETROS!$G$93)*(1+PARAMETROS!$H$93)^R$288</f>
        <v>255700.0304773477</v>
      </c>
      <c r="S290" s="723">
        <f>S274*(1+PARAMETROS!$C$93)*(1+PARAMETROS!$D$93)*(1+PARAMETROS!$E$93)*(1+PARAMETROS!$F$93)*(1+PARAMETROS!$G$93)*(1+PARAMETROS!$H$93)^S$288</f>
        <v>309841.56573477387</v>
      </c>
      <c r="T290" s="723">
        <f>T274*(1+PARAMETROS!$C$93)*(1+PARAMETROS!$D$93)*(1+PARAMETROS!$E$93)*(1+PARAMETROS!$F$93)*(1+PARAMETROS!$G$93)*(1+PARAMETROS!$H$93)^T$288</f>
        <v>0</v>
      </c>
      <c r="U290" s="723">
        <f>U274*(1+PARAMETROS!$C$93)*(1+PARAMETROS!$D$93)*(1+PARAMETROS!$E$93)*(1+PARAMETROS!$F$93)*(1+PARAMETROS!$G$93)*(1+PARAMETROS!$H$93)^U$288</f>
        <v>0</v>
      </c>
      <c r="V290" s="723">
        <f>V274*(1+PARAMETROS!$C$93)*(1+PARAMETROS!$D$93)*(1+PARAMETROS!$E$93)*(1+PARAMETROS!$F$93)*(1+PARAMETROS!$G$93)*(1+PARAMETROS!$H$93)^V$288</f>
        <v>0</v>
      </c>
      <c r="W290" s="723">
        <f>W274*(1+PARAMETROS!$C$93)*(1+PARAMETROS!$D$93)*(1+PARAMETROS!$E$93)*(1+PARAMETROS!$F$93)*(1+PARAMETROS!$G$93)*(1+PARAMETROS!$H$93)^W$288</f>
        <v>1793140.1542021199</v>
      </c>
      <c r="X290" s="723">
        <f>X274*(1+PARAMETROS!$C$93)*(1+PARAMETROS!$D$93)*(1+PARAMETROS!$E$93)*(1+PARAMETROS!$F$93)*(1+PARAMETROS!$G$93)*(1+PARAMETROS!$H$93)^X$288</f>
        <v>3836844.2615085728</v>
      </c>
      <c r="Y290" s="723">
        <f>Y274*(1+PARAMETROS!$C$93)*(1+PARAMETROS!$D$93)*(1+PARAMETROS!$E$93)*(1+PARAMETROS!$F$93)*(1+PARAMETROS!$G$93)*(1+PARAMETROS!$H$93)^Y$288</f>
        <v>1883908.5461969937</v>
      </c>
      <c r="Z290" s="723">
        <f>Z274*(1+PARAMETROS!$C$93)*(1+PARAMETROS!$D$93)*(1+PARAMETROS!$E$93)*(1+PARAMETROS!$F$93)*(1+PARAMETROS!$G$93)*(1+PARAMETROS!$H$93)^Z$288</f>
        <v>0</v>
      </c>
      <c r="AA290" s="723">
        <f>AA274*(1+PARAMETROS!$C$93)*(1+PARAMETROS!$D$93)*(1+PARAMETROS!$E$93)*(1+PARAMETROS!$F$93)*(1+PARAMETROS!$G$93)*(1+PARAMETROS!$H$93)^AA$288</f>
        <v>0</v>
      </c>
      <c r="AB290" s="723">
        <f>AB274*(1+PARAMETROS!$C$93)*(1+PARAMETROS!$D$93)*(1+PARAMETROS!$E$93)*(1+PARAMETROS!$F$93)*(1+PARAMETROS!$G$93)*(1+PARAMETROS!$H$93)^AB$288</f>
        <v>0</v>
      </c>
      <c r="AC290" s="723">
        <f>AC274*(1+PARAMETROS!$C$93)*(1+PARAMETROS!$D$93)*(1+PARAMETROS!$E$93)*(1+PARAMETROS!$F$93)*(1+PARAMETROS!$G$93)*(1+PARAMETROS!$H$93)^AC$288</f>
        <v>314518.94038771087</v>
      </c>
      <c r="AD290" s="723">
        <f>AD274*(1+PARAMETROS!$C$93)*(1+PARAMETROS!$D$93)*(1+PARAMETROS!$E$93)*(1+PARAMETROS!$F$93)*(1+PARAMETROS!$G$93)*(1+PARAMETROS!$H$93)^AD$288</f>
        <v>381114.70210248354</v>
      </c>
      <c r="AE290" s="723">
        <f>AE274*(1+PARAMETROS!$C$93)*(1+PARAMETROS!$D$93)*(1+PARAMETROS!$E$93)*(1+PARAMETROS!$F$93)*(1+PARAMETROS!$G$93)*(1+PARAMETROS!$H$93)^AE$288</f>
        <v>0</v>
      </c>
      <c r="AF290" s="723">
        <f>AF274*(1+PARAMETROS!$C$93)*(1+PARAMETROS!$D$93)*(1+PARAMETROS!$E$93)*(1+PARAMETROS!$F$93)*(1+PARAMETROS!$G$93)*(1+PARAMETROS!$H$93)^AF$288</f>
        <v>0</v>
      </c>
      <c r="AG290" s="723">
        <f>AG274*(1+PARAMETROS!$C$93)*(1+PARAMETROS!$D$93)*(1+PARAMETROS!$E$93)*(1+PARAMETROS!$F$93)*(1+PARAMETROS!$G$93)*(1+PARAMETROS!$H$93)^AG$288</f>
        <v>0</v>
      </c>
      <c r="AH290" s="723">
        <f>AH274*(1+PARAMETROS!$C$93)*(1+PARAMETROS!$D$93)*(1+PARAMETROS!$E$93)*(1+PARAMETROS!$F$93)*(1+PARAMETROS!$G$93)*(1+PARAMETROS!$H$93)^AH$288</f>
        <v>0</v>
      </c>
      <c r="AI290" s="723">
        <f>AI274*(1+PARAMETROS!$C$93)*(1+PARAMETROS!$D$93)*(1+PARAMETROS!$E$93)*(1+PARAMETROS!$F$93)*(1+PARAMETROS!$G$93)*(1+PARAMETROS!$H$93)^AI$288</f>
        <v>0</v>
      </c>
      <c r="AJ290" s="723">
        <f>AJ274*(1+PARAMETROS!$C$93)*(1+PARAMETROS!$D$93)*(1+PARAMETROS!$E$93)*(1+PARAMETROS!$F$93)*(1+PARAMETROS!$G$93)*(1+PARAMETROS!$H$93)^AJ$288</f>
        <v>0</v>
      </c>
      <c r="AK290" s="723">
        <f>AK274*(1+PARAMETROS!$C$93)*(1+PARAMETROS!$D$93)*(1+PARAMETROS!$E$93)*(1+PARAMETROS!$F$93)*(1+PARAMETROS!$G$93)*(1+PARAMETROS!$H$93)^AK$288</f>
        <v>0</v>
      </c>
      <c r="AL290" s="723">
        <f>AL274*(1+PARAMETROS!$C$93)*(1+PARAMETROS!$D$93)*(1+PARAMETROS!$E$93)*(1+PARAMETROS!$F$93)*(1+PARAMETROS!$G$93)*(1+PARAMETROS!$H$93)^AL$288</f>
        <v>0</v>
      </c>
      <c r="AM290" s="723">
        <f>AM274*(1+PARAMETROS!$C$93)*(1+PARAMETROS!$D$93)*(1+PARAMETROS!$E$93)*(1+PARAMETROS!$F$93)*(1+PARAMETROS!$G$93)*(1+PARAMETROS!$H$93)^AM$288</f>
        <v>0</v>
      </c>
      <c r="AN290" s="723">
        <f>AN274*(1+PARAMETROS!$C$93)*(1+PARAMETROS!$D$93)*(1+PARAMETROS!$E$93)*(1+PARAMETROS!$F$93)*(1+PARAMETROS!$G$93)*(1+PARAMETROS!$H$93)^AN$288</f>
        <v>2856176.5894899541</v>
      </c>
      <c r="AO290" s="723">
        <f>AO274*(1+PARAMETROS!$C$93)*(1+PARAMETROS!$D$93)*(1+PARAMETROS!$E$93)*(1+PARAMETROS!$F$93)*(1+PARAMETROS!$G$93)*(1+PARAMETROS!$H$93)^AO$288</f>
        <v>5613927.6888199868</v>
      </c>
      <c r="AP290" s="723">
        <f>AP274*(1+PARAMETROS!$C$93)*(1+PARAMETROS!$D$93)*(1+PARAMETROS!$E$93)*(1+PARAMETROS!$F$93)*(1+PARAMETROS!$G$93)*(1+PARAMETROS!$H$93)^AP$288</f>
        <v>2547253.6823796234</v>
      </c>
      <c r="AQ290" s="723">
        <f>AQ274*(1+PARAMETROS!$C$93)*(1+PARAMETROS!$D$93)*(1+PARAMETROS!$E$93)*(1+PARAMETROS!$F$93)*(1+PARAMETROS!$G$93)*(1+PARAMETROS!$H$93)^AQ$288</f>
        <v>0</v>
      </c>
      <c r="AR290" s="723">
        <f>AR274*(1+PARAMETROS!$C$93)*(1+PARAMETROS!$D$93)*(1+PARAMETROS!$E$93)*(1+PARAMETROS!$F$93)*(1+PARAMETROS!$G$93)*(1+PARAMETROS!$H$93)^AR$288</f>
        <v>0</v>
      </c>
      <c r="AS290" s="723">
        <f>AS274*(1+PARAMETROS!$C$93)*(1+PARAMETROS!$D$93)*(1+PARAMETROS!$E$93)*(1+PARAMETROS!$F$93)*(1+PARAMETROS!$G$93)*(1+PARAMETROS!$H$93)^AS$288</f>
        <v>0</v>
      </c>
      <c r="AT290" s="723">
        <f>AT274*(1+PARAMETROS!$C$93)*(1+PARAMETROS!$D$93)*(1+PARAMETROS!$E$93)*(1+PARAMETROS!$F$93)*(1+PARAMETROS!$G$93)*(1+PARAMETROS!$H$93)^AT$288</f>
        <v>0</v>
      </c>
      <c r="AU290" s="723">
        <f>AU274*(1+PARAMETROS!$C$93)*(1+PARAMETROS!$D$93)*(1+PARAMETROS!$E$93)*(1+PARAMETROS!$F$93)*(1+PARAMETROS!$G$93)*(1+PARAMETROS!$H$93)^AU$288</f>
        <v>0</v>
      </c>
      <c r="AV290" s="723">
        <f>AV274*(1+PARAMETROS!$C$93)*(1+PARAMETROS!$D$93)*(1+PARAMETROS!$E$93)*(1+PARAMETROS!$F$93)*(1+PARAMETROS!$G$93)*(1+PARAMETROS!$H$93)^AV$288</f>
        <v>0</v>
      </c>
      <c r="AW290" s="723">
        <f>AW274*(1+PARAMETROS!$C$93)*(1+PARAMETROS!$D$93)*(1+PARAMETROS!$E$93)*(1+PARAMETROS!$F$93)*(1+PARAMETROS!$G$93)*(1+PARAMETROS!$H$93)^AW$288</f>
        <v>0</v>
      </c>
      <c r="AX290" s="723">
        <f>AX274*(1+PARAMETROS!$C$93)*(1+PARAMETROS!$D$93)*(1+PARAMETROS!$E$93)*(1+PARAMETROS!$F$93)*(1+PARAMETROS!$G$93)*(1+PARAMETROS!$H$93)^AX$288</f>
        <v>0</v>
      </c>
    </row>
    <row r="291" spans="2:50" x14ac:dyDescent="0.2">
      <c r="B291" s="1"/>
      <c r="C291" s="16"/>
      <c r="D291" s="740"/>
      <c r="E291" s="722"/>
      <c r="F291" s="723"/>
      <c r="G291" s="723"/>
      <c r="H291" s="723"/>
      <c r="I291" s="723"/>
      <c r="J291" s="723"/>
      <c r="K291" s="723"/>
      <c r="L291" s="723"/>
      <c r="M291" s="723"/>
      <c r="N291" s="722"/>
      <c r="O291" s="722"/>
      <c r="P291" s="722"/>
      <c r="Q291" s="722"/>
      <c r="R291" s="722"/>
      <c r="S291" s="722"/>
      <c r="T291" s="722"/>
      <c r="U291" s="722"/>
      <c r="V291" s="722"/>
      <c r="W291" s="722"/>
      <c r="X291" s="722"/>
      <c r="Y291" s="722"/>
      <c r="Z291" s="722"/>
      <c r="AA291" s="722"/>
      <c r="AB291" s="722"/>
      <c r="AC291" s="722"/>
      <c r="AD291" s="722"/>
      <c r="AE291" s="722"/>
      <c r="AF291" s="722"/>
      <c r="AG291" s="722"/>
      <c r="AH291" s="722"/>
      <c r="AI291" s="722"/>
      <c r="AJ291" s="722"/>
      <c r="AK291" s="722"/>
      <c r="AL291" s="722"/>
      <c r="AM291" s="722"/>
      <c r="AN291" s="722"/>
      <c r="AO291" s="722"/>
      <c r="AP291" s="722"/>
      <c r="AQ291" s="722"/>
      <c r="AR291" s="722"/>
      <c r="AS291" s="722"/>
      <c r="AT291" s="722"/>
      <c r="AU291" s="722"/>
      <c r="AV291" s="722"/>
      <c r="AW291" s="722"/>
      <c r="AX291" s="722"/>
    </row>
    <row r="292" spans="2:50" x14ac:dyDescent="0.2">
      <c r="B292" s="737" t="s">
        <v>407</v>
      </c>
      <c r="C292" s="16" t="s">
        <v>180</v>
      </c>
      <c r="D292" s="740" t="s">
        <v>412</v>
      </c>
      <c r="E292" s="757">
        <f t="shared" si="104"/>
        <v>156055.70843348317</v>
      </c>
      <c r="F292" s="757">
        <f>F276*(1+PARAMETROS!$C$88)</f>
        <v>2373356.4266656796</v>
      </c>
      <c r="G292" s="757">
        <f>G276*(1+PARAMETROS!$C$88)*(1+PARAMETROS!$D$88)</f>
        <v>4876436.3828987041</v>
      </c>
      <c r="H292" s="757">
        <f>H276*(1+PARAMETROS!$C$88)*(1+PARAMETROS!$D$88)*(1+PARAMETROS!$E$88)</f>
        <v>1957914.5703819364</v>
      </c>
      <c r="I292" s="757">
        <f>I276*(1+PARAMETROS!$C$88)*(1+PARAMETROS!$D$88)*(1+PARAMETROS!$E$88)*(1+PARAMETROS!$F$88)</f>
        <v>0</v>
      </c>
      <c r="J292" s="757">
        <f>J276*(1+PARAMETROS!$C$88)*(1+PARAMETROS!$D$88)*(1+PARAMETROS!$E$88)*(1+PARAMETROS!$F$88)*(1+PARAMETROS!$G$88)</f>
        <v>0</v>
      </c>
      <c r="K292" s="757">
        <f>K276*(1+PARAMETROS!$C$88)*(1+PARAMETROS!$D$88)*(1+PARAMETROS!$E$88)*(1+PARAMETROS!$F$88)*(1+PARAMETROS!$G$88)*(1+PARAMETROS!$H$88)^K$288</f>
        <v>0</v>
      </c>
      <c r="L292" s="723">
        <f>L276*(1+PARAMETROS!$C$88)*(1+PARAMETROS!$D$88)*(1+PARAMETROS!$E$88)*(1+PARAMETROS!$F$88)*(1+PARAMETROS!$G$88)*(1+PARAMETROS!$H$88)^L$288</f>
        <v>0</v>
      </c>
      <c r="M292" s="723">
        <f>M276*(1+PARAMETROS!$C$88)*(1+PARAMETROS!$D$88)*(1+PARAMETROS!$E$88)*(1+PARAMETROS!$F$88)*(1+PARAMETROS!$G$88)*(1+PARAMETROS!$H$88)^M$288</f>
        <v>0</v>
      </c>
      <c r="N292" s="723">
        <f>N276*(1+PARAMETROS!$C$88)*(1+PARAMETROS!$D$88)*(1+PARAMETROS!$E$88)*(1+PARAMETROS!$F$88)*(1+PARAMETROS!$G$88)*(1+PARAMETROS!$H$88)^N$288</f>
        <v>0</v>
      </c>
      <c r="O292" s="723">
        <f>O276*(1+PARAMETROS!$C$88)*(1+PARAMETROS!$D$88)*(1+PARAMETROS!$E$88)*(1+PARAMETROS!$F$88)*(1+PARAMETROS!$G$88)*(1+PARAMETROS!$H$88)^O$288</f>
        <v>0</v>
      </c>
      <c r="P292" s="723">
        <f>P276*(1+PARAMETROS!$C$88)*(1+PARAMETROS!$D$88)*(1+PARAMETROS!$E$88)*(1+PARAMETROS!$F$88)*(1+PARAMETROS!$G$88)*(1+PARAMETROS!$H$88)^P$288</f>
        <v>0</v>
      </c>
      <c r="Q292" s="723">
        <f>Q276*(1+PARAMETROS!$C$88)*(1+PARAMETROS!$D$88)*(1+PARAMETROS!$E$88)*(1+PARAMETROS!$F$88)*(1+PARAMETROS!$G$88)*(1+PARAMETROS!$H$88)^Q$288</f>
        <v>0</v>
      </c>
      <c r="R292" s="723">
        <f>R276*(1+PARAMETROS!$C$88)*(1+PARAMETROS!$D$88)*(1+PARAMETROS!$E$88)*(1+PARAMETROS!$F$88)*(1+PARAMETROS!$G$88)*(1+PARAMETROS!$H$88)^R$288</f>
        <v>212898.79413772965</v>
      </c>
      <c r="S292" s="723">
        <f>S276*(1+PARAMETROS!$C$88)*(1+PARAMETROS!$D$88)*(1+PARAMETROS!$E$88)*(1+PARAMETROS!$F$88)*(1+PARAMETROS!$G$88)*(1+PARAMETROS!$H$88)^S$288</f>
        <v>258230.82823816655</v>
      </c>
      <c r="T292" s="723">
        <f>T276*(1+PARAMETROS!$C$88)*(1+PARAMETROS!$D$88)*(1+PARAMETROS!$E$88)*(1+PARAMETROS!$F$88)*(1+PARAMETROS!$G$88)*(1+PARAMETROS!$H$88)^T$288</f>
        <v>0</v>
      </c>
      <c r="U292" s="723">
        <f>U276*(1+PARAMETROS!$C$88)*(1+PARAMETROS!$D$88)*(1+PARAMETROS!$E$88)*(1+PARAMETROS!$F$88)*(1+PARAMETROS!$G$88)*(1+PARAMETROS!$H$88)^U$288</f>
        <v>0</v>
      </c>
      <c r="V292" s="723">
        <f>V276*(1+PARAMETROS!$C$88)*(1+PARAMETROS!$D$88)*(1+PARAMETROS!$E$88)*(1+PARAMETROS!$F$88)*(1+PARAMETROS!$G$88)*(1+PARAMETROS!$H$88)^V$288</f>
        <v>0</v>
      </c>
      <c r="W292" s="723">
        <f>W276*(1+PARAMETROS!$C$88)*(1+PARAMETROS!$D$88)*(1+PARAMETROS!$E$88)*(1+PARAMETROS!$F$88)*(1+PARAMETROS!$G$88)*(1+PARAMETROS!$H$88)^W$288</f>
        <v>128287.71857444785</v>
      </c>
      <c r="X292" s="723">
        <f>X276*(1+PARAMETROS!$C$88)*(1+PARAMETROS!$D$88)*(1+PARAMETROS!$E$88)*(1+PARAMETROS!$F$88)*(1+PARAMETROS!$G$88)*(1+PARAMETROS!$H$88)^X$288</f>
        <v>872746.70410626836</v>
      </c>
      <c r="Y292" s="723">
        <f>Y276*(1+PARAMETROS!$C$88)*(1+PARAMETROS!$D$88)*(1+PARAMETROS!$E$88)*(1+PARAMETROS!$F$88)*(1+PARAMETROS!$G$88)*(1+PARAMETROS!$H$88)^Y$288</f>
        <v>380422.5097231447</v>
      </c>
      <c r="Z292" s="723">
        <f>Z276*(1+PARAMETROS!$C$88)*(1+PARAMETROS!$D$88)*(1+PARAMETROS!$E$88)*(1+PARAMETROS!$F$88)*(1+PARAMETROS!$G$88)*(1+PARAMETROS!$H$88)^Z$288</f>
        <v>0</v>
      </c>
      <c r="AA292" s="723">
        <f>AA276*(1+PARAMETROS!$C$88)*(1+PARAMETROS!$D$88)*(1+PARAMETROS!$E$88)*(1+PARAMETROS!$F$88)*(1+PARAMETROS!$G$88)*(1+PARAMETROS!$H$88)^AA$288</f>
        <v>0</v>
      </c>
      <c r="AB292" s="723">
        <f>AB276*(1+PARAMETROS!$C$88)*(1+PARAMETROS!$D$88)*(1+PARAMETROS!$E$88)*(1+PARAMETROS!$F$88)*(1+PARAMETROS!$G$88)*(1+PARAMETROS!$H$88)^AB$288</f>
        <v>0</v>
      </c>
      <c r="AC292" s="723">
        <f>AC276*(1+PARAMETROS!$C$88)*(1+PARAMETROS!$D$88)*(1+PARAMETROS!$E$88)*(1+PARAMETROS!$F$88)*(1+PARAMETROS!$G$88)*(1+PARAMETROS!$H$88)^AC$288</f>
        <v>264712.89091905503</v>
      </c>
      <c r="AD292" s="723">
        <f>AD276*(1+PARAMETROS!$C$88)*(1+PARAMETROS!$D$88)*(1+PARAMETROS!$E$88)*(1+PARAMETROS!$F$88)*(1+PARAMETROS!$G$88)*(1+PARAMETROS!$H$88)^AD$288</f>
        <v>321077.57746680861</v>
      </c>
      <c r="AE292" s="723">
        <f>AE276*(1+PARAMETROS!$C$88)*(1+PARAMETROS!$D$88)*(1+PARAMETROS!$E$88)*(1+PARAMETROS!$F$88)*(1+PARAMETROS!$G$88)*(1+PARAMETROS!$H$88)^AE$288</f>
        <v>0</v>
      </c>
      <c r="AF292" s="723">
        <f>AF276*(1+PARAMETROS!$C$88)*(1+PARAMETROS!$D$88)*(1+PARAMETROS!$E$88)*(1+PARAMETROS!$F$88)*(1+PARAMETROS!$G$88)*(1+PARAMETROS!$H$88)^AF$288</f>
        <v>0</v>
      </c>
      <c r="AG292" s="723">
        <f>AG276*(1+PARAMETROS!$C$88)*(1+PARAMETROS!$D$88)*(1+PARAMETROS!$E$88)*(1+PARAMETROS!$F$88)*(1+PARAMETROS!$G$88)*(1+PARAMETROS!$H$88)^AG$288</f>
        <v>0</v>
      </c>
      <c r="AH292" s="723">
        <f>AH276*(1+PARAMETROS!$C$88)*(1+PARAMETROS!$D$88)*(1+PARAMETROS!$E$88)*(1+PARAMETROS!$F$88)*(1+PARAMETROS!$G$88)*(1+PARAMETROS!$H$88)^AH$288</f>
        <v>0</v>
      </c>
      <c r="AI292" s="723">
        <f>AI276*(1+PARAMETROS!$C$88)*(1+PARAMETROS!$D$88)*(1+PARAMETROS!$E$88)*(1+PARAMETROS!$F$88)*(1+PARAMETROS!$G$88)*(1+PARAMETROS!$H$88)^AI$288</f>
        <v>0</v>
      </c>
      <c r="AJ292" s="723">
        <f>AJ276*(1+PARAMETROS!$C$88)*(1+PARAMETROS!$D$88)*(1+PARAMETROS!$E$88)*(1+PARAMETROS!$F$88)*(1+PARAMETROS!$G$88)*(1+PARAMETROS!$H$88)^AJ$288</f>
        <v>0</v>
      </c>
      <c r="AK292" s="723">
        <f>AK276*(1+PARAMETROS!$C$88)*(1+PARAMETROS!$D$88)*(1+PARAMETROS!$E$88)*(1+PARAMETROS!$F$88)*(1+PARAMETROS!$G$88)*(1+PARAMETROS!$H$88)^AK$288</f>
        <v>0</v>
      </c>
      <c r="AL292" s="723">
        <f>AL276*(1+PARAMETROS!$C$88)*(1+PARAMETROS!$D$88)*(1+PARAMETROS!$E$88)*(1+PARAMETROS!$F$88)*(1+PARAMETROS!$G$88)*(1+PARAMETROS!$H$88)^AL$288</f>
        <v>0</v>
      </c>
      <c r="AM292" s="723">
        <f>AM276*(1+PARAMETROS!$C$88)*(1+PARAMETROS!$D$88)*(1+PARAMETROS!$E$88)*(1+PARAMETROS!$F$88)*(1+PARAMETROS!$G$88)*(1+PARAMETROS!$H$88)^AM$288</f>
        <v>0</v>
      </c>
      <c r="AN292" s="723">
        <f>AN276*(1+PARAMETROS!$C$88)*(1+PARAMETROS!$D$88)*(1+PARAMETROS!$E$88)*(1+PARAMETROS!$F$88)*(1+PARAMETROS!$G$88)*(1+PARAMETROS!$H$88)^AN$288</f>
        <v>508770.98479127226</v>
      </c>
      <c r="AO292" s="723">
        <f>AO276*(1+PARAMETROS!$C$88)*(1+PARAMETROS!$D$88)*(1+PARAMETROS!$E$88)*(1+PARAMETROS!$F$88)*(1+PARAMETROS!$G$88)*(1+PARAMETROS!$H$88)^AO$288</f>
        <v>1602119.4649101563</v>
      </c>
      <c r="AP292" s="723">
        <f>AP276*(1+PARAMETROS!$C$88)*(1+PARAMETROS!$D$88)*(1+PARAMETROS!$E$88)*(1+PARAMETROS!$F$88)*(1+PARAMETROS!$G$88)*(1+PARAMETROS!$H$88)^AP$288</f>
        <v>526170.23688872065</v>
      </c>
      <c r="AQ292" s="723">
        <f>AQ276*(1+PARAMETROS!$C$88)*(1+PARAMETROS!$D$88)*(1+PARAMETROS!$E$88)*(1+PARAMETROS!$F$88)*(1+PARAMETROS!$G$88)*(1+PARAMETROS!$H$88)^AQ$288</f>
        <v>0</v>
      </c>
      <c r="AR292" s="723">
        <f>AR276*(1+PARAMETROS!$C$88)*(1+PARAMETROS!$D$88)*(1+PARAMETROS!$E$88)*(1+PARAMETROS!$F$88)*(1+PARAMETROS!$G$88)*(1+PARAMETROS!$H$88)^AR$288</f>
        <v>0</v>
      </c>
      <c r="AS292" s="723">
        <f>AS276*(1+PARAMETROS!$C$88)*(1+PARAMETROS!$D$88)*(1+PARAMETROS!$E$88)*(1+PARAMETROS!$F$88)*(1+PARAMETROS!$G$88)*(1+PARAMETROS!$H$88)^AS$288</f>
        <v>0</v>
      </c>
      <c r="AT292" s="723">
        <f>AT276*(1+PARAMETROS!$C$88)*(1+PARAMETROS!$D$88)*(1+PARAMETROS!$E$88)*(1+PARAMETROS!$F$88)*(1+PARAMETROS!$G$88)*(1+PARAMETROS!$H$88)^AT$288</f>
        <v>0</v>
      </c>
      <c r="AU292" s="723">
        <f>AU276*(1+PARAMETROS!$C$88)*(1+PARAMETROS!$D$88)*(1+PARAMETROS!$E$88)*(1+PARAMETROS!$F$88)*(1+PARAMETROS!$G$88)*(1+PARAMETROS!$H$88)^AU$288</f>
        <v>0</v>
      </c>
      <c r="AV292" s="723">
        <f>AV276*(1+PARAMETROS!$C$88)*(1+PARAMETROS!$D$88)*(1+PARAMETROS!$E$88)*(1+PARAMETROS!$F$88)*(1+PARAMETROS!$G$88)*(1+PARAMETROS!$H$88)^AV$288</f>
        <v>0</v>
      </c>
      <c r="AW292" s="723">
        <f>AW276*(1+PARAMETROS!$C$88)*(1+PARAMETROS!$D$88)*(1+PARAMETROS!$E$88)*(1+PARAMETROS!$F$88)*(1+PARAMETROS!$G$88)*(1+PARAMETROS!$H$88)^AW$288</f>
        <v>0</v>
      </c>
      <c r="AX292" s="723">
        <f>AX276*(1+PARAMETROS!$C$88)*(1+PARAMETROS!$D$88)*(1+PARAMETROS!$E$88)*(1+PARAMETROS!$F$88)*(1+PARAMETROS!$G$88)*(1+PARAMETROS!$H$88)^AX$288</f>
        <v>0</v>
      </c>
    </row>
    <row r="293" spans="2:50" x14ac:dyDescent="0.2">
      <c r="B293" s="737" t="s">
        <v>408</v>
      </c>
      <c r="C293" s="16" t="s">
        <v>180</v>
      </c>
      <c r="D293" s="740" t="s">
        <v>412</v>
      </c>
      <c r="E293" s="757">
        <f t="shared" si="104"/>
        <v>406427.76732271718</v>
      </c>
      <c r="F293" s="757">
        <f>F277*(1+PARAMETROS!$C$93)</f>
        <v>1649327.7268940867</v>
      </c>
      <c r="G293" s="757">
        <f>G277*(1+PARAMETROS!$C$93)*(1+PARAMETROS!$D$93)</f>
        <v>6922961.0234504659</v>
      </c>
      <c r="H293" s="757">
        <f>H277*(1+PARAMETROS!$C$93)*(1+PARAMETROS!$D$93)*(1+PARAMETROS!$E$93)</f>
        <v>2719696.5823499504</v>
      </c>
      <c r="I293" s="757">
        <f>I277*(1+PARAMETROS!$C$93)*(1+PARAMETROS!$D$93)*(1+PARAMETROS!$E$93)*(1+PARAMETROS!$F$93)</f>
        <v>0</v>
      </c>
      <c r="J293" s="757">
        <f>J277*(1+PARAMETROS!$C$93)*(1+PARAMETROS!$D$93)*(1+PARAMETROS!$E$93)*(1+PARAMETROS!$F$93)*(1+PARAMETROS!$G$93)</f>
        <v>0</v>
      </c>
      <c r="K293" s="757">
        <f>K277*(1+PARAMETROS!$C$93)*(1+PARAMETROS!$D$93)*(1+PARAMETROS!$E$93)*(1+PARAMETROS!$F$93)*(1+PARAMETROS!$G$93)*(1+PARAMETROS!$H$93)^K$288</f>
        <v>0</v>
      </c>
      <c r="L293" s="723">
        <f>L277*(1+PARAMETROS!$C$93)*(1+PARAMETROS!$D$93)*(1+PARAMETROS!$E$93)*(1+PARAMETROS!$F$93)*(1+PARAMETROS!$G$93)*(1+PARAMETROS!$H$93)^L$288</f>
        <v>0</v>
      </c>
      <c r="M293" s="723">
        <f>M277*(1+PARAMETROS!$C$93)*(1+PARAMETROS!$D$93)*(1+PARAMETROS!$E$93)*(1+PARAMETROS!$F$93)*(1+PARAMETROS!$G$93)*(1+PARAMETROS!$H$93)^M$288</f>
        <v>0</v>
      </c>
      <c r="N293" s="723">
        <f>N277*(1+PARAMETROS!$C$93)*(1+PARAMETROS!$D$93)*(1+PARAMETROS!$E$93)*(1+PARAMETROS!$F$93)*(1+PARAMETROS!$G$93)*(1+PARAMETROS!$H$93)^N$288</f>
        <v>0</v>
      </c>
      <c r="O293" s="723">
        <f>O277*(1+PARAMETROS!$C$93)*(1+PARAMETROS!$D$93)*(1+PARAMETROS!$E$93)*(1+PARAMETROS!$F$93)*(1+PARAMETROS!$G$93)*(1+PARAMETROS!$H$93)^O$288</f>
        <v>0</v>
      </c>
      <c r="P293" s="723">
        <f>P277*(1+PARAMETROS!$C$93)*(1+PARAMETROS!$D$93)*(1+PARAMETROS!$E$93)*(1+PARAMETROS!$F$93)*(1+PARAMETROS!$G$93)*(1+PARAMETROS!$H$93)^P$288</f>
        <v>0</v>
      </c>
      <c r="Q293" s="723">
        <f>Q277*(1+PARAMETROS!$C$93)*(1+PARAMETROS!$D$93)*(1+PARAMETROS!$E$93)*(1+PARAMETROS!$F$93)*(1+PARAMETROS!$G$93)*(1+PARAMETROS!$H$93)^Q$288</f>
        <v>0</v>
      </c>
      <c r="R293" s="723">
        <f>R277*(1+PARAMETROS!$C$93)*(1+PARAMETROS!$D$93)*(1+PARAMETROS!$E$93)*(1+PARAMETROS!$F$93)*(1+PARAMETROS!$G$93)*(1+PARAMETROS!$H$93)^R$288</f>
        <v>49290.511389927866</v>
      </c>
      <c r="S293" s="723">
        <f>S277*(1+PARAMETROS!$C$93)*(1+PARAMETROS!$D$93)*(1+PARAMETROS!$E$93)*(1+PARAMETROS!$F$93)*(1+PARAMETROS!$G$93)*(1+PARAMETROS!$H$93)^S$288</f>
        <v>59727.20924754021</v>
      </c>
      <c r="T293" s="723">
        <f>T277*(1+PARAMETROS!$C$93)*(1+PARAMETROS!$D$93)*(1+PARAMETROS!$E$93)*(1+PARAMETROS!$F$93)*(1+PARAMETROS!$G$93)*(1+PARAMETROS!$H$93)^T$288</f>
        <v>0</v>
      </c>
      <c r="U293" s="723">
        <f>U277*(1+PARAMETROS!$C$93)*(1+PARAMETROS!$D$93)*(1+PARAMETROS!$E$93)*(1+PARAMETROS!$F$93)*(1+PARAMETROS!$G$93)*(1+PARAMETROS!$H$93)^U$288</f>
        <v>0</v>
      </c>
      <c r="V293" s="723">
        <f>V277*(1+PARAMETROS!$C$93)*(1+PARAMETROS!$D$93)*(1+PARAMETROS!$E$93)*(1+PARAMETROS!$F$93)*(1+PARAMETROS!$G$93)*(1+PARAMETROS!$H$93)^V$288</f>
        <v>0</v>
      </c>
      <c r="W293" s="723">
        <f>W277*(1+PARAMETROS!$C$93)*(1+PARAMETROS!$D$93)*(1+PARAMETROS!$E$93)*(1+PARAMETROS!$F$93)*(1+PARAMETROS!$G$93)*(1+PARAMETROS!$H$93)^W$288</f>
        <v>418587.4042875875</v>
      </c>
      <c r="X293" s="723">
        <f>X277*(1+PARAMETROS!$C$93)*(1+PARAMETROS!$D$93)*(1+PARAMETROS!$E$93)*(1+PARAMETROS!$F$93)*(1+PARAMETROS!$G$93)*(1+PARAMETROS!$H$93)^X$288</f>
        <v>868425.39743532834</v>
      </c>
      <c r="Y293" s="723">
        <f>Y277*(1+PARAMETROS!$C$93)*(1+PARAMETROS!$D$93)*(1+PARAMETROS!$E$93)*(1+PARAMETROS!$F$93)*(1+PARAMETROS!$G$93)*(1+PARAMETROS!$H$93)^Y$288</f>
        <v>440140.27133834519</v>
      </c>
      <c r="Z293" s="723">
        <f>Z277*(1+PARAMETROS!$C$93)*(1+PARAMETROS!$D$93)*(1+PARAMETROS!$E$93)*(1+PARAMETROS!$F$93)*(1+PARAMETROS!$G$93)*(1+PARAMETROS!$H$93)^Z$288</f>
        <v>0</v>
      </c>
      <c r="AA293" s="723">
        <f>AA277*(1+PARAMETROS!$C$93)*(1+PARAMETROS!$D$93)*(1+PARAMETROS!$E$93)*(1+PARAMETROS!$F$93)*(1+PARAMETROS!$G$93)*(1+PARAMETROS!$H$93)^AA$288</f>
        <v>0</v>
      </c>
      <c r="AB293" s="723">
        <f>AB277*(1+PARAMETROS!$C$93)*(1+PARAMETROS!$D$93)*(1+PARAMETROS!$E$93)*(1+PARAMETROS!$F$93)*(1+PARAMETROS!$G$93)*(1+PARAMETROS!$H$93)^AB$288</f>
        <v>0</v>
      </c>
      <c r="AC293" s="723">
        <f>AC277*(1+PARAMETROS!$C$93)*(1+PARAMETROS!$D$93)*(1+PARAMETROS!$E$93)*(1+PARAMETROS!$F$93)*(1+PARAMETROS!$G$93)*(1+PARAMETROS!$H$93)^AC$288</f>
        <v>60628.852427539656</v>
      </c>
      <c r="AD293" s="723">
        <f>AD277*(1+PARAMETROS!$C$93)*(1+PARAMETROS!$D$93)*(1+PARAMETROS!$E$93)*(1+PARAMETROS!$F$93)*(1+PARAMETROS!$G$93)*(1+PARAMETROS!$H$93)^AD$288</f>
        <v>73466.313358596235</v>
      </c>
      <c r="AE293" s="723">
        <f>AE277*(1+PARAMETROS!$C$93)*(1+PARAMETROS!$D$93)*(1+PARAMETROS!$E$93)*(1+PARAMETROS!$F$93)*(1+PARAMETROS!$G$93)*(1+PARAMETROS!$H$93)^AE$288</f>
        <v>0</v>
      </c>
      <c r="AF293" s="723">
        <f>AF277*(1+PARAMETROS!$C$93)*(1+PARAMETROS!$D$93)*(1+PARAMETROS!$E$93)*(1+PARAMETROS!$F$93)*(1+PARAMETROS!$G$93)*(1+PARAMETROS!$H$93)^AF$288</f>
        <v>0</v>
      </c>
      <c r="AG293" s="723">
        <f>AG277*(1+PARAMETROS!$C$93)*(1+PARAMETROS!$D$93)*(1+PARAMETROS!$E$93)*(1+PARAMETROS!$F$93)*(1+PARAMETROS!$G$93)*(1+PARAMETROS!$H$93)^AG$288</f>
        <v>0</v>
      </c>
      <c r="AH293" s="723">
        <f>AH277*(1+PARAMETROS!$C$93)*(1+PARAMETROS!$D$93)*(1+PARAMETROS!$E$93)*(1+PARAMETROS!$F$93)*(1+PARAMETROS!$G$93)*(1+PARAMETROS!$H$93)^AH$288</f>
        <v>0</v>
      </c>
      <c r="AI293" s="723">
        <f>AI277*(1+PARAMETROS!$C$93)*(1+PARAMETROS!$D$93)*(1+PARAMETROS!$E$93)*(1+PARAMETROS!$F$93)*(1+PARAMETROS!$G$93)*(1+PARAMETROS!$H$93)^AI$288</f>
        <v>0</v>
      </c>
      <c r="AJ293" s="723">
        <f>AJ277*(1+PARAMETROS!$C$93)*(1+PARAMETROS!$D$93)*(1+PARAMETROS!$E$93)*(1+PARAMETROS!$F$93)*(1+PARAMETROS!$G$93)*(1+PARAMETROS!$H$93)^AJ$288</f>
        <v>0</v>
      </c>
      <c r="AK293" s="723">
        <f>AK277*(1+PARAMETROS!$C$93)*(1+PARAMETROS!$D$93)*(1+PARAMETROS!$E$93)*(1+PARAMETROS!$F$93)*(1+PARAMETROS!$G$93)*(1+PARAMETROS!$H$93)^AK$288</f>
        <v>0</v>
      </c>
      <c r="AL293" s="723">
        <f>AL277*(1+PARAMETROS!$C$93)*(1+PARAMETROS!$D$93)*(1+PARAMETROS!$E$93)*(1+PARAMETROS!$F$93)*(1+PARAMETROS!$G$93)*(1+PARAMETROS!$H$93)^AL$288</f>
        <v>0</v>
      </c>
      <c r="AM293" s="723">
        <f>AM277*(1+PARAMETROS!$C$93)*(1+PARAMETROS!$D$93)*(1+PARAMETROS!$E$93)*(1+PARAMETROS!$F$93)*(1+PARAMETROS!$G$93)*(1+PARAMETROS!$H$93)^AM$288</f>
        <v>0</v>
      </c>
      <c r="AN293" s="723">
        <f>AN277*(1+PARAMETROS!$C$93)*(1+PARAMETROS!$D$93)*(1+PARAMETROS!$E$93)*(1+PARAMETROS!$F$93)*(1+PARAMETROS!$G$93)*(1+PARAMETROS!$H$93)^AN$288</f>
        <v>651006.30283923575</v>
      </c>
      <c r="AO293" s="723">
        <f>AO277*(1+PARAMETROS!$C$93)*(1+PARAMETROS!$D$93)*(1+PARAMETROS!$E$93)*(1+PARAMETROS!$F$93)*(1+PARAMETROS!$G$93)*(1+PARAMETROS!$H$93)^AO$288</f>
        <v>1251632.3515500643</v>
      </c>
      <c r="AP293" s="723">
        <f>AP277*(1+PARAMETROS!$C$93)*(1+PARAMETROS!$D$93)*(1+PARAMETROS!$E$93)*(1+PARAMETROS!$F$93)*(1+PARAMETROS!$G$93)*(1+PARAMETROS!$H$93)^AP$288</f>
        <v>594348.39887282636</v>
      </c>
      <c r="AQ293" s="723">
        <f>AQ277*(1+PARAMETROS!$C$93)*(1+PARAMETROS!$D$93)*(1+PARAMETROS!$E$93)*(1+PARAMETROS!$F$93)*(1+PARAMETROS!$G$93)*(1+PARAMETROS!$H$93)^AQ$288</f>
        <v>0</v>
      </c>
      <c r="AR293" s="723">
        <f>AR277*(1+PARAMETROS!$C$93)*(1+PARAMETROS!$D$93)*(1+PARAMETROS!$E$93)*(1+PARAMETROS!$F$93)*(1+PARAMETROS!$G$93)*(1+PARAMETROS!$H$93)^AR$288</f>
        <v>0</v>
      </c>
      <c r="AS293" s="723">
        <f>AS277*(1+PARAMETROS!$C$93)*(1+PARAMETROS!$D$93)*(1+PARAMETROS!$E$93)*(1+PARAMETROS!$F$93)*(1+PARAMETROS!$G$93)*(1+PARAMETROS!$H$93)^AS$288</f>
        <v>0</v>
      </c>
      <c r="AT293" s="723">
        <f>AT277*(1+PARAMETROS!$C$93)*(1+PARAMETROS!$D$93)*(1+PARAMETROS!$E$93)*(1+PARAMETROS!$F$93)*(1+PARAMETROS!$G$93)*(1+PARAMETROS!$H$93)^AT$288</f>
        <v>0</v>
      </c>
      <c r="AU293" s="723">
        <f>AU277*(1+PARAMETROS!$C$93)*(1+PARAMETROS!$D$93)*(1+PARAMETROS!$E$93)*(1+PARAMETROS!$F$93)*(1+PARAMETROS!$G$93)*(1+PARAMETROS!$H$93)^AU$288</f>
        <v>0</v>
      </c>
      <c r="AV293" s="723">
        <f>AV277*(1+PARAMETROS!$C$93)*(1+PARAMETROS!$D$93)*(1+PARAMETROS!$E$93)*(1+PARAMETROS!$F$93)*(1+PARAMETROS!$G$93)*(1+PARAMETROS!$H$93)^AV$288</f>
        <v>0</v>
      </c>
      <c r="AW293" s="723">
        <f>AW277*(1+PARAMETROS!$C$93)*(1+PARAMETROS!$D$93)*(1+PARAMETROS!$E$93)*(1+PARAMETROS!$F$93)*(1+PARAMETROS!$G$93)*(1+PARAMETROS!$H$93)^AW$288</f>
        <v>0</v>
      </c>
      <c r="AX293" s="723">
        <f>AX277*(1+PARAMETROS!$C$93)*(1+PARAMETROS!$D$93)*(1+PARAMETROS!$E$93)*(1+PARAMETROS!$F$93)*(1+PARAMETROS!$G$93)*(1+PARAMETROS!$H$93)^AX$288</f>
        <v>0</v>
      </c>
    </row>
    <row r="294" spans="2:50" x14ac:dyDescent="0.2">
      <c r="B294" s="710"/>
      <c r="C294" s="16"/>
      <c r="D294" s="740"/>
      <c r="E294" s="722"/>
      <c r="F294" s="723"/>
      <c r="G294" s="723"/>
      <c r="H294" s="723"/>
      <c r="I294" s="723"/>
      <c r="J294" s="723"/>
      <c r="K294" s="723"/>
      <c r="L294" s="722"/>
      <c r="M294" s="722"/>
      <c r="N294" s="722"/>
      <c r="O294" s="722"/>
      <c r="P294" s="722"/>
      <c r="Q294" s="722"/>
      <c r="R294" s="722"/>
      <c r="S294" s="722"/>
      <c r="T294" s="722"/>
      <c r="U294" s="722"/>
      <c r="V294" s="722"/>
      <c r="W294" s="722"/>
      <c r="X294" s="722"/>
      <c r="Y294" s="722"/>
      <c r="Z294" s="722"/>
      <c r="AA294" s="722"/>
      <c r="AB294" s="722"/>
      <c r="AC294" s="722"/>
      <c r="AD294" s="722"/>
      <c r="AE294" s="722"/>
      <c r="AF294" s="722"/>
      <c r="AG294" s="722"/>
      <c r="AH294" s="722"/>
      <c r="AI294" s="722"/>
      <c r="AJ294" s="722"/>
      <c r="AK294" s="722"/>
      <c r="AL294" s="722"/>
      <c r="AM294" s="722"/>
      <c r="AN294" s="722"/>
      <c r="AO294" s="722"/>
      <c r="AP294" s="722"/>
      <c r="AQ294" s="722"/>
      <c r="AR294" s="722"/>
      <c r="AS294" s="722"/>
      <c r="AT294" s="722"/>
      <c r="AU294" s="722"/>
      <c r="AV294" s="722"/>
      <c r="AW294" s="722"/>
      <c r="AX294" s="722"/>
    </row>
    <row r="295" spans="2:50" x14ac:dyDescent="0.2">
      <c r="B295" s="737" t="s">
        <v>407</v>
      </c>
      <c r="C295" s="16" t="s">
        <v>410</v>
      </c>
      <c r="D295" s="740" t="s">
        <v>412</v>
      </c>
      <c r="E295" s="722">
        <f>E289+E292</f>
        <v>1635423.5450968919</v>
      </c>
      <c r="F295" s="722">
        <f t="shared" ref="F295:AX296" si="105">F289+F292</f>
        <v>12769982.441712379</v>
      </c>
      <c r="G295" s="722">
        <f t="shared" si="105"/>
        <v>24763162.287142109</v>
      </c>
      <c r="H295" s="722">
        <f t="shared" si="105"/>
        <v>10163771.953292975</v>
      </c>
      <c r="I295" s="722">
        <f t="shared" si="105"/>
        <v>0</v>
      </c>
      <c r="J295" s="722">
        <f t="shared" si="105"/>
        <v>0</v>
      </c>
      <c r="K295" s="722">
        <f t="shared" si="105"/>
        <v>0</v>
      </c>
      <c r="L295" s="722">
        <f t="shared" si="105"/>
        <v>0</v>
      </c>
      <c r="M295" s="722">
        <f t="shared" si="105"/>
        <v>0</v>
      </c>
      <c r="N295" s="722">
        <f t="shared" si="105"/>
        <v>0</v>
      </c>
      <c r="O295" s="722">
        <f t="shared" si="105"/>
        <v>0</v>
      </c>
      <c r="P295" s="722">
        <f t="shared" si="105"/>
        <v>0</v>
      </c>
      <c r="Q295" s="722">
        <f t="shared" si="105"/>
        <v>0</v>
      </c>
      <c r="R295" s="722">
        <f t="shared" si="105"/>
        <v>1317335.0560981215</v>
      </c>
      <c r="S295" s="722">
        <f t="shared" si="105"/>
        <v>1597832.0778243614</v>
      </c>
      <c r="T295" s="722">
        <f t="shared" si="105"/>
        <v>0</v>
      </c>
      <c r="U295" s="722">
        <f t="shared" si="105"/>
        <v>0</v>
      </c>
      <c r="V295" s="722">
        <f t="shared" si="105"/>
        <v>0</v>
      </c>
      <c r="W295" s="722">
        <f t="shared" si="105"/>
        <v>649209.88420009241</v>
      </c>
      <c r="X295" s="722">
        <f t="shared" si="105"/>
        <v>4387513.6719945716</v>
      </c>
      <c r="Y295" s="722">
        <f t="shared" si="105"/>
        <v>1910197.8001132216</v>
      </c>
      <c r="Z295" s="722">
        <f t="shared" si="105"/>
        <v>0</v>
      </c>
      <c r="AA295" s="722">
        <f t="shared" si="105"/>
        <v>0</v>
      </c>
      <c r="AB295" s="722">
        <f t="shared" si="105"/>
        <v>0</v>
      </c>
      <c r="AC295" s="722">
        <f t="shared" si="105"/>
        <v>1637940.5643000321</v>
      </c>
      <c r="AD295" s="722">
        <f t="shared" si="105"/>
        <v>1986703.3546956554</v>
      </c>
      <c r="AE295" s="722">
        <f t="shared" si="105"/>
        <v>0</v>
      </c>
      <c r="AF295" s="722">
        <f t="shared" si="105"/>
        <v>0</v>
      </c>
      <c r="AG295" s="722">
        <f t="shared" si="105"/>
        <v>0</v>
      </c>
      <c r="AH295" s="722">
        <f t="shared" si="105"/>
        <v>0</v>
      </c>
      <c r="AI295" s="722">
        <f t="shared" si="105"/>
        <v>0</v>
      </c>
      <c r="AJ295" s="722">
        <f t="shared" si="105"/>
        <v>0</v>
      </c>
      <c r="AK295" s="722">
        <f t="shared" si="105"/>
        <v>0</v>
      </c>
      <c r="AL295" s="722">
        <f t="shared" si="105"/>
        <v>0</v>
      </c>
      <c r="AM295" s="722">
        <f t="shared" si="105"/>
        <v>0</v>
      </c>
      <c r="AN295" s="722">
        <f t="shared" si="105"/>
        <v>2945623.7859341856</v>
      </c>
      <c r="AO295" s="722">
        <f t="shared" si="105"/>
        <v>8518013.1330951937</v>
      </c>
      <c r="AP295" s="722">
        <f t="shared" si="105"/>
        <v>2642172.4884749884</v>
      </c>
      <c r="AQ295" s="722">
        <f t="shared" si="105"/>
        <v>0</v>
      </c>
      <c r="AR295" s="722">
        <f t="shared" si="105"/>
        <v>0</v>
      </c>
      <c r="AS295" s="722">
        <f t="shared" si="105"/>
        <v>0</v>
      </c>
      <c r="AT295" s="722">
        <f t="shared" si="105"/>
        <v>0</v>
      </c>
      <c r="AU295" s="722">
        <f t="shared" si="105"/>
        <v>0</v>
      </c>
      <c r="AV295" s="722">
        <f t="shared" si="105"/>
        <v>0</v>
      </c>
      <c r="AW295" s="722">
        <f t="shared" si="105"/>
        <v>0</v>
      </c>
      <c r="AX295" s="722">
        <f t="shared" si="105"/>
        <v>0</v>
      </c>
    </row>
    <row r="296" spans="2:50" x14ac:dyDescent="0.2">
      <c r="B296" s="737" t="s">
        <v>408</v>
      </c>
      <c r="C296" s="16" t="s">
        <v>410</v>
      </c>
      <c r="D296" s="740" t="s">
        <v>412</v>
      </c>
      <c r="E296" s="722">
        <f>E290+E293</f>
        <v>4259258.0991296778</v>
      </c>
      <c r="F296" s="722">
        <f t="shared" si="105"/>
        <v>10922456.884975327</v>
      </c>
      <c r="G296" s="722">
        <f t="shared" si="105"/>
        <v>36204012.846694469</v>
      </c>
      <c r="H296" s="722">
        <f t="shared" si="105"/>
        <v>14349941.671731494</v>
      </c>
      <c r="I296" s="722">
        <f t="shared" si="105"/>
        <v>0</v>
      </c>
      <c r="J296" s="722">
        <f t="shared" si="105"/>
        <v>0</v>
      </c>
      <c r="K296" s="722">
        <f t="shared" si="105"/>
        <v>0</v>
      </c>
      <c r="L296" s="722">
        <f t="shared" si="105"/>
        <v>0</v>
      </c>
      <c r="M296" s="722">
        <f t="shared" si="105"/>
        <v>0</v>
      </c>
      <c r="N296" s="722">
        <f t="shared" si="105"/>
        <v>0</v>
      </c>
      <c r="O296" s="722">
        <f t="shared" si="105"/>
        <v>0</v>
      </c>
      <c r="P296" s="722">
        <f t="shared" si="105"/>
        <v>0</v>
      </c>
      <c r="Q296" s="722">
        <f t="shared" si="105"/>
        <v>0</v>
      </c>
      <c r="R296" s="722">
        <f t="shared" si="105"/>
        <v>304990.54186727555</v>
      </c>
      <c r="S296" s="722">
        <f t="shared" si="105"/>
        <v>369568.77498231409</v>
      </c>
      <c r="T296" s="722">
        <f t="shared" si="105"/>
        <v>0</v>
      </c>
      <c r="U296" s="722">
        <f t="shared" si="105"/>
        <v>0</v>
      </c>
      <c r="V296" s="722">
        <f t="shared" si="105"/>
        <v>0</v>
      </c>
      <c r="W296" s="722">
        <f t="shared" si="105"/>
        <v>2211727.5584897073</v>
      </c>
      <c r="X296" s="722">
        <f t="shared" si="105"/>
        <v>4705269.6589439008</v>
      </c>
      <c r="Y296" s="722">
        <f t="shared" si="105"/>
        <v>2324048.8175353389</v>
      </c>
      <c r="Z296" s="722">
        <f t="shared" si="105"/>
        <v>0</v>
      </c>
      <c r="AA296" s="722">
        <f t="shared" si="105"/>
        <v>0</v>
      </c>
      <c r="AB296" s="722">
        <f t="shared" si="105"/>
        <v>0</v>
      </c>
      <c r="AC296" s="722">
        <f t="shared" si="105"/>
        <v>375147.79281525052</v>
      </c>
      <c r="AD296" s="722">
        <f t="shared" si="105"/>
        <v>454581.01546107978</v>
      </c>
      <c r="AE296" s="722">
        <f t="shared" si="105"/>
        <v>0</v>
      </c>
      <c r="AF296" s="722">
        <f t="shared" si="105"/>
        <v>0</v>
      </c>
      <c r="AG296" s="722">
        <f t="shared" si="105"/>
        <v>0</v>
      </c>
      <c r="AH296" s="722">
        <f t="shared" si="105"/>
        <v>0</v>
      </c>
      <c r="AI296" s="722">
        <f t="shared" si="105"/>
        <v>0</v>
      </c>
      <c r="AJ296" s="722">
        <f t="shared" si="105"/>
        <v>0</v>
      </c>
      <c r="AK296" s="722">
        <f t="shared" si="105"/>
        <v>0</v>
      </c>
      <c r="AL296" s="722">
        <f t="shared" si="105"/>
        <v>0</v>
      </c>
      <c r="AM296" s="722">
        <f t="shared" si="105"/>
        <v>0</v>
      </c>
      <c r="AN296" s="722">
        <f t="shared" si="105"/>
        <v>3507182.8923291899</v>
      </c>
      <c r="AO296" s="722">
        <f t="shared" si="105"/>
        <v>6865560.0403700508</v>
      </c>
      <c r="AP296" s="722">
        <f t="shared" si="105"/>
        <v>3141602.0812524497</v>
      </c>
      <c r="AQ296" s="722">
        <f t="shared" si="105"/>
        <v>0</v>
      </c>
      <c r="AR296" s="722">
        <f t="shared" si="105"/>
        <v>0</v>
      </c>
      <c r="AS296" s="722">
        <f t="shared" si="105"/>
        <v>0</v>
      </c>
      <c r="AT296" s="722">
        <f t="shared" si="105"/>
        <v>0</v>
      </c>
      <c r="AU296" s="722">
        <f t="shared" si="105"/>
        <v>0</v>
      </c>
      <c r="AV296" s="722">
        <f t="shared" si="105"/>
        <v>0</v>
      </c>
      <c r="AW296" s="722">
        <f t="shared" si="105"/>
        <v>0</v>
      </c>
      <c r="AX296" s="722">
        <f t="shared" si="105"/>
        <v>0</v>
      </c>
    </row>
    <row r="297" spans="2:50" x14ac:dyDescent="0.2">
      <c r="B297" s="737"/>
      <c r="C297" s="16"/>
      <c r="D297" s="740"/>
      <c r="E297" s="722"/>
      <c r="F297" s="722"/>
      <c r="G297" s="722"/>
      <c r="H297" s="722"/>
      <c r="I297" s="724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</row>
    <row r="298" spans="2:50" x14ac:dyDescent="0.2">
      <c r="B298" s="738" t="s">
        <v>415</v>
      </c>
      <c r="C298" s="751" t="s">
        <v>409</v>
      </c>
      <c r="D298" s="725" t="s">
        <v>412</v>
      </c>
      <c r="E298" s="741">
        <f>E289+E290</f>
        <v>5332198.1684703697</v>
      </c>
      <c r="F298" s="741">
        <f t="shared" ref="F298:AX298" si="106">F289+F290</f>
        <v>19669755.173127942</v>
      </c>
      <c r="G298" s="741">
        <f t="shared" si="106"/>
        <v>49167777.727487408</v>
      </c>
      <c r="H298" s="741">
        <f t="shared" si="106"/>
        <v>19836102.472292583</v>
      </c>
      <c r="I298" s="741">
        <f t="shared" si="106"/>
        <v>0</v>
      </c>
      <c r="J298" s="741">
        <f t="shared" si="106"/>
        <v>0</v>
      </c>
      <c r="K298" s="741">
        <f t="shared" si="106"/>
        <v>0</v>
      </c>
      <c r="L298" s="741">
        <f t="shared" si="106"/>
        <v>0</v>
      </c>
      <c r="M298" s="741">
        <f t="shared" si="106"/>
        <v>0</v>
      </c>
      <c r="N298" s="741">
        <f t="shared" si="106"/>
        <v>0</v>
      </c>
      <c r="O298" s="741">
        <f t="shared" si="106"/>
        <v>0</v>
      </c>
      <c r="P298" s="741">
        <f t="shared" si="106"/>
        <v>0</v>
      </c>
      <c r="Q298" s="741">
        <f t="shared" si="106"/>
        <v>0</v>
      </c>
      <c r="R298" s="741">
        <f t="shared" si="106"/>
        <v>1360136.2924377397</v>
      </c>
      <c r="S298" s="741">
        <f t="shared" si="106"/>
        <v>1649442.8153209686</v>
      </c>
      <c r="T298" s="741">
        <f t="shared" si="106"/>
        <v>0</v>
      </c>
      <c r="U298" s="741">
        <f t="shared" si="106"/>
        <v>0</v>
      </c>
      <c r="V298" s="741">
        <f t="shared" si="106"/>
        <v>0</v>
      </c>
      <c r="W298" s="741">
        <f t="shared" si="106"/>
        <v>2314062.3198277643</v>
      </c>
      <c r="X298" s="741">
        <f t="shared" si="106"/>
        <v>7351611.2293968759</v>
      </c>
      <c r="Y298" s="741">
        <f t="shared" si="106"/>
        <v>3413683.8365870705</v>
      </c>
      <c r="Z298" s="741">
        <f t="shared" si="106"/>
        <v>0</v>
      </c>
      <c r="AA298" s="741">
        <f t="shared" si="106"/>
        <v>0</v>
      </c>
      <c r="AB298" s="741">
        <f t="shared" si="106"/>
        <v>0</v>
      </c>
      <c r="AC298" s="741">
        <f t="shared" si="106"/>
        <v>1687746.6137686879</v>
      </c>
      <c r="AD298" s="741">
        <f t="shared" si="106"/>
        <v>2046740.4793313304</v>
      </c>
      <c r="AE298" s="741">
        <f t="shared" si="106"/>
        <v>0</v>
      </c>
      <c r="AF298" s="741">
        <f t="shared" si="106"/>
        <v>0</v>
      </c>
      <c r="AG298" s="741">
        <f t="shared" si="106"/>
        <v>0</v>
      </c>
      <c r="AH298" s="741">
        <f t="shared" si="106"/>
        <v>0</v>
      </c>
      <c r="AI298" s="741">
        <f t="shared" si="106"/>
        <v>0</v>
      </c>
      <c r="AJ298" s="741">
        <f t="shared" si="106"/>
        <v>0</v>
      </c>
      <c r="AK298" s="741">
        <f t="shared" si="106"/>
        <v>0</v>
      </c>
      <c r="AL298" s="741">
        <f t="shared" si="106"/>
        <v>0</v>
      </c>
      <c r="AM298" s="741">
        <f t="shared" si="106"/>
        <v>0</v>
      </c>
      <c r="AN298" s="741">
        <f t="shared" si="106"/>
        <v>5293029.3906328678</v>
      </c>
      <c r="AO298" s="741">
        <f t="shared" si="106"/>
        <v>12529821.357005024</v>
      </c>
      <c r="AP298" s="741">
        <f t="shared" si="106"/>
        <v>4663255.9339658916</v>
      </c>
      <c r="AQ298" s="741">
        <f t="shared" si="106"/>
        <v>0</v>
      </c>
      <c r="AR298" s="741">
        <f t="shared" si="106"/>
        <v>0</v>
      </c>
      <c r="AS298" s="741">
        <f t="shared" si="106"/>
        <v>0</v>
      </c>
      <c r="AT298" s="741">
        <f t="shared" si="106"/>
        <v>0</v>
      </c>
      <c r="AU298" s="741">
        <f t="shared" si="106"/>
        <v>0</v>
      </c>
      <c r="AV298" s="741">
        <f t="shared" si="106"/>
        <v>0</v>
      </c>
      <c r="AW298" s="741">
        <f t="shared" si="106"/>
        <v>0</v>
      </c>
      <c r="AX298" s="741">
        <f t="shared" si="106"/>
        <v>0</v>
      </c>
    </row>
    <row r="299" spans="2:50" x14ac:dyDescent="0.2">
      <c r="B299" s="738" t="s">
        <v>415</v>
      </c>
      <c r="C299" s="751" t="s">
        <v>410</v>
      </c>
      <c r="D299" s="725" t="s">
        <v>412</v>
      </c>
      <c r="E299" s="741">
        <f>E295+E296</f>
        <v>5894681.6442265697</v>
      </c>
      <c r="F299" s="741">
        <f t="shared" ref="F299:AX299" si="107">F295+F296</f>
        <v>23692439.326687708</v>
      </c>
      <c r="G299" s="741">
        <f t="shared" si="107"/>
        <v>60967175.133836582</v>
      </c>
      <c r="H299" s="741">
        <f t="shared" si="107"/>
        <v>24513713.625024468</v>
      </c>
      <c r="I299" s="741">
        <f t="shared" si="107"/>
        <v>0</v>
      </c>
      <c r="J299" s="741">
        <f t="shared" si="107"/>
        <v>0</v>
      </c>
      <c r="K299" s="741">
        <f t="shared" si="107"/>
        <v>0</v>
      </c>
      <c r="L299" s="741">
        <f t="shared" si="107"/>
        <v>0</v>
      </c>
      <c r="M299" s="741">
        <f t="shared" si="107"/>
        <v>0</v>
      </c>
      <c r="N299" s="741">
        <f t="shared" si="107"/>
        <v>0</v>
      </c>
      <c r="O299" s="741">
        <f t="shared" si="107"/>
        <v>0</v>
      </c>
      <c r="P299" s="741">
        <f t="shared" si="107"/>
        <v>0</v>
      </c>
      <c r="Q299" s="741">
        <f t="shared" si="107"/>
        <v>0</v>
      </c>
      <c r="R299" s="741">
        <f t="shared" si="107"/>
        <v>1622325.5979653969</v>
      </c>
      <c r="S299" s="741">
        <f t="shared" si="107"/>
        <v>1967400.8528066755</v>
      </c>
      <c r="T299" s="741">
        <f t="shared" si="107"/>
        <v>0</v>
      </c>
      <c r="U299" s="741">
        <f t="shared" si="107"/>
        <v>0</v>
      </c>
      <c r="V299" s="741">
        <f t="shared" si="107"/>
        <v>0</v>
      </c>
      <c r="W299" s="741">
        <f t="shared" si="107"/>
        <v>2860937.4426897997</v>
      </c>
      <c r="X299" s="741">
        <f t="shared" si="107"/>
        <v>9092783.3309384733</v>
      </c>
      <c r="Y299" s="741">
        <f t="shared" si="107"/>
        <v>4234246.6176485606</v>
      </c>
      <c r="Z299" s="741">
        <f t="shared" si="107"/>
        <v>0</v>
      </c>
      <c r="AA299" s="741">
        <f t="shared" si="107"/>
        <v>0</v>
      </c>
      <c r="AB299" s="741">
        <f t="shared" si="107"/>
        <v>0</v>
      </c>
      <c r="AC299" s="741">
        <f t="shared" si="107"/>
        <v>2013088.3571152827</v>
      </c>
      <c r="AD299" s="741">
        <f t="shared" si="107"/>
        <v>2441284.3701567352</v>
      </c>
      <c r="AE299" s="741">
        <f t="shared" si="107"/>
        <v>0</v>
      </c>
      <c r="AF299" s="741">
        <f t="shared" si="107"/>
        <v>0</v>
      </c>
      <c r="AG299" s="741">
        <f t="shared" si="107"/>
        <v>0</v>
      </c>
      <c r="AH299" s="741">
        <f t="shared" si="107"/>
        <v>0</v>
      </c>
      <c r="AI299" s="741">
        <f t="shared" si="107"/>
        <v>0</v>
      </c>
      <c r="AJ299" s="741">
        <f t="shared" si="107"/>
        <v>0</v>
      </c>
      <c r="AK299" s="741">
        <f t="shared" si="107"/>
        <v>0</v>
      </c>
      <c r="AL299" s="741">
        <f t="shared" si="107"/>
        <v>0</v>
      </c>
      <c r="AM299" s="741">
        <f t="shared" si="107"/>
        <v>0</v>
      </c>
      <c r="AN299" s="741">
        <f t="shared" si="107"/>
        <v>6452806.6782633755</v>
      </c>
      <c r="AO299" s="741">
        <f t="shared" si="107"/>
        <v>15383573.173465244</v>
      </c>
      <c r="AP299" s="741">
        <f t="shared" si="107"/>
        <v>5783774.5697274376</v>
      </c>
      <c r="AQ299" s="741">
        <f t="shared" si="107"/>
        <v>0</v>
      </c>
      <c r="AR299" s="741">
        <f t="shared" si="107"/>
        <v>0</v>
      </c>
      <c r="AS299" s="741">
        <f t="shared" si="107"/>
        <v>0</v>
      </c>
      <c r="AT299" s="741">
        <f t="shared" si="107"/>
        <v>0</v>
      </c>
      <c r="AU299" s="741">
        <f t="shared" si="107"/>
        <v>0</v>
      </c>
      <c r="AV299" s="741">
        <f t="shared" si="107"/>
        <v>0</v>
      </c>
      <c r="AW299" s="741">
        <f t="shared" si="107"/>
        <v>0</v>
      </c>
      <c r="AX299" s="741">
        <f t="shared" si="107"/>
        <v>0</v>
      </c>
    </row>
    <row r="300" spans="2:50" x14ac:dyDescent="0.2">
      <c r="B300" s="710"/>
      <c r="C300" s="54"/>
      <c r="D300" s="725"/>
      <c r="E300" s="722"/>
      <c r="F300" s="722"/>
      <c r="G300" s="722"/>
      <c r="H300" s="722"/>
      <c r="I300" s="724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</row>
    <row r="301" spans="2:50" x14ac:dyDescent="0.2">
      <c r="B301" s="710"/>
      <c r="C301" s="54"/>
      <c r="D301" s="725"/>
      <c r="E301" s="722"/>
      <c r="F301" s="722"/>
      <c r="G301" s="722"/>
      <c r="H301" s="722"/>
      <c r="I301" s="724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</row>
    <row r="302" spans="2:50" x14ac:dyDescent="0.2">
      <c r="B302" s="743" t="s">
        <v>414</v>
      </c>
      <c r="C302" s="744"/>
      <c r="D302" s="745"/>
      <c r="E302" s="746"/>
      <c r="F302" s="746"/>
      <c r="G302" s="746"/>
      <c r="H302" s="747"/>
      <c r="I302" s="748"/>
      <c r="J302" s="731"/>
      <c r="K302" s="731"/>
      <c r="L302" s="731"/>
      <c r="M302" s="731"/>
      <c r="N302" s="731"/>
      <c r="O302" s="731"/>
      <c r="P302" s="731"/>
      <c r="Q302" s="731"/>
      <c r="R302" s="731"/>
      <c r="S302" s="731"/>
      <c r="T302" s="731"/>
      <c r="U302" s="731"/>
      <c r="V302" s="731"/>
      <c r="W302" s="731"/>
      <c r="X302" s="731"/>
      <c r="Y302" s="731"/>
      <c r="Z302" s="731"/>
      <c r="AA302" s="731"/>
      <c r="AB302" s="731"/>
      <c r="AC302" s="731"/>
      <c r="AD302" s="731"/>
      <c r="AE302" s="731"/>
      <c r="AF302" s="731"/>
      <c r="AG302" s="731"/>
      <c r="AH302" s="731"/>
      <c r="AI302" s="731"/>
      <c r="AJ302" s="731"/>
      <c r="AK302" s="731"/>
      <c r="AL302" s="731"/>
      <c r="AM302" s="731"/>
      <c r="AN302" s="731"/>
      <c r="AO302" s="749"/>
      <c r="AP302" s="749"/>
      <c r="AQ302" s="749"/>
      <c r="AR302" s="749"/>
      <c r="AS302" s="749"/>
      <c r="AT302" s="749"/>
      <c r="AU302" s="749"/>
      <c r="AV302" s="749"/>
      <c r="AW302" s="749"/>
      <c r="AX302" s="749"/>
    </row>
    <row r="303" spans="2:50" x14ac:dyDescent="0.2">
      <c r="B303" s="710"/>
      <c r="C303" s="54"/>
      <c r="D303" s="725"/>
      <c r="E303" s="722"/>
      <c r="F303" s="722"/>
      <c r="G303" s="722"/>
      <c r="H303" s="722"/>
      <c r="I303" s="724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</row>
    <row r="304" spans="2:50" x14ac:dyDescent="0.2">
      <c r="B304" s="710"/>
      <c r="C304" s="54"/>
      <c r="D304" s="725"/>
      <c r="E304" s="754">
        <f>E287</f>
        <v>2015</v>
      </c>
      <c r="F304" s="754">
        <f t="shared" ref="F304:AX304" si="108">F287</f>
        <v>2016</v>
      </c>
      <c r="G304" s="754">
        <f t="shared" si="108"/>
        <v>2017</v>
      </c>
      <c r="H304" s="754">
        <f t="shared" si="108"/>
        <v>2018</v>
      </c>
      <c r="I304" s="754">
        <f t="shared" si="108"/>
        <v>2019</v>
      </c>
      <c r="J304" s="754">
        <f t="shared" si="108"/>
        <v>2020</v>
      </c>
      <c r="K304" s="754">
        <f t="shared" si="108"/>
        <v>2021</v>
      </c>
      <c r="L304" s="754">
        <f t="shared" si="108"/>
        <v>2022</v>
      </c>
      <c r="M304" s="754">
        <f t="shared" si="108"/>
        <v>2023</v>
      </c>
      <c r="N304" s="754">
        <f t="shared" si="108"/>
        <v>2024</v>
      </c>
      <c r="O304" s="754">
        <f t="shared" si="108"/>
        <v>2025</v>
      </c>
      <c r="P304" s="754">
        <f t="shared" si="108"/>
        <v>2026</v>
      </c>
      <c r="Q304" s="754">
        <f t="shared" si="108"/>
        <v>2027</v>
      </c>
      <c r="R304" s="754">
        <f t="shared" si="108"/>
        <v>2028</v>
      </c>
      <c r="S304" s="754">
        <f t="shared" si="108"/>
        <v>2029</v>
      </c>
      <c r="T304" s="754">
        <f t="shared" si="108"/>
        <v>2030</v>
      </c>
      <c r="U304" s="754">
        <f t="shared" si="108"/>
        <v>2031</v>
      </c>
      <c r="V304" s="754">
        <f t="shared" si="108"/>
        <v>2032</v>
      </c>
      <c r="W304" s="754">
        <f t="shared" si="108"/>
        <v>2033</v>
      </c>
      <c r="X304" s="754">
        <f t="shared" si="108"/>
        <v>2034</v>
      </c>
      <c r="Y304" s="754">
        <f t="shared" si="108"/>
        <v>2035</v>
      </c>
      <c r="Z304" s="754">
        <f t="shared" si="108"/>
        <v>2036</v>
      </c>
      <c r="AA304" s="754">
        <f t="shared" si="108"/>
        <v>2037</v>
      </c>
      <c r="AB304" s="754">
        <f t="shared" si="108"/>
        <v>2038</v>
      </c>
      <c r="AC304" s="754">
        <f t="shared" si="108"/>
        <v>2039</v>
      </c>
      <c r="AD304" s="754">
        <f t="shared" si="108"/>
        <v>2040</v>
      </c>
      <c r="AE304" s="754">
        <f t="shared" si="108"/>
        <v>2041</v>
      </c>
      <c r="AF304" s="754">
        <f t="shared" si="108"/>
        <v>2042</v>
      </c>
      <c r="AG304" s="754">
        <f t="shared" si="108"/>
        <v>2043</v>
      </c>
      <c r="AH304" s="754">
        <f t="shared" si="108"/>
        <v>2044</v>
      </c>
      <c r="AI304" s="754">
        <f t="shared" si="108"/>
        <v>2045</v>
      </c>
      <c r="AJ304" s="754">
        <f t="shared" si="108"/>
        <v>2046</v>
      </c>
      <c r="AK304" s="754">
        <f t="shared" si="108"/>
        <v>2047</v>
      </c>
      <c r="AL304" s="754">
        <f t="shared" si="108"/>
        <v>2048</v>
      </c>
      <c r="AM304" s="754">
        <f t="shared" si="108"/>
        <v>2049</v>
      </c>
      <c r="AN304" s="754">
        <f t="shared" si="108"/>
        <v>2050</v>
      </c>
      <c r="AO304" s="754">
        <f t="shared" si="108"/>
        <v>2051</v>
      </c>
      <c r="AP304" s="754">
        <f t="shared" si="108"/>
        <v>2052</v>
      </c>
      <c r="AQ304" s="754">
        <f t="shared" si="108"/>
        <v>2053</v>
      </c>
      <c r="AR304" s="754">
        <f t="shared" si="108"/>
        <v>2054</v>
      </c>
      <c r="AS304" s="754">
        <f t="shared" si="108"/>
        <v>2055</v>
      </c>
      <c r="AT304" s="754">
        <f t="shared" si="108"/>
        <v>2056</v>
      </c>
      <c r="AU304" s="754">
        <f t="shared" si="108"/>
        <v>2057</v>
      </c>
      <c r="AV304" s="754">
        <f t="shared" si="108"/>
        <v>2058</v>
      </c>
      <c r="AW304" s="754">
        <f t="shared" si="108"/>
        <v>2059</v>
      </c>
      <c r="AX304" s="754">
        <f t="shared" si="108"/>
        <v>2060</v>
      </c>
    </row>
    <row r="305" spans="2:50" x14ac:dyDescent="0.2">
      <c r="B305" s="710"/>
      <c r="C305" s="54"/>
      <c r="D305" s="725"/>
      <c r="E305" s="722"/>
      <c r="F305" s="722"/>
      <c r="K305" s="755">
        <v>1</v>
      </c>
      <c r="L305" s="756">
        <v>2</v>
      </c>
      <c r="M305" s="755">
        <v>3</v>
      </c>
      <c r="N305" s="755">
        <v>4</v>
      </c>
      <c r="O305" s="756">
        <v>5</v>
      </c>
      <c r="P305" s="755">
        <v>6</v>
      </c>
      <c r="Q305" s="755">
        <v>7</v>
      </c>
      <c r="R305" s="756">
        <v>8</v>
      </c>
      <c r="S305" s="755">
        <v>9</v>
      </c>
      <c r="T305" s="755">
        <v>10</v>
      </c>
      <c r="U305" s="756">
        <v>11</v>
      </c>
      <c r="V305" s="755">
        <v>12</v>
      </c>
      <c r="W305" s="755">
        <v>13</v>
      </c>
      <c r="X305" s="756">
        <v>14</v>
      </c>
      <c r="Y305" s="755">
        <v>15</v>
      </c>
      <c r="Z305" s="755">
        <v>16</v>
      </c>
      <c r="AA305" s="756">
        <v>17</v>
      </c>
      <c r="AB305" s="755">
        <v>18</v>
      </c>
      <c r="AC305" s="755">
        <v>19</v>
      </c>
      <c r="AD305" s="756">
        <v>20</v>
      </c>
      <c r="AE305" s="755">
        <v>21</v>
      </c>
      <c r="AF305" s="755">
        <v>22</v>
      </c>
      <c r="AG305" s="756">
        <v>23</v>
      </c>
      <c r="AH305" s="755">
        <v>24</v>
      </c>
      <c r="AI305" s="755">
        <v>25</v>
      </c>
      <c r="AJ305" s="756">
        <v>26</v>
      </c>
      <c r="AK305" s="755">
        <v>27</v>
      </c>
      <c r="AL305" s="755">
        <v>28</v>
      </c>
      <c r="AM305" s="756">
        <v>29</v>
      </c>
      <c r="AN305" s="755">
        <v>30</v>
      </c>
      <c r="AO305" s="755">
        <v>31</v>
      </c>
      <c r="AP305" s="756">
        <v>32</v>
      </c>
      <c r="AQ305" s="755">
        <v>33</v>
      </c>
      <c r="AR305" s="755">
        <v>34</v>
      </c>
      <c r="AS305" s="756">
        <v>35</v>
      </c>
      <c r="AT305" s="755">
        <v>36</v>
      </c>
      <c r="AU305" s="755">
        <v>37</v>
      </c>
      <c r="AV305" s="756">
        <v>38</v>
      </c>
      <c r="AW305" s="755">
        <v>39</v>
      </c>
      <c r="AX305" s="755">
        <v>40</v>
      </c>
    </row>
    <row r="306" spans="2:50" x14ac:dyDescent="0.2">
      <c r="B306" s="737" t="s">
        <v>407</v>
      </c>
      <c r="C306" s="16" t="s">
        <v>409</v>
      </c>
      <c r="D306" s="740" t="s">
        <v>412</v>
      </c>
      <c r="E306" s="757">
        <f>E273</f>
        <v>1479367.8366634087</v>
      </c>
      <c r="F306" s="757">
        <f>F273*(1+PARAMETROS!$C$89)</f>
        <v>10396626.015046701</v>
      </c>
      <c r="G306" s="757">
        <f>G273*(1+PARAMETROS!$C$89)*(1+PARAMETROS!$D$89)</f>
        <v>20274759.580423769</v>
      </c>
      <c r="H306" s="757">
        <f>H273*(1+PARAMETROS!$C$89)*(1+PARAMETROS!$D$89)*(1+PARAMETROS!$E$89)</f>
        <v>8529210.1449836306</v>
      </c>
      <c r="I306" s="757">
        <f>I273*(1+PARAMETROS!$C$89)*(1+PARAMETROS!$D$89)*(1+PARAMETROS!$E$89)*(1+PARAMETROS!$F$89)</f>
        <v>0</v>
      </c>
      <c r="J306" s="757">
        <f>J273*(1+PARAMETROS!$C$89)*(1+PARAMETROS!$D$89)*(1+PARAMETROS!$E$89)*(1+PARAMETROS!$F$89)*(1+PARAMETROS!$G$89)</f>
        <v>0</v>
      </c>
      <c r="K306" s="757">
        <f>K273*(1+PARAMETROS!$C$89)*(1+PARAMETROS!$D$89)*(1+PARAMETROS!$E$89)*(1+PARAMETROS!$F$89)*(1+PARAMETROS!$G$89)*(1+PARAMETROS!$H$89)^K$305</f>
        <v>0</v>
      </c>
      <c r="L306" s="723">
        <f>L273*(1+PARAMETROS!$C$89)*(1+PARAMETROS!$D$89)*(1+PARAMETROS!$E$89)*(1+PARAMETROS!$F$89)*(1+PARAMETROS!$G$89)*(1+PARAMETROS!$H$89)^L$305</f>
        <v>0</v>
      </c>
      <c r="M306" s="723">
        <f>M273*(1+PARAMETROS!$C$89)*(1+PARAMETROS!$D$89)*(1+PARAMETROS!$E$89)*(1+PARAMETROS!$F$89)*(1+PARAMETROS!$G$89)*(1+PARAMETROS!$H$89)^M$305</f>
        <v>0</v>
      </c>
      <c r="N306" s="723">
        <f>N273*(1+PARAMETROS!$C$89)*(1+PARAMETROS!$D$89)*(1+PARAMETROS!$E$89)*(1+PARAMETROS!$F$89)*(1+PARAMETROS!$G$89)*(1+PARAMETROS!$H$89)^N$305</f>
        <v>0</v>
      </c>
      <c r="O306" s="723">
        <f>O273*(1+PARAMETROS!$C$89)*(1+PARAMETROS!$D$89)*(1+PARAMETROS!$E$89)*(1+PARAMETROS!$F$89)*(1+PARAMETROS!$G$89)*(1+PARAMETROS!$H$89)^O$305</f>
        <v>0</v>
      </c>
      <c r="P306" s="723">
        <f>P273*(1+PARAMETROS!$C$89)*(1+PARAMETROS!$D$89)*(1+PARAMETROS!$E$89)*(1+PARAMETROS!$F$89)*(1+PARAMETROS!$G$89)*(1+PARAMETROS!$H$89)^P$305</f>
        <v>0</v>
      </c>
      <c r="Q306" s="723">
        <f>Q273*(1+PARAMETROS!$C$89)*(1+PARAMETROS!$D$89)*(1+PARAMETROS!$E$89)*(1+PARAMETROS!$F$89)*(1+PARAMETROS!$G$89)*(1+PARAMETROS!$H$89)^Q$305</f>
        <v>0</v>
      </c>
      <c r="R306" s="723">
        <f>R273*(1+PARAMETROS!$C$89)*(1+PARAMETROS!$D$89)*(1+PARAMETROS!$E$89)*(1+PARAMETROS!$F$89)*(1+PARAMETROS!$G$89)*(1+PARAMETROS!$H$89)^R$305</f>
        <v>1393720.5316325238</v>
      </c>
      <c r="S306" s="723">
        <f>S273*(1+PARAMETROS!$C$89)*(1+PARAMETROS!$D$89)*(1+PARAMETROS!$E$89)*(1+PARAMETROS!$F$89)*(1+PARAMETROS!$G$89)*(1+PARAMETROS!$H$89)^S$305</f>
        <v>1723628.8395215005</v>
      </c>
      <c r="T306" s="723">
        <f>T273*(1+PARAMETROS!$C$89)*(1+PARAMETROS!$D$89)*(1+PARAMETROS!$E$89)*(1+PARAMETROS!$F$89)*(1+PARAMETROS!$G$89)*(1+PARAMETROS!$H$89)^T$305</f>
        <v>0</v>
      </c>
      <c r="U306" s="723">
        <f>U273*(1+PARAMETROS!$C$89)*(1+PARAMETROS!$D$89)*(1+PARAMETROS!$E$89)*(1+PARAMETROS!$F$89)*(1+PARAMETROS!$G$89)*(1+PARAMETROS!$H$89)^U$305</f>
        <v>0</v>
      </c>
      <c r="V306" s="723">
        <f>V273*(1+PARAMETROS!$C$89)*(1+PARAMETROS!$D$89)*(1+PARAMETROS!$E$89)*(1+PARAMETROS!$F$89)*(1+PARAMETROS!$G$89)*(1+PARAMETROS!$H$89)^V$305</f>
        <v>0</v>
      </c>
      <c r="W306" s="723">
        <f>W273*(1+PARAMETROS!$C$89)*(1+PARAMETROS!$D$89)*(1+PARAMETROS!$E$89)*(1+PARAMETROS!$F$89)*(1+PARAMETROS!$G$89)*(1+PARAMETROS!$H$89)^W$305</f>
        <v>724392.11700546113</v>
      </c>
      <c r="X306" s="723">
        <f>X273*(1+PARAMETROS!$C$89)*(1+PARAMETROS!$D$89)*(1+PARAMETROS!$E$89)*(1+PARAMETROS!$F$89)*(1+PARAMETROS!$G$89)*(1+PARAMETROS!$H$89)^X$305</f>
        <v>4983455.4699801663</v>
      </c>
      <c r="Y306" s="723">
        <f>Y273*(1+PARAMETROS!$C$89)*(1+PARAMETROS!$D$89)*(1+PARAMETROS!$E$89)*(1+PARAMETROS!$F$89)*(1+PARAMETROS!$G$89)*(1+PARAMETROS!$H$89)^Y$305</f>
        <v>2211540.2859970797</v>
      </c>
      <c r="Z306" s="723">
        <f>Z273*(1+PARAMETROS!$C$89)*(1+PARAMETROS!$D$89)*(1+PARAMETROS!$E$89)*(1+PARAMETROS!$F$89)*(1+PARAMETROS!$G$89)*(1+PARAMETROS!$H$89)^Z$305</f>
        <v>0</v>
      </c>
      <c r="AA306" s="723">
        <f>AA273*(1+PARAMETROS!$C$89)*(1+PARAMETROS!$D$89)*(1+PARAMETROS!$E$89)*(1+PARAMETROS!$F$89)*(1+PARAMETROS!$G$89)*(1+PARAMETROS!$H$89)^AA$305</f>
        <v>0</v>
      </c>
      <c r="AB306" s="723">
        <f>AB273*(1+PARAMETROS!$C$89)*(1+PARAMETROS!$D$89)*(1+PARAMETROS!$E$89)*(1+PARAMETROS!$F$89)*(1+PARAMETROS!$G$89)*(1+PARAMETROS!$H$89)^AB$305</f>
        <v>0</v>
      </c>
      <c r="AC306" s="723">
        <f>AC273*(1+PARAMETROS!$C$89)*(1+PARAMETROS!$D$89)*(1+PARAMETROS!$E$89)*(1+PARAMETROS!$F$89)*(1+PARAMETROS!$G$89)*(1+PARAMETROS!$H$89)^AC$305</f>
        <v>2145568.725791296</v>
      </c>
      <c r="AD306" s="723">
        <f>AD273*(1+PARAMETROS!$C$89)*(1+PARAMETROS!$D$89)*(1+PARAMETROS!$E$89)*(1+PARAMETROS!$F$89)*(1+PARAMETROS!$G$89)*(1+PARAMETROS!$H$89)^AD$305</f>
        <v>2653447.408583025</v>
      </c>
      <c r="AE306" s="723">
        <f>AE273*(1+PARAMETROS!$C$89)*(1+PARAMETROS!$D$89)*(1+PARAMETROS!$E$89)*(1+PARAMETROS!$F$89)*(1+PARAMETROS!$G$89)*(1+PARAMETROS!$H$89)^AE$305</f>
        <v>0</v>
      </c>
      <c r="AF306" s="723">
        <f>AF273*(1+PARAMETROS!$C$89)*(1+PARAMETROS!$D$89)*(1+PARAMETROS!$E$89)*(1+PARAMETROS!$F$89)*(1+PARAMETROS!$G$89)*(1+PARAMETROS!$H$89)^AF$305</f>
        <v>0</v>
      </c>
      <c r="AG306" s="723">
        <f>AG273*(1+PARAMETROS!$C$89)*(1+PARAMETROS!$D$89)*(1+PARAMETROS!$E$89)*(1+PARAMETROS!$F$89)*(1+PARAMETROS!$G$89)*(1+PARAMETROS!$H$89)^AG$305</f>
        <v>0</v>
      </c>
      <c r="AH306" s="723">
        <f>AH273*(1+PARAMETROS!$C$89)*(1+PARAMETROS!$D$89)*(1+PARAMETROS!$E$89)*(1+PARAMETROS!$F$89)*(1+PARAMETROS!$G$89)*(1+PARAMETROS!$H$89)^AH$305</f>
        <v>0</v>
      </c>
      <c r="AI306" s="723">
        <f>AI273*(1+PARAMETROS!$C$89)*(1+PARAMETROS!$D$89)*(1+PARAMETROS!$E$89)*(1+PARAMETROS!$F$89)*(1+PARAMETROS!$G$89)*(1+PARAMETROS!$H$89)^AI$305</f>
        <v>0</v>
      </c>
      <c r="AJ306" s="723">
        <f>AJ273*(1+PARAMETROS!$C$89)*(1+PARAMETROS!$D$89)*(1+PARAMETROS!$E$89)*(1+PARAMETROS!$F$89)*(1+PARAMETROS!$G$89)*(1+PARAMETROS!$H$89)^AJ$305</f>
        <v>0</v>
      </c>
      <c r="AK306" s="723">
        <f>AK273*(1+PARAMETROS!$C$89)*(1+PARAMETROS!$D$89)*(1+PARAMETROS!$E$89)*(1+PARAMETROS!$F$89)*(1+PARAMETROS!$G$89)*(1+PARAMETROS!$H$89)^AK$305</f>
        <v>0</v>
      </c>
      <c r="AL306" s="723">
        <f>AL273*(1+PARAMETROS!$C$89)*(1+PARAMETROS!$D$89)*(1+PARAMETROS!$E$89)*(1+PARAMETROS!$F$89)*(1+PARAMETROS!$G$89)*(1+PARAMETROS!$H$89)^AL$305</f>
        <v>0</v>
      </c>
      <c r="AM306" s="723">
        <f>AM273*(1+PARAMETROS!$C$89)*(1+PARAMETROS!$D$89)*(1+PARAMETROS!$E$89)*(1+PARAMETROS!$F$89)*(1+PARAMETROS!$G$89)*(1+PARAMETROS!$H$89)^AM$305</f>
        <v>0</v>
      </c>
      <c r="AN306" s="723">
        <f>AN273*(1+PARAMETROS!$C$89)*(1+PARAMETROS!$D$89)*(1+PARAMETROS!$E$89)*(1+PARAMETROS!$F$89)*(1+PARAMETROS!$G$89)*(1+PARAMETROS!$H$89)^AN$305</f>
        <v>4714048.2417141851</v>
      </c>
      <c r="AO306" s="723">
        <f>AO273*(1+PARAMETROS!$C$89)*(1+PARAMETROS!$D$89)*(1+PARAMETROS!$E$89)*(1+PARAMETROS!$F$89)*(1+PARAMETROS!$G$89)*(1+PARAMETROS!$H$89)^AO$305</f>
        <v>13640999.758708086</v>
      </c>
      <c r="AP306" s="723">
        <f>AP273*(1+PARAMETROS!$C$89)*(1+PARAMETROS!$D$89)*(1+PARAMETROS!$E$89)*(1+PARAMETROS!$F$89)*(1+PARAMETROS!$G$89)*(1+PARAMETROS!$H$89)^AP$305</f>
        <v>4255466.6066699782</v>
      </c>
      <c r="AQ306" s="723">
        <f>AQ273*(1+PARAMETROS!$C$89)*(1+PARAMETROS!$D$89)*(1+PARAMETROS!$E$89)*(1+PARAMETROS!$F$89)*(1+PARAMETROS!$G$89)*(1+PARAMETROS!$H$89)^AQ$305</f>
        <v>0</v>
      </c>
      <c r="AR306" s="723">
        <f>AR273*(1+PARAMETROS!$C$89)*(1+PARAMETROS!$D$89)*(1+PARAMETROS!$E$89)*(1+PARAMETROS!$F$89)*(1+PARAMETROS!$G$89)*(1+PARAMETROS!$H$89)^AR$305</f>
        <v>0</v>
      </c>
      <c r="AS306" s="723">
        <f>AS273*(1+PARAMETROS!$C$89)*(1+PARAMETROS!$D$89)*(1+PARAMETROS!$E$89)*(1+PARAMETROS!$F$89)*(1+PARAMETROS!$G$89)*(1+PARAMETROS!$H$89)^AS$305</f>
        <v>0</v>
      </c>
      <c r="AT306" s="723">
        <f>AT273*(1+PARAMETROS!$C$89)*(1+PARAMETROS!$D$89)*(1+PARAMETROS!$E$89)*(1+PARAMETROS!$F$89)*(1+PARAMETROS!$G$89)*(1+PARAMETROS!$H$89)^AT$305</f>
        <v>0</v>
      </c>
      <c r="AU306" s="723">
        <f>AU273*(1+PARAMETROS!$C$89)*(1+PARAMETROS!$D$89)*(1+PARAMETROS!$E$89)*(1+PARAMETROS!$F$89)*(1+PARAMETROS!$G$89)*(1+PARAMETROS!$H$89)^AU$305</f>
        <v>0</v>
      </c>
      <c r="AV306" s="723">
        <f>AV273*(1+PARAMETROS!$C$89)*(1+PARAMETROS!$D$89)*(1+PARAMETROS!$E$89)*(1+PARAMETROS!$F$89)*(1+PARAMETROS!$G$89)*(1+PARAMETROS!$H$89)^AV$305</f>
        <v>0</v>
      </c>
      <c r="AW306" s="723">
        <f>AW273*(1+PARAMETROS!$C$89)*(1+PARAMETROS!$D$89)*(1+PARAMETROS!$E$89)*(1+PARAMETROS!$F$89)*(1+PARAMETROS!$G$89)*(1+PARAMETROS!$H$89)^AW$305</f>
        <v>0</v>
      </c>
      <c r="AX306" s="723">
        <f>AX273*(1+PARAMETROS!$C$89)*(1+PARAMETROS!$D$89)*(1+PARAMETROS!$E$89)*(1+PARAMETROS!$F$89)*(1+PARAMETROS!$G$89)*(1+PARAMETROS!$H$89)^AX$305</f>
        <v>0</v>
      </c>
    </row>
    <row r="307" spans="2:50" x14ac:dyDescent="0.2">
      <c r="B307" s="737" t="s">
        <v>408</v>
      </c>
      <c r="C307" s="16" t="s">
        <v>409</v>
      </c>
      <c r="D307" s="740" t="s">
        <v>412</v>
      </c>
      <c r="E307" s="757">
        <f>E274</f>
        <v>3852830.331806961</v>
      </c>
      <c r="F307" s="757">
        <f>F274*(1+PARAMETROS!$C$93)</f>
        <v>9273129.158081241</v>
      </c>
      <c r="G307" s="757">
        <f>G274*(1+PARAMETROS!$C$93)*(1+PARAMETROS!$D$93)</f>
        <v>29281051.823244002</v>
      </c>
      <c r="H307" s="757">
        <f>H274*(1+PARAMETROS!$C$93)*(1+PARAMETROS!$D$93)*(1+PARAMETROS!$E$93)</f>
        <v>11630245.089381544</v>
      </c>
      <c r="I307" s="757">
        <f>I274*(1+PARAMETROS!$C$93)*(1+PARAMETROS!$D$93)*(1+PARAMETROS!$E$93)*(1+PARAMETROS!$F$93)</f>
        <v>0</v>
      </c>
      <c r="J307" s="757">
        <f>J274*(1+PARAMETROS!$C$93)*(1+PARAMETROS!$D$93)*(1+PARAMETROS!$E$93)*(1+PARAMETROS!$F$93)*(1+PARAMETROS!$G$93)</f>
        <v>0</v>
      </c>
      <c r="K307" s="757">
        <f>K274*(1+PARAMETROS!$C$93)*(1+PARAMETROS!$D$93)*(1+PARAMETROS!$E$93)*(1+PARAMETROS!$F$93)*(1+PARAMETROS!$G$93)*(1+PARAMETROS!$H$93)^K$305</f>
        <v>0</v>
      </c>
      <c r="L307" s="723">
        <f>L274*(1+PARAMETROS!$C$93)*(1+PARAMETROS!$D$93)*(1+PARAMETROS!$E$93)*(1+PARAMETROS!$F$93)*(1+PARAMETROS!$G$93)*(1+PARAMETROS!$H$93)^L$305</f>
        <v>0</v>
      </c>
      <c r="M307" s="723">
        <f>M274*(1+PARAMETROS!$C$93)*(1+PARAMETROS!$D$93)*(1+PARAMETROS!$E$93)*(1+PARAMETROS!$F$93)*(1+PARAMETROS!$G$93)*(1+PARAMETROS!$H$93)^M$305</f>
        <v>0</v>
      </c>
      <c r="N307" s="723">
        <f>N274*(1+PARAMETROS!$C$93)*(1+PARAMETROS!$D$93)*(1+PARAMETROS!$E$93)*(1+PARAMETROS!$F$93)*(1+PARAMETROS!$G$93)*(1+PARAMETROS!$H$93)^N$305</f>
        <v>0</v>
      </c>
      <c r="O307" s="723">
        <f>O274*(1+PARAMETROS!$C$93)*(1+PARAMETROS!$D$93)*(1+PARAMETROS!$E$93)*(1+PARAMETROS!$F$93)*(1+PARAMETROS!$G$93)*(1+PARAMETROS!$H$93)^O$305</f>
        <v>0</v>
      </c>
      <c r="P307" s="723">
        <f>P274*(1+PARAMETROS!$C$93)*(1+PARAMETROS!$D$93)*(1+PARAMETROS!$E$93)*(1+PARAMETROS!$F$93)*(1+PARAMETROS!$G$93)*(1+PARAMETROS!$H$93)^P$305</f>
        <v>0</v>
      </c>
      <c r="Q307" s="723">
        <f>Q274*(1+PARAMETROS!$C$93)*(1+PARAMETROS!$D$93)*(1+PARAMETROS!$E$93)*(1+PARAMETROS!$F$93)*(1+PARAMETROS!$G$93)*(1+PARAMETROS!$H$93)^Q$305</f>
        <v>0</v>
      </c>
      <c r="R307" s="723">
        <f>R274*(1+PARAMETROS!$C$93)*(1+PARAMETROS!$D$93)*(1+PARAMETROS!$E$93)*(1+PARAMETROS!$F$93)*(1+PARAMETROS!$G$93)*(1+PARAMETROS!$H$93)^R$305</f>
        <v>255700.0304773477</v>
      </c>
      <c r="S307" s="723">
        <f>S274*(1+PARAMETROS!$C$93)*(1+PARAMETROS!$D$93)*(1+PARAMETROS!$E$93)*(1+PARAMETROS!$F$93)*(1+PARAMETROS!$G$93)*(1+PARAMETROS!$H$93)^S$305</f>
        <v>309841.56573477387</v>
      </c>
      <c r="T307" s="723">
        <f>T274*(1+PARAMETROS!$C$93)*(1+PARAMETROS!$D$93)*(1+PARAMETROS!$E$93)*(1+PARAMETROS!$F$93)*(1+PARAMETROS!$G$93)*(1+PARAMETROS!$H$93)^T$305</f>
        <v>0</v>
      </c>
      <c r="U307" s="723">
        <f>U274*(1+PARAMETROS!$C$93)*(1+PARAMETROS!$D$93)*(1+PARAMETROS!$E$93)*(1+PARAMETROS!$F$93)*(1+PARAMETROS!$G$93)*(1+PARAMETROS!$H$93)^U$305</f>
        <v>0</v>
      </c>
      <c r="V307" s="723">
        <f>V274*(1+PARAMETROS!$C$93)*(1+PARAMETROS!$D$93)*(1+PARAMETROS!$E$93)*(1+PARAMETROS!$F$93)*(1+PARAMETROS!$G$93)*(1+PARAMETROS!$H$93)^V$305</f>
        <v>0</v>
      </c>
      <c r="W307" s="723">
        <f>W274*(1+PARAMETROS!$C$93)*(1+PARAMETROS!$D$93)*(1+PARAMETROS!$E$93)*(1+PARAMETROS!$F$93)*(1+PARAMETROS!$G$93)*(1+PARAMETROS!$H$93)^W$305</f>
        <v>1793140.1542021199</v>
      </c>
      <c r="X307" s="723">
        <f>X274*(1+PARAMETROS!$C$93)*(1+PARAMETROS!$D$93)*(1+PARAMETROS!$E$93)*(1+PARAMETROS!$F$93)*(1+PARAMETROS!$G$93)*(1+PARAMETROS!$H$93)^X$305</f>
        <v>3836844.2615085728</v>
      </c>
      <c r="Y307" s="723">
        <f>Y274*(1+PARAMETROS!$C$93)*(1+PARAMETROS!$D$93)*(1+PARAMETROS!$E$93)*(1+PARAMETROS!$F$93)*(1+PARAMETROS!$G$93)*(1+PARAMETROS!$H$93)^Y$305</f>
        <v>1883908.5461969937</v>
      </c>
      <c r="Z307" s="723">
        <f>Z274*(1+PARAMETROS!$C$93)*(1+PARAMETROS!$D$93)*(1+PARAMETROS!$E$93)*(1+PARAMETROS!$F$93)*(1+PARAMETROS!$G$93)*(1+PARAMETROS!$H$93)^Z$305</f>
        <v>0</v>
      </c>
      <c r="AA307" s="723">
        <f>AA274*(1+PARAMETROS!$C$93)*(1+PARAMETROS!$D$93)*(1+PARAMETROS!$E$93)*(1+PARAMETROS!$F$93)*(1+PARAMETROS!$G$93)*(1+PARAMETROS!$H$93)^AA$305</f>
        <v>0</v>
      </c>
      <c r="AB307" s="723">
        <f>AB274*(1+PARAMETROS!$C$93)*(1+PARAMETROS!$D$93)*(1+PARAMETROS!$E$93)*(1+PARAMETROS!$F$93)*(1+PARAMETROS!$G$93)*(1+PARAMETROS!$H$93)^AB$305</f>
        <v>0</v>
      </c>
      <c r="AC307" s="723">
        <f>AC274*(1+PARAMETROS!$C$93)*(1+PARAMETROS!$D$93)*(1+PARAMETROS!$E$93)*(1+PARAMETROS!$F$93)*(1+PARAMETROS!$G$93)*(1+PARAMETROS!$H$93)^AC$305</f>
        <v>314518.94038771087</v>
      </c>
      <c r="AD307" s="723">
        <f>AD274*(1+PARAMETROS!$C$93)*(1+PARAMETROS!$D$93)*(1+PARAMETROS!$E$93)*(1+PARAMETROS!$F$93)*(1+PARAMETROS!$G$93)*(1+PARAMETROS!$H$93)^AD$305</f>
        <v>381114.70210248354</v>
      </c>
      <c r="AE307" s="723">
        <f>AE274*(1+PARAMETROS!$C$93)*(1+PARAMETROS!$D$93)*(1+PARAMETROS!$E$93)*(1+PARAMETROS!$F$93)*(1+PARAMETROS!$G$93)*(1+PARAMETROS!$H$93)^AE$305</f>
        <v>0</v>
      </c>
      <c r="AF307" s="723">
        <f>AF274*(1+PARAMETROS!$C$93)*(1+PARAMETROS!$D$93)*(1+PARAMETROS!$E$93)*(1+PARAMETROS!$F$93)*(1+PARAMETROS!$G$93)*(1+PARAMETROS!$H$93)^AF$305</f>
        <v>0</v>
      </c>
      <c r="AG307" s="723">
        <f>AG274*(1+PARAMETROS!$C$93)*(1+PARAMETROS!$D$93)*(1+PARAMETROS!$E$93)*(1+PARAMETROS!$F$93)*(1+PARAMETROS!$G$93)*(1+PARAMETROS!$H$93)^AG$305</f>
        <v>0</v>
      </c>
      <c r="AH307" s="723">
        <f>AH274*(1+PARAMETROS!$C$93)*(1+PARAMETROS!$D$93)*(1+PARAMETROS!$E$93)*(1+PARAMETROS!$F$93)*(1+PARAMETROS!$G$93)*(1+PARAMETROS!$H$93)^AH$305</f>
        <v>0</v>
      </c>
      <c r="AI307" s="723">
        <f>AI274*(1+PARAMETROS!$C$93)*(1+PARAMETROS!$D$93)*(1+PARAMETROS!$E$93)*(1+PARAMETROS!$F$93)*(1+PARAMETROS!$G$93)*(1+PARAMETROS!$H$93)^AI$305</f>
        <v>0</v>
      </c>
      <c r="AJ307" s="723">
        <f>AJ274*(1+PARAMETROS!$C$93)*(1+PARAMETROS!$D$93)*(1+PARAMETROS!$E$93)*(1+PARAMETROS!$F$93)*(1+PARAMETROS!$G$93)*(1+PARAMETROS!$H$93)^AJ$305</f>
        <v>0</v>
      </c>
      <c r="AK307" s="723">
        <f>AK274*(1+PARAMETROS!$C$93)*(1+PARAMETROS!$D$93)*(1+PARAMETROS!$E$93)*(1+PARAMETROS!$F$93)*(1+PARAMETROS!$G$93)*(1+PARAMETROS!$H$93)^AK$305</f>
        <v>0</v>
      </c>
      <c r="AL307" s="723">
        <f>AL274*(1+PARAMETROS!$C$93)*(1+PARAMETROS!$D$93)*(1+PARAMETROS!$E$93)*(1+PARAMETROS!$F$93)*(1+PARAMETROS!$G$93)*(1+PARAMETROS!$H$93)^AL$305</f>
        <v>0</v>
      </c>
      <c r="AM307" s="723">
        <f>AM274*(1+PARAMETROS!$C$93)*(1+PARAMETROS!$D$93)*(1+PARAMETROS!$E$93)*(1+PARAMETROS!$F$93)*(1+PARAMETROS!$G$93)*(1+PARAMETROS!$H$93)^AM$305</f>
        <v>0</v>
      </c>
      <c r="AN307" s="723">
        <f>AN274*(1+PARAMETROS!$C$93)*(1+PARAMETROS!$D$93)*(1+PARAMETROS!$E$93)*(1+PARAMETROS!$F$93)*(1+PARAMETROS!$G$93)*(1+PARAMETROS!$H$93)^AN$305</f>
        <v>2856176.5894899541</v>
      </c>
      <c r="AO307" s="723">
        <f>AO274*(1+PARAMETROS!$C$93)*(1+PARAMETROS!$D$93)*(1+PARAMETROS!$E$93)*(1+PARAMETROS!$F$93)*(1+PARAMETROS!$G$93)*(1+PARAMETROS!$H$93)^AO$305</f>
        <v>5613927.6888199868</v>
      </c>
      <c r="AP307" s="723">
        <f>AP274*(1+PARAMETROS!$C$93)*(1+PARAMETROS!$D$93)*(1+PARAMETROS!$E$93)*(1+PARAMETROS!$F$93)*(1+PARAMETROS!$G$93)*(1+PARAMETROS!$H$93)^AP$305</f>
        <v>2547253.6823796234</v>
      </c>
      <c r="AQ307" s="723">
        <f>AQ274*(1+PARAMETROS!$C$93)*(1+PARAMETROS!$D$93)*(1+PARAMETROS!$E$93)*(1+PARAMETROS!$F$93)*(1+PARAMETROS!$G$93)*(1+PARAMETROS!$H$93)^AQ$305</f>
        <v>0</v>
      </c>
      <c r="AR307" s="723">
        <f>AR274*(1+PARAMETROS!$C$93)*(1+PARAMETROS!$D$93)*(1+PARAMETROS!$E$93)*(1+PARAMETROS!$F$93)*(1+PARAMETROS!$G$93)*(1+PARAMETROS!$H$93)^AR$305</f>
        <v>0</v>
      </c>
      <c r="AS307" s="723">
        <f>AS274*(1+PARAMETROS!$C$93)*(1+PARAMETROS!$D$93)*(1+PARAMETROS!$E$93)*(1+PARAMETROS!$F$93)*(1+PARAMETROS!$G$93)*(1+PARAMETROS!$H$93)^AS$305</f>
        <v>0</v>
      </c>
      <c r="AT307" s="723">
        <f>AT274*(1+PARAMETROS!$C$93)*(1+PARAMETROS!$D$93)*(1+PARAMETROS!$E$93)*(1+PARAMETROS!$F$93)*(1+PARAMETROS!$G$93)*(1+PARAMETROS!$H$93)^AT$305</f>
        <v>0</v>
      </c>
      <c r="AU307" s="723">
        <f>AU274*(1+PARAMETROS!$C$93)*(1+PARAMETROS!$D$93)*(1+PARAMETROS!$E$93)*(1+PARAMETROS!$F$93)*(1+PARAMETROS!$G$93)*(1+PARAMETROS!$H$93)^AU$305</f>
        <v>0</v>
      </c>
      <c r="AV307" s="723">
        <f>AV274*(1+PARAMETROS!$C$93)*(1+PARAMETROS!$D$93)*(1+PARAMETROS!$E$93)*(1+PARAMETROS!$F$93)*(1+PARAMETROS!$G$93)*(1+PARAMETROS!$H$93)^AV$305</f>
        <v>0</v>
      </c>
      <c r="AW307" s="723">
        <f>AW274*(1+PARAMETROS!$C$93)*(1+PARAMETROS!$D$93)*(1+PARAMETROS!$E$93)*(1+PARAMETROS!$F$93)*(1+PARAMETROS!$G$93)*(1+PARAMETROS!$H$93)^AW$305</f>
        <v>0</v>
      </c>
      <c r="AX307" s="723">
        <f>AX274*(1+PARAMETROS!$C$93)*(1+PARAMETROS!$D$93)*(1+PARAMETROS!$E$93)*(1+PARAMETROS!$F$93)*(1+PARAMETROS!$G$93)*(1+PARAMETROS!$H$93)^AX$305</f>
        <v>0</v>
      </c>
    </row>
    <row r="308" spans="2:50" x14ac:dyDescent="0.2">
      <c r="B308" s="1"/>
      <c r="C308" s="16"/>
      <c r="D308" s="740"/>
      <c r="E308" s="722"/>
      <c r="F308" s="723"/>
      <c r="G308" s="723"/>
      <c r="H308" s="723"/>
      <c r="I308" s="723"/>
      <c r="J308" s="723"/>
      <c r="K308" s="723"/>
      <c r="L308" s="723"/>
      <c r="M308" s="723"/>
      <c r="N308" s="723"/>
      <c r="O308" s="723"/>
      <c r="P308" s="723"/>
      <c r="Q308" s="723"/>
      <c r="R308" s="723"/>
      <c r="S308" s="723"/>
      <c r="T308" s="723"/>
      <c r="U308" s="723"/>
      <c r="V308" s="723"/>
      <c r="W308" s="723"/>
      <c r="X308" s="723"/>
      <c r="Y308" s="723"/>
      <c r="Z308" s="723"/>
      <c r="AA308" s="723"/>
      <c r="AB308" s="723"/>
      <c r="AC308" s="723"/>
      <c r="AD308" s="723"/>
      <c r="AE308" s="723"/>
      <c r="AF308" s="723"/>
      <c r="AG308" s="723"/>
      <c r="AH308" s="723"/>
      <c r="AI308" s="723"/>
      <c r="AJ308" s="723"/>
      <c r="AK308" s="723"/>
      <c r="AL308" s="723"/>
      <c r="AM308" s="723"/>
      <c r="AN308" s="723"/>
      <c r="AO308" s="723"/>
      <c r="AP308" s="723"/>
      <c r="AQ308" s="723"/>
      <c r="AR308" s="723"/>
      <c r="AS308" s="723"/>
      <c r="AT308" s="723"/>
      <c r="AU308" s="723"/>
      <c r="AV308" s="723"/>
      <c r="AW308" s="723"/>
      <c r="AX308" s="723"/>
    </row>
    <row r="309" spans="2:50" x14ac:dyDescent="0.2">
      <c r="B309" s="737" t="s">
        <v>407</v>
      </c>
      <c r="C309" s="16" t="s">
        <v>180</v>
      </c>
      <c r="D309" s="740" t="s">
        <v>412</v>
      </c>
      <c r="E309" s="757">
        <f>E276</f>
        <v>156055.70843348317</v>
      </c>
      <c r="F309" s="757">
        <f>F276*(1+PARAMETROS!$C$89)</f>
        <v>2373356.4266656796</v>
      </c>
      <c r="G309" s="757">
        <f>G276*(1+PARAMETROS!$C$89)*(1+PARAMETROS!$D$89)</f>
        <v>4971586.3611016059</v>
      </c>
      <c r="H309" s="757">
        <f>H276*(1+PARAMETROS!$C$88)*(1+PARAMETROS!$D$89)*(1+PARAMETROS!$E$89)</f>
        <v>2035066.4211505856</v>
      </c>
      <c r="I309" s="757">
        <f>I276*(1+PARAMETROS!$C$89)*(1+PARAMETROS!$D$89)*(1+PARAMETROS!$E$89)*(1+PARAMETROS!$F$89)</f>
        <v>0</v>
      </c>
      <c r="J309" s="757">
        <f>J276*(1+PARAMETROS!$C$89)*(1+PARAMETROS!$D$89)*(1+PARAMETROS!$E$89)*(1+PARAMETROS!$F$89)*(1+PARAMETROS!$G$89)</f>
        <v>0</v>
      </c>
      <c r="K309" s="757">
        <f>K276*(1+PARAMETROS!$C$89)*(1+PARAMETROS!$D$89)*(1+PARAMETROS!$E$89)*(1+PARAMETROS!$F$89)*(1+PARAMETROS!$G$89)*(1+PARAMETROS!$H$89)^K$305</f>
        <v>0</v>
      </c>
      <c r="L309" s="723">
        <f>L276*(1+PARAMETROS!$C$89)*(1+PARAMETROS!$D$89)*(1+PARAMETROS!$E$89)*(1+PARAMETROS!$F$89)*(1+PARAMETROS!$G$89)*(1+PARAMETROS!$H$89)^L$305</f>
        <v>0</v>
      </c>
      <c r="M309" s="723">
        <f>M276*(1+PARAMETROS!$C$89)*(1+PARAMETROS!$D$89)*(1+PARAMETROS!$E$89)*(1+PARAMETROS!$F$89)*(1+PARAMETROS!$G$89)*(1+PARAMETROS!$H$89)^M$305</f>
        <v>0</v>
      </c>
      <c r="N309" s="723">
        <f>N276*(1+PARAMETROS!$C$89)*(1+PARAMETROS!$D$89)*(1+PARAMETROS!$E$89)*(1+PARAMETROS!$F$89)*(1+PARAMETROS!$G$89)*(1+PARAMETROS!$H$89)^N$305</f>
        <v>0</v>
      </c>
      <c r="O309" s="723">
        <f>O276*(1+PARAMETROS!$C$89)*(1+PARAMETROS!$D$89)*(1+PARAMETROS!$E$89)*(1+PARAMETROS!$F$89)*(1+PARAMETROS!$G$89)*(1+PARAMETROS!$H$89)^O$305</f>
        <v>0</v>
      </c>
      <c r="P309" s="723">
        <f>P276*(1+PARAMETROS!$C$89)*(1+PARAMETROS!$D$89)*(1+PARAMETROS!$E$89)*(1+PARAMETROS!$F$89)*(1+PARAMETROS!$G$89)*(1+PARAMETROS!$H$89)^P$305</f>
        <v>0</v>
      </c>
      <c r="Q309" s="723">
        <f>Q276*(1+PARAMETROS!$C$89)*(1+PARAMETROS!$D$89)*(1+PARAMETROS!$E$89)*(1+PARAMETROS!$F$89)*(1+PARAMETROS!$G$89)*(1+PARAMETROS!$H$89)^Q$305</f>
        <v>0</v>
      </c>
      <c r="R309" s="723">
        <f>R276*(1+PARAMETROS!$C$89)*(1+PARAMETROS!$D$89)*(1+PARAMETROS!$E$89)*(1+PARAMETROS!$F$89)*(1+PARAMETROS!$G$89)*(1+PARAMETROS!$H$89)^R$305</f>
        <v>268663.23641246126</v>
      </c>
      <c r="S309" s="723">
        <f>S276*(1+PARAMETROS!$C$89)*(1+PARAMETROS!$D$89)*(1+PARAMETROS!$E$89)*(1+PARAMETROS!$F$89)*(1+PARAMETROS!$G$89)*(1+PARAMETROS!$H$89)^S$305</f>
        <v>332258.65005897632</v>
      </c>
      <c r="T309" s="723">
        <f>T276*(1+PARAMETROS!$C$89)*(1+PARAMETROS!$D$89)*(1+PARAMETROS!$E$89)*(1+PARAMETROS!$F$89)*(1+PARAMETROS!$G$89)*(1+PARAMETROS!$H$89)^T$305</f>
        <v>0</v>
      </c>
      <c r="U309" s="723">
        <f>U276*(1+PARAMETROS!$C$89)*(1+PARAMETROS!$D$89)*(1+PARAMETROS!$E$89)*(1+PARAMETROS!$F$89)*(1+PARAMETROS!$G$89)*(1+PARAMETROS!$H$89)^U$305</f>
        <v>0</v>
      </c>
      <c r="V309" s="723">
        <f>V276*(1+PARAMETROS!$C$89)*(1+PARAMETROS!$D$89)*(1+PARAMETROS!$E$89)*(1+PARAMETROS!$F$89)*(1+PARAMETROS!$G$89)*(1+PARAMETROS!$H$89)^V$305</f>
        <v>0</v>
      </c>
      <c r="W309" s="723">
        <f>W276*(1+PARAMETROS!$C$89)*(1+PARAMETROS!$D$89)*(1+PARAMETROS!$E$89)*(1+PARAMETROS!$F$89)*(1+PARAMETROS!$G$89)*(1+PARAMETROS!$H$89)^W$305</f>
        <v>178396.34819979756</v>
      </c>
      <c r="X309" s="723">
        <f>X276*(1+PARAMETROS!$C$89)*(1+PARAMETROS!$D$89)*(1+PARAMETROS!$E$89)*(1+PARAMETROS!$F$89)*(1+PARAMETROS!$G$89)*(1+PARAMETROS!$H$89)^X$305</f>
        <v>1237434.6226141502</v>
      </c>
      <c r="Y309" s="723">
        <f>Y276*(1+PARAMETROS!$C$89)*(1+PARAMETROS!$D$89)*(1+PARAMETROS!$E$89)*(1+PARAMETROS!$F$89)*(1+PARAMETROS!$G$89)*(1+PARAMETROS!$H$89)^Y$305</f>
        <v>549962.93327389425</v>
      </c>
      <c r="Z309" s="723">
        <f>Z276*(1+PARAMETROS!$C$89)*(1+PARAMETROS!$D$89)*(1+PARAMETROS!$E$89)*(1+PARAMETROS!$F$89)*(1+PARAMETROS!$G$89)*(1+PARAMETROS!$H$89)^Z$305</f>
        <v>0</v>
      </c>
      <c r="AA309" s="723">
        <f>AA276*(1+PARAMETROS!$C$89)*(1+PARAMETROS!$D$89)*(1+PARAMETROS!$E$89)*(1+PARAMETROS!$F$89)*(1+PARAMETROS!$G$89)*(1+PARAMETROS!$H$89)^AA$305</f>
        <v>0</v>
      </c>
      <c r="AB309" s="723">
        <f>AB276*(1+PARAMETROS!$C$89)*(1+PARAMETROS!$D$89)*(1+PARAMETROS!$E$89)*(1+PARAMETROS!$F$89)*(1+PARAMETROS!$G$89)*(1+PARAMETROS!$H$89)^AB$305</f>
        <v>0</v>
      </c>
      <c r="AC309" s="723">
        <f>AC276*(1+PARAMETROS!$C$89)*(1+PARAMETROS!$D$89)*(1+PARAMETROS!$E$89)*(1+PARAMETROS!$F$89)*(1+PARAMETROS!$G$89)*(1+PARAMETROS!$H$89)^AC$305</f>
        <v>413594.70907790039</v>
      </c>
      <c r="AD309" s="723">
        <f>AD276*(1+PARAMETROS!$C$89)*(1+PARAMETROS!$D$89)*(1+PARAMETROS!$E$89)*(1+PARAMETROS!$F$89)*(1+PARAMETROS!$G$89)*(1+PARAMETROS!$H$89)^AD$305</f>
        <v>511496.92657906318</v>
      </c>
      <c r="AE309" s="723">
        <f>AE276*(1+PARAMETROS!$C$89)*(1+PARAMETROS!$D$89)*(1+PARAMETROS!$E$89)*(1+PARAMETROS!$F$89)*(1+PARAMETROS!$G$89)*(1+PARAMETROS!$H$89)^AE$305</f>
        <v>0</v>
      </c>
      <c r="AF309" s="723">
        <f>AF276*(1+PARAMETROS!$C$89)*(1+PARAMETROS!$D$89)*(1+PARAMETROS!$E$89)*(1+PARAMETROS!$F$89)*(1+PARAMETROS!$G$89)*(1+PARAMETROS!$H$89)^AF$305</f>
        <v>0</v>
      </c>
      <c r="AG309" s="723">
        <f>AG276*(1+PARAMETROS!$C$89)*(1+PARAMETROS!$D$89)*(1+PARAMETROS!$E$89)*(1+PARAMETROS!$F$89)*(1+PARAMETROS!$G$89)*(1+PARAMETROS!$H$89)^AG$305</f>
        <v>0</v>
      </c>
      <c r="AH309" s="723">
        <f>AH276*(1+PARAMETROS!$C$89)*(1+PARAMETROS!$D$89)*(1+PARAMETROS!$E$89)*(1+PARAMETROS!$F$89)*(1+PARAMETROS!$G$89)*(1+PARAMETROS!$H$89)^AH$305</f>
        <v>0</v>
      </c>
      <c r="AI309" s="723">
        <f>AI276*(1+PARAMETROS!$C$89)*(1+PARAMETROS!$D$89)*(1+PARAMETROS!$E$89)*(1+PARAMETROS!$F$89)*(1+PARAMETROS!$G$89)*(1+PARAMETROS!$H$89)^AI$305</f>
        <v>0</v>
      </c>
      <c r="AJ309" s="723">
        <f>AJ276*(1+PARAMETROS!$C$89)*(1+PARAMETROS!$D$89)*(1+PARAMETROS!$E$89)*(1+PARAMETROS!$F$89)*(1+PARAMETROS!$G$89)*(1+PARAMETROS!$H$89)^AJ$305</f>
        <v>0</v>
      </c>
      <c r="AK309" s="723">
        <f>AK276*(1+PARAMETROS!$C$89)*(1+PARAMETROS!$D$89)*(1+PARAMETROS!$E$89)*(1+PARAMETROS!$F$89)*(1+PARAMETROS!$G$89)*(1+PARAMETROS!$H$89)^AK$305</f>
        <v>0</v>
      </c>
      <c r="AL309" s="723">
        <f>AL276*(1+PARAMETROS!$C$89)*(1+PARAMETROS!$D$89)*(1+PARAMETROS!$E$89)*(1+PARAMETROS!$F$89)*(1+PARAMETROS!$G$89)*(1+PARAMETROS!$H$89)^AL$305</f>
        <v>0</v>
      </c>
      <c r="AM309" s="723">
        <f>AM276*(1+PARAMETROS!$C$89)*(1+PARAMETROS!$D$89)*(1+PARAMETROS!$E$89)*(1+PARAMETROS!$F$89)*(1+PARAMETROS!$G$89)*(1+PARAMETROS!$H$89)^AM$305</f>
        <v>0</v>
      </c>
      <c r="AN309" s="723">
        <f>AN276*(1+PARAMETROS!$C$89)*(1+PARAMETROS!$D$89)*(1+PARAMETROS!$E$89)*(1+PARAMETROS!$F$89)*(1+PARAMETROS!$G$89)*(1+PARAMETROS!$H$89)^AN$305</f>
        <v>984208.38762424502</v>
      </c>
      <c r="AO309" s="723">
        <f>AO276*(1+PARAMETROS!$C$89)*(1+PARAMETROS!$D$89)*(1+PARAMETROS!$E$89)*(1+PARAMETROS!$F$89)*(1+PARAMETROS!$G$89)*(1+PARAMETROS!$H$89)^AO$305</f>
        <v>3160041.533720735</v>
      </c>
      <c r="AP309" s="723">
        <f>AP276*(1+PARAMETROS!$C$89)*(1+PARAMETROS!$D$89)*(1+PARAMETROS!$E$89)*(1+PARAMETROS!$F$89)*(1+PARAMETROS!$G$89)*(1+PARAMETROS!$H$89)^AP$305</f>
        <v>1058174.6171702014</v>
      </c>
      <c r="AQ309" s="723">
        <f>AQ276*(1+PARAMETROS!$C$89)*(1+PARAMETROS!$D$89)*(1+PARAMETROS!$E$89)*(1+PARAMETROS!$F$89)*(1+PARAMETROS!$G$89)*(1+PARAMETROS!$H$89)^AQ$305</f>
        <v>0</v>
      </c>
      <c r="AR309" s="723">
        <f>AR276*(1+PARAMETROS!$C$89)*(1+PARAMETROS!$D$89)*(1+PARAMETROS!$E$89)*(1+PARAMETROS!$F$89)*(1+PARAMETROS!$G$89)*(1+PARAMETROS!$H$89)^AR$305</f>
        <v>0</v>
      </c>
      <c r="AS309" s="723">
        <f>AS276*(1+PARAMETROS!$C$89)*(1+PARAMETROS!$D$89)*(1+PARAMETROS!$E$89)*(1+PARAMETROS!$F$89)*(1+PARAMETROS!$G$89)*(1+PARAMETROS!$H$89)^AS$305</f>
        <v>0</v>
      </c>
      <c r="AT309" s="723">
        <f>AT276*(1+PARAMETROS!$C$89)*(1+PARAMETROS!$D$89)*(1+PARAMETROS!$E$89)*(1+PARAMETROS!$F$89)*(1+PARAMETROS!$G$89)*(1+PARAMETROS!$H$89)^AT$305</f>
        <v>0</v>
      </c>
      <c r="AU309" s="723">
        <f>AU276*(1+PARAMETROS!$C$89)*(1+PARAMETROS!$D$89)*(1+PARAMETROS!$E$89)*(1+PARAMETROS!$F$89)*(1+PARAMETROS!$G$89)*(1+PARAMETROS!$H$89)^AU$305</f>
        <v>0</v>
      </c>
      <c r="AV309" s="723">
        <f>AV276*(1+PARAMETROS!$C$89)*(1+PARAMETROS!$D$89)*(1+PARAMETROS!$E$89)*(1+PARAMETROS!$F$89)*(1+PARAMETROS!$G$89)*(1+PARAMETROS!$H$89)^AV$305</f>
        <v>0</v>
      </c>
      <c r="AW309" s="723">
        <f>AW276*(1+PARAMETROS!$C$89)*(1+PARAMETROS!$D$89)*(1+PARAMETROS!$E$89)*(1+PARAMETROS!$F$89)*(1+PARAMETROS!$G$89)*(1+PARAMETROS!$H$89)^AW$305</f>
        <v>0</v>
      </c>
      <c r="AX309" s="723">
        <f>AX276*(1+PARAMETROS!$C$89)*(1+PARAMETROS!$D$89)*(1+PARAMETROS!$E$89)*(1+PARAMETROS!$F$89)*(1+PARAMETROS!$G$89)*(1+PARAMETROS!$H$89)^AX$305</f>
        <v>0</v>
      </c>
    </row>
    <row r="310" spans="2:50" x14ac:dyDescent="0.2">
      <c r="B310" s="737" t="s">
        <v>408</v>
      </c>
      <c r="C310" s="16" t="s">
        <v>180</v>
      </c>
      <c r="D310" s="740" t="s">
        <v>412</v>
      </c>
      <c r="E310" s="757">
        <f>E277</f>
        <v>406427.76732271718</v>
      </c>
      <c r="F310" s="757">
        <f>F277*(1+PARAMETROS!$C$93)</f>
        <v>1649327.7268940867</v>
      </c>
      <c r="G310" s="757">
        <f>G277*(1+PARAMETROS!$C$93)*(1+PARAMETROS!$D$93)</f>
        <v>6922961.0234504659</v>
      </c>
      <c r="H310" s="757">
        <f>H277*(1+PARAMETROS!$C$93)*(1+PARAMETROS!$D$93)*(1+PARAMETROS!$E$93)</f>
        <v>2719696.5823499504</v>
      </c>
      <c r="I310" s="757">
        <f>I277*(1+PARAMETROS!$C$93)*(1+PARAMETROS!$D$93)*(1+PARAMETROS!$E$93)*(1+PARAMETROS!$F$93)</f>
        <v>0</v>
      </c>
      <c r="J310" s="757">
        <f>J277*(1+PARAMETROS!$C$93)*(1+PARAMETROS!$D$93)*(1+PARAMETROS!$E$93)*(1+PARAMETROS!$F$93)*(1+PARAMETROS!$G$93)</f>
        <v>0</v>
      </c>
      <c r="K310" s="757">
        <f>K277*(1+PARAMETROS!$C$93)*(1+PARAMETROS!$D$93)*(1+PARAMETROS!$E$93)*(1+PARAMETROS!$F$93)*(1+PARAMETROS!$G$93)*(1+PARAMETROS!$H$93)^K$305</f>
        <v>0</v>
      </c>
      <c r="L310" s="723">
        <f>L277*(1+PARAMETROS!$C$93)*(1+PARAMETROS!$D$93)*(1+PARAMETROS!$E$93)*(1+PARAMETROS!$F$93)*(1+PARAMETROS!$G$93)*(1+PARAMETROS!$H$93)^L$305</f>
        <v>0</v>
      </c>
      <c r="M310" s="723">
        <f>M277*(1+PARAMETROS!$C$93)*(1+PARAMETROS!$D$93)*(1+PARAMETROS!$E$93)*(1+PARAMETROS!$F$93)*(1+PARAMETROS!$G$93)*(1+PARAMETROS!$H$93)^M$305</f>
        <v>0</v>
      </c>
      <c r="N310" s="723">
        <f>N277*(1+PARAMETROS!$C$93)*(1+PARAMETROS!$D$93)*(1+PARAMETROS!$E$93)*(1+PARAMETROS!$F$93)*(1+PARAMETROS!$G$93)*(1+PARAMETROS!$H$93)^N$305</f>
        <v>0</v>
      </c>
      <c r="O310" s="723">
        <f>O277*(1+PARAMETROS!$C$93)*(1+PARAMETROS!$D$93)*(1+PARAMETROS!$E$93)*(1+PARAMETROS!$F$93)*(1+PARAMETROS!$G$93)*(1+PARAMETROS!$H$93)^O$305</f>
        <v>0</v>
      </c>
      <c r="P310" s="723">
        <f>P277*(1+PARAMETROS!$C$93)*(1+PARAMETROS!$D$93)*(1+PARAMETROS!$E$93)*(1+PARAMETROS!$F$93)*(1+PARAMETROS!$G$93)*(1+PARAMETROS!$H$93)^P$305</f>
        <v>0</v>
      </c>
      <c r="Q310" s="723">
        <f>Q277*(1+PARAMETROS!$C$93)*(1+PARAMETROS!$D$93)*(1+PARAMETROS!$E$93)*(1+PARAMETROS!$F$93)*(1+PARAMETROS!$G$93)*(1+PARAMETROS!$H$93)^Q$305</f>
        <v>0</v>
      </c>
      <c r="R310" s="723">
        <f>R277*(1+PARAMETROS!$C$93)*(1+PARAMETROS!$D$93)*(1+PARAMETROS!$E$93)*(1+PARAMETROS!$F$93)*(1+PARAMETROS!$G$93)*(1+PARAMETROS!$H$93)^R$305</f>
        <v>49290.511389927866</v>
      </c>
      <c r="S310" s="723">
        <f>S277*(1+PARAMETROS!$C$93)*(1+PARAMETROS!$D$93)*(1+PARAMETROS!$E$93)*(1+PARAMETROS!$F$93)*(1+PARAMETROS!$G$93)*(1+PARAMETROS!$H$93)^S$305</f>
        <v>59727.20924754021</v>
      </c>
      <c r="T310" s="723">
        <f>T277*(1+PARAMETROS!$C$93)*(1+PARAMETROS!$D$93)*(1+PARAMETROS!$E$93)*(1+PARAMETROS!$F$93)*(1+PARAMETROS!$G$93)*(1+PARAMETROS!$H$93)^T$305</f>
        <v>0</v>
      </c>
      <c r="U310" s="723">
        <f>U277*(1+PARAMETROS!$C$93)*(1+PARAMETROS!$D$93)*(1+PARAMETROS!$E$93)*(1+PARAMETROS!$F$93)*(1+PARAMETROS!$G$93)*(1+PARAMETROS!$H$93)^U$305</f>
        <v>0</v>
      </c>
      <c r="V310" s="723">
        <f>V277*(1+PARAMETROS!$C$93)*(1+PARAMETROS!$D$93)*(1+PARAMETROS!$E$93)*(1+PARAMETROS!$F$93)*(1+PARAMETROS!$G$93)*(1+PARAMETROS!$H$93)^V$305</f>
        <v>0</v>
      </c>
      <c r="W310" s="723">
        <f>W277*(1+PARAMETROS!$C$93)*(1+PARAMETROS!$D$93)*(1+PARAMETROS!$E$93)*(1+PARAMETROS!$F$93)*(1+PARAMETROS!$G$93)*(1+PARAMETROS!$H$93)^W$305</f>
        <v>418587.4042875875</v>
      </c>
      <c r="X310" s="723">
        <f>X277*(1+PARAMETROS!$C$93)*(1+PARAMETROS!$D$93)*(1+PARAMETROS!$E$93)*(1+PARAMETROS!$F$93)*(1+PARAMETROS!$G$93)*(1+PARAMETROS!$H$93)^X$305</f>
        <v>868425.39743532834</v>
      </c>
      <c r="Y310" s="723">
        <f>Y277*(1+PARAMETROS!$C$93)*(1+PARAMETROS!$D$93)*(1+PARAMETROS!$E$93)*(1+PARAMETROS!$F$93)*(1+PARAMETROS!$G$93)*(1+PARAMETROS!$H$93)^Y$305</f>
        <v>440140.27133834519</v>
      </c>
      <c r="Z310" s="723">
        <f>Z277*(1+PARAMETROS!$C$93)*(1+PARAMETROS!$D$93)*(1+PARAMETROS!$E$93)*(1+PARAMETROS!$F$93)*(1+PARAMETROS!$G$93)*(1+PARAMETROS!$H$93)^Z$305</f>
        <v>0</v>
      </c>
      <c r="AA310" s="723">
        <f>AA277*(1+PARAMETROS!$C$93)*(1+PARAMETROS!$D$93)*(1+PARAMETROS!$E$93)*(1+PARAMETROS!$F$93)*(1+PARAMETROS!$G$93)*(1+PARAMETROS!$H$93)^AA$305</f>
        <v>0</v>
      </c>
      <c r="AB310" s="723">
        <f>AB277*(1+PARAMETROS!$C$93)*(1+PARAMETROS!$D$93)*(1+PARAMETROS!$E$93)*(1+PARAMETROS!$F$93)*(1+PARAMETROS!$G$93)*(1+PARAMETROS!$H$93)^AB$305</f>
        <v>0</v>
      </c>
      <c r="AC310" s="723">
        <f>AC277*(1+PARAMETROS!$C$93)*(1+PARAMETROS!$D$93)*(1+PARAMETROS!$E$93)*(1+PARAMETROS!$F$93)*(1+PARAMETROS!$G$93)*(1+PARAMETROS!$H$93)^AC$305</f>
        <v>60628.852427539656</v>
      </c>
      <c r="AD310" s="723">
        <f>AD277*(1+PARAMETROS!$C$93)*(1+PARAMETROS!$D$93)*(1+PARAMETROS!$E$93)*(1+PARAMETROS!$F$93)*(1+PARAMETROS!$G$93)*(1+PARAMETROS!$H$93)^AD$305</f>
        <v>73466.313358596235</v>
      </c>
      <c r="AE310" s="723">
        <f>AE277*(1+PARAMETROS!$C$93)*(1+PARAMETROS!$D$93)*(1+PARAMETROS!$E$93)*(1+PARAMETROS!$F$93)*(1+PARAMETROS!$G$93)*(1+PARAMETROS!$H$93)^AE$305</f>
        <v>0</v>
      </c>
      <c r="AF310" s="723">
        <f>AF277*(1+PARAMETROS!$C$93)*(1+PARAMETROS!$D$93)*(1+PARAMETROS!$E$93)*(1+PARAMETROS!$F$93)*(1+PARAMETROS!$G$93)*(1+PARAMETROS!$H$93)^AF$305</f>
        <v>0</v>
      </c>
      <c r="AG310" s="723">
        <f>AG277*(1+PARAMETROS!$C$93)*(1+PARAMETROS!$D$93)*(1+PARAMETROS!$E$93)*(1+PARAMETROS!$F$93)*(1+PARAMETROS!$G$93)*(1+PARAMETROS!$H$93)^AG$305</f>
        <v>0</v>
      </c>
      <c r="AH310" s="723">
        <f>AH277*(1+PARAMETROS!$C$93)*(1+PARAMETROS!$D$93)*(1+PARAMETROS!$E$93)*(1+PARAMETROS!$F$93)*(1+PARAMETROS!$G$93)*(1+PARAMETROS!$H$93)^AH$305</f>
        <v>0</v>
      </c>
      <c r="AI310" s="723">
        <f>AI277*(1+PARAMETROS!$C$93)*(1+PARAMETROS!$D$93)*(1+PARAMETROS!$E$93)*(1+PARAMETROS!$F$93)*(1+PARAMETROS!$G$93)*(1+PARAMETROS!$H$93)^AI$305</f>
        <v>0</v>
      </c>
      <c r="AJ310" s="723">
        <f>AJ277*(1+PARAMETROS!$C$93)*(1+PARAMETROS!$D$93)*(1+PARAMETROS!$E$93)*(1+PARAMETROS!$F$93)*(1+PARAMETROS!$G$93)*(1+PARAMETROS!$H$93)^AJ$305</f>
        <v>0</v>
      </c>
      <c r="AK310" s="723">
        <f>AK277*(1+PARAMETROS!$C$93)*(1+PARAMETROS!$D$93)*(1+PARAMETROS!$E$93)*(1+PARAMETROS!$F$93)*(1+PARAMETROS!$G$93)*(1+PARAMETROS!$H$93)^AK$305</f>
        <v>0</v>
      </c>
      <c r="AL310" s="723">
        <f>AL277*(1+PARAMETROS!$C$93)*(1+PARAMETROS!$D$93)*(1+PARAMETROS!$E$93)*(1+PARAMETROS!$F$93)*(1+PARAMETROS!$G$93)*(1+PARAMETROS!$H$93)^AL$305</f>
        <v>0</v>
      </c>
      <c r="AM310" s="723">
        <f>AM277*(1+PARAMETROS!$C$93)*(1+PARAMETROS!$D$93)*(1+PARAMETROS!$E$93)*(1+PARAMETROS!$F$93)*(1+PARAMETROS!$G$93)*(1+PARAMETROS!$H$93)^AM$305</f>
        <v>0</v>
      </c>
      <c r="AN310" s="723">
        <f>AN277*(1+PARAMETROS!$C$93)*(1+PARAMETROS!$D$93)*(1+PARAMETROS!$E$93)*(1+PARAMETROS!$F$93)*(1+PARAMETROS!$G$93)*(1+PARAMETROS!$H$93)^AN$305</f>
        <v>651006.30283923575</v>
      </c>
      <c r="AO310" s="723">
        <f>AO277*(1+PARAMETROS!$C$93)*(1+PARAMETROS!$D$93)*(1+PARAMETROS!$E$93)*(1+PARAMETROS!$F$93)*(1+PARAMETROS!$G$93)*(1+PARAMETROS!$H$93)^AO$305</f>
        <v>1251632.3515500643</v>
      </c>
      <c r="AP310" s="723">
        <f>AP277*(1+PARAMETROS!$C$93)*(1+PARAMETROS!$D$93)*(1+PARAMETROS!$E$93)*(1+PARAMETROS!$F$93)*(1+PARAMETROS!$G$93)*(1+PARAMETROS!$H$93)^AP$305</f>
        <v>594348.39887282636</v>
      </c>
      <c r="AQ310" s="723">
        <f>AQ277*(1+PARAMETROS!$C$93)*(1+PARAMETROS!$D$93)*(1+PARAMETROS!$E$93)*(1+PARAMETROS!$F$93)*(1+PARAMETROS!$G$93)*(1+PARAMETROS!$H$93)^AQ$305</f>
        <v>0</v>
      </c>
      <c r="AR310" s="723">
        <f>AR277*(1+PARAMETROS!$C$93)*(1+PARAMETROS!$D$93)*(1+PARAMETROS!$E$93)*(1+PARAMETROS!$F$93)*(1+PARAMETROS!$G$93)*(1+PARAMETROS!$H$93)^AR$305</f>
        <v>0</v>
      </c>
      <c r="AS310" s="723">
        <f>AS277*(1+PARAMETROS!$C$93)*(1+PARAMETROS!$D$93)*(1+PARAMETROS!$E$93)*(1+PARAMETROS!$F$93)*(1+PARAMETROS!$G$93)*(1+PARAMETROS!$H$93)^AS$305</f>
        <v>0</v>
      </c>
      <c r="AT310" s="723">
        <f>AT277*(1+PARAMETROS!$C$93)*(1+PARAMETROS!$D$93)*(1+PARAMETROS!$E$93)*(1+PARAMETROS!$F$93)*(1+PARAMETROS!$G$93)*(1+PARAMETROS!$H$93)^AT$305</f>
        <v>0</v>
      </c>
      <c r="AU310" s="723">
        <f>AU277*(1+PARAMETROS!$C$93)*(1+PARAMETROS!$D$93)*(1+PARAMETROS!$E$93)*(1+PARAMETROS!$F$93)*(1+PARAMETROS!$G$93)*(1+PARAMETROS!$H$93)^AU$305</f>
        <v>0</v>
      </c>
      <c r="AV310" s="723">
        <f>AV277*(1+PARAMETROS!$C$93)*(1+PARAMETROS!$D$93)*(1+PARAMETROS!$E$93)*(1+PARAMETROS!$F$93)*(1+PARAMETROS!$G$93)*(1+PARAMETROS!$H$93)^AV$305</f>
        <v>0</v>
      </c>
      <c r="AW310" s="723">
        <f>AW277*(1+PARAMETROS!$C$93)*(1+PARAMETROS!$D$93)*(1+PARAMETROS!$E$93)*(1+PARAMETROS!$F$93)*(1+PARAMETROS!$G$93)*(1+PARAMETROS!$H$93)^AW$305</f>
        <v>0</v>
      </c>
      <c r="AX310" s="723">
        <f>AX277*(1+PARAMETROS!$C$93)*(1+PARAMETROS!$D$93)*(1+PARAMETROS!$E$93)*(1+PARAMETROS!$F$93)*(1+PARAMETROS!$G$93)*(1+PARAMETROS!$H$93)^AX$305</f>
        <v>0</v>
      </c>
    </row>
    <row r="311" spans="2:50" x14ac:dyDescent="0.2">
      <c r="B311" s="710"/>
      <c r="C311" s="16"/>
      <c r="D311" s="740"/>
      <c r="E311" s="722"/>
      <c r="F311" s="723"/>
      <c r="G311" s="723"/>
      <c r="H311" s="723"/>
      <c r="I311" s="723"/>
      <c r="J311" s="723"/>
      <c r="K311" s="723"/>
      <c r="L311" s="723"/>
      <c r="M311" s="723"/>
      <c r="N311" s="723"/>
      <c r="O311" s="723"/>
      <c r="P311" s="723"/>
      <c r="Q311" s="723"/>
      <c r="R311" s="723"/>
      <c r="S311" s="723"/>
      <c r="T311" s="723"/>
      <c r="U311" s="723"/>
      <c r="V311" s="723"/>
      <c r="W311" s="723"/>
      <c r="X311" s="723"/>
      <c r="Y311" s="723"/>
      <c r="Z311" s="723"/>
      <c r="AA311" s="723"/>
      <c r="AB311" s="723"/>
      <c r="AC311" s="723"/>
      <c r="AD311" s="723"/>
      <c r="AE311" s="723"/>
      <c r="AF311" s="723"/>
      <c r="AG311" s="723"/>
      <c r="AH311" s="723"/>
      <c r="AI311" s="723"/>
      <c r="AJ311" s="723"/>
      <c r="AK311" s="723"/>
      <c r="AL311" s="723"/>
      <c r="AM311" s="723"/>
      <c r="AN311" s="723"/>
      <c r="AO311" s="723"/>
      <c r="AP311" s="723"/>
      <c r="AQ311" s="723"/>
      <c r="AR311" s="723"/>
      <c r="AS311" s="723"/>
      <c r="AT311" s="723"/>
      <c r="AU311" s="723"/>
      <c r="AV311" s="723"/>
      <c r="AW311" s="723"/>
      <c r="AX311" s="723"/>
    </row>
    <row r="312" spans="2:50" x14ac:dyDescent="0.2">
      <c r="B312" s="737" t="s">
        <v>407</v>
      </c>
      <c r="C312" s="16" t="s">
        <v>410</v>
      </c>
      <c r="D312" s="740" t="s">
        <v>412</v>
      </c>
      <c r="E312" s="722">
        <f>E306+E309</f>
        <v>1635423.5450968919</v>
      </c>
      <c r="F312" s="722">
        <f t="shared" ref="F312:AX313" si="109">F306+F309</f>
        <v>12769982.441712379</v>
      </c>
      <c r="G312" s="722">
        <f t="shared" si="109"/>
        <v>25246345.941525374</v>
      </c>
      <c r="H312" s="722">
        <f t="shared" si="109"/>
        <v>10564276.566134216</v>
      </c>
      <c r="I312" s="722">
        <f t="shared" si="109"/>
        <v>0</v>
      </c>
      <c r="J312" s="722">
        <f t="shared" si="109"/>
        <v>0</v>
      </c>
      <c r="K312" s="722">
        <f t="shared" si="109"/>
        <v>0</v>
      </c>
      <c r="L312" s="722">
        <f t="shared" si="109"/>
        <v>0</v>
      </c>
      <c r="M312" s="722">
        <f t="shared" si="109"/>
        <v>0</v>
      </c>
      <c r="N312" s="722">
        <f t="shared" si="109"/>
        <v>0</v>
      </c>
      <c r="O312" s="722">
        <f t="shared" si="109"/>
        <v>0</v>
      </c>
      <c r="P312" s="722">
        <f t="shared" si="109"/>
        <v>0</v>
      </c>
      <c r="Q312" s="722">
        <f t="shared" si="109"/>
        <v>0</v>
      </c>
      <c r="R312" s="722">
        <f t="shared" si="109"/>
        <v>1662383.7680449849</v>
      </c>
      <c r="S312" s="722">
        <f t="shared" si="109"/>
        <v>2055887.4895804769</v>
      </c>
      <c r="T312" s="722">
        <f t="shared" si="109"/>
        <v>0</v>
      </c>
      <c r="U312" s="722">
        <f t="shared" si="109"/>
        <v>0</v>
      </c>
      <c r="V312" s="722">
        <f t="shared" si="109"/>
        <v>0</v>
      </c>
      <c r="W312" s="722">
        <f t="shared" si="109"/>
        <v>902788.46520525869</v>
      </c>
      <c r="X312" s="722">
        <f t="shared" si="109"/>
        <v>6220890.0925943162</v>
      </c>
      <c r="Y312" s="722">
        <f t="shared" si="109"/>
        <v>2761503.2192709739</v>
      </c>
      <c r="Z312" s="722">
        <f t="shared" si="109"/>
        <v>0</v>
      </c>
      <c r="AA312" s="722">
        <f t="shared" si="109"/>
        <v>0</v>
      </c>
      <c r="AB312" s="722">
        <f t="shared" si="109"/>
        <v>0</v>
      </c>
      <c r="AC312" s="722">
        <f t="shared" si="109"/>
        <v>2559163.4348691963</v>
      </c>
      <c r="AD312" s="722">
        <f t="shared" si="109"/>
        <v>3164944.3351620883</v>
      </c>
      <c r="AE312" s="722">
        <f t="shared" si="109"/>
        <v>0</v>
      </c>
      <c r="AF312" s="722">
        <f t="shared" si="109"/>
        <v>0</v>
      </c>
      <c r="AG312" s="722">
        <f t="shared" si="109"/>
        <v>0</v>
      </c>
      <c r="AH312" s="722">
        <f t="shared" si="109"/>
        <v>0</v>
      </c>
      <c r="AI312" s="722">
        <f t="shared" si="109"/>
        <v>0</v>
      </c>
      <c r="AJ312" s="722">
        <f t="shared" si="109"/>
        <v>0</v>
      </c>
      <c r="AK312" s="722">
        <f t="shared" si="109"/>
        <v>0</v>
      </c>
      <c r="AL312" s="722">
        <f t="shared" si="109"/>
        <v>0</v>
      </c>
      <c r="AM312" s="722">
        <f t="shared" si="109"/>
        <v>0</v>
      </c>
      <c r="AN312" s="722">
        <f t="shared" si="109"/>
        <v>5698256.6293384302</v>
      </c>
      <c r="AO312" s="722">
        <f t="shared" si="109"/>
        <v>16801041.292428821</v>
      </c>
      <c r="AP312" s="722">
        <f t="shared" si="109"/>
        <v>5313641.2238401799</v>
      </c>
      <c r="AQ312" s="722">
        <f t="shared" si="109"/>
        <v>0</v>
      </c>
      <c r="AR312" s="722">
        <f t="shared" si="109"/>
        <v>0</v>
      </c>
      <c r="AS312" s="722">
        <f t="shared" si="109"/>
        <v>0</v>
      </c>
      <c r="AT312" s="722">
        <f t="shared" si="109"/>
        <v>0</v>
      </c>
      <c r="AU312" s="722">
        <f t="shared" si="109"/>
        <v>0</v>
      </c>
      <c r="AV312" s="722">
        <f t="shared" si="109"/>
        <v>0</v>
      </c>
      <c r="AW312" s="722">
        <f t="shared" si="109"/>
        <v>0</v>
      </c>
      <c r="AX312" s="722">
        <f t="shared" si="109"/>
        <v>0</v>
      </c>
    </row>
    <row r="313" spans="2:50" x14ac:dyDescent="0.2">
      <c r="B313" s="737" t="s">
        <v>408</v>
      </c>
      <c r="C313" s="16" t="s">
        <v>410</v>
      </c>
      <c r="D313" s="740" t="s">
        <v>412</v>
      </c>
      <c r="E313" s="722">
        <f>E307+E310</f>
        <v>4259258.0991296778</v>
      </c>
      <c r="F313" s="722">
        <f t="shared" si="109"/>
        <v>10922456.884975327</v>
      </c>
      <c r="G313" s="722">
        <f t="shared" si="109"/>
        <v>36204012.846694469</v>
      </c>
      <c r="H313" s="722">
        <f t="shared" si="109"/>
        <v>14349941.671731494</v>
      </c>
      <c r="I313" s="722">
        <f t="shared" si="109"/>
        <v>0</v>
      </c>
      <c r="J313" s="722">
        <f t="shared" si="109"/>
        <v>0</v>
      </c>
      <c r="K313" s="722">
        <f t="shared" si="109"/>
        <v>0</v>
      </c>
      <c r="L313" s="722">
        <f t="shared" si="109"/>
        <v>0</v>
      </c>
      <c r="M313" s="722">
        <f t="shared" si="109"/>
        <v>0</v>
      </c>
      <c r="N313" s="722">
        <f t="shared" si="109"/>
        <v>0</v>
      </c>
      <c r="O313" s="722">
        <f t="shared" si="109"/>
        <v>0</v>
      </c>
      <c r="P313" s="722">
        <f t="shared" si="109"/>
        <v>0</v>
      </c>
      <c r="Q313" s="722">
        <f t="shared" si="109"/>
        <v>0</v>
      </c>
      <c r="R313" s="722">
        <f t="shared" si="109"/>
        <v>304990.54186727555</v>
      </c>
      <c r="S313" s="722">
        <f t="shared" si="109"/>
        <v>369568.77498231409</v>
      </c>
      <c r="T313" s="722">
        <f t="shared" si="109"/>
        <v>0</v>
      </c>
      <c r="U313" s="722">
        <f t="shared" si="109"/>
        <v>0</v>
      </c>
      <c r="V313" s="722">
        <f t="shared" si="109"/>
        <v>0</v>
      </c>
      <c r="W313" s="722">
        <f t="shared" si="109"/>
        <v>2211727.5584897073</v>
      </c>
      <c r="X313" s="722">
        <f t="shared" si="109"/>
        <v>4705269.6589439008</v>
      </c>
      <c r="Y313" s="722">
        <f t="shared" si="109"/>
        <v>2324048.8175353389</v>
      </c>
      <c r="Z313" s="722">
        <f t="shared" si="109"/>
        <v>0</v>
      </c>
      <c r="AA313" s="722">
        <f t="shared" si="109"/>
        <v>0</v>
      </c>
      <c r="AB313" s="722">
        <f t="shared" si="109"/>
        <v>0</v>
      </c>
      <c r="AC313" s="722">
        <f t="shared" si="109"/>
        <v>375147.79281525052</v>
      </c>
      <c r="AD313" s="722">
        <f t="shared" si="109"/>
        <v>454581.01546107978</v>
      </c>
      <c r="AE313" s="722">
        <f t="shared" si="109"/>
        <v>0</v>
      </c>
      <c r="AF313" s="722">
        <f t="shared" si="109"/>
        <v>0</v>
      </c>
      <c r="AG313" s="722">
        <f t="shared" si="109"/>
        <v>0</v>
      </c>
      <c r="AH313" s="722">
        <f t="shared" si="109"/>
        <v>0</v>
      </c>
      <c r="AI313" s="722">
        <f t="shared" si="109"/>
        <v>0</v>
      </c>
      <c r="AJ313" s="722">
        <f t="shared" si="109"/>
        <v>0</v>
      </c>
      <c r="AK313" s="722">
        <f t="shared" si="109"/>
        <v>0</v>
      </c>
      <c r="AL313" s="722">
        <f t="shared" si="109"/>
        <v>0</v>
      </c>
      <c r="AM313" s="722">
        <f t="shared" si="109"/>
        <v>0</v>
      </c>
      <c r="AN313" s="722">
        <f t="shared" si="109"/>
        <v>3507182.8923291899</v>
      </c>
      <c r="AO313" s="722">
        <f t="shared" si="109"/>
        <v>6865560.0403700508</v>
      </c>
      <c r="AP313" s="722">
        <f t="shared" si="109"/>
        <v>3141602.0812524497</v>
      </c>
      <c r="AQ313" s="722">
        <f t="shared" si="109"/>
        <v>0</v>
      </c>
      <c r="AR313" s="722">
        <f t="shared" si="109"/>
        <v>0</v>
      </c>
      <c r="AS313" s="722">
        <f t="shared" si="109"/>
        <v>0</v>
      </c>
      <c r="AT313" s="722">
        <f t="shared" si="109"/>
        <v>0</v>
      </c>
      <c r="AU313" s="722">
        <f t="shared" si="109"/>
        <v>0</v>
      </c>
      <c r="AV313" s="722">
        <f t="shared" si="109"/>
        <v>0</v>
      </c>
      <c r="AW313" s="722">
        <f t="shared" si="109"/>
        <v>0</v>
      </c>
      <c r="AX313" s="722">
        <f t="shared" si="109"/>
        <v>0</v>
      </c>
    </row>
    <row r="314" spans="2:50" x14ac:dyDescent="0.2">
      <c r="B314" s="737"/>
      <c r="C314" s="16"/>
      <c r="D314" s="740"/>
      <c r="E314" s="722"/>
      <c r="F314" s="722"/>
      <c r="G314" s="722"/>
      <c r="H314" s="722"/>
      <c r="I314" s="724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</row>
    <row r="315" spans="2:50" x14ac:dyDescent="0.2">
      <c r="B315" s="738" t="s">
        <v>415</v>
      </c>
      <c r="C315" s="751" t="s">
        <v>409</v>
      </c>
      <c r="D315" s="740" t="s">
        <v>412</v>
      </c>
      <c r="E315" s="741">
        <f>E306+E307</f>
        <v>5332198.1684703697</v>
      </c>
      <c r="F315" s="741">
        <f t="shared" ref="F315:AX315" si="110">F306+F307</f>
        <v>19669755.173127942</v>
      </c>
      <c r="G315" s="741">
        <f t="shared" si="110"/>
        <v>49555811.40366777</v>
      </c>
      <c r="H315" s="741">
        <f t="shared" si="110"/>
        <v>20159455.234365173</v>
      </c>
      <c r="I315" s="741">
        <f t="shared" si="110"/>
        <v>0</v>
      </c>
      <c r="J315" s="741">
        <f t="shared" si="110"/>
        <v>0</v>
      </c>
      <c r="K315" s="741">
        <f t="shared" si="110"/>
        <v>0</v>
      </c>
      <c r="L315" s="741">
        <f t="shared" si="110"/>
        <v>0</v>
      </c>
      <c r="M315" s="741">
        <f t="shared" si="110"/>
        <v>0</v>
      </c>
      <c r="N315" s="741">
        <f t="shared" si="110"/>
        <v>0</v>
      </c>
      <c r="O315" s="741">
        <f t="shared" si="110"/>
        <v>0</v>
      </c>
      <c r="P315" s="741">
        <f t="shared" si="110"/>
        <v>0</v>
      </c>
      <c r="Q315" s="741">
        <f t="shared" si="110"/>
        <v>0</v>
      </c>
      <c r="R315" s="741">
        <f t="shared" si="110"/>
        <v>1649420.5621098715</v>
      </c>
      <c r="S315" s="741">
        <f t="shared" si="110"/>
        <v>2033470.4052562744</v>
      </c>
      <c r="T315" s="741">
        <f t="shared" si="110"/>
        <v>0</v>
      </c>
      <c r="U315" s="741">
        <f t="shared" si="110"/>
        <v>0</v>
      </c>
      <c r="V315" s="741">
        <f t="shared" si="110"/>
        <v>0</v>
      </c>
      <c r="W315" s="741">
        <f t="shared" si="110"/>
        <v>2517532.2712075813</v>
      </c>
      <c r="X315" s="741">
        <f t="shared" si="110"/>
        <v>8820299.7314887382</v>
      </c>
      <c r="Y315" s="741">
        <f t="shared" si="110"/>
        <v>4095448.8321940731</v>
      </c>
      <c r="Z315" s="741">
        <f t="shared" si="110"/>
        <v>0</v>
      </c>
      <c r="AA315" s="741">
        <f t="shared" si="110"/>
        <v>0</v>
      </c>
      <c r="AB315" s="741">
        <f t="shared" si="110"/>
        <v>0</v>
      </c>
      <c r="AC315" s="741">
        <f t="shared" si="110"/>
        <v>2460087.6661790069</v>
      </c>
      <c r="AD315" s="741">
        <f t="shared" si="110"/>
        <v>3034562.1106855087</v>
      </c>
      <c r="AE315" s="741">
        <f t="shared" si="110"/>
        <v>0</v>
      </c>
      <c r="AF315" s="741">
        <f t="shared" si="110"/>
        <v>0</v>
      </c>
      <c r="AG315" s="741">
        <f t="shared" si="110"/>
        <v>0</v>
      </c>
      <c r="AH315" s="741">
        <f t="shared" si="110"/>
        <v>0</v>
      </c>
      <c r="AI315" s="741">
        <f t="shared" si="110"/>
        <v>0</v>
      </c>
      <c r="AJ315" s="741">
        <f t="shared" si="110"/>
        <v>0</v>
      </c>
      <c r="AK315" s="741">
        <f t="shared" si="110"/>
        <v>0</v>
      </c>
      <c r="AL315" s="741">
        <f t="shared" si="110"/>
        <v>0</v>
      </c>
      <c r="AM315" s="741">
        <f t="shared" si="110"/>
        <v>0</v>
      </c>
      <c r="AN315" s="741">
        <f t="shared" si="110"/>
        <v>7570224.8312041387</v>
      </c>
      <c r="AO315" s="741">
        <f t="shared" si="110"/>
        <v>19254927.447528072</v>
      </c>
      <c r="AP315" s="741">
        <f t="shared" si="110"/>
        <v>6802720.2890496012</v>
      </c>
      <c r="AQ315" s="741">
        <f t="shared" si="110"/>
        <v>0</v>
      </c>
      <c r="AR315" s="741">
        <f t="shared" si="110"/>
        <v>0</v>
      </c>
      <c r="AS315" s="741">
        <f t="shared" si="110"/>
        <v>0</v>
      </c>
      <c r="AT315" s="741">
        <f t="shared" si="110"/>
        <v>0</v>
      </c>
      <c r="AU315" s="741">
        <f t="shared" si="110"/>
        <v>0</v>
      </c>
      <c r="AV315" s="741">
        <f t="shared" si="110"/>
        <v>0</v>
      </c>
      <c r="AW315" s="741">
        <f t="shared" si="110"/>
        <v>0</v>
      </c>
      <c r="AX315" s="741">
        <f t="shared" si="110"/>
        <v>0</v>
      </c>
    </row>
    <row r="316" spans="2:50" x14ac:dyDescent="0.2">
      <c r="B316" s="738" t="s">
        <v>415</v>
      </c>
      <c r="C316" s="751" t="s">
        <v>410</v>
      </c>
      <c r="D316" s="740" t="s">
        <v>412</v>
      </c>
      <c r="E316" s="741">
        <f>E312+E313</f>
        <v>5894681.6442265697</v>
      </c>
      <c r="F316" s="741">
        <f t="shared" ref="F316:AX316" si="111">F312+F313</f>
        <v>23692439.326687708</v>
      </c>
      <c r="G316" s="741">
        <f t="shared" si="111"/>
        <v>61450358.788219839</v>
      </c>
      <c r="H316" s="741">
        <f t="shared" si="111"/>
        <v>24914218.237865709</v>
      </c>
      <c r="I316" s="741">
        <f t="shared" si="111"/>
        <v>0</v>
      </c>
      <c r="J316" s="741">
        <f t="shared" si="111"/>
        <v>0</v>
      </c>
      <c r="K316" s="741">
        <f t="shared" si="111"/>
        <v>0</v>
      </c>
      <c r="L316" s="741">
        <f t="shared" si="111"/>
        <v>0</v>
      </c>
      <c r="M316" s="741">
        <f t="shared" si="111"/>
        <v>0</v>
      </c>
      <c r="N316" s="741">
        <f t="shared" si="111"/>
        <v>0</v>
      </c>
      <c r="O316" s="741">
        <f t="shared" si="111"/>
        <v>0</v>
      </c>
      <c r="P316" s="741">
        <f t="shared" si="111"/>
        <v>0</v>
      </c>
      <c r="Q316" s="741">
        <f t="shared" si="111"/>
        <v>0</v>
      </c>
      <c r="R316" s="741">
        <f t="shared" si="111"/>
        <v>1967374.3099122604</v>
      </c>
      <c r="S316" s="741">
        <f t="shared" si="111"/>
        <v>2425456.2645627912</v>
      </c>
      <c r="T316" s="741">
        <f t="shared" si="111"/>
        <v>0</v>
      </c>
      <c r="U316" s="741">
        <f t="shared" si="111"/>
        <v>0</v>
      </c>
      <c r="V316" s="741">
        <f t="shared" si="111"/>
        <v>0</v>
      </c>
      <c r="W316" s="741">
        <f t="shared" si="111"/>
        <v>3114516.023694966</v>
      </c>
      <c r="X316" s="741">
        <f t="shared" si="111"/>
        <v>10926159.751538217</v>
      </c>
      <c r="Y316" s="741">
        <f t="shared" si="111"/>
        <v>5085552.0368063133</v>
      </c>
      <c r="Z316" s="741">
        <f t="shared" si="111"/>
        <v>0</v>
      </c>
      <c r="AA316" s="741">
        <f t="shared" si="111"/>
        <v>0</v>
      </c>
      <c r="AB316" s="741">
        <f t="shared" si="111"/>
        <v>0</v>
      </c>
      <c r="AC316" s="741">
        <f t="shared" si="111"/>
        <v>2934311.2276844466</v>
      </c>
      <c r="AD316" s="741">
        <f t="shared" si="111"/>
        <v>3619525.3506231681</v>
      </c>
      <c r="AE316" s="741">
        <f t="shared" si="111"/>
        <v>0</v>
      </c>
      <c r="AF316" s="741">
        <f t="shared" si="111"/>
        <v>0</v>
      </c>
      <c r="AG316" s="741">
        <f t="shared" si="111"/>
        <v>0</v>
      </c>
      <c r="AH316" s="741">
        <f t="shared" si="111"/>
        <v>0</v>
      </c>
      <c r="AI316" s="741">
        <f t="shared" si="111"/>
        <v>0</v>
      </c>
      <c r="AJ316" s="741">
        <f t="shared" si="111"/>
        <v>0</v>
      </c>
      <c r="AK316" s="741">
        <f t="shared" si="111"/>
        <v>0</v>
      </c>
      <c r="AL316" s="741">
        <f t="shared" si="111"/>
        <v>0</v>
      </c>
      <c r="AM316" s="741">
        <f t="shared" si="111"/>
        <v>0</v>
      </c>
      <c r="AN316" s="741">
        <f t="shared" si="111"/>
        <v>9205439.5216676202</v>
      </c>
      <c r="AO316" s="741">
        <f t="shared" si="111"/>
        <v>23666601.332798872</v>
      </c>
      <c r="AP316" s="741">
        <f t="shared" si="111"/>
        <v>8455243.305092629</v>
      </c>
      <c r="AQ316" s="741">
        <f t="shared" si="111"/>
        <v>0</v>
      </c>
      <c r="AR316" s="741">
        <f t="shared" si="111"/>
        <v>0</v>
      </c>
      <c r="AS316" s="741">
        <f t="shared" si="111"/>
        <v>0</v>
      </c>
      <c r="AT316" s="741">
        <f t="shared" si="111"/>
        <v>0</v>
      </c>
      <c r="AU316" s="741">
        <f t="shared" si="111"/>
        <v>0</v>
      </c>
      <c r="AV316" s="741">
        <f t="shared" si="111"/>
        <v>0</v>
      </c>
      <c r="AW316" s="741">
        <f t="shared" si="111"/>
        <v>0</v>
      </c>
      <c r="AX316" s="741">
        <f t="shared" si="111"/>
        <v>0</v>
      </c>
    </row>
    <row r="317" spans="2:50" x14ac:dyDescent="0.2">
      <c r="B317" s="710"/>
      <c r="C317" s="128"/>
      <c r="D317" s="726"/>
      <c r="E317" s="722"/>
      <c r="F317" s="722"/>
      <c r="G317" s="722"/>
      <c r="H317" s="722"/>
      <c r="I317" s="724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</row>
    <row r="318" spans="2:50" x14ac:dyDescent="0.2">
      <c r="B318" s="710"/>
      <c r="C318" s="128"/>
      <c r="D318" s="726"/>
      <c r="E318" s="722"/>
      <c r="F318" s="722"/>
      <c r="G318" s="722"/>
      <c r="H318" s="722"/>
      <c r="I318" s="724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</row>
    <row r="319" spans="2:50" x14ac:dyDescent="0.2">
      <c r="B319" s="710"/>
      <c r="C319" s="128"/>
      <c r="D319" s="726"/>
      <c r="E319" s="722"/>
      <c r="F319" s="722"/>
      <c r="G319" s="722"/>
      <c r="H319" s="722"/>
      <c r="I319" s="724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</row>
    <row r="320" spans="2:50" x14ac:dyDescent="0.2">
      <c r="B320" s="710"/>
      <c r="C320" s="128"/>
      <c r="D320" s="726"/>
      <c r="E320" s="722"/>
      <c r="F320" s="722"/>
      <c r="G320" s="722"/>
      <c r="H320" s="722"/>
      <c r="I320" s="724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</row>
    <row r="321" spans="2:40" x14ac:dyDescent="0.2">
      <c r="B321" s="710"/>
      <c r="C321" s="128"/>
      <c r="D321" s="726"/>
      <c r="E321" s="722"/>
      <c r="F321" s="722"/>
      <c r="G321" s="722"/>
      <c r="H321" s="722"/>
      <c r="I321" s="724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</row>
    <row r="322" spans="2:40" x14ac:dyDescent="0.2">
      <c r="B322" s="710"/>
      <c r="C322" s="128"/>
      <c r="D322" s="726"/>
      <c r="E322" s="722"/>
      <c r="F322" s="722"/>
      <c r="G322" s="722"/>
      <c r="H322" s="722"/>
      <c r="I322" s="724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</row>
    <row r="323" spans="2:40" x14ac:dyDescent="0.2">
      <c r="B323" s="710"/>
      <c r="C323" s="128"/>
      <c r="D323" s="726"/>
      <c r="E323" s="722"/>
      <c r="F323" s="722"/>
      <c r="G323" s="722"/>
      <c r="H323" s="722"/>
      <c r="I323" s="724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</row>
    <row r="324" spans="2:40" x14ac:dyDescent="0.2">
      <c r="B324" s="710"/>
      <c r="C324" s="128"/>
      <c r="D324" s="726"/>
      <c r="E324" s="722"/>
      <c r="F324" s="722"/>
      <c r="G324" s="722"/>
      <c r="H324" s="722"/>
      <c r="I324" s="724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</row>
    <row r="325" spans="2:40" x14ac:dyDescent="0.2">
      <c r="B325" s="710"/>
      <c r="C325" s="128"/>
      <c r="D325" s="726"/>
      <c r="E325" s="722"/>
      <c r="F325" s="722"/>
      <c r="G325" s="722"/>
      <c r="H325" s="722"/>
      <c r="I325" s="724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</row>
    <row r="326" spans="2:40" x14ac:dyDescent="0.2">
      <c r="B326" s="193"/>
      <c r="C326" s="38"/>
      <c r="D326" s="38"/>
      <c r="E326" s="195"/>
      <c r="F326" s="195"/>
      <c r="G326" s="195"/>
      <c r="H326" s="195"/>
      <c r="I326" s="38"/>
    </row>
    <row r="327" spans="2:40" x14ac:dyDescent="0.2">
      <c r="B327" s="193"/>
      <c r="C327" s="38"/>
      <c r="D327" s="38"/>
      <c r="E327" s="195"/>
      <c r="F327" s="195"/>
      <c r="G327" s="195"/>
      <c r="H327" s="195"/>
      <c r="I327" s="38"/>
    </row>
    <row r="328" spans="2:40" x14ac:dyDescent="0.2">
      <c r="B328" s="193"/>
      <c r="C328" s="38"/>
      <c r="D328" s="38"/>
      <c r="E328" s="195"/>
      <c r="F328" s="195"/>
      <c r="G328" s="195"/>
      <c r="H328" s="195"/>
      <c r="I328" s="38"/>
    </row>
    <row r="329" spans="2:40" x14ac:dyDescent="0.2">
      <c r="B329" s="193"/>
      <c r="C329" s="38"/>
      <c r="D329" s="38"/>
      <c r="E329" s="195"/>
      <c r="F329" s="195"/>
      <c r="G329" s="195"/>
      <c r="H329" s="195"/>
      <c r="I329" s="38"/>
    </row>
    <row r="330" spans="2:40" x14ac:dyDescent="0.2">
      <c r="B330" s="193"/>
      <c r="C330" s="38"/>
      <c r="D330" s="38"/>
      <c r="E330" s="195"/>
      <c r="F330" s="195"/>
      <c r="G330" s="195"/>
      <c r="H330" s="195"/>
      <c r="I330" s="38"/>
    </row>
    <row r="331" spans="2:40" x14ac:dyDescent="0.2">
      <c r="B331" s="193"/>
      <c r="C331" s="38"/>
      <c r="D331" s="38"/>
      <c r="E331" s="195"/>
      <c r="F331" s="195"/>
      <c r="G331" s="195"/>
      <c r="H331" s="195"/>
      <c r="I331" s="38"/>
    </row>
    <row r="332" spans="2:40" x14ac:dyDescent="0.2">
      <c r="B332" s="193"/>
      <c r="C332" s="38"/>
      <c r="D332" s="38"/>
      <c r="E332" s="38"/>
      <c r="F332" s="38"/>
      <c r="G332" s="38"/>
      <c r="H332" s="38"/>
      <c r="I332" s="38"/>
    </row>
    <row r="333" spans="2:40" x14ac:dyDescent="0.2">
      <c r="B333" s="193"/>
      <c r="C333" s="38"/>
      <c r="D333" s="38"/>
      <c r="E333" s="38"/>
      <c r="F333" s="38"/>
      <c r="G333" s="38"/>
      <c r="H333" s="38"/>
      <c r="I333" s="38"/>
    </row>
    <row r="334" spans="2:40" x14ac:dyDescent="0.2">
      <c r="B334" s="193"/>
      <c r="C334" s="38"/>
      <c r="D334" s="38"/>
      <c r="E334" s="38"/>
      <c r="F334" s="38"/>
      <c r="G334" s="38"/>
      <c r="H334" s="38"/>
      <c r="I334" s="38"/>
    </row>
    <row r="335" spans="2:40" x14ac:dyDescent="0.2">
      <c r="B335" s="193"/>
      <c r="C335" s="38"/>
      <c r="D335" s="38"/>
      <c r="E335" s="38"/>
      <c r="F335" s="38"/>
      <c r="G335" s="38"/>
      <c r="H335" s="38"/>
      <c r="I335" s="38"/>
    </row>
    <row r="336" spans="2:40" x14ac:dyDescent="0.2">
      <c r="B336" s="193"/>
      <c r="C336" s="38"/>
      <c r="D336" s="38"/>
      <c r="E336" s="38"/>
      <c r="F336" s="38"/>
      <c r="G336" s="38"/>
      <c r="H336" s="38"/>
      <c r="I336" s="38"/>
    </row>
    <row r="337" spans="2:2" x14ac:dyDescent="0.2">
      <c r="B337" s="193"/>
    </row>
    <row r="338" spans="2:2" x14ac:dyDescent="0.2">
      <c r="B338" s="193"/>
    </row>
    <row r="339" spans="2:2" x14ac:dyDescent="0.2">
      <c r="B339" s="193"/>
    </row>
    <row r="340" spans="2:2" x14ac:dyDescent="0.2">
      <c r="B340" s="193"/>
    </row>
    <row r="341" spans="2:2" x14ac:dyDescent="0.2">
      <c r="B341" s="193"/>
    </row>
    <row r="342" spans="2:2" x14ac:dyDescent="0.2">
      <c r="B342" s="193"/>
    </row>
    <row r="343" spans="2:2" x14ac:dyDescent="0.2">
      <c r="B343" s="193"/>
    </row>
    <row r="344" spans="2:2" x14ac:dyDescent="0.2">
      <c r="B344" s="193"/>
    </row>
    <row r="345" spans="2:2" x14ac:dyDescent="0.2">
      <c r="B345" s="193"/>
    </row>
    <row r="346" spans="2:2" x14ac:dyDescent="0.2">
      <c r="B346" s="193"/>
    </row>
    <row r="347" spans="2:2" x14ac:dyDescent="0.2">
      <c r="B347" s="193"/>
    </row>
    <row r="348" spans="2:2" x14ac:dyDescent="0.2">
      <c r="B348" s="193"/>
    </row>
    <row r="349" spans="2:2" x14ac:dyDescent="0.2">
      <c r="B349" s="193"/>
    </row>
    <row r="350" spans="2:2" x14ac:dyDescent="0.2">
      <c r="B350" s="193"/>
    </row>
    <row r="351" spans="2:2" x14ac:dyDescent="0.2">
      <c r="B351" s="193"/>
    </row>
    <row r="352" spans="2:2" x14ac:dyDescent="0.2">
      <c r="B352" s="193"/>
    </row>
    <row r="353" spans="2:2" x14ac:dyDescent="0.2">
      <c r="B353" s="193"/>
    </row>
    <row r="354" spans="2:2" x14ac:dyDescent="0.2">
      <c r="B354" s="193"/>
    </row>
    <row r="355" spans="2:2" x14ac:dyDescent="0.2">
      <c r="B355" s="193"/>
    </row>
    <row r="356" spans="2:2" x14ac:dyDescent="0.2">
      <c r="B356" s="193"/>
    </row>
    <row r="357" spans="2:2" x14ac:dyDescent="0.2">
      <c r="B357" s="193"/>
    </row>
    <row r="358" spans="2:2" x14ac:dyDescent="0.2">
      <c r="B358" s="193"/>
    </row>
    <row r="359" spans="2:2" x14ac:dyDescent="0.2">
      <c r="B359" s="193"/>
    </row>
    <row r="360" spans="2:2" x14ac:dyDescent="0.2">
      <c r="B360" s="193"/>
    </row>
    <row r="361" spans="2:2" x14ac:dyDescent="0.2">
      <c r="B361" s="193"/>
    </row>
    <row r="362" spans="2:2" x14ac:dyDescent="0.2">
      <c r="B362" s="193"/>
    </row>
    <row r="363" spans="2:2" x14ac:dyDescent="0.2">
      <c r="B363" s="193"/>
    </row>
    <row r="364" spans="2:2" x14ac:dyDescent="0.2">
      <c r="B364" s="193"/>
    </row>
    <row r="365" spans="2:2" x14ac:dyDescent="0.2">
      <c r="B365" s="193"/>
    </row>
    <row r="366" spans="2:2" x14ac:dyDescent="0.2">
      <c r="B366" s="193"/>
    </row>
    <row r="367" spans="2:2" x14ac:dyDescent="0.2">
      <c r="B367" s="193"/>
    </row>
    <row r="368" spans="2:2" x14ac:dyDescent="0.2">
      <c r="B368" s="193"/>
    </row>
    <row r="369" spans="2:2" x14ac:dyDescent="0.2">
      <c r="B369" s="193"/>
    </row>
    <row r="370" spans="2:2" x14ac:dyDescent="0.2">
      <c r="B370" s="193"/>
    </row>
    <row r="371" spans="2:2" x14ac:dyDescent="0.2">
      <c r="B371" s="193"/>
    </row>
    <row r="372" spans="2:2" x14ac:dyDescent="0.2">
      <c r="B372" s="193"/>
    </row>
    <row r="373" spans="2:2" x14ac:dyDescent="0.2">
      <c r="B373" s="193"/>
    </row>
    <row r="374" spans="2:2" x14ac:dyDescent="0.2">
      <c r="B374" s="193"/>
    </row>
    <row r="375" spans="2:2" x14ac:dyDescent="0.2">
      <c r="B375" s="193"/>
    </row>
    <row r="376" spans="2:2" x14ac:dyDescent="0.2">
      <c r="B376" s="193"/>
    </row>
    <row r="377" spans="2:2" x14ac:dyDescent="0.2">
      <c r="B377" s="193"/>
    </row>
    <row r="378" spans="2:2" x14ac:dyDescent="0.2">
      <c r="B378" s="193"/>
    </row>
    <row r="379" spans="2:2" x14ac:dyDescent="0.2">
      <c r="B379" s="193"/>
    </row>
    <row r="380" spans="2:2" x14ac:dyDescent="0.2">
      <c r="B380" s="193"/>
    </row>
    <row r="381" spans="2:2" x14ac:dyDescent="0.2">
      <c r="B381" s="193"/>
    </row>
    <row r="382" spans="2:2" x14ac:dyDescent="0.2">
      <c r="B382" s="193"/>
    </row>
    <row r="383" spans="2:2" x14ac:dyDescent="0.2">
      <c r="B383" s="193"/>
    </row>
    <row r="384" spans="2:2" x14ac:dyDescent="0.2">
      <c r="B384" s="193"/>
    </row>
    <row r="385" spans="2:2" x14ac:dyDescent="0.2">
      <c r="B385" s="193"/>
    </row>
    <row r="386" spans="2:2" x14ac:dyDescent="0.2">
      <c r="B386" s="193"/>
    </row>
    <row r="387" spans="2:2" x14ac:dyDescent="0.2">
      <c r="B387" s="193"/>
    </row>
    <row r="388" spans="2:2" x14ac:dyDescent="0.2">
      <c r="B388" s="193"/>
    </row>
    <row r="389" spans="2:2" x14ac:dyDescent="0.2">
      <c r="B389" s="193"/>
    </row>
    <row r="390" spans="2:2" x14ac:dyDescent="0.2">
      <c r="B390" s="193"/>
    </row>
    <row r="391" spans="2:2" x14ac:dyDescent="0.2">
      <c r="B391" s="193"/>
    </row>
    <row r="392" spans="2:2" x14ac:dyDescent="0.2">
      <c r="B392" s="193"/>
    </row>
    <row r="393" spans="2:2" x14ac:dyDescent="0.2">
      <c r="B393" s="193"/>
    </row>
    <row r="394" spans="2:2" x14ac:dyDescent="0.2">
      <c r="B394" s="193"/>
    </row>
    <row r="395" spans="2:2" x14ac:dyDescent="0.2">
      <c r="B395" s="193"/>
    </row>
    <row r="396" spans="2:2" x14ac:dyDescent="0.2">
      <c r="B396" s="193"/>
    </row>
    <row r="397" spans="2:2" x14ac:dyDescent="0.2">
      <c r="B397" s="193"/>
    </row>
    <row r="398" spans="2:2" x14ac:dyDescent="0.2">
      <c r="B398" s="193"/>
    </row>
    <row r="399" spans="2:2" x14ac:dyDescent="0.2">
      <c r="B399" s="193"/>
    </row>
    <row r="400" spans="2:2" x14ac:dyDescent="0.2">
      <c r="B400" s="193"/>
    </row>
    <row r="401" spans="2:2" x14ac:dyDescent="0.2">
      <c r="B401" s="193"/>
    </row>
    <row r="402" spans="2:2" x14ac:dyDescent="0.2">
      <c r="B402" s="193"/>
    </row>
    <row r="403" spans="2:2" x14ac:dyDescent="0.2">
      <c r="B403" s="193"/>
    </row>
    <row r="404" spans="2:2" x14ac:dyDescent="0.2">
      <c r="B404" s="193"/>
    </row>
    <row r="405" spans="2:2" x14ac:dyDescent="0.2">
      <c r="B405" s="193"/>
    </row>
    <row r="406" spans="2:2" x14ac:dyDescent="0.2">
      <c r="B406" s="193"/>
    </row>
    <row r="407" spans="2:2" x14ac:dyDescent="0.2">
      <c r="B407" s="193"/>
    </row>
    <row r="408" spans="2:2" x14ac:dyDescent="0.2">
      <c r="B408" s="193"/>
    </row>
    <row r="409" spans="2:2" x14ac:dyDescent="0.2">
      <c r="B409" s="193"/>
    </row>
    <row r="410" spans="2:2" x14ac:dyDescent="0.2">
      <c r="B410" s="193"/>
    </row>
    <row r="411" spans="2:2" x14ac:dyDescent="0.2">
      <c r="B411" s="193"/>
    </row>
    <row r="412" spans="2:2" x14ac:dyDescent="0.2">
      <c r="B412" s="193"/>
    </row>
    <row r="413" spans="2:2" x14ac:dyDescent="0.2">
      <c r="B413" s="193"/>
    </row>
    <row r="414" spans="2:2" x14ac:dyDescent="0.2">
      <c r="B414" s="193"/>
    </row>
    <row r="415" spans="2:2" x14ac:dyDescent="0.2">
      <c r="B415" s="193"/>
    </row>
    <row r="416" spans="2:2" x14ac:dyDescent="0.2">
      <c r="B416" s="193"/>
    </row>
    <row r="417" spans="2:2" x14ac:dyDescent="0.2">
      <c r="B417" s="193"/>
    </row>
    <row r="418" spans="2:2" x14ac:dyDescent="0.2">
      <c r="B418" s="193"/>
    </row>
    <row r="419" spans="2:2" x14ac:dyDescent="0.2">
      <c r="B419" s="193"/>
    </row>
    <row r="420" spans="2:2" x14ac:dyDescent="0.2">
      <c r="B420" s="193"/>
    </row>
    <row r="421" spans="2:2" x14ac:dyDescent="0.2">
      <c r="B421" s="193"/>
    </row>
    <row r="422" spans="2:2" x14ac:dyDescent="0.2">
      <c r="B422" s="193"/>
    </row>
    <row r="423" spans="2:2" x14ac:dyDescent="0.2">
      <c r="B423" s="193"/>
    </row>
    <row r="424" spans="2:2" x14ac:dyDescent="0.2">
      <c r="B424" s="193"/>
    </row>
    <row r="425" spans="2:2" x14ac:dyDescent="0.2">
      <c r="B425" s="193"/>
    </row>
    <row r="426" spans="2:2" x14ac:dyDescent="0.2">
      <c r="B426" s="193"/>
    </row>
    <row r="427" spans="2:2" x14ac:dyDescent="0.2">
      <c r="B427" s="193"/>
    </row>
    <row r="428" spans="2:2" x14ac:dyDescent="0.2">
      <c r="B428" s="193"/>
    </row>
    <row r="429" spans="2:2" x14ac:dyDescent="0.2">
      <c r="B429" s="193"/>
    </row>
    <row r="430" spans="2:2" x14ac:dyDescent="0.2">
      <c r="B430" s="193"/>
    </row>
    <row r="431" spans="2:2" x14ac:dyDescent="0.2">
      <c r="B431" s="193"/>
    </row>
    <row r="432" spans="2:2" x14ac:dyDescent="0.2">
      <c r="B432" s="193"/>
    </row>
    <row r="433" spans="2:2" x14ac:dyDescent="0.2">
      <c r="B433" s="193"/>
    </row>
    <row r="434" spans="2:2" x14ac:dyDescent="0.2">
      <c r="B434" s="193"/>
    </row>
    <row r="435" spans="2:2" x14ac:dyDescent="0.2">
      <c r="B435" s="193"/>
    </row>
    <row r="436" spans="2:2" x14ac:dyDescent="0.2">
      <c r="B436" s="193"/>
    </row>
    <row r="437" spans="2:2" x14ac:dyDescent="0.2">
      <c r="B437" s="193"/>
    </row>
    <row r="438" spans="2:2" x14ac:dyDescent="0.2">
      <c r="B438" s="193"/>
    </row>
    <row r="439" spans="2:2" x14ac:dyDescent="0.2">
      <c r="B439" s="193"/>
    </row>
    <row r="440" spans="2:2" x14ac:dyDescent="0.2">
      <c r="B440" s="193"/>
    </row>
    <row r="441" spans="2:2" x14ac:dyDescent="0.2">
      <c r="B441" s="193"/>
    </row>
    <row r="442" spans="2:2" x14ac:dyDescent="0.2">
      <c r="B442" s="193"/>
    </row>
    <row r="443" spans="2:2" x14ac:dyDescent="0.2">
      <c r="B443" s="193"/>
    </row>
    <row r="444" spans="2:2" x14ac:dyDescent="0.2">
      <c r="B444" s="193"/>
    </row>
    <row r="445" spans="2:2" x14ac:dyDescent="0.2">
      <c r="B445" s="193"/>
    </row>
    <row r="446" spans="2:2" x14ac:dyDescent="0.2">
      <c r="B446" s="193"/>
    </row>
    <row r="447" spans="2:2" x14ac:dyDescent="0.2">
      <c r="B447" s="193"/>
    </row>
    <row r="448" spans="2:2" x14ac:dyDescent="0.2">
      <c r="B448" s="193"/>
    </row>
    <row r="449" spans="2:2" x14ac:dyDescent="0.2">
      <c r="B449" s="193"/>
    </row>
    <row r="450" spans="2:2" x14ac:dyDescent="0.2">
      <c r="B450" s="193"/>
    </row>
    <row r="451" spans="2:2" x14ac:dyDescent="0.2">
      <c r="B451" s="193"/>
    </row>
    <row r="452" spans="2:2" x14ac:dyDescent="0.2">
      <c r="B452" s="193"/>
    </row>
    <row r="453" spans="2:2" x14ac:dyDescent="0.2">
      <c r="B453" s="193"/>
    </row>
    <row r="454" spans="2:2" x14ac:dyDescent="0.2">
      <c r="B454" s="193"/>
    </row>
    <row r="455" spans="2:2" x14ac:dyDescent="0.2">
      <c r="B455" s="193"/>
    </row>
    <row r="456" spans="2:2" x14ac:dyDescent="0.2">
      <c r="B456" s="193"/>
    </row>
    <row r="457" spans="2:2" x14ac:dyDescent="0.2">
      <c r="B457" s="193"/>
    </row>
    <row r="458" spans="2:2" x14ac:dyDescent="0.2">
      <c r="B458" s="193"/>
    </row>
    <row r="459" spans="2:2" x14ac:dyDescent="0.2">
      <c r="B459" s="193"/>
    </row>
    <row r="460" spans="2:2" x14ac:dyDescent="0.2">
      <c r="B460" s="193"/>
    </row>
    <row r="461" spans="2:2" x14ac:dyDescent="0.2">
      <c r="B461" s="193"/>
    </row>
    <row r="462" spans="2:2" x14ac:dyDescent="0.2">
      <c r="B462" s="193"/>
    </row>
    <row r="463" spans="2:2" x14ac:dyDescent="0.2">
      <c r="B463" s="193"/>
    </row>
    <row r="464" spans="2:2" x14ac:dyDescent="0.2">
      <c r="B464" s="193"/>
    </row>
    <row r="465" spans="2:2" x14ac:dyDescent="0.2">
      <c r="B465" s="193"/>
    </row>
    <row r="466" spans="2:2" x14ac:dyDescent="0.2">
      <c r="B466" s="193"/>
    </row>
    <row r="467" spans="2:2" x14ac:dyDescent="0.2">
      <c r="B467" s="193"/>
    </row>
    <row r="468" spans="2:2" x14ac:dyDescent="0.2">
      <c r="B468" s="193"/>
    </row>
    <row r="469" spans="2:2" x14ac:dyDescent="0.2">
      <c r="B469" s="193"/>
    </row>
    <row r="470" spans="2:2" x14ac:dyDescent="0.2">
      <c r="B470" s="193"/>
    </row>
    <row r="471" spans="2:2" x14ac:dyDescent="0.2">
      <c r="B471" s="193"/>
    </row>
    <row r="472" spans="2:2" x14ac:dyDescent="0.2">
      <c r="B472" s="193"/>
    </row>
    <row r="473" spans="2:2" x14ac:dyDescent="0.2">
      <c r="B473" s="193"/>
    </row>
    <row r="474" spans="2:2" x14ac:dyDescent="0.2">
      <c r="B474" s="193"/>
    </row>
    <row r="475" spans="2:2" x14ac:dyDescent="0.2">
      <c r="B475" s="193"/>
    </row>
    <row r="476" spans="2:2" x14ac:dyDescent="0.2">
      <c r="B476" s="193"/>
    </row>
    <row r="477" spans="2:2" x14ac:dyDescent="0.2">
      <c r="B477" s="193"/>
    </row>
    <row r="478" spans="2:2" x14ac:dyDescent="0.2">
      <c r="B478" s="193"/>
    </row>
    <row r="479" spans="2:2" x14ac:dyDescent="0.2">
      <c r="B479" s="193"/>
    </row>
    <row r="480" spans="2:2" x14ac:dyDescent="0.2">
      <c r="B480" s="193"/>
    </row>
    <row r="481" spans="2:2" x14ac:dyDescent="0.2">
      <c r="B481" s="193"/>
    </row>
    <row r="482" spans="2:2" x14ac:dyDescent="0.2">
      <c r="B482" s="193"/>
    </row>
    <row r="483" spans="2:2" x14ac:dyDescent="0.2">
      <c r="B483" s="193"/>
    </row>
    <row r="484" spans="2:2" x14ac:dyDescent="0.2">
      <c r="B484" s="193"/>
    </row>
    <row r="485" spans="2:2" x14ac:dyDescent="0.2">
      <c r="B485" s="193"/>
    </row>
    <row r="486" spans="2:2" x14ac:dyDescent="0.2">
      <c r="B486" s="193"/>
    </row>
    <row r="487" spans="2:2" x14ac:dyDescent="0.2">
      <c r="B487" s="193"/>
    </row>
    <row r="488" spans="2:2" x14ac:dyDescent="0.2">
      <c r="B488" s="193"/>
    </row>
    <row r="489" spans="2:2" x14ac:dyDescent="0.2">
      <c r="B489" s="193"/>
    </row>
    <row r="490" spans="2:2" x14ac:dyDescent="0.2">
      <c r="B490" s="193"/>
    </row>
    <row r="491" spans="2:2" x14ac:dyDescent="0.2">
      <c r="B491" s="193"/>
    </row>
    <row r="492" spans="2:2" x14ac:dyDescent="0.2">
      <c r="B492" s="193"/>
    </row>
    <row r="493" spans="2:2" x14ac:dyDescent="0.2">
      <c r="B493" s="193"/>
    </row>
    <row r="494" spans="2:2" x14ac:dyDescent="0.2">
      <c r="B494" s="193"/>
    </row>
    <row r="495" spans="2:2" x14ac:dyDescent="0.2">
      <c r="B495" s="193"/>
    </row>
    <row r="496" spans="2:2" x14ac:dyDescent="0.2">
      <c r="B496" s="193"/>
    </row>
    <row r="497" spans="2:2" x14ac:dyDescent="0.2">
      <c r="B497" s="193"/>
    </row>
    <row r="498" spans="2:2" x14ac:dyDescent="0.2">
      <c r="B498" s="193"/>
    </row>
    <row r="499" spans="2:2" x14ac:dyDescent="0.2">
      <c r="B499" s="193"/>
    </row>
    <row r="500" spans="2:2" x14ac:dyDescent="0.2">
      <c r="B500" s="193"/>
    </row>
    <row r="501" spans="2:2" x14ac:dyDescent="0.2">
      <c r="B501" s="193"/>
    </row>
    <row r="502" spans="2:2" x14ac:dyDescent="0.2">
      <c r="B502" s="193"/>
    </row>
    <row r="503" spans="2:2" x14ac:dyDescent="0.2">
      <c r="B503" s="193"/>
    </row>
    <row r="504" spans="2:2" x14ac:dyDescent="0.2">
      <c r="B504" s="193"/>
    </row>
    <row r="505" spans="2:2" x14ac:dyDescent="0.2">
      <c r="B505" s="193"/>
    </row>
    <row r="506" spans="2:2" x14ac:dyDescent="0.2">
      <c r="B506" s="193"/>
    </row>
    <row r="507" spans="2:2" x14ac:dyDescent="0.2">
      <c r="B507" s="193"/>
    </row>
    <row r="508" spans="2:2" x14ac:dyDescent="0.2">
      <c r="B508" s="193"/>
    </row>
    <row r="509" spans="2:2" x14ac:dyDescent="0.2">
      <c r="B509" s="193"/>
    </row>
    <row r="510" spans="2:2" x14ac:dyDescent="0.2">
      <c r="B510" s="193"/>
    </row>
    <row r="511" spans="2:2" x14ac:dyDescent="0.2">
      <c r="B511" s="193"/>
    </row>
    <row r="512" spans="2:2" x14ac:dyDescent="0.2">
      <c r="B512" s="193"/>
    </row>
    <row r="513" spans="2:2" x14ac:dyDescent="0.2">
      <c r="B513" s="193"/>
    </row>
    <row r="514" spans="2:2" x14ac:dyDescent="0.2">
      <c r="B514" s="193"/>
    </row>
    <row r="515" spans="2:2" x14ac:dyDescent="0.2">
      <c r="B515" s="193"/>
    </row>
    <row r="516" spans="2:2" x14ac:dyDescent="0.2">
      <c r="B516" s="193"/>
    </row>
    <row r="517" spans="2:2" x14ac:dyDescent="0.2">
      <c r="B517" s="193"/>
    </row>
    <row r="518" spans="2:2" x14ac:dyDescent="0.2">
      <c r="B518" s="193"/>
    </row>
    <row r="519" spans="2:2" x14ac:dyDescent="0.2">
      <c r="B519" s="193"/>
    </row>
    <row r="520" spans="2:2" x14ac:dyDescent="0.2">
      <c r="B520" s="193"/>
    </row>
    <row r="521" spans="2:2" x14ac:dyDescent="0.2">
      <c r="B521" s="193"/>
    </row>
    <row r="522" spans="2:2" x14ac:dyDescent="0.2">
      <c r="B522" s="193"/>
    </row>
    <row r="523" spans="2:2" x14ac:dyDescent="0.2">
      <c r="B523" s="193"/>
    </row>
    <row r="524" spans="2:2" x14ac:dyDescent="0.2">
      <c r="B524" s="193"/>
    </row>
    <row r="525" spans="2:2" x14ac:dyDescent="0.2">
      <c r="B525" s="193"/>
    </row>
    <row r="526" spans="2:2" x14ac:dyDescent="0.2">
      <c r="B526" s="193"/>
    </row>
    <row r="527" spans="2:2" x14ac:dyDescent="0.2">
      <c r="B527" s="193"/>
    </row>
    <row r="528" spans="2:2" x14ac:dyDescent="0.2">
      <c r="B528" s="193"/>
    </row>
    <row r="529" spans="2:2" x14ac:dyDescent="0.2">
      <c r="B529" s="193"/>
    </row>
    <row r="530" spans="2:2" x14ac:dyDescent="0.2">
      <c r="B530" s="193"/>
    </row>
    <row r="531" spans="2:2" x14ac:dyDescent="0.2">
      <c r="B531" s="193"/>
    </row>
    <row r="532" spans="2:2" x14ac:dyDescent="0.2">
      <c r="B532" s="193"/>
    </row>
    <row r="533" spans="2:2" x14ac:dyDescent="0.2">
      <c r="B533" s="193"/>
    </row>
    <row r="534" spans="2:2" x14ac:dyDescent="0.2">
      <c r="B534" s="193"/>
    </row>
    <row r="535" spans="2:2" x14ac:dyDescent="0.2">
      <c r="B535" s="193"/>
    </row>
    <row r="536" spans="2:2" x14ac:dyDescent="0.2">
      <c r="B536" s="193"/>
    </row>
    <row r="537" spans="2:2" x14ac:dyDescent="0.2">
      <c r="B537" s="193"/>
    </row>
    <row r="538" spans="2:2" x14ac:dyDescent="0.2">
      <c r="B538" s="193"/>
    </row>
    <row r="539" spans="2:2" x14ac:dyDescent="0.2">
      <c r="B539" s="193"/>
    </row>
    <row r="540" spans="2:2" x14ac:dyDescent="0.2">
      <c r="B540" s="193"/>
    </row>
    <row r="541" spans="2:2" x14ac:dyDescent="0.2">
      <c r="B541" s="193"/>
    </row>
    <row r="542" spans="2:2" x14ac:dyDescent="0.2">
      <c r="B542" s="193"/>
    </row>
    <row r="543" spans="2:2" x14ac:dyDescent="0.2">
      <c r="B543" s="193"/>
    </row>
    <row r="544" spans="2:2" x14ac:dyDescent="0.2">
      <c r="B544" s="193"/>
    </row>
    <row r="545" spans="2:2" x14ac:dyDescent="0.2">
      <c r="B545" s="193"/>
    </row>
    <row r="546" spans="2:2" x14ac:dyDescent="0.2">
      <c r="B546" s="193"/>
    </row>
    <row r="547" spans="2:2" x14ac:dyDescent="0.2">
      <c r="B547" s="193"/>
    </row>
    <row r="548" spans="2:2" x14ac:dyDescent="0.2">
      <c r="B548" s="193"/>
    </row>
    <row r="549" spans="2:2" x14ac:dyDescent="0.2">
      <c r="B549" s="193"/>
    </row>
    <row r="550" spans="2:2" x14ac:dyDescent="0.2">
      <c r="B550" s="193"/>
    </row>
    <row r="551" spans="2:2" x14ac:dyDescent="0.2">
      <c r="B551" s="193"/>
    </row>
    <row r="552" spans="2:2" x14ac:dyDescent="0.2">
      <c r="B552" s="193"/>
    </row>
    <row r="553" spans="2:2" x14ac:dyDescent="0.2">
      <c r="B553" s="193"/>
    </row>
    <row r="554" spans="2:2" x14ac:dyDescent="0.2">
      <c r="B554" s="193"/>
    </row>
    <row r="555" spans="2:2" x14ac:dyDescent="0.2">
      <c r="B555" s="193"/>
    </row>
    <row r="556" spans="2:2" x14ac:dyDescent="0.2">
      <c r="B556" s="193"/>
    </row>
    <row r="557" spans="2:2" x14ac:dyDescent="0.2">
      <c r="B557" s="193"/>
    </row>
    <row r="558" spans="2:2" x14ac:dyDescent="0.2">
      <c r="B558" s="193"/>
    </row>
    <row r="559" spans="2:2" x14ac:dyDescent="0.2">
      <c r="B559" s="193"/>
    </row>
    <row r="560" spans="2:2" x14ac:dyDescent="0.2">
      <c r="B560" s="193"/>
    </row>
    <row r="561" spans="2:2" x14ac:dyDescent="0.2">
      <c r="B561" s="193"/>
    </row>
    <row r="562" spans="2:2" x14ac:dyDescent="0.2">
      <c r="B562" s="193"/>
    </row>
    <row r="563" spans="2:2" x14ac:dyDescent="0.2">
      <c r="B563" s="193"/>
    </row>
    <row r="564" spans="2:2" x14ac:dyDescent="0.2">
      <c r="B564" s="193"/>
    </row>
    <row r="565" spans="2:2" x14ac:dyDescent="0.2">
      <c r="B565" s="193"/>
    </row>
    <row r="566" spans="2:2" x14ac:dyDescent="0.2">
      <c r="B566" s="193"/>
    </row>
    <row r="567" spans="2:2" x14ac:dyDescent="0.2">
      <c r="B567" s="193"/>
    </row>
    <row r="568" spans="2:2" x14ac:dyDescent="0.2">
      <c r="B568" s="193"/>
    </row>
    <row r="569" spans="2:2" x14ac:dyDescent="0.2">
      <c r="B569" s="193"/>
    </row>
    <row r="570" spans="2:2" x14ac:dyDescent="0.2">
      <c r="B570" s="193"/>
    </row>
    <row r="571" spans="2:2" x14ac:dyDescent="0.2">
      <c r="B571" s="193"/>
    </row>
    <row r="572" spans="2:2" x14ac:dyDescent="0.2">
      <c r="B572" s="193"/>
    </row>
    <row r="573" spans="2:2" x14ac:dyDescent="0.2">
      <c r="B573" s="193"/>
    </row>
    <row r="574" spans="2:2" x14ac:dyDescent="0.2">
      <c r="B574" s="193"/>
    </row>
    <row r="575" spans="2:2" x14ac:dyDescent="0.2">
      <c r="B575" s="193"/>
    </row>
    <row r="576" spans="2:2" x14ac:dyDescent="0.2">
      <c r="B576" s="193"/>
    </row>
    <row r="577" spans="2:2" x14ac:dyDescent="0.2">
      <c r="B577" s="193"/>
    </row>
    <row r="578" spans="2:2" x14ac:dyDescent="0.2">
      <c r="B578" s="193"/>
    </row>
    <row r="579" spans="2:2" x14ac:dyDescent="0.2">
      <c r="B579" s="193"/>
    </row>
    <row r="580" spans="2:2" x14ac:dyDescent="0.2">
      <c r="B580" s="193"/>
    </row>
    <row r="581" spans="2:2" x14ac:dyDescent="0.2">
      <c r="B581" s="193"/>
    </row>
    <row r="582" spans="2:2" x14ac:dyDescent="0.2">
      <c r="B582" s="193"/>
    </row>
    <row r="583" spans="2:2" x14ac:dyDescent="0.2">
      <c r="B583" s="193"/>
    </row>
    <row r="584" spans="2:2" x14ac:dyDescent="0.2">
      <c r="B584" s="193"/>
    </row>
    <row r="585" spans="2:2" x14ac:dyDescent="0.2">
      <c r="B585" s="193"/>
    </row>
    <row r="586" spans="2:2" x14ac:dyDescent="0.2">
      <c r="B586" s="193"/>
    </row>
    <row r="587" spans="2:2" x14ac:dyDescent="0.2">
      <c r="B587" s="193"/>
    </row>
    <row r="588" spans="2:2" x14ac:dyDescent="0.2">
      <c r="B588" s="193"/>
    </row>
    <row r="589" spans="2:2" x14ac:dyDescent="0.2">
      <c r="B589" s="193"/>
    </row>
    <row r="590" spans="2:2" x14ac:dyDescent="0.2">
      <c r="B590" s="193"/>
    </row>
    <row r="591" spans="2:2" x14ac:dyDescent="0.2">
      <c r="B591" s="193"/>
    </row>
    <row r="592" spans="2:2" x14ac:dyDescent="0.2">
      <c r="B592" s="193"/>
    </row>
    <row r="593" spans="2:2" x14ac:dyDescent="0.2">
      <c r="B593" s="193"/>
    </row>
    <row r="594" spans="2:2" x14ac:dyDescent="0.2">
      <c r="B594" s="193"/>
    </row>
    <row r="595" spans="2:2" x14ac:dyDescent="0.2">
      <c r="B595" s="193"/>
    </row>
    <row r="596" spans="2:2" x14ac:dyDescent="0.2">
      <c r="B596" s="193"/>
    </row>
    <row r="597" spans="2:2" x14ac:dyDescent="0.2">
      <c r="B597" s="193"/>
    </row>
    <row r="598" spans="2:2" x14ac:dyDescent="0.2">
      <c r="B598" s="193"/>
    </row>
    <row r="599" spans="2:2" x14ac:dyDescent="0.2">
      <c r="B599" s="193"/>
    </row>
    <row r="600" spans="2:2" x14ac:dyDescent="0.2">
      <c r="B600" s="193"/>
    </row>
    <row r="601" spans="2:2" x14ac:dyDescent="0.2">
      <c r="B601" s="193"/>
    </row>
    <row r="602" spans="2:2" x14ac:dyDescent="0.2">
      <c r="B602" s="193"/>
    </row>
    <row r="603" spans="2:2" x14ac:dyDescent="0.2">
      <c r="B603" s="193"/>
    </row>
    <row r="604" spans="2:2" x14ac:dyDescent="0.2">
      <c r="B604" s="193"/>
    </row>
    <row r="605" spans="2:2" x14ac:dyDescent="0.2">
      <c r="B605" s="193"/>
    </row>
    <row r="606" spans="2:2" x14ac:dyDescent="0.2">
      <c r="B606" s="193"/>
    </row>
    <row r="607" spans="2:2" x14ac:dyDescent="0.2">
      <c r="B607" s="193"/>
    </row>
    <row r="608" spans="2:2" x14ac:dyDescent="0.2">
      <c r="B608" s="193"/>
    </row>
    <row r="609" spans="2:2" x14ac:dyDescent="0.2">
      <c r="B609" s="193"/>
    </row>
    <row r="610" spans="2:2" x14ac:dyDescent="0.2">
      <c r="B610" s="193"/>
    </row>
    <row r="611" spans="2:2" x14ac:dyDescent="0.2">
      <c r="B611" s="193"/>
    </row>
    <row r="612" spans="2:2" x14ac:dyDescent="0.2">
      <c r="B612" s="193"/>
    </row>
    <row r="613" spans="2:2" x14ac:dyDescent="0.2">
      <c r="B613" s="193"/>
    </row>
    <row r="614" spans="2:2" x14ac:dyDescent="0.2">
      <c r="B614" s="193"/>
    </row>
    <row r="615" spans="2:2" x14ac:dyDescent="0.2">
      <c r="B615" s="193"/>
    </row>
    <row r="616" spans="2:2" x14ac:dyDescent="0.2">
      <c r="B616" s="193"/>
    </row>
    <row r="617" spans="2:2" x14ac:dyDescent="0.2">
      <c r="B617" s="193"/>
    </row>
    <row r="618" spans="2:2" x14ac:dyDescent="0.2">
      <c r="B618" s="193"/>
    </row>
    <row r="619" spans="2:2" x14ac:dyDescent="0.2">
      <c r="B619" s="193"/>
    </row>
    <row r="620" spans="2:2" x14ac:dyDescent="0.2">
      <c r="B620" s="193"/>
    </row>
    <row r="621" spans="2:2" x14ac:dyDescent="0.2">
      <c r="B621" s="193"/>
    </row>
    <row r="622" spans="2:2" x14ac:dyDescent="0.2">
      <c r="B622" s="193"/>
    </row>
    <row r="623" spans="2:2" x14ac:dyDescent="0.2">
      <c r="B623" s="193"/>
    </row>
    <row r="624" spans="2:2" x14ac:dyDescent="0.2">
      <c r="B624" s="193"/>
    </row>
    <row r="625" spans="2:2" x14ac:dyDescent="0.2">
      <c r="B625" s="193"/>
    </row>
    <row r="626" spans="2:2" x14ac:dyDescent="0.2">
      <c r="B626" s="193"/>
    </row>
    <row r="627" spans="2:2" x14ac:dyDescent="0.2">
      <c r="B627" s="193"/>
    </row>
    <row r="628" spans="2:2" x14ac:dyDescent="0.2">
      <c r="B628" s="193"/>
    </row>
    <row r="629" spans="2:2" x14ac:dyDescent="0.2">
      <c r="B629" s="193"/>
    </row>
    <row r="630" spans="2:2" x14ac:dyDescent="0.2">
      <c r="B630" s="193"/>
    </row>
    <row r="631" spans="2:2" x14ac:dyDescent="0.2">
      <c r="B631" s="193"/>
    </row>
    <row r="632" spans="2:2" x14ac:dyDescent="0.2">
      <c r="B632" s="193"/>
    </row>
    <row r="633" spans="2:2" x14ac:dyDescent="0.2">
      <c r="B633" s="193"/>
    </row>
    <row r="634" spans="2:2" x14ac:dyDescent="0.2">
      <c r="B634" s="193"/>
    </row>
    <row r="635" spans="2:2" x14ac:dyDescent="0.2">
      <c r="B635" s="193"/>
    </row>
    <row r="636" spans="2:2" x14ac:dyDescent="0.2">
      <c r="B636" s="193"/>
    </row>
    <row r="637" spans="2:2" x14ac:dyDescent="0.2">
      <c r="B637" s="193"/>
    </row>
    <row r="638" spans="2:2" x14ac:dyDescent="0.2">
      <c r="B638" s="193"/>
    </row>
    <row r="639" spans="2:2" x14ac:dyDescent="0.2">
      <c r="B639" s="193"/>
    </row>
    <row r="640" spans="2:2" x14ac:dyDescent="0.2">
      <c r="B640" s="193"/>
    </row>
    <row r="641" spans="2:2" x14ac:dyDescent="0.2">
      <c r="B641" s="193"/>
    </row>
    <row r="642" spans="2:2" x14ac:dyDescent="0.2">
      <c r="B642" s="193"/>
    </row>
    <row r="643" spans="2:2" x14ac:dyDescent="0.2">
      <c r="B643" s="193"/>
    </row>
    <row r="644" spans="2:2" x14ac:dyDescent="0.2">
      <c r="B644" s="193"/>
    </row>
    <row r="645" spans="2:2" x14ac:dyDescent="0.2">
      <c r="B645" s="193"/>
    </row>
    <row r="646" spans="2:2" x14ac:dyDescent="0.2">
      <c r="B646" s="193"/>
    </row>
    <row r="647" spans="2:2" x14ac:dyDescent="0.2">
      <c r="B647" s="193"/>
    </row>
    <row r="648" spans="2:2" x14ac:dyDescent="0.2">
      <c r="B648" s="193"/>
    </row>
    <row r="649" spans="2:2" x14ac:dyDescent="0.2">
      <c r="B649" s="193"/>
    </row>
    <row r="650" spans="2:2" x14ac:dyDescent="0.2">
      <c r="B650" s="193"/>
    </row>
    <row r="651" spans="2:2" x14ac:dyDescent="0.2">
      <c r="B651" s="193"/>
    </row>
    <row r="652" spans="2:2" x14ac:dyDescent="0.2">
      <c r="B652" s="193"/>
    </row>
    <row r="653" spans="2:2" x14ac:dyDescent="0.2">
      <c r="B653" s="193"/>
    </row>
    <row r="654" spans="2:2" x14ac:dyDescent="0.2">
      <c r="B654" s="193"/>
    </row>
    <row r="655" spans="2:2" x14ac:dyDescent="0.2">
      <c r="B655" s="193"/>
    </row>
    <row r="656" spans="2:2" x14ac:dyDescent="0.2">
      <c r="B656" s="193"/>
    </row>
    <row r="657" spans="2:2" x14ac:dyDescent="0.2">
      <c r="B657" s="193"/>
    </row>
    <row r="658" spans="2:2" x14ac:dyDescent="0.2">
      <c r="B658" s="193"/>
    </row>
    <row r="659" spans="2:2" x14ac:dyDescent="0.2">
      <c r="B659" s="193"/>
    </row>
    <row r="660" spans="2:2" x14ac:dyDescent="0.2">
      <c r="B660" s="193"/>
    </row>
    <row r="661" spans="2:2" x14ac:dyDescent="0.2">
      <c r="B661" s="193"/>
    </row>
    <row r="662" spans="2:2" x14ac:dyDescent="0.2">
      <c r="B662" s="193"/>
    </row>
    <row r="663" spans="2:2" x14ac:dyDescent="0.2">
      <c r="B663" s="193"/>
    </row>
    <row r="664" spans="2:2" x14ac:dyDescent="0.2">
      <c r="B664" s="193"/>
    </row>
    <row r="665" spans="2:2" x14ac:dyDescent="0.2">
      <c r="B665" s="193"/>
    </row>
    <row r="666" spans="2:2" x14ac:dyDescent="0.2">
      <c r="B666" s="193"/>
    </row>
    <row r="667" spans="2:2" x14ac:dyDescent="0.2">
      <c r="B667" s="193"/>
    </row>
    <row r="668" spans="2:2" x14ac:dyDescent="0.2">
      <c r="B668" s="193"/>
    </row>
    <row r="669" spans="2:2" x14ac:dyDescent="0.2">
      <c r="B669" s="193"/>
    </row>
    <row r="670" spans="2:2" x14ac:dyDescent="0.2">
      <c r="B670" s="193"/>
    </row>
    <row r="671" spans="2:2" x14ac:dyDescent="0.2">
      <c r="B671" s="193"/>
    </row>
    <row r="672" spans="2:2" x14ac:dyDescent="0.2">
      <c r="B672" s="193"/>
    </row>
    <row r="673" spans="2:2" x14ac:dyDescent="0.2">
      <c r="B673" s="193"/>
    </row>
    <row r="674" spans="2:2" x14ac:dyDescent="0.2">
      <c r="B674" s="193"/>
    </row>
    <row r="675" spans="2:2" x14ac:dyDescent="0.2">
      <c r="B675" s="193"/>
    </row>
    <row r="676" spans="2:2" x14ac:dyDescent="0.2">
      <c r="B676" s="193"/>
    </row>
    <row r="677" spans="2:2" x14ac:dyDescent="0.2">
      <c r="B677" s="193"/>
    </row>
    <row r="678" spans="2:2" x14ac:dyDescent="0.2">
      <c r="B678" s="193"/>
    </row>
    <row r="679" spans="2:2" x14ac:dyDescent="0.2">
      <c r="B679" s="193"/>
    </row>
    <row r="680" spans="2:2" x14ac:dyDescent="0.2">
      <c r="B680" s="193"/>
    </row>
    <row r="681" spans="2:2" x14ac:dyDescent="0.2">
      <c r="B681" s="193"/>
    </row>
    <row r="682" spans="2:2" x14ac:dyDescent="0.2">
      <c r="B682" s="193"/>
    </row>
    <row r="683" spans="2:2" x14ac:dyDescent="0.2">
      <c r="B683" s="193"/>
    </row>
    <row r="684" spans="2:2" x14ac:dyDescent="0.2">
      <c r="B684" s="193"/>
    </row>
    <row r="685" spans="2:2" x14ac:dyDescent="0.2">
      <c r="B685" s="193"/>
    </row>
    <row r="686" spans="2:2" x14ac:dyDescent="0.2">
      <c r="B686" s="193"/>
    </row>
    <row r="687" spans="2:2" x14ac:dyDescent="0.2">
      <c r="B687" s="193"/>
    </row>
    <row r="688" spans="2:2" x14ac:dyDescent="0.2">
      <c r="B688" s="193"/>
    </row>
    <row r="689" spans="2:2" x14ac:dyDescent="0.2">
      <c r="B689" s="193"/>
    </row>
    <row r="690" spans="2:2" x14ac:dyDescent="0.2">
      <c r="B690" s="193"/>
    </row>
    <row r="691" spans="2:2" x14ac:dyDescent="0.2">
      <c r="B691" s="193"/>
    </row>
    <row r="692" spans="2:2" x14ac:dyDescent="0.2">
      <c r="B692" s="193"/>
    </row>
    <row r="693" spans="2:2" x14ac:dyDescent="0.2">
      <c r="B693" s="193"/>
    </row>
    <row r="694" spans="2:2" x14ac:dyDescent="0.2">
      <c r="B694" s="193"/>
    </row>
    <row r="695" spans="2:2" x14ac:dyDescent="0.2">
      <c r="B695" s="193"/>
    </row>
    <row r="696" spans="2:2" x14ac:dyDescent="0.2">
      <c r="B696" s="193"/>
    </row>
    <row r="697" spans="2:2" x14ac:dyDescent="0.2">
      <c r="B697" s="193"/>
    </row>
    <row r="698" spans="2:2" x14ac:dyDescent="0.2">
      <c r="B698" s="193"/>
    </row>
    <row r="699" spans="2:2" x14ac:dyDescent="0.2">
      <c r="B699" s="193"/>
    </row>
    <row r="700" spans="2:2" x14ac:dyDescent="0.2">
      <c r="B700" s="193"/>
    </row>
    <row r="701" spans="2:2" x14ac:dyDescent="0.2">
      <c r="B701" s="193"/>
    </row>
    <row r="702" spans="2:2" x14ac:dyDescent="0.2">
      <c r="B702" s="193"/>
    </row>
    <row r="703" spans="2:2" x14ac:dyDescent="0.2">
      <c r="B703" s="193"/>
    </row>
    <row r="704" spans="2:2" x14ac:dyDescent="0.2">
      <c r="B704" s="193"/>
    </row>
    <row r="705" spans="2:2" x14ac:dyDescent="0.2">
      <c r="B705" s="193"/>
    </row>
    <row r="706" spans="2:2" x14ac:dyDescent="0.2">
      <c r="B706" s="193"/>
    </row>
    <row r="707" spans="2:2" x14ac:dyDescent="0.2">
      <c r="B707" s="193"/>
    </row>
    <row r="708" spans="2:2" x14ac:dyDescent="0.2">
      <c r="B708" s="193"/>
    </row>
    <row r="709" spans="2:2" x14ac:dyDescent="0.2">
      <c r="B709" s="193"/>
    </row>
    <row r="710" spans="2:2" x14ac:dyDescent="0.2">
      <c r="B710" s="193"/>
    </row>
    <row r="711" spans="2:2" x14ac:dyDescent="0.2">
      <c r="B711" s="193"/>
    </row>
    <row r="712" spans="2:2" x14ac:dyDescent="0.2">
      <c r="B712" s="193"/>
    </row>
    <row r="713" spans="2:2" x14ac:dyDescent="0.2">
      <c r="B713" s="193"/>
    </row>
    <row r="714" spans="2:2" x14ac:dyDescent="0.2">
      <c r="B714" s="193"/>
    </row>
    <row r="715" spans="2:2" x14ac:dyDescent="0.2">
      <c r="B715" s="193"/>
    </row>
    <row r="716" spans="2:2" x14ac:dyDescent="0.2">
      <c r="B716" s="193"/>
    </row>
    <row r="717" spans="2:2" x14ac:dyDescent="0.2">
      <c r="B717" s="193"/>
    </row>
    <row r="718" spans="2:2" x14ac:dyDescent="0.2">
      <c r="B718" s="193"/>
    </row>
    <row r="719" spans="2:2" x14ac:dyDescent="0.2">
      <c r="B719" s="193"/>
    </row>
    <row r="720" spans="2:2" x14ac:dyDescent="0.2">
      <c r="B720" s="193"/>
    </row>
    <row r="721" spans="2:2" x14ac:dyDescent="0.2">
      <c r="B721" s="193"/>
    </row>
    <row r="722" spans="2:2" x14ac:dyDescent="0.2">
      <c r="B722" s="193"/>
    </row>
    <row r="723" spans="2:2" x14ac:dyDescent="0.2">
      <c r="B723" s="193"/>
    </row>
    <row r="724" spans="2:2" x14ac:dyDescent="0.2">
      <c r="B724" s="193"/>
    </row>
    <row r="725" spans="2:2" x14ac:dyDescent="0.2">
      <c r="B725" s="193"/>
    </row>
    <row r="726" spans="2:2" x14ac:dyDescent="0.2">
      <c r="B726" s="193"/>
    </row>
    <row r="727" spans="2:2" x14ac:dyDescent="0.2">
      <c r="B727" s="193"/>
    </row>
    <row r="728" spans="2:2" x14ac:dyDescent="0.2">
      <c r="B728" s="193"/>
    </row>
    <row r="729" spans="2:2" x14ac:dyDescent="0.2">
      <c r="B729" s="193"/>
    </row>
    <row r="730" spans="2:2" x14ac:dyDescent="0.2">
      <c r="B730" s="193"/>
    </row>
    <row r="731" spans="2:2" x14ac:dyDescent="0.2">
      <c r="B731" s="193"/>
    </row>
    <row r="732" spans="2:2" x14ac:dyDescent="0.2">
      <c r="B732" s="193"/>
    </row>
    <row r="733" spans="2:2" x14ac:dyDescent="0.2">
      <c r="B733" s="193"/>
    </row>
    <row r="734" spans="2:2" x14ac:dyDescent="0.2">
      <c r="B734" s="193"/>
    </row>
    <row r="735" spans="2:2" x14ac:dyDescent="0.2">
      <c r="B735" s="193"/>
    </row>
    <row r="736" spans="2:2" x14ac:dyDescent="0.2">
      <c r="B736" s="193"/>
    </row>
    <row r="737" spans="2:2" x14ac:dyDescent="0.2">
      <c r="B737" s="193"/>
    </row>
    <row r="738" spans="2:2" x14ac:dyDescent="0.2">
      <c r="B738" s="193"/>
    </row>
    <row r="739" spans="2:2" x14ac:dyDescent="0.2">
      <c r="B739" s="193"/>
    </row>
    <row r="740" spans="2:2" x14ac:dyDescent="0.2">
      <c r="B740" s="193"/>
    </row>
    <row r="741" spans="2:2" x14ac:dyDescent="0.2">
      <c r="B741" s="193"/>
    </row>
    <row r="742" spans="2:2" x14ac:dyDescent="0.2">
      <c r="B742" s="193"/>
    </row>
    <row r="743" spans="2:2" x14ac:dyDescent="0.2">
      <c r="B743" s="193"/>
    </row>
    <row r="744" spans="2:2" x14ac:dyDescent="0.2">
      <c r="B744" s="193"/>
    </row>
    <row r="745" spans="2:2" x14ac:dyDescent="0.2">
      <c r="B745" s="193"/>
    </row>
    <row r="746" spans="2:2" x14ac:dyDescent="0.2">
      <c r="B746" s="193"/>
    </row>
    <row r="747" spans="2:2" x14ac:dyDescent="0.2">
      <c r="B747" s="193"/>
    </row>
    <row r="748" spans="2:2" x14ac:dyDescent="0.2">
      <c r="B748" s="193"/>
    </row>
    <row r="749" spans="2:2" x14ac:dyDescent="0.2">
      <c r="B749" s="193"/>
    </row>
    <row r="750" spans="2:2" x14ac:dyDescent="0.2">
      <c r="B750" s="193"/>
    </row>
    <row r="751" spans="2:2" x14ac:dyDescent="0.2">
      <c r="B751" s="193"/>
    </row>
    <row r="752" spans="2:2" x14ac:dyDescent="0.2">
      <c r="B752" s="193"/>
    </row>
    <row r="753" spans="2:2" x14ac:dyDescent="0.2">
      <c r="B753" s="193"/>
    </row>
    <row r="754" spans="2:2" x14ac:dyDescent="0.2">
      <c r="B754" s="193"/>
    </row>
    <row r="755" spans="2:2" x14ac:dyDescent="0.2">
      <c r="B755" s="193"/>
    </row>
    <row r="756" spans="2:2" x14ac:dyDescent="0.2">
      <c r="B756" s="193"/>
    </row>
    <row r="757" spans="2:2" x14ac:dyDescent="0.2">
      <c r="B757" s="193"/>
    </row>
    <row r="758" spans="2:2" x14ac:dyDescent="0.2">
      <c r="B758" s="193"/>
    </row>
    <row r="759" spans="2:2" x14ac:dyDescent="0.2">
      <c r="B759" s="193"/>
    </row>
    <row r="760" spans="2:2" x14ac:dyDescent="0.2">
      <c r="B760" s="193"/>
    </row>
    <row r="761" spans="2:2" x14ac:dyDescent="0.2">
      <c r="B761" s="194"/>
    </row>
    <row r="762" spans="2:2" x14ac:dyDescent="0.2">
      <c r="B762" s="194"/>
    </row>
    <row r="763" spans="2:2" x14ac:dyDescent="0.2">
      <c r="B763" s="194"/>
    </row>
    <row r="764" spans="2:2" x14ac:dyDescent="0.2">
      <c r="B764" s="194"/>
    </row>
    <row r="765" spans="2:2" x14ac:dyDescent="0.2">
      <c r="B765" s="194"/>
    </row>
    <row r="766" spans="2:2" x14ac:dyDescent="0.2">
      <c r="B766" s="194"/>
    </row>
  </sheetData>
  <sheetProtection algorithmName="SHA-512" hashValue="8VFxEV9v5I4OKssCKRtmh7s+1yNEze4niRQ2nAYUZyLgW7+s8vhZqDArQNMqgKaserDanWOX0JeNEF1P7yHDgQ==" saltValue="0oRqZfOZ2mhIZ3BW7bbITg==" spinCount="100000" sheet="1" objects="1" scenarios="1"/>
  <mergeCells count="2">
    <mergeCell ref="B2:B5"/>
    <mergeCell ref="E8:AX8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61D6FF"/>
  </sheetPr>
  <dimension ref="B2:F51"/>
  <sheetViews>
    <sheetView workbookViewId="0">
      <selection activeCell="B120" sqref="B120"/>
    </sheetView>
  </sheetViews>
  <sheetFormatPr baseColWidth="10" defaultColWidth="11.44140625" defaultRowHeight="13.2" x14ac:dyDescent="0.25"/>
  <cols>
    <col min="1" max="1" width="11.44140625" style="27"/>
    <col min="2" max="2" width="46.6640625" style="27" customWidth="1"/>
    <col min="3" max="3" width="15" style="27" bestFit="1" customWidth="1"/>
    <col min="4" max="4" width="12" style="27" customWidth="1"/>
    <col min="5" max="5" width="11" style="27" customWidth="1"/>
    <col min="6" max="16384" width="11.44140625" style="27"/>
  </cols>
  <sheetData>
    <row r="2" spans="2:6" ht="14.4" x14ac:dyDescent="0.25">
      <c r="B2" s="1078" t="s">
        <v>260</v>
      </c>
      <c r="C2" s="366" t="s">
        <v>312</v>
      </c>
    </row>
    <row r="3" spans="2:6" ht="14.4" x14ac:dyDescent="0.25">
      <c r="B3" s="1079"/>
      <c r="C3" s="498" t="s">
        <v>325</v>
      </c>
    </row>
    <row r="4" spans="2:6" ht="14.4" x14ac:dyDescent="0.25">
      <c r="B4" s="1079"/>
      <c r="C4" s="499" t="s">
        <v>324</v>
      </c>
    </row>
    <row r="5" spans="2:6" ht="14.4" x14ac:dyDescent="0.25">
      <c r="B5" s="1080"/>
      <c r="C5" s="367" t="s">
        <v>261</v>
      </c>
    </row>
    <row r="7" spans="2:6" ht="13.8" thickBot="1" x14ac:dyDescent="0.3">
      <c r="F7" s="221"/>
    </row>
    <row r="8" spans="2:6" ht="16.2" thickBot="1" x14ac:dyDescent="0.3">
      <c r="D8" s="247">
        <v>4</v>
      </c>
      <c r="E8" s="248">
        <v>20</v>
      </c>
      <c r="F8" s="270"/>
    </row>
    <row r="9" spans="2:6" s="28" customFormat="1" ht="17.25" customHeight="1" thickBot="1" x14ac:dyDescent="0.3">
      <c r="B9" s="217" t="s">
        <v>186</v>
      </c>
      <c r="C9" s="243"/>
      <c r="D9" s="245"/>
      <c r="E9" s="1053"/>
      <c r="F9" s="222"/>
    </row>
    <row r="10" spans="2:6" ht="14.25" customHeight="1" x14ac:dyDescent="0.25">
      <c r="B10" s="216" t="s">
        <v>184</v>
      </c>
      <c r="C10" s="244" t="s">
        <v>183</v>
      </c>
      <c r="D10" s="889">
        <f t="shared" ref="D10:E10" si="0">52*40</f>
        <v>2080</v>
      </c>
      <c r="E10" s="1054">
        <f t="shared" si="0"/>
        <v>2080</v>
      </c>
      <c r="F10" s="223"/>
    </row>
    <row r="11" spans="2:6" ht="27" thickBot="1" x14ac:dyDescent="0.3">
      <c r="B11" s="226" t="s">
        <v>185</v>
      </c>
      <c r="C11" s="219" t="s">
        <v>183</v>
      </c>
      <c r="D11" s="890">
        <f t="shared" ref="D11:E11" si="1">(52*40)*2</f>
        <v>4160</v>
      </c>
      <c r="E11" s="1055">
        <f t="shared" si="1"/>
        <v>4160</v>
      </c>
      <c r="F11" s="223"/>
    </row>
    <row r="12" spans="2:6" ht="15" thickBot="1" x14ac:dyDescent="0.3">
      <c r="B12" s="217" t="s">
        <v>187</v>
      </c>
      <c r="C12" s="243"/>
      <c r="D12" s="246"/>
      <c r="E12" s="1056"/>
      <c r="F12" s="224"/>
    </row>
    <row r="13" spans="2:6" x14ac:dyDescent="0.25">
      <c r="B13" s="216" t="s">
        <v>188</v>
      </c>
      <c r="C13" s="244" t="s">
        <v>183</v>
      </c>
      <c r="D13" s="889">
        <f t="shared" ref="D13:E13" si="2">52*40</f>
        <v>2080</v>
      </c>
      <c r="E13" s="1054">
        <f t="shared" si="2"/>
        <v>2080</v>
      </c>
      <c r="F13" s="223"/>
    </row>
    <row r="14" spans="2:6" x14ac:dyDescent="0.25">
      <c r="B14" s="30" t="s">
        <v>190</v>
      </c>
      <c r="C14" s="218" t="s">
        <v>183</v>
      </c>
      <c r="D14" s="891">
        <f t="shared" ref="D14:E14" si="3">7000-D13</f>
        <v>4920</v>
      </c>
      <c r="E14" s="1057">
        <f t="shared" si="3"/>
        <v>4920</v>
      </c>
      <c r="F14" s="223"/>
    </row>
    <row r="15" spans="2:6" x14ac:dyDescent="0.25">
      <c r="B15" s="31" t="s">
        <v>191</v>
      </c>
      <c r="C15" s="218" t="s">
        <v>183</v>
      </c>
      <c r="D15" s="891">
        <f>(CANTIDADES!B30+CANTIDADES!B31)*7000</f>
        <v>35000</v>
      </c>
      <c r="E15" s="1057">
        <f>(CANTIDADES!C30+CANTIDADES!C31)*7000</f>
        <v>28000</v>
      </c>
      <c r="F15" s="223"/>
    </row>
    <row r="16" spans="2:6" x14ac:dyDescent="0.25">
      <c r="B16" s="31" t="s">
        <v>192</v>
      </c>
      <c r="C16" s="218" t="s">
        <v>183</v>
      </c>
      <c r="D16" s="891">
        <f>(CANTIDADES!B31*7000)</f>
        <v>21000</v>
      </c>
      <c r="E16" s="1057">
        <f>(CANTIDADES!C31*7000)</f>
        <v>14000</v>
      </c>
      <c r="F16" s="223"/>
    </row>
    <row r="17" spans="2:6" x14ac:dyDescent="0.25">
      <c r="B17" s="31" t="s">
        <v>193</v>
      </c>
      <c r="C17" s="218" t="s">
        <v>183</v>
      </c>
      <c r="D17" s="891">
        <v>7009</v>
      </c>
      <c r="E17" s="1057">
        <v>7010</v>
      </c>
      <c r="F17" s="223"/>
    </row>
    <row r="18" spans="2:6" ht="13.8" thickBot="1" x14ac:dyDescent="0.3">
      <c r="B18" s="32" t="s">
        <v>194</v>
      </c>
      <c r="C18" s="219" t="s">
        <v>183</v>
      </c>
      <c r="D18" s="890">
        <f>2*365*0.2*CANTIDADES!B69</f>
        <v>24820</v>
      </c>
      <c r="E18" s="1055">
        <f>2*365*0.2*CANTIDADES!C69</f>
        <v>17082</v>
      </c>
      <c r="F18" s="223"/>
    </row>
    <row r="19" spans="2:6" ht="15" thickBot="1" x14ac:dyDescent="0.3">
      <c r="B19" s="217" t="s">
        <v>195</v>
      </c>
      <c r="C19" s="243"/>
      <c r="D19" s="246"/>
      <c r="E19" s="1056"/>
      <c r="F19" s="224"/>
    </row>
    <row r="20" spans="2:6" x14ac:dyDescent="0.25">
      <c r="B20" s="30" t="s">
        <v>189</v>
      </c>
      <c r="C20" s="244" t="s">
        <v>183</v>
      </c>
      <c r="D20" s="889">
        <f t="shared" ref="D20:E20" si="4">D10/2</f>
        <v>1040</v>
      </c>
      <c r="E20" s="1054">
        <f t="shared" si="4"/>
        <v>1040</v>
      </c>
      <c r="F20" s="223"/>
    </row>
    <row r="21" spans="2:6" x14ac:dyDescent="0.25">
      <c r="B21" s="31" t="s">
        <v>198</v>
      </c>
      <c r="C21" s="218" t="s">
        <v>183</v>
      </c>
      <c r="D21" s="891">
        <f>ROUNDUP(2*2*364*CANTIDADES!B22/2500,0)</f>
        <v>4136</v>
      </c>
      <c r="E21" s="1057">
        <f>ROUNDUP(2*2*364*CANTIDADES!C22/2500,0)</f>
        <v>2854</v>
      </c>
      <c r="F21" s="223"/>
    </row>
    <row r="22" spans="2:6" ht="13.8" thickBot="1" x14ac:dyDescent="0.3">
      <c r="B22" s="32" t="s">
        <v>196</v>
      </c>
      <c r="C22" s="219" t="s">
        <v>183</v>
      </c>
      <c r="D22" s="890">
        <f>ROUNDUP(CANTIDADES!B22*900/3500,0)</f>
        <v>1826</v>
      </c>
      <c r="E22" s="1055">
        <f>ROUNDUP(CANTIDADES!C22*900/3500,0)</f>
        <v>1260</v>
      </c>
      <c r="F22" s="223"/>
    </row>
    <row r="23" spans="2:6" s="29" customFormat="1" ht="20.25" customHeight="1" thickBot="1" x14ac:dyDescent="0.3">
      <c r="F23" s="221"/>
    </row>
    <row r="24" spans="2:6" ht="13.8" thickBot="1" x14ac:dyDescent="0.3">
      <c r="B24" s="33" t="s">
        <v>197</v>
      </c>
      <c r="C24" s="227"/>
      <c r="D24" s="220">
        <f t="shared" ref="D24:E24" si="5">SUM(D10:D22)/1700</f>
        <v>63.571176470588235</v>
      </c>
      <c r="E24" s="1058">
        <f t="shared" si="5"/>
        <v>49.697647058823527</v>
      </c>
      <c r="F24" s="225"/>
    </row>
    <row r="25" spans="2:6" x14ac:dyDescent="0.25">
      <c r="F25" s="221"/>
    </row>
    <row r="26" spans="2:6" x14ac:dyDescent="0.25">
      <c r="B26" s="27" t="s">
        <v>202</v>
      </c>
      <c r="F26" s="221"/>
    </row>
    <row r="27" spans="2:6" x14ac:dyDescent="0.25">
      <c r="B27" s="27" t="s">
        <v>199</v>
      </c>
      <c r="F27" s="221"/>
    </row>
    <row r="28" spans="2:6" x14ac:dyDescent="0.25">
      <c r="B28" s="27" t="s">
        <v>200</v>
      </c>
      <c r="F28" s="221"/>
    </row>
    <row r="29" spans="2:6" ht="26.4" x14ac:dyDescent="0.25">
      <c r="B29" s="27" t="s">
        <v>201</v>
      </c>
      <c r="F29" s="221"/>
    </row>
    <row r="30" spans="2:6" ht="13.8" thickBot="1" x14ac:dyDescent="0.3">
      <c r="F30" s="221"/>
    </row>
    <row r="31" spans="2:6" ht="16.2" thickBot="1" x14ac:dyDescent="0.3">
      <c r="D31" s="247">
        <v>4</v>
      </c>
      <c r="E31" s="248">
        <v>20</v>
      </c>
      <c r="F31" s="221"/>
    </row>
    <row r="32" spans="2:6" ht="18.75" customHeight="1" x14ac:dyDescent="0.25">
      <c r="B32" s="236" t="s">
        <v>186</v>
      </c>
      <c r="C32" s="239"/>
      <c r="D32" s="232">
        <f t="shared" ref="D32:E32" si="6">D33+D34</f>
        <v>179140</v>
      </c>
      <c r="E32" s="233">
        <f t="shared" si="6"/>
        <v>179140</v>
      </c>
      <c r="F32" s="221"/>
    </row>
    <row r="33" spans="2:6" x14ac:dyDescent="0.25">
      <c r="B33" s="237" t="s">
        <v>184</v>
      </c>
      <c r="C33" s="892">
        <f>1.3*5600/(40*4)</f>
        <v>45.5</v>
      </c>
      <c r="D33" s="35">
        <f>sal_dirinst*D10</f>
        <v>94640</v>
      </c>
      <c r="E33" s="230">
        <f>sal_dirinst*E10</f>
        <v>94640</v>
      </c>
      <c r="F33" s="221"/>
    </row>
    <row r="34" spans="2:6" ht="27" thickBot="1" x14ac:dyDescent="0.3">
      <c r="B34" s="238" t="s">
        <v>185</v>
      </c>
      <c r="C34" s="893">
        <f>1.3*2500/(40*4)</f>
        <v>20.3125</v>
      </c>
      <c r="D34" s="36">
        <f>$C$34*D11</f>
        <v>84500</v>
      </c>
      <c r="E34" s="231">
        <f>$C$34*E11</f>
        <v>84500</v>
      </c>
      <c r="F34" s="221"/>
    </row>
    <row r="35" spans="2:6" ht="14.4" x14ac:dyDescent="0.25">
      <c r="B35" s="236" t="s">
        <v>187</v>
      </c>
      <c r="C35" s="240"/>
      <c r="D35" s="234">
        <f t="shared" ref="D35:E35" si="7">SUM(D36:D41)</f>
        <v>492448.53125</v>
      </c>
      <c r="E35" s="235">
        <f t="shared" si="7"/>
        <v>403319.3125</v>
      </c>
      <c r="F35" s="221"/>
    </row>
    <row r="36" spans="2:6" x14ac:dyDescent="0.25">
      <c r="B36" s="237" t="s">
        <v>188</v>
      </c>
      <c r="C36" s="892">
        <f>1.3*3400/(40*4)</f>
        <v>27.625</v>
      </c>
      <c r="D36" s="35">
        <f>sal_direx*D13</f>
        <v>57460</v>
      </c>
      <c r="E36" s="230">
        <f>sal_direx*E13</f>
        <v>57460</v>
      </c>
      <c r="F36" s="221"/>
    </row>
    <row r="37" spans="2:6" x14ac:dyDescent="0.25">
      <c r="B37" s="237" t="s">
        <v>190</v>
      </c>
      <c r="C37" s="892">
        <f>1.3*1500/(40*4)</f>
        <v>12.1875</v>
      </c>
      <c r="D37" s="35">
        <f>sal_chefex*D14</f>
        <v>59962.5</v>
      </c>
      <c r="E37" s="230">
        <f>sal_chefex*E14</f>
        <v>59962.5</v>
      </c>
      <c r="F37" s="221"/>
    </row>
    <row r="38" spans="2:6" x14ac:dyDescent="0.25">
      <c r="B38" s="237" t="s">
        <v>191</v>
      </c>
      <c r="C38" s="892">
        <f>1.3*675/(40*4)</f>
        <v>5.484375</v>
      </c>
      <c r="D38" s="35">
        <f>sal_chefquai*D15</f>
        <v>191953.125</v>
      </c>
      <c r="E38" s="230">
        <f>sal_chefquai*E15</f>
        <v>153562.5</v>
      </c>
      <c r="F38" s="221"/>
    </row>
    <row r="39" spans="2:6" x14ac:dyDescent="0.25">
      <c r="B39" s="237" t="s">
        <v>192</v>
      </c>
      <c r="C39" s="892">
        <f>1.3*450/(40*4)</f>
        <v>3.65625</v>
      </c>
      <c r="D39" s="35">
        <f>sal_agex*D16</f>
        <v>76781.25</v>
      </c>
      <c r="E39" s="230">
        <f>sal_agex*E16</f>
        <v>51187.5</v>
      </c>
      <c r="F39" s="221"/>
    </row>
    <row r="40" spans="2:6" x14ac:dyDescent="0.25">
      <c r="B40" s="237" t="s">
        <v>193</v>
      </c>
      <c r="C40" s="892">
        <f>1.3*500/(40*4)</f>
        <v>4.0625</v>
      </c>
      <c r="D40" s="35">
        <f>sal_agex2*D17</f>
        <v>25626.65625</v>
      </c>
      <c r="E40" s="230">
        <f>sal_agex2*E17</f>
        <v>25630.3125</v>
      </c>
      <c r="F40" s="221"/>
    </row>
    <row r="41" spans="2:6" ht="13.8" thickBot="1" x14ac:dyDescent="0.3">
      <c r="B41" s="238" t="s">
        <v>194</v>
      </c>
      <c r="C41" s="893">
        <f>1.3*400/(40*4)</f>
        <v>3.25</v>
      </c>
      <c r="D41" s="35">
        <f>sal_agent*D18</f>
        <v>80665</v>
      </c>
      <c r="E41" s="230">
        <f>sal_agent*E18</f>
        <v>55516.5</v>
      </c>
      <c r="F41" s="221"/>
    </row>
    <row r="42" spans="2:6" ht="14.4" x14ac:dyDescent="0.25">
      <c r="B42" s="236" t="s">
        <v>195</v>
      </c>
      <c r="C42" s="240"/>
      <c r="D42" s="228">
        <f t="shared" ref="D42:E42" si="8">D43+D44+D45</f>
        <v>50528.5625</v>
      </c>
      <c r="E42" s="229">
        <f t="shared" si="8"/>
        <v>43771.8125</v>
      </c>
      <c r="F42" s="221"/>
    </row>
    <row r="43" spans="2:6" x14ac:dyDescent="0.25">
      <c r="B43" s="237" t="s">
        <v>189</v>
      </c>
      <c r="C43" s="892">
        <f>sal_direx</f>
        <v>27.625</v>
      </c>
      <c r="D43" s="35">
        <f>sal_supmaint*D20</f>
        <v>28730</v>
      </c>
      <c r="E43" s="230">
        <f>sal_supmaint*E20</f>
        <v>28730</v>
      </c>
      <c r="F43" s="221"/>
    </row>
    <row r="44" spans="2:6" x14ac:dyDescent="0.25">
      <c r="B44" s="237" t="s">
        <v>198</v>
      </c>
      <c r="C44" s="892">
        <f>sal_chefex</f>
        <v>12.1875</v>
      </c>
      <c r="D44" s="35">
        <f t="shared" ref="D44:E45" si="9">sal_agex*D21</f>
        <v>15122.25</v>
      </c>
      <c r="E44" s="230">
        <f t="shared" si="9"/>
        <v>10434.9375</v>
      </c>
      <c r="F44" s="221"/>
    </row>
    <row r="45" spans="2:6" ht="13.8" thickBot="1" x14ac:dyDescent="0.3">
      <c r="B45" s="238" t="s">
        <v>196</v>
      </c>
      <c r="C45" s="893">
        <f>sal_chefex</f>
        <v>12.1875</v>
      </c>
      <c r="D45" s="36">
        <f t="shared" si="9"/>
        <v>6676.3125</v>
      </c>
      <c r="E45" s="231">
        <f t="shared" si="9"/>
        <v>4606.875</v>
      </c>
      <c r="F45" s="221"/>
    </row>
    <row r="46" spans="2:6" s="29" customFormat="1" ht="13.8" thickBot="1" x14ac:dyDescent="0.3">
      <c r="C46" s="34"/>
      <c r="D46" s="34"/>
      <c r="E46" s="34"/>
      <c r="F46" s="221"/>
    </row>
    <row r="47" spans="2:6" ht="13.8" thickBot="1" x14ac:dyDescent="0.3">
      <c r="B47" s="369" t="s">
        <v>306</v>
      </c>
      <c r="C47" s="37"/>
      <c r="D47" s="241">
        <f t="shared" ref="D47:E47" si="10">D32+D35+D42</f>
        <v>722117.09375</v>
      </c>
      <c r="E47" s="242">
        <f t="shared" si="10"/>
        <v>626231.125</v>
      </c>
      <c r="F47" s="221"/>
    </row>
    <row r="48" spans="2:6" x14ac:dyDescent="0.25">
      <c r="F48" s="221"/>
    </row>
    <row r="49" spans="6:6" x14ac:dyDescent="0.25">
      <c r="F49" s="221"/>
    </row>
    <row r="50" spans="6:6" x14ac:dyDescent="0.25">
      <c r="F50" s="221"/>
    </row>
    <row r="51" spans="6:6" x14ac:dyDescent="0.25">
      <c r="F51" s="221"/>
    </row>
  </sheetData>
  <sheetProtection algorithmName="SHA-512" hashValue="J8Xu9720MAD9wXIeGvPJUoI04Tug/8BDpzsQU1kZaL5Eh+mP00To1DnnWA5DFfKSPF7lq1Bpb44SA+p3vSGlqw==" saltValue="7Ur/WflVt4y6ETSWnuafaQ==" spinCount="100000" sheet="1" objects="1" scenarios="1"/>
  <mergeCells count="1">
    <mergeCell ref="B2:B5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rgb="FF00B0F0"/>
  </sheetPr>
  <dimension ref="A2:AX143"/>
  <sheetViews>
    <sheetView workbookViewId="0">
      <selection activeCell="B120" sqref="B120"/>
    </sheetView>
  </sheetViews>
  <sheetFormatPr baseColWidth="10" defaultColWidth="11.44140625" defaultRowHeight="12.6" outlineLevelRow="1" x14ac:dyDescent="0.2"/>
  <cols>
    <col min="1" max="1" width="11.44140625" style="1"/>
    <col min="2" max="2" width="68" style="1" bestFit="1" customWidth="1"/>
    <col min="3" max="3" width="15" style="1" bestFit="1" customWidth="1"/>
    <col min="4" max="5" width="16" style="1" bestFit="1" customWidth="1"/>
    <col min="6" max="6" width="14" style="1" customWidth="1"/>
    <col min="7" max="7" width="13" style="1" customWidth="1"/>
    <col min="8" max="22" width="16" style="1" bestFit="1" customWidth="1"/>
    <col min="23" max="23" width="17.6640625" style="1" bestFit="1" customWidth="1"/>
    <col min="24" max="27" width="16" style="1" bestFit="1" customWidth="1"/>
    <col min="28" max="28" width="17.6640625" style="1" bestFit="1" customWidth="1"/>
    <col min="29" max="32" width="16" style="1" bestFit="1" customWidth="1"/>
    <col min="33" max="33" width="17.6640625" style="1" bestFit="1" customWidth="1"/>
    <col min="34" max="37" width="16" style="1" bestFit="1" customWidth="1"/>
    <col min="38" max="38" width="17.6640625" style="1" bestFit="1" customWidth="1"/>
    <col min="39" max="42" width="16" style="1" bestFit="1" customWidth="1"/>
    <col min="43" max="43" width="17.6640625" style="1" bestFit="1" customWidth="1"/>
    <col min="44" max="44" width="16" style="1" bestFit="1" customWidth="1"/>
    <col min="45" max="16384" width="11.44140625" style="1"/>
  </cols>
  <sheetData>
    <row r="2" spans="2:7" ht="14.4" x14ac:dyDescent="0.2">
      <c r="B2" s="1078" t="s">
        <v>260</v>
      </c>
      <c r="C2" s="366" t="s">
        <v>312</v>
      </c>
    </row>
    <row r="3" spans="2:7" ht="14.4" x14ac:dyDescent="0.2">
      <c r="B3" s="1079"/>
      <c r="C3" s="498" t="s">
        <v>325</v>
      </c>
    </row>
    <row r="4" spans="2:7" ht="14.4" x14ac:dyDescent="0.2">
      <c r="B4" s="1079"/>
      <c r="C4" s="499" t="s">
        <v>324</v>
      </c>
    </row>
    <row r="5" spans="2:7" ht="14.4" x14ac:dyDescent="0.2">
      <c r="B5" s="1080"/>
      <c r="C5" s="367" t="s">
        <v>261</v>
      </c>
    </row>
    <row r="7" spans="2:7" ht="13.2" thickBot="1" x14ac:dyDescent="0.25"/>
    <row r="8" spans="2:7" x14ac:dyDescent="0.2">
      <c r="B8" s="39" t="s">
        <v>6</v>
      </c>
      <c r="C8" s="765"/>
    </row>
    <row r="9" spans="2:7" x14ac:dyDescent="0.2">
      <c r="B9" s="40" t="s">
        <v>209</v>
      </c>
      <c r="C9" s="766">
        <v>0.03</v>
      </c>
    </row>
    <row r="10" spans="2:7" x14ac:dyDescent="0.2">
      <c r="B10" s="40" t="s">
        <v>210</v>
      </c>
      <c r="C10" s="767">
        <v>1.4999999999999999E-2</v>
      </c>
    </row>
    <row r="11" spans="2:7" x14ac:dyDescent="0.2">
      <c r="B11" s="40" t="s">
        <v>211</v>
      </c>
      <c r="C11" s="767">
        <v>3.4000000000000002E-2</v>
      </c>
    </row>
    <row r="12" spans="2:7" x14ac:dyDescent="0.2">
      <c r="B12" s="40" t="s">
        <v>212</v>
      </c>
      <c r="C12" s="766">
        <v>0.03</v>
      </c>
      <c r="G12" s="323"/>
    </row>
    <row r="13" spans="2:7" ht="13.2" thickBot="1" x14ac:dyDescent="0.25">
      <c r="B13" s="41" t="s">
        <v>222</v>
      </c>
      <c r="C13" s="768">
        <v>0.02</v>
      </c>
    </row>
    <row r="16" spans="2:7" ht="25.2" x14ac:dyDescent="0.2">
      <c r="D16" s="322" t="s">
        <v>203</v>
      </c>
    </row>
    <row r="17" spans="2:44" x14ac:dyDescent="0.2">
      <c r="B17" s="250" t="s">
        <v>561</v>
      </c>
      <c r="C17" s="769" t="s">
        <v>419</v>
      </c>
      <c r="D17" s="251">
        <v>2019</v>
      </c>
      <c r="E17" s="251">
        <v>2020</v>
      </c>
      <c r="F17" s="251">
        <v>2021</v>
      </c>
      <c r="G17" s="251">
        <v>2022</v>
      </c>
      <c r="H17" s="251">
        <v>2023</v>
      </c>
      <c r="I17" s="251">
        <v>2024</v>
      </c>
      <c r="J17" s="251">
        <v>2025</v>
      </c>
      <c r="K17" s="251">
        <v>2026</v>
      </c>
      <c r="L17" s="251">
        <v>2027</v>
      </c>
      <c r="M17" s="251">
        <v>2028</v>
      </c>
      <c r="N17" s="251">
        <v>2029</v>
      </c>
      <c r="O17" s="251">
        <v>2030</v>
      </c>
      <c r="P17" s="251">
        <v>2031</v>
      </c>
      <c r="Q17" s="251">
        <v>2032</v>
      </c>
      <c r="R17" s="251">
        <v>2033</v>
      </c>
      <c r="S17" s="251">
        <v>2034</v>
      </c>
      <c r="T17" s="251">
        <v>2035</v>
      </c>
      <c r="U17" s="251">
        <v>2036</v>
      </c>
      <c r="V17" s="251">
        <v>2037</v>
      </c>
      <c r="W17" s="251">
        <v>2038</v>
      </c>
      <c r="X17" s="251">
        <v>2039</v>
      </c>
      <c r="Y17" s="251">
        <v>2040</v>
      </c>
      <c r="Z17" s="251">
        <v>2041</v>
      </c>
      <c r="AA17" s="251">
        <v>2042</v>
      </c>
      <c r="AB17" s="251">
        <v>2043</v>
      </c>
      <c r="AC17" s="251">
        <v>2044</v>
      </c>
      <c r="AD17" s="251">
        <v>2045</v>
      </c>
      <c r="AE17" s="251">
        <v>2046</v>
      </c>
      <c r="AF17" s="251">
        <v>2047</v>
      </c>
      <c r="AG17" s="251">
        <v>2048</v>
      </c>
      <c r="AH17" s="251">
        <v>2049</v>
      </c>
      <c r="AI17" s="251">
        <v>2050</v>
      </c>
      <c r="AJ17" s="251">
        <v>2051</v>
      </c>
      <c r="AK17" s="251">
        <v>2052</v>
      </c>
      <c r="AL17" s="251">
        <v>2053</v>
      </c>
      <c r="AM17" s="251">
        <v>2054</v>
      </c>
      <c r="AN17" s="251">
        <v>2055</v>
      </c>
      <c r="AO17" s="251">
        <v>2056</v>
      </c>
      <c r="AP17" s="251">
        <v>2057</v>
      </c>
      <c r="AQ17" s="251">
        <v>2058</v>
      </c>
      <c r="AR17" s="251">
        <v>2059</v>
      </c>
    </row>
    <row r="18" spans="2:44" outlineLevel="1" x14ac:dyDescent="0.2">
      <c r="B18" s="252"/>
      <c r="C18" s="770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</row>
    <row r="19" spans="2:44" ht="16.2" outlineLevel="1" x14ac:dyDescent="0.3">
      <c r="B19" s="253" t="s">
        <v>207</v>
      </c>
      <c r="C19" s="771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</row>
    <row r="20" spans="2:44" outlineLevel="1" x14ac:dyDescent="0.2">
      <c r="B20" s="252"/>
      <c r="C20" s="770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</row>
    <row r="21" spans="2:44" outlineLevel="1" x14ac:dyDescent="0.2">
      <c r="B21" s="254" t="s">
        <v>208</v>
      </c>
      <c r="C21" s="772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</row>
    <row r="22" spans="2:44" outlineLevel="1" x14ac:dyDescent="0.2">
      <c r="B22" s="255" t="s">
        <v>186</v>
      </c>
      <c r="C22" s="773" t="s">
        <v>317</v>
      </c>
      <c r="D22" s="777">
        <f>OPERACION_Mano_de_Obras!D$32</f>
        <v>179140</v>
      </c>
      <c r="E22" s="203">
        <f>D22</f>
        <v>179140</v>
      </c>
      <c r="F22" s="203">
        <f t="shared" ref="F22:F24" si="0">E22</f>
        <v>179140</v>
      </c>
      <c r="G22" s="203">
        <f t="shared" ref="G22:G24" si="1">F22</f>
        <v>179140</v>
      </c>
      <c r="H22" s="203">
        <f t="shared" ref="H22:H24" si="2">G22</f>
        <v>179140</v>
      </c>
      <c r="I22" s="203">
        <f t="shared" ref="I22:I24" si="3">H22</f>
        <v>179140</v>
      </c>
      <c r="J22" s="203">
        <f t="shared" ref="J22:J24" si="4">I22</f>
        <v>179140</v>
      </c>
      <c r="K22" s="203">
        <f t="shared" ref="K22:K24" si="5">J22</f>
        <v>179140</v>
      </c>
      <c r="L22" s="203">
        <f t="shared" ref="L22:L24" si="6">K22</f>
        <v>179140</v>
      </c>
      <c r="M22" s="203">
        <f t="shared" ref="M22:M24" si="7">L22</f>
        <v>179140</v>
      </c>
      <c r="N22" s="203">
        <f t="shared" ref="N22:N24" si="8">M22</f>
        <v>179140</v>
      </c>
      <c r="O22" s="203">
        <f t="shared" ref="O22:O24" si="9">N22</f>
        <v>179140</v>
      </c>
      <c r="P22" s="203">
        <f t="shared" ref="P22:P24" si="10">O22</f>
        <v>179140</v>
      </c>
      <c r="Q22" s="203">
        <f t="shared" ref="Q22:Q24" si="11">P22</f>
        <v>179140</v>
      </c>
      <c r="R22" s="203">
        <f t="shared" ref="R22:R24" si="12">Q22</f>
        <v>179140</v>
      </c>
      <c r="S22" s="203">
        <f t="shared" ref="S22:S24" si="13">R22</f>
        <v>179140</v>
      </c>
      <c r="T22" s="203">
        <f t="shared" ref="T22:T24" si="14">S22</f>
        <v>179140</v>
      </c>
      <c r="U22" s="203">
        <f t="shared" ref="U22:U24" si="15">T22</f>
        <v>179140</v>
      </c>
      <c r="V22" s="203">
        <f t="shared" ref="V22:V24" si="16">U22</f>
        <v>179140</v>
      </c>
      <c r="W22" s="203">
        <f t="shared" ref="W22:W24" si="17">V22</f>
        <v>179140</v>
      </c>
      <c r="X22" s="203">
        <f t="shared" ref="X22:X24" si="18">W22</f>
        <v>179140</v>
      </c>
      <c r="Y22" s="203">
        <f t="shared" ref="Y22:Y24" si="19">X22</f>
        <v>179140</v>
      </c>
      <c r="Z22" s="203">
        <f t="shared" ref="Z22:Z24" si="20">Y22</f>
        <v>179140</v>
      </c>
      <c r="AA22" s="203">
        <f t="shared" ref="AA22:AA24" si="21">Z22</f>
        <v>179140</v>
      </c>
      <c r="AB22" s="203">
        <f t="shared" ref="AB22:AB24" si="22">AA22</f>
        <v>179140</v>
      </c>
      <c r="AC22" s="203">
        <f t="shared" ref="AC22:AC24" si="23">AB22</f>
        <v>179140</v>
      </c>
      <c r="AD22" s="203">
        <f t="shared" ref="AD22:AD24" si="24">AC22</f>
        <v>179140</v>
      </c>
      <c r="AE22" s="203">
        <f t="shared" ref="AE22:AE24" si="25">AD22</f>
        <v>179140</v>
      </c>
      <c r="AF22" s="203">
        <f t="shared" ref="AF22:AF24" si="26">AE22</f>
        <v>179140</v>
      </c>
      <c r="AG22" s="203">
        <f t="shared" ref="AG22:AG24" si="27">AF22</f>
        <v>179140</v>
      </c>
      <c r="AH22" s="203">
        <f t="shared" ref="AH22:AH24" si="28">AG22</f>
        <v>179140</v>
      </c>
      <c r="AI22" s="203">
        <f t="shared" ref="AI22:AI24" si="29">AH22</f>
        <v>179140</v>
      </c>
      <c r="AJ22" s="203">
        <f t="shared" ref="AJ22:AJ24" si="30">AI22</f>
        <v>179140</v>
      </c>
      <c r="AK22" s="203">
        <f t="shared" ref="AK22:AK24" si="31">AJ22</f>
        <v>179140</v>
      </c>
      <c r="AL22" s="203">
        <f t="shared" ref="AL22:AL24" si="32">AK22</f>
        <v>179140</v>
      </c>
      <c r="AM22" s="203">
        <f t="shared" ref="AM22:AM24" si="33">AL22</f>
        <v>179140</v>
      </c>
      <c r="AN22" s="203">
        <f t="shared" ref="AN22:AN24" si="34">AM22</f>
        <v>179140</v>
      </c>
      <c r="AO22" s="203">
        <f t="shared" ref="AO22:AO24" si="35">AN22</f>
        <v>179140</v>
      </c>
      <c r="AP22" s="203">
        <f t="shared" ref="AP22:AP24" si="36">AO22</f>
        <v>179140</v>
      </c>
      <c r="AQ22" s="203">
        <f t="shared" ref="AQ22:AR24" si="37">AP22</f>
        <v>179140</v>
      </c>
      <c r="AR22" s="203">
        <f t="shared" si="37"/>
        <v>179140</v>
      </c>
    </row>
    <row r="23" spans="2:44" outlineLevel="1" x14ac:dyDescent="0.2">
      <c r="B23" s="255" t="s">
        <v>187</v>
      </c>
      <c r="C23" s="773" t="s">
        <v>317</v>
      </c>
      <c r="D23" s="777">
        <f>OPERACION_Mano_de_Obras!D$35</f>
        <v>492448.53125</v>
      </c>
      <c r="E23" s="203">
        <f>D23</f>
        <v>492448.53125</v>
      </c>
      <c r="F23" s="203">
        <f t="shared" si="0"/>
        <v>492448.53125</v>
      </c>
      <c r="G23" s="203">
        <f t="shared" si="1"/>
        <v>492448.53125</v>
      </c>
      <c r="H23" s="203">
        <f t="shared" si="2"/>
        <v>492448.53125</v>
      </c>
      <c r="I23" s="203">
        <f t="shared" si="3"/>
        <v>492448.53125</v>
      </c>
      <c r="J23" s="203">
        <f t="shared" si="4"/>
        <v>492448.53125</v>
      </c>
      <c r="K23" s="203">
        <f t="shared" si="5"/>
        <v>492448.53125</v>
      </c>
      <c r="L23" s="203">
        <f t="shared" si="6"/>
        <v>492448.53125</v>
      </c>
      <c r="M23" s="203">
        <f t="shared" si="7"/>
        <v>492448.53125</v>
      </c>
      <c r="N23" s="203">
        <f t="shared" si="8"/>
        <v>492448.53125</v>
      </c>
      <c r="O23" s="203">
        <f t="shared" si="9"/>
        <v>492448.53125</v>
      </c>
      <c r="P23" s="203">
        <f t="shared" si="10"/>
        <v>492448.53125</v>
      </c>
      <c r="Q23" s="203">
        <f t="shared" si="11"/>
        <v>492448.53125</v>
      </c>
      <c r="R23" s="203">
        <f t="shared" si="12"/>
        <v>492448.53125</v>
      </c>
      <c r="S23" s="203">
        <f t="shared" si="13"/>
        <v>492448.53125</v>
      </c>
      <c r="T23" s="203">
        <f t="shared" si="14"/>
        <v>492448.53125</v>
      </c>
      <c r="U23" s="203">
        <f t="shared" si="15"/>
        <v>492448.53125</v>
      </c>
      <c r="V23" s="203">
        <f t="shared" si="16"/>
        <v>492448.53125</v>
      </c>
      <c r="W23" s="203">
        <f t="shared" si="17"/>
        <v>492448.53125</v>
      </c>
      <c r="X23" s="203">
        <f t="shared" si="18"/>
        <v>492448.53125</v>
      </c>
      <c r="Y23" s="203">
        <f t="shared" si="19"/>
        <v>492448.53125</v>
      </c>
      <c r="Z23" s="203">
        <f t="shared" si="20"/>
        <v>492448.53125</v>
      </c>
      <c r="AA23" s="203">
        <f t="shared" si="21"/>
        <v>492448.53125</v>
      </c>
      <c r="AB23" s="203">
        <f t="shared" si="22"/>
        <v>492448.53125</v>
      </c>
      <c r="AC23" s="203">
        <f t="shared" si="23"/>
        <v>492448.53125</v>
      </c>
      <c r="AD23" s="203">
        <f t="shared" si="24"/>
        <v>492448.53125</v>
      </c>
      <c r="AE23" s="203">
        <f t="shared" si="25"/>
        <v>492448.53125</v>
      </c>
      <c r="AF23" s="203">
        <f t="shared" si="26"/>
        <v>492448.53125</v>
      </c>
      <c r="AG23" s="203">
        <f t="shared" si="27"/>
        <v>492448.53125</v>
      </c>
      <c r="AH23" s="203">
        <f t="shared" si="28"/>
        <v>492448.53125</v>
      </c>
      <c r="AI23" s="203">
        <f t="shared" si="29"/>
        <v>492448.53125</v>
      </c>
      <c r="AJ23" s="203">
        <f t="shared" si="30"/>
        <v>492448.53125</v>
      </c>
      <c r="AK23" s="203">
        <f t="shared" si="31"/>
        <v>492448.53125</v>
      </c>
      <c r="AL23" s="203">
        <f t="shared" si="32"/>
        <v>492448.53125</v>
      </c>
      <c r="AM23" s="203">
        <f t="shared" si="33"/>
        <v>492448.53125</v>
      </c>
      <c r="AN23" s="203">
        <f t="shared" si="34"/>
        <v>492448.53125</v>
      </c>
      <c r="AO23" s="203">
        <f t="shared" si="35"/>
        <v>492448.53125</v>
      </c>
      <c r="AP23" s="203">
        <f t="shared" si="36"/>
        <v>492448.53125</v>
      </c>
      <c r="AQ23" s="203">
        <f t="shared" si="37"/>
        <v>492448.53125</v>
      </c>
      <c r="AR23" s="203">
        <f t="shared" si="37"/>
        <v>492448.53125</v>
      </c>
    </row>
    <row r="24" spans="2:44" outlineLevel="1" x14ac:dyDescent="0.2">
      <c r="B24" s="255" t="s">
        <v>195</v>
      </c>
      <c r="C24" s="773" t="s">
        <v>317</v>
      </c>
      <c r="D24" s="777">
        <f>OPERACION_Mano_de_Obras!D$42</f>
        <v>50528.5625</v>
      </c>
      <c r="E24" s="203">
        <f>D24</f>
        <v>50528.5625</v>
      </c>
      <c r="F24" s="203">
        <f t="shared" si="0"/>
        <v>50528.5625</v>
      </c>
      <c r="G24" s="203">
        <f t="shared" si="1"/>
        <v>50528.5625</v>
      </c>
      <c r="H24" s="203">
        <f t="shared" si="2"/>
        <v>50528.5625</v>
      </c>
      <c r="I24" s="203">
        <f t="shared" si="3"/>
        <v>50528.5625</v>
      </c>
      <c r="J24" s="203">
        <f t="shared" si="4"/>
        <v>50528.5625</v>
      </c>
      <c r="K24" s="203">
        <f t="shared" si="5"/>
        <v>50528.5625</v>
      </c>
      <c r="L24" s="203">
        <f t="shared" si="6"/>
        <v>50528.5625</v>
      </c>
      <c r="M24" s="203">
        <f t="shared" si="7"/>
        <v>50528.5625</v>
      </c>
      <c r="N24" s="203">
        <f t="shared" si="8"/>
        <v>50528.5625</v>
      </c>
      <c r="O24" s="203">
        <f t="shared" si="9"/>
        <v>50528.5625</v>
      </c>
      <c r="P24" s="203">
        <f t="shared" si="10"/>
        <v>50528.5625</v>
      </c>
      <c r="Q24" s="203">
        <f t="shared" si="11"/>
        <v>50528.5625</v>
      </c>
      <c r="R24" s="203">
        <f t="shared" si="12"/>
        <v>50528.5625</v>
      </c>
      <c r="S24" s="203">
        <f t="shared" si="13"/>
        <v>50528.5625</v>
      </c>
      <c r="T24" s="203">
        <f t="shared" si="14"/>
        <v>50528.5625</v>
      </c>
      <c r="U24" s="203">
        <f t="shared" si="15"/>
        <v>50528.5625</v>
      </c>
      <c r="V24" s="203">
        <f t="shared" si="16"/>
        <v>50528.5625</v>
      </c>
      <c r="W24" s="203">
        <f t="shared" si="17"/>
        <v>50528.5625</v>
      </c>
      <c r="X24" s="203">
        <f t="shared" si="18"/>
        <v>50528.5625</v>
      </c>
      <c r="Y24" s="203">
        <f t="shared" si="19"/>
        <v>50528.5625</v>
      </c>
      <c r="Z24" s="203">
        <f t="shared" si="20"/>
        <v>50528.5625</v>
      </c>
      <c r="AA24" s="203">
        <f t="shared" si="21"/>
        <v>50528.5625</v>
      </c>
      <c r="AB24" s="203">
        <f t="shared" si="22"/>
        <v>50528.5625</v>
      </c>
      <c r="AC24" s="203">
        <f t="shared" si="23"/>
        <v>50528.5625</v>
      </c>
      <c r="AD24" s="203">
        <f t="shared" si="24"/>
        <v>50528.5625</v>
      </c>
      <c r="AE24" s="203">
        <f t="shared" si="25"/>
        <v>50528.5625</v>
      </c>
      <c r="AF24" s="203">
        <f t="shared" si="26"/>
        <v>50528.5625</v>
      </c>
      <c r="AG24" s="203">
        <f t="shared" si="27"/>
        <v>50528.5625</v>
      </c>
      <c r="AH24" s="203">
        <f t="shared" si="28"/>
        <v>50528.5625</v>
      </c>
      <c r="AI24" s="203">
        <f t="shared" si="29"/>
        <v>50528.5625</v>
      </c>
      <c r="AJ24" s="203">
        <f t="shared" si="30"/>
        <v>50528.5625</v>
      </c>
      <c r="AK24" s="203">
        <f t="shared" si="31"/>
        <v>50528.5625</v>
      </c>
      <c r="AL24" s="203">
        <f t="shared" si="32"/>
        <v>50528.5625</v>
      </c>
      <c r="AM24" s="203">
        <f t="shared" si="33"/>
        <v>50528.5625</v>
      </c>
      <c r="AN24" s="203">
        <f t="shared" si="34"/>
        <v>50528.5625</v>
      </c>
      <c r="AO24" s="203">
        <f t="shared" si="35"/>
        <v>50528.5625</v>
      </c>
      <c r="AP24" s="203">
        <f t="shared" si="36"/>
        <v>50528.5625</v>
      </c>
      <c r="AQ24" s="203">
        <f t="shared" si="37"/>
        <v>50528.5625</v>
      </c>
      <c r="AR24" s="203">
        <f t="shared" si="37"/>
        <v>50528.5625</v>
      </c>
    </row>
    <row r="25" spans="2:44" outlineLevel="1" x14ac:dyDescent="0.2">
      <c r="B25" s="255"/>
      <c r="C25" s="77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</row>
    <row r="26" spans="2:44" outlineLevel="1" x14ac:dyDescent="0.2">
      <c r="B26" s="255" t="s">
        <v>423</v>
      </c>
      <c r="C26" s="773" t="s">
        <v>317</v>
      </c>
      <c r="D26" s="203">
        <f t="shared" ref="D26:AR26" si="38">$C$9*SUM(D22:D24)</f>
        <v>21663.512812499997</v>
      </c>
      <c r="E26" s="203">
        <f t="shared" si="38"/>
        <v>21663.512812499997</v>
      </c>
      <c r="F26" s="203">
        <f t="shared" si="38"/>
        <v>21663.512812499997</v>
      </c>
      <c r="G26" s="203">
        <f t="shared" si="38"/>
        <v>21663.512812499997</v>
      </c>
      <c r="H26" s="203">
        <f t="shared" si="38"/>
        <v>21663.512812499997</v>
      </c>
      <c r="I26" s="203">
        <f t="shared" si="38"/>
        <v>21663.512812499997</v>
      </c>
      <c r="J26" s="203">
        <f t="shared" si="38"/>
        <v>21663.512812499997</v>
      </c>
      <c r="K26" s="203">
        <f t="shared" si="38"/>
        <v>21663.512812499997</v>
      </c>
      <c r="L26" s="203">
        <f t="shared" si="38"/>
        <v>21663.512812499997</v>
      </c>
      <c r="M26" s="203">
        <f t="shared" si="38"/>
        <v>21663.512812499997</v>
      </c>
      <c r="N26" s="203">
        <f t="shared" si="38"/>
        <v>21663.512812499997</v>
      </c>
      <c r="O26" s="203">
        <f t="shared" si="38"/>
        <v>21663.512812499997</v>
      </c>
      <c r="P26" s="203">
        <f t="shared" si="38"/>
        <v>21663.512812499997</v>
      </c>
      <c r="Q26" s="203">
        <f t="shared" si="38"/>
        <v>21663.512812499997</v>
      </c>
      <c r="R26" s="203">
        <f t="shared" si="38"/>
        <v>21663.512812499997</v>
      </c>
      <c r="S26" s="203">
        <f t="shared" si="38"/>
        <v>21663.512812499997</v>
      </c>
      <c r="T26" s="203">
        <f t="shared" si="38"/>
        <v>21663.512812499997</v>
      </c>
      <c r="U26" s="203">
        <f t="shared" si="38"/>
        <v>21663.512812499997</v>
      </c>
      <c r="V26" s="203">
        <f t="shared" si="38"/>
        <v>21663.512812499997</v>
      </c>
      <c r="W26" s="203">
        <f t="shared" si="38"/>
        <v>21663.512812499997</v>
      </c>
      <c r="X26" s="203">
        <f t="shared" si="38"/>
        <v>21663.512812499997</v>
      </c>
      <c r="Y26" s="203">
        <f t="shared" si="38"/>
        <v>21663.512812499997</v>
      </c>
      <c r="Z26" s="203">
        <f t="shared" si="38"/>
        <v>21663.512812499997</v>
      </c>
      <c r="AA26" s="203">
        <f t="shared" si="38"/>
        <v>21663.512812499997</v>
      </c>
      <c r="AB26" s="203">
        <f t="shared" si="38"/>
        <v>21663.512812499997</v>
      </c>
      <c r="AC26" s="203">
        <f t="shared" si="38"/>
        <v>21663.512812499997</v>
      </c>
      <c r="AD26" s="203">
        <f t="shared" si="38"/>
        <v>21663.512812499997</v>
      </c>
      <c r="AE26" s="203">
        <f t="shared" si="38"/>
        <v>21663.512812499997</v>
      </c>
      <c r="AF26" s="203">
        <f t="shared" si="38"/>
        <v>21663.512812499997</v>
      </c>
      <c r="AG26" s="203">
        <f t="shared" si="38"/>
        <v>21663.512812499997</v>
      </c>
      <c r="AH26" s="203">
        <f t="shared" si="38"/>
        <v>21663.512812499997</v>
      </c>
      <c r="AI26" s="203">
        <f t="shared" si="38"/>
        <v>21663.512812499997</v>
      </c>
      <c r="AJ26" s="203">
        <f t="shared" si="38"/>
        <v>21663.512812499997</v>
      </c>
      <c r="AK26" s="203">
        <f t="shared" si="38"/>
        <v>21663.512812499997</v>
      </c>
      <c r="AL26" s="203">
        <f t="shared" si="38"/>
        <v>21663.512812499997</v>
      </c>
      <c r="AM26" s="203">
        <f t="shared" si="38"/>
        <v>21663.512812499997</v>
      </c>
      <c r="AN26" s="203">
        <f t="shared" si="38"/>
        <v>21663.512812499997</v>
      </c>
      <c r="AO26" s="203">
        <f t="shared" si="38"/>
        <v>21663.512812499997</v>
      </c>
      <c r="AP26" s="203">
        <f t="shared" si="38"/>
        <v>21663.512812499997</v>
      </c>
      <c r="AQ26" s="203">
        <f t="shared" si="38"/>
        <v>21663.512812499997</v>
      </c>
      <c r="AR26" s="203">
        <f t="shared" si="38"/>
        <v>21663.512812499997</v>
      </c>
    </row>
    <row r="27" spans="2:44" outlineLevel="1" x14ac:dyDescent="0.2">
      <c r="B27" s="252"/>
      <c r="C27" s="770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</row>
    <row r="28" spans="2:44" outlineLevel="1" x14ac:dyDescent="0.2">
      <c r="B28" s="256" t="s">
        <v>213</v>
      </c>
      <c r="C28" s="770" t="s">
        <v>317</v>
      </c>
      <c r="D28" s="777">
        <f>CANTIDADES!B99*PARAMETROS!D41</f>
        <v>447300</v>
      </c>
      <c r="E28" s="249">
        <f>D28</f>
        <v>447300</v>
      </c>
      <c r="F28" s="249">
        <f t="shared" ref="F28" si="39">E28</f>
        <v>447300</v>
      </c>
      <c r="G28" s="249">
        <f t="shared" ref="G28" si="40">F28</f>
        <v>447300</v>
      </c>
      <c r="H28" s="249">
        <f t="shared" ref="H28" si="41">G28</f>
        <v>447300</v>
      </c>
      <c r="I28" s="249">
        <f t="shared" ref="I28" si="42">H28</f>
        <v>447300</v>
      </c>
      <c r="J28" s="249">
        <f t="shared" ref="J28" si="43">I28</f>
        <v>447300</v>
      </c>
      <c r="K28" s="249">
        <f t="shared" ref="K28" si="44">J28</f>
        <v>447300</v>
      </c>
      <c r="L28" s="249">
        <f t="shared" ref="L28" si="45">K28</f>
        <v>447300</v>
      </c>
      <c r="M28" s="249">
        <f t="shared" ref="M28" si="46">L28</f>
        <v>447300</v>
      </c>
      <c r="N28" s="249">
        <f t="shared" ref="N28" si="47">M28</f>
        <v>447300</v>
      </c>
      <c r="O28" s="249">
        <f t="shared" ref="O28" si="48">N28</f>
        <v>447300</v>
      </c>
      <c r="P28" s="249">
        <f t="shared" ref="P28" si="49">O28</f>
        <v>447300</v>
      </c>
      <c r="Q28" s="249">
        <f t="shared" ref="Q28" si="50">P28</f>
        <v>447300</v>
      </c>
      <c r="R28" s="249">
        <f t="shared" ref="R28" si="51">Q28</f>
        <v>447300</v>
      </c>
      <c r="S28" s="249">
        <f t="shared" ref="S28" si="52">R28</f>
        <v>447300</v>
      </c>
      <c r="T28" s="249">
        <f t="shared" ref="T28" si="53">S28</f>
        <v>447300</v>
      </c>
      <c r="U28" s="249">
        <f t="shared" ref="U28" si="54">T28</f>
        <v>447300</v>
      </c>
      <c r="V28" s="249">
        <f t="shared" ref="V28" si="55">U28</f>
        <v>447300</v>
      </c>
      <c r="W28" s="249">
        <f t="shared" ref="W28" si="56">V28</f>
        <v>447300</v>
      </c>
      <c r="X28" s="249">
        <f t="shared" ref="X28" si="57">W28</f>
        <v>447300</v>
      </c>
      <c r="Y28" s="249">
        <f t="shared" ref="Y28" si="58">X28</f>
        <v>447300</v>
      </c>
      <c r="Z28" s="249">
        <f t="shared" ref="Z28" si="59">Y28</f>
        <v>447300</v>
      </c>
      <c r="AA28" s="249">
        <f t="shared" ref="AA28" si="60">Z28</f>
        <v>447300</v>
      </c>
      <c r="AB28" s="249">
        <f t="shared" ref="AB28" si="61">AA28</f>
        <v>447300</v>
      </c>
      <c r="AC28" s="249">
        <f t="shared" ref="AC28" si="62">AB28</f>
        <v>447300</v>
      </c>
      <c r="AD28" s="249">
        <f t="shared" ref="AD28" si="63">AC28</f>
        <v>447300</v>
      </c>
      <c r="AE28" s="249">
        <f t="shared" ref="AE28" si="64">AD28</f>
        <v>447300</v>
      </c>
      <c r="AF28" s="249">
        <f t="shared" ref="AF28" si="65">AE28</f>
        <v>447300</v>
      </c>
      <c r="AG28" s="249">
        <f t="shared" ref="AG28" si="66">AF28</f>
        <v>447300</v>
      </c>
      <c r="AH28" s="249">
        <f t="shared" ref="AH28" si="67">AG28</f>
        <v>447300</v>
      </c>
      <c r="AI28" s="249">
        <f t="shared" ref="AI28" si="68">AH28</f>
        <v>447300</v>
      </c>
      <c r="AJ28" s="249">
        <f t="shared" ref="AJ28" si="69">AI28</f>
        <v>447300</v>
      </c>
      <c r="AK28" s="249">
        <f t="shared" ref="AK28" si="70">AJ28</f>
        <v>447300</v>
      </c>
      <c r="AL28" s="249">
        <f t="shared" ref="AL28" si="71">AK28</f>
        <v>447300</v>
      </c>
      <c r="AM28" s="249">
        <f t="shared" ref="AM28" si="72">AL28</f>
        <v>447300</v>
      </c>
      <c r="AN28" s="249">
        <f t="shared" ref="AN28" si="73">AM28</f>
        <v>447300</v>
      </c>
      <c r="AO28" s="249">
        <f t="shared" ref="AO28" si="74">AN28</f>
        <v>447300</v>
      </c>
      <c r="AP28" s="249">
        <f t="shared" ref="AP28" si="75">AO28</f>
        <v>447300</v>
      </c>
      <c r="AQ28" s="249">
        <f t="shared" ref="AQ28:AR28" si="76">AP28</f>
        <v>447300</v>
      </c>
      <c r="AR28" s="249">
        <f t="shared" si="76"/>
        <v>447300</v>
      </c>
    </row>
    <row r="29" spans="2:44" outlineLevel="1" x14ac:dyDescent="0.2">
      <c r="B29" s="252"/>
      <c r="C29" s="770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</row>
    <row r="30" spans="2:44" ht="16.2" outlineLevel="1" x14ac:dyDescent="0.3">
      <c r="B30" s="253" t="s">
        <v>220</v>
      </c>
      <c r="C30" s="771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</row>
    <row r="31" spans="2:44" ht="16.2" outlineLevel="1" x14ac:dyDescent="0.3">
      <c r="B31" s="253"/>
      <c r="C31" s="771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</row>
    <row r="32" spans="2:44" outlineLevel="1" x14ac:dyDescent="0.2">
      <c r="B32" s="252" t="s">
        <v>214</v>
      </c>
      <c r="C32" s="770" t="s">
        <v>318</v>
      </c>
      <c r="D32" s="777">
        <f>PARAMETROS!$F$48*CANTIDADES!B$22</f>
        <v>675920</v>
      </c>
      <c r="E32" s="203">
        <f>D32</f>
        <v>675920</v>
      </c>
      <c r="F32" s="203">
        <f t="shared" ref="F32" si="77">E32</f>
        <v>675920</v>
      </c>
      <c r="G32" s="203">
        <f t="shared" ref="G32" si="78">F32</f>
        <v>675920</v>
      </c>
      <c r="H32" s="203">
        <f t="shared" ref="H32" si="79">G32</f>
        <v>675920</v>
      </c>
      <c r="I32" s="203">
        <f t="shared" ref="I32" si="80">H32</f>
        <v>675920</v>
      </c>
      <c r="J32" s="203">
        <f t="shared" ref="J32" si="81">I32</f>
        <v>675920</v>
      </c>
      <c r="K32" s="203">
        <f t="shared" ref="K32" si="82">J32</f>
        <v>675920</v>
      </c>
      <c r="L32" s="203">
        <f t="shared" ref="L32" si="83">K32</f>
        <v>675920</v>
      </c>
      <c r="M32" s="249">
        <f t="shared" ref="M32" si="84">L32</f>
        <v>675920</v>
      </c>
      <c r="N32" s="249">
        <f t="shared" ref="N32" si="85">M32</f>
        <v>675920</v>
      </c>
      <c r="O32" s="249">
        <f t="shared" ref="O32" si="86">N32</f>
        <v>675920</v>
      </c>
      <c r="P32" s="249">
        <f t="shared" ref="P32" si="87">O32</f>
        <v>675920</v>
      </c>
      <c r="Q32" s="249">
        <f t="shared" ref="Q32" si="88">P32</f>
        <v>675920</v>
      </c>
      <c r="R32" s="249">
        <f t="shared" ref="R32" si="89">Q32</f>
        <v>675920</v>
      </c>
      <c r="S32" s="249">
        <f t="shared" ref="S32" si="90">R32</f>
        <v>675920</v>
      </c>
      <c r="T32" s="249">
        <f t="shared" ref="T32" si="91">S32</f>
        <v>675920</v>
      </c>
      <c r="U32" s="249">
        <f t="shared" ref="U32" si="92">T32</f>
        <v>675920</v>
      </c>
      <c r="V32" s="249">
        <f t="shared" ref="V32" si="93">U32</f>
        <v>675920</v>
      </c>
      <c r="W32" s="249">
        <f t="shared" ref="W32" si="94">V32</f>
        <v>675920</v>
      </c>
      <c r="X32" s="249">
        <f t="shared" ref="X32" si="95">W32</f>
        <v>675920</v>
      </c>
      <c r="Y32" s="249">
        <f t="shared" ref="Y32" si="96">X32</f>
        <v>675920</v>
      </c>
      <c r="Z32" s="249">
        <f t="shared" ref="Z32" si="97">Y32</f>
        <v>675920</v>
      </c>
      <c r="AA32" s="249">
        <f t="shared" ref="AA32" si="98">Z32</f>
        <v>675920</v>
      </c>
      <c r="AB32" s="249">
        <f t="shared" ref="AB32" si="99">AA32</f>
        <v>675920</v>
      </c>
      <c r="AC32" s="249">
        <f t="shared" ref="AC32" si="100">AB32</f>
        <v>675920</v>
      </c>
      <c r="AD32" s="249">
        <f t="shared" ref="AD32" si="101">AC32</f>
        <v>675920</v>
      </c>
      <c r="AE32" s="249">
        <f t="shared" ref="AE32" si="102">AD32</f>
        <v>675920</v>
      </c>
      <c r="AF32" s="249">
        <f t="shared" ref="AF32" si="103">AE32</f>
        <v>675920</v>
      </c>
      <c r="AG32" s="249">
        <f t="shared" ref="AG32" si="104">AF32</f>
        <v>675920</v>
      </c>
      <c r="AH32" s="249">
        <f t="shared" ref="AH32" si="105">AG32</f>
        <v>675920</v>
      </c>
      <c r="AI32" s="249">
        <f t="shared" ref="AI32" si="106">AH32</f>
        <v>675920</v>
      </c>
      <c r="AJ32" s="249">
        <f t="shared" ref="AJ32" si="107">AI32</f>
        <v>675920</v>
      </c>
      <c r="AK32" s="249">
        <f t="shared" ref="AK32" si="108">AJ32</f>
        <v>675920</v>
      </c>
      <c r="AL32" s="249">
        <f t="shared" ref="AL32" si="109">AK32</f>
        <v>675920</v>
      </c>
      <c r="AM32" s="249">
        <f t="shared" ref="AM32" si="110">AL32</f>
        <v>675920</v>
      </c>
      <c r="AN32" s="249">
        <f t="shared" ref="AN32" si="111">AM32</f>
        <v>675920</v>
      </c>
      <c r="AO32" s="249">
        <f t="shared" ref="AO32" si="112">AN32</f>
        <v>675920</v>
      </c>
      <c r="AP32" s="249">
        <f t="shared" ref="AP32" si="113">AO32</f>
        <v>675920</v>
      </c>
      <c r="AQ32" s="249">
        <f t="shared" ref="AQ32:AR32" si="114">AP32</f>
        <v>675920</v>
      </c>
      <c r="AR32" s="249">
        <f t="shared" si="114"/>
        <v>675920</v>
      </c>
    </row>
    <row r="33" spans="2:44" outlineLevel="1" x14ac:dyDescent="0.2">
      <c r="B33" s="252" t="s">
        <v>215</v>
      </c>
      <c r="C33" s="770" t="s">
        <v>318</v>
      </c>
      <c r="D33" s="203">
        <v>0</v>
      </c>
      <c r="E33" s="203">
        <v>0</v>
      </c>
      <c r="F33" s="203">
        <v>0</v>
      </c>
      <c r="G33" s="203">
        <v>0</v>
      </c>
      <c r="H33" s="777">
        <f>PARAMETROS!F49*CANTIDADES!B$22</f>
        <v>2982000.0000000005</v>
      </c>
      <c r="I33" s="203">
        <v>0</v>
      </c>
      <c r="J33" s="203">
        <v>0</v>
      </c>
      <c r="K33" s="203">
        <v>0</v>
      </c>
      <c r="L33" s="203">
        <v>0</v>
      </c>
      <c r="M33" s="249">
        <f>H33</f>
        <v>2982000.0000000005</v>
      </c>
      <c r="N33" s="249">
        <v>0</v>
      </c>
      <c r="O33" s="249">
        <v>0</v>
      </c>
      <c r="P33" s="249">
        <v>0</v>
      </c>
      <c r="Q33" s="249">
        <v>0</v>
      </c>
      <c r="R33" s="249">
        <f>M33</f>
        <v>2982000.0000000005</v>
      </c>
      <c r="S33" s="249">
        <v>0</v>
      </c>
      <c r="T33" s="249">
        <v>0</v>
      </c>
      <c r="U33" s="249">
        <v>0</v>
      </c>
      <c r="V33" s="249">
        <v>0</v>
      </c>
      <c r="W33" s="249">
        <f>R33</f>
        <v>2982000.0000000005</v>
      </c>
      <c r="X33" s="249">
        <v>0</v>
      </c>
      <c r="Y33" s="249">
        <v>0</v>
      </c>
      <c r="Z33" s="249">
        <v>0</v>
      </c>
      <c r="AA33" s="249">
        <v>0</v>
      </c>
      <c r="AB33" s="249">
        <f>W33</f>
        <v>2982000.0000000005</v>
      </c>
      <c r="AC33" s="249">
        <v>0</v>
      </c>
      <c r="AD33" s="249">
        <v>0</v>
      </c>
      <c r="AE33" s="249">
        <v>0</v>
      </c>
      <c r="AF33" s="249">
        <v>0</v>
      </c>
      <c r="AG33" s="249">
        <f>AB33</f>
        <v>2982000.0000000005</v>
      </c>
      <c r="AH33" s="249">
        <v>0</v>
      </c>
      <c r="AI33" s="249">
        <v>0</v>
      </c>
      <c r="AJ33" s="249">
        <v>0</v>
      </c>
      <c r="AK33" s="249">
        <v>0</v>
      </c>
      <c r="AL33" s="249">
        <f>AG33</f>
        <v>2982000.0000000005</v>
      </c>
      <c r="AM33" s="249">
        <v>0</v>
      </c>
      <c r="AN33" s="249">
        <v>0</v>
      </c>
      <c r="AO33" s="249">
        <v>0</v>
      </c>
      <c r="AP33" s="249">
        <v>0</v>
      </c>
      <c r="AQ33" s="249">
        <f>AL33</f>
        <v>2982000.0000000005</v>
      </c>
      <c r="AR33" s="249">
        <v>0</v>
      </c>
    </row>
    <row r="34" spans="2:44" outlineLevel="1" x14ac:dyDescent="0.2">
      <c r="B34" s="780" t="s">
        <v>241</v>
      </c>
      <c r="C34" s="781" t="s">
        <v>318</v>
      </c>
      <c r="D34" s="782">
        <f>$H$33/5</f>
        <v>596400.00000000012</v>
      </c>
      <c r="E34" s="782">
        <f t="shared" ref="E34:AR34" si="115">$H$33/5</f>
        <v>596400.00000000012</v>
      </c>
      <c r="F34" s="782">
        <f t="shared" si="115"/>
        <v>596400.00000000012</v>
      </c>
      <c r="G34" s="782">
        <f t="shared" si="115"/>
        <v>596400.00000000012</v>
      </c>
      <c r="H34" s="782">
        <f t="shared" si="115"/>
        <v>596400.00000000012</v>
      </c>
      <c r="I34" s="782">
        <f t="shared" si="115"/>
        <v>596400.00000000012</v>
      </c>
      <c r="J34" s="782">
        <f t="shared" si="115"/>
        <v>596400.00000000012</v>
      </c>
      <c r="K34" s="782">
        <f t="shared" si="115"/>
        <v>596400.00000000012</v>
      </c>
      <c r="L34" s="782">
        <f t="shared" si="115"/>
        <v>596400.00000000012</v>
      </c>
      <c r="M34" s="783">
        <f t="shared" si="115"/>
        <v>596400.00000000012</v>
      </c>
      <c r="N34" s="783">
        <f t="shared" si="115"/>
        <v>596400.00000000012</v>
      </c>
      <c r="O34" s="783">
        <f t="shared" si="115"/>
        <v>596400.00000000012</v>
      </c>
      <c r="P34" s="783">
        <f t="shared" si="115"/>
        <v>596400.00000000012</v>
      </c>
      <c r="Q34" s="783">
        <f t="shared" si="115"/>
        <v>596400.00000000012</v>
      </c>
      <c r="R34" s="783">
        <f t="shared" si="115"/>
        <v>596400.00000000012</v>
      </c>
      <c r="S34" s="783">
        <f t="shared" si="115"/>
        <v>596400.00000000012</v>
      </c>
      <c r="T34" s="783">
        <f t="shared" si="115"/>
        <v>596400.00000000012</v>
      </c>
      <c r="U34" s="783">
        <f t="shared" si="115"/>
        <v>596400.00000000012</v>
      </c>
      <c r="V34" s="783">
        <f t="shared" si="115"/>
        <v>596400.00000000012</v>
      </c>
      <c r="W34" s="783">
        <f t="shared" si="115"/>
        <v>596400.00000000012</v>
      </c>
      <c r="X34" s="783">
        <f t="shared" si="115"/>
        <v>596400.00000000012</v>
      </c>
      <c r="Y34" s="783">
        <f t="shared" si="115"/>
        <v>596400.00000000012</v>
      </c>
      <c r="Z34" s="783">
        <f t="shared" si="115"/>
        <v>596400.00000000012</v>
      </c>
      <c r="AA34" s="783">
        <f t="shared" si="115"/>
        <v>596400.00000000012</v>
      </c>
      <c r="AB34" s="783">
        <f t="shared" si="115"/>
        <v>596400.00000000012</v>
      </c>
      <c r="AC34" s="783">
        <f t="shared" si="115"/>
        <v>596400.00000000012</v>
      </c>
      <c r="AD34" s="783">
        <f t="shared" si="115"/>
        <v>596400.00000000012</v>
      </c>
      <c r="AE34" s="783">
        <f t="shared" si="115"/>
        <v>596400.00000000012</v>
      </c>
      <c r="AF34" s="783">
        <f t="shared" si="115"/>
        <v>596400.00000000012</v>
      </c>
      <c r="AG34" s="783">
        <f t="shared" si="115"/>
        <v>596400.00000000012</v>
      </c>
      <c r="AH34" s="783">
        <f t="shared" si="115"/>
        <v>596400.00000000012</v>
      </c>
      <c r="AI34" s="783">
        <f t="shared" si="115"/>
        <v>596400.00000000012</v>
      </c>
      <c r="AJ34" s="783">
        <f t="shared" si="115"/>
        <v>596400.00000000012</v>
      </c>
      <c r="AK34" s="783">
        <f t="shared" si="115"/>
        <v>596400.00000000012</v>
      </c>
      <c r="AL34" s="783">
        <f t="shared" si="115"/>
        <v>596400.00000000012</v>
      </c>
      <c r="AM34" s="783">
        <f t="shared" si="115"/>
        <v>596400.00000000012</v>
      </c>
      <c r="AN34" s="783">
        <f t="shared" si="115"/>
        <v>596400.00000000012</v>
      </c>
      <c r="AO34" s="783">
        <f t="shared" si="115"/>
        <v>596400.00000000012</v>
      </c>
      <c r="AP34" s="783">
        <f t="shared" si="115"/>
        <v>596400.00000000012</v>
      </c>
      <c r="AQ34" s="783">
        <f t="shared" si="115"/>
        <v>596400.00000000012</v>
      </c>
      <c r="AR34" s="783">
        <f t="shared" si="115"/>
        <v>596400.00000000012</v>
      </c>
    </row>
    <row r="35" spans="2:44" ht="16.2" outlineLevel="1" x14ac:dyDescent="0.3">
      <c r="B35" s="253"/>
      <c r="C35" s="771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</row>
    <row r="36" spans="2:44" outlineLevel="1" x14ac:dyDescent="0.2">
      <c r="B36" s="254" t="s">
        <v>216</v>
      </c>
      <c r="C36" s="772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</row>
    <row r="37" spans="2:44" outlineLevel="1" x14ac:dyDescent="0.2">
      <c r="B37" s="257" t="s">
        <v>217</v>
      </c>
      <c r="C37" s="774" t="s">
        <v>317</v>
      </c>
      <c r="D37" s="777">
        <f>$C$10*(CHIFFRAGE_TC!L$85+CHIFFRAGE_TC!L$175-CHIFFRAGE_TC!L$179-CHIFFRAGE_TC!L$180-CHIFFRAGE_TC!L$181)</f>
        <v>436920.10749763483</v>
      </c>
      <c r="E37" s="203">
        <f>D37</f>
        <v>436920.10749763483</v>
      </c>
      <c r="F37" s="203">
        <f t="shared" ref="F37:F38" si="116">E37</f>
        <v>436920.10749763483</v>
      </c>
      <c r="G37" s="203">
        <f t="shared" ref="G37:G38" si="117">F37</f>
        <v>436920.10749763483</v>
      </c>
      <c r="H37" s="203">
        <f t="shared" ref="H37:H38" si="118">G37</f>
        <v>436920.10749763483</v>
      </c>
      <c r="I37" s="203">
        <f t="shared" ref="I37:I38" si="119">H37</f>
        <v>436920.10749763483</v>
      </c>
      <c r="J37" s="203">
        <f t="shared" ref="J37:J38" si="120">I37</f>
        <v>436920.10749763483</v>
      </c>
      <c r="K37" s="203">
        <f t="shared" ref="K37:K38" si="121">J37</f>
        <v>436920.10749763483</v>
      </c>
      <c r="L37" s="203">
        <f t="shared" ref="L37:L38" si="122">K37</f>
        <v>436920.10749763483</v>
      </c>
      <c r="M37" s="203">
        <f t="shared" ref="M37:M38" si="123">L37</f>
        <v>436920.10749763483</v>
      </c>
      <c r="N37" s="203">
        <f t="shared" ref="N37:N38" si="124">M37</f>
        <v>436920.10749763483</v>
      </c>
      <c r="O37" s="203">
        <f t="shared" ref="O37:O38" si="125">N37</f>
        <v>436920.10749763483</v>
      </c>
      <c r="P37" s="203">
        <f t="shared" ref="P37:P38" si="126">O37</f>
        <v>436920.10749763483</v>
      </c>
      <c r="Q37" s="203">
        <f t="shared" ref="Q37:Q38" si="127">P37</f>
        <v>436920.10749763483</v>
      </c>
      <c r="R37" s="203">
        <f t="shared" ref="R37:R38" si="128">Q37</f>
        <v>436920.10749763483</v>
      </c>
      <c r="S37" s="203">
        <f t="shared" ref="S37:S38" si="129">R37</f>
        <v>436920.10749763483</v>
      </c>
      <c r="T37" s="203">
        <f t="shared" ref="T37:T38" si="130">S37</f>
        <v>436920.10749763483</v>
      </c>
      <c r="U37" s="203">
        <f t="shared" ref="U37:U38" si="131">T37</f>
        <v>436920.10749763483</v>
      </c>
      <c r="V37" s="203">
        <f t="shared" ref="V37:V38" si="132">U37</f>
        <v>436920.10749763483</v>
      </c>
      <c r="W37" s="203">
        <f t="shared" ref="W37:W38" si="133">V37</f>
        <v>436920.10749763483</v>
      </c>
      <c r="X37" s="203">
        <f t="shared" ref="X37:X38" si="134">W37</f>
        <v>436920.10749763483</v>
      </c>
      <c r="Y37" s="203">
        <f t="shared" ref="Y37:Y38" si="135">X37</f>
        <v>436920.10749763483</v>
      </c>
      <c r="Z37" s="203">
        <f t="shared" ref="Z37:Z38" si="136">Y37</f>
        <v>436920.10749763483</v>
      </c>
      <c r="AA37" s="203">
        <f t="shared" ref="AA37:AA38" si="137">Z37</f>
        <v>436920.10749763483</v>
      </c>
      <c r="AB37" s="203">
        <f t="shared" ref="AB37:AB38" si="138">AA37</f>
        <v>436920.10749763483</v>
      </c>
      <c r="AC37" s="203">
        <f t="shared" ref="AC37:AC38" si="139">AB37</f>
        <v>436920.10749763483</v>
      </c>
      <c r="AD37" s="203">
        <f t="shared" ref="AD37:AD38" si="140">AC37</f>
        <v>436920.10749763483</v>
      </c>
      <c r="AE37" s="203">
        <f t="shared" ref="AE37:AE38" si="141">AD37</f>
        <v>436920.10749763483</v>
      </c>
      <c r="AF37" s="203">
        <f t="shared" ref="AF37:AF38" si="142">AE37</f>
        <v>436920.10749763483</v>
      </c>
      <c r="AG37" s="203">
        <f t="shared" ref="AG37:AG38" si="143">AF37</f>
        <v>436920.10749763483</v>
      </c>
      <c r="AH37" s="203">
        <f t="shared" ref="AH37:AH38" si="144">AG37</f>
        <v>436920.10749763483</v>
      </c>
      <c r="AI37" s="203">
        <f t="shared" ref="AI37:AI38" si="145">AH37</f>
        <v>436920.10749763483</v>
      </c>
      <c r="AJ37" s="203">
        <f t="shared" ref="AJ37:AJ38" si="146">AI37</f>
        <v>436920.10749763483</v>
      </c>
      <c r="AK37" s="203">
        <f t="shared" ref="AK37:AK38" si="147">AJ37</f>
        <v>436920.10749763483</v>
      </c>
      <c r="AL37" s="203">
        <f t="shared" ref="AL37:AL38" si="148">AK37</f>
        <v>436920.10749763483</v>
      </c>
      <c r="AM37" s="203">
        <f t="shared" ref="AM37:AM38" si="149">AL37</f>
        <v>436920.10749763483</v>
      </c>
      <c r="AN37" s="203">
        <f t="shared" ref="AN37:AN38" si="150">AM37</f>
        <v>436920.10749763483</v>
      </c>
      <c r="AO37" s="203">
        <f t="shared" ref="AO37:AO38" si="151">AN37</f>
        <v>436920.10749763483</v>
      </c>
      <c r="AP37" s="203">
        <f t="shared" ref="AP37:AP38" si="152">AO37</f>
        <v>436920.10749763483</v>
      </c>
      <c r="AQ37" s="203">
        <f t="shared" ref="AQ37:AR38" si="153">AP37</f>
        <v>436920.10749763483</v>
      </c>
      <c r="AR37" s="203">
        <f t="shared" si="153"/>
        <v>436920.10749763483</v>
      </c>
    </row>
    <row r="38" spans="2:44" outlineLevel="1" x14ac:dyDescent="0.2">
      <c r="B38" s="257" t="s">
        <v>218</v>
      </c>
      <c r="C38" s="774" t="s">
        <v>317</v>
      </c>
      <c r="D38" s="777">
        <f>$C$12*CHIFFRAGE_TC!L$70</f>
        <v>179714.48250025048</v>
      </c>
      <c r="E38" s="203">
        <f>D38</f>
        <v>179714.48250025048</v>
      </c>
      <c r="F38" s="203">
        <f t="shared" si="116"/>
        <v>179714.48250025048</v>
      </c>
      <c r="G38" s="203">
        <f t="shared" si="117"/>
        <v>179714.48250025048</v>
      </c>
      <c r="H38" s="203">
        <f t="shared" si="118"/>
        <v>179714.48250025048</v>
      </c>
      <c r="I38" s="203">
        <f t="shared" si="119"/>
        <v>179714.48250025048</v>
      </c>
      <c r="J38" s="203">
        <f t="shared" si="120"/>
        <v>179714.48250025048</v>
      </c>
      <c r="K38" s="203">
        <f t="shared" si="121"/>
        <v>179714.48250025048</v>
      </c>
      <c r="L38" s="203">
        <f t="shared" si="122"/>
        <v>179714.48250025048</v>
      </c>
      <c r="M38" s="203">
        <f t="shared" si="123"/>
        <v>179714.48250025048</v>
      </c>
      <c r="N38" s="203">
        <f t="shared" si="124"/>
        <v>179714.48250025048</v>
      </c>
      <c r="O38" s="203">
        <f t="shared" si="125"/>
        <v>179714.48250025048</v>
      </c>
      <c r="P38" s="203">
        <f t="shared" si="126"/>
        <v>179714.48250025048</v>
      </c>
      <c r="Q38" s="203">
        <f t="shared" si="127"/>
        <v>179714.48250025048</v>
      </c>
      <c r="R38" s="203">
        <f t="shared" si="128"/>
        <v>179714.48250025048</v>
      </c>
      <c r="S38" s="203">
        <f t="shared" si="129"/>
        <v>179714.48250025048</v>
      </c>
      <c r="T38" s="203">
        <f t="shared" si="130"/>
        <v>179714.48250025048</v>
      </c>
      <c r="U38" s="203">
        <f t="shared" si="131"/>
        <v>179714.48250025048</v>
      </c>
      <c r="V38" s="203">
        <f t="shared" si="132"/>
        <v>179714.48250025048</v>
      </c>
      <c r="W38" s="203">
        <f t="shared" si="133"/>
        <v>179714.48250025048</v>
      </c>
      <c r="X38" s="203">
        <f t="shared" si="134"/>
        <v>179714.48250025048</v>
      </c>
      <c r="Y38" s="203">
        <f t="shared" si="135"/>
        <v>179714.48250025048</v>
      </c>
      <c r="Z38" s="203">
        <f t="shared" si="136"/>
        <v>179714.48250025048</v>
      </c>
      <c r="AA38" s="203">
        <f t="shared" si="137"/>
        <v>179714.48250025048</v>
      </c>
      <c r="AB38" s="203">
        <f t="shared" si="138"/>
        <v>179714.48250025048</v>
      </c>
      <c r="AC38" s="203">
        <f t="shared" si="139"/>
        <v>179714.48250025048</v>
      </c>
      <c r="AD38" s="203">
        <f t="shared" si="140"/>
        <v>179714.48250025048</v>
      </c>
      <c r="AE38" s="203">
        <f t="shared" si="141"/>
        <v>179714.48250025048</v>
      </c>
      <c r="AF38" s="203">
        <f t="shared" si="142"/>
        <v>179714.48250025048</v>
      </c>
      <c r="AG38" s="203">
        <f t="shared" si="143"/>
        <v>179714.48250025048</v>
      </c>
      <c r="AH38" s="203">
        <f t="shared" si="144"/>
        <v>179714.48250025048</v>
      </c>
      <c r="AI38" s="203">
        <f t="shared" si="145"/>
        <v>179714.48250025048</v>
      </c>
      <c r="AJ38" s="203">
        <f t="shared" si="146"/>
        <v>179714.48250025048</v>
      </c>
      <c r="AK38" s="203">
        <f t="shared" si="147"/>
        <v>179714.48250025048</v>
      </c>
      <c r="AL38" s="203">
        <f t="shared" si="148"/>
        <v>179714.48250025048</v>
      </c>
      <c r="AM38" s="203">
        <f t="shared" si="149"/>
        <v>179714.48250025048</v>
      </c>
      <c r="AN38" s="203">
        <f t="shared" si="150"/>
        <v>179714.48250025048</v>
      </c>
      <c r="AO38" s="203">
        <f t="shared" si="151"/>
        <v>179714.48250025048</v>
      </c>
      <c r="AP38" s="203">
        <f t="shared" si="152"/>
        <v>179714.48250025048</v>
      </c>
      <c r="AQ38" s="203">
        <f t="shared" si="153"/>
        <v>179714.48250025048</v>
      </c>
      <c r="AR38" s="203">
        <f t="shared" si="153"/>
        <v>179714.48250025048</v>
      </c>
    </row>
    <row r="39" spans="2:44" outlineLevel="1" x14ac:dyDescent="0.2">
      <c r="B39" s="252"/>
      <c r="C39" s="770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</row>
    <row r="40" spans="2:44" outlineLevel="1" x14ac:dyDescent="0.2">
      <c r="B40" s="254" t="s">
        <v>219</v>
      </c>
      <c r="C40" s="772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</row>
    <row r="41" spans="2:44" outlineLevel="1" x14ac:dyDescent="0.2">
      <c r="B41" s="252" t="s">
        <v>242</v>
      </c>
      <c r="C41" s="770" t="s">
        <v>318</v>
      </c>
      <c r="D41" s="203">
        <v>0</v>
      </c>
      <c r="E41" s="203">
        <v>0</v>
      </c>
      <c r="F41" s="203">
        <v>0</v>
      </c>
      <c r="G41" s="203">
        <v>0</v>
      </c>
      <c r="H41" s="777">
        <f>PARAMETROS!$F$51*CANTIDADES!B$22</f>
        <v>1789200.0000000002</v>
      </c>
      <c r="I41" s="203">
        <v>0</v>
      </c>
      <c r="J41" s="203">
        <v>0</v>
      </c>
      <c r="K41" s="203">
        <v>0</v>
      </c>
      <c r="L41" s="249">
        <v>0</v>
      </c>
      <c r="M41" s="249">
        <f>H41</f>
        <v>1789200.0000000002</v>
      </c>
      <c r="N41" s="249">
        <v>0</v>
      </c>
      <c r="O41" s="249">
        <v>0</v>
      </c>
      <c r="P41" s="249">
        <v>0</v>
      </c>
      <c r="Q41" s="249">
        <v>0</v>
      </c>
      <c r="R41" s="249">
        <f>M41</f>
        <v>1789200.0000000002</v>
      </c>
      <c r="S41" s="249">
        <v>0</v>
      </c>
      <c r="T41" s="249">
        <v>0</v>
      </c>
      <c r="U41" s="249">
        <v>0</v>
      </c>
      <c r="V41" s="249">
        <v>0</v>
      </c>
      <c r="W41" s="249">
        <f>R41</f>
        <v>1789200.0000000002</v>
      </c>
      <c r="X41" s="249">
        <v>0</v>
      </c>
      <c r="Y41" s="249">
        <v>0</v>
      </c>
      <c r="Z41" s="249">
        <v>0</v>
      </c>
      <c r="AA41" s="249">
        <v>0</v>
      </c>
      <c r="AB41" s="249">
        <f>W41</f>
        <v>1789200.0000000002</v>
      </c>
      <c r="AC41" s="249">
        <v>0</v>
      </c>
      <c r="AD41" s="249">
        <v>0</v>
      </c>
      <c r="AE41" s="249">
        <v>0</v>
      </c>
      <c r="AF41" s="249">
        <v>0</v>
      </c>
      <c r="AG41" s="249">
        <f>AB41</f>
        <v>1789200.0000000002</v>
      </c>
      <c r="AH41" s="249">
        <v>0</v>
      </c>
      <c r="AI41" s="249">
        <v>0</v>
      </c>
      <c r="AJ41" s="249">
        <v>0</v>
      </c>
      <c r="AK41" s="249">
        <v>0</v>
      </c>
      <c r="AL41" s="249">
        <f>AG41</f>
        <v>1789200.0000000002</v>
      </c>
      <c r="AM41" s="249">
        <v>0</v>
      </c>
      <c r="AN41" s="249">
        <v>0</v>
      </c>
      <c r="AO41" s="249">
        <v>0</v>
      </c>
      <c r="AP41" s="249">
        <v>0</v>
      </c>
      <c r="AQ41" s="249">
        <f>AL41</f>
        <v>1789200.0000000002</v>
      </c>
      <c r="AR41" s="249">
        <v>0</v>
      </c>
    </row>
    <row r="42" spans="2:44" outlineLevel="1" x14ac:dyDescent="0.2">
      <c r="B42" s="252" t="s">
        <v>243</v>
      </c>
      <c r="C42" s="770" t="s">
        <v>318</v>
      </c>
      <c r="D42" s="203">
        <f>$H$41/5</f>
        <v>357840.00000000006</v>
      </c>
      <c r="E42" s="203">
        <f t="shared" ref="E42:AR42" si="154">$H$41/5</f>
        <v>357840.00000000006</v>
      </c>
      <c r="F42" s="203">
        <f t="shared" si="154"/>
        <v>357840.00000000006</v>
      </c>
      <c r="G42" s="203">
        <f t="shared" si="154"/>
        <v>357840.00000000006</v>
      </c>
      <c r="H42" s="203">
        <f t="shared" si="154"/>
        <v>357840.00000000006</v>
      </c>
      <c r="I42" s="203">
        <f t="shared" si="154"/>
        <v>357840.00000000006</v>
      </c>
      <c r="J42" s="203">
        <f t="shared" si="154"/>
        <v>357840.00000000006</v>
      </c>
      <c r="K42" s="203">
        <f t="shared" si="154"/>
        <v>357840.00000000006</v>
      </c>
      <c r="L42" s="203">
        <f t="shared" si="154"/>
        <v>357840.00000000006</v>
      </c>
      <c r="M42" s="203">
        <f t="shared" si="154"/>
        <v>357840.00000000006</v>
      </c>
      <c r="N42" s="203">
        <f t="shared" si="154"/>
        <v>357840.00000000006</v>
      </c>
      <c r="O42" s="203">
        <f t="shared" si="154"/>
        <v>357840.00000000006</v>
      </c>
      <c r="P42" s="203">
        <f t="shared" si="154"/>
        <v>357840.00000000006</v>
      </c>
      <c r="Q42" s="203">
        <f t="shared" si="154"/>
        <v>357840.00000000006</v>
      </c>
      <c r="R42" s="203">
        <f t="shared" si="154"/>
        <v>357840.00000000006</v>
      </c>
      <c r="S42" s="203">
        <f t="shared" si="154"/>
        <v>357840.00000000006</v>
      </c>
      <c r="T42" s="203">
        <f t="shared" si="154"/>
        <v>357840.00000000006</v>
      </c>
      <c r="U42" s="203">
        <f t="shared" si="154"/>
        <v>357840.00000000006</v>
      </c>
      <c r="V42" s="203">
        <f t="shared" si="154"/>
        <v>357840.00000000006</v>
      </c>
      <c r="W42" s="203">
        <f t="shared" si="154"/>
        <v>357840.00000000006</v>
      </c>
      <c r="X42" s="203">
        <f t="shared" si="154"/>
        <v>357840.00000000006</v>
      </c>
      <c r="Y42" s="203">
        <f t="shared" si="154"/>
        <v>357840.00000000006</v>
      </c>
      <c r="Z42" s="203">
        <f t="shared" si="154"/>
        <v>357840.00000000006</v>
      </c>
      <c r="AA42" s="203">
        <f t="shared" si="154"/>
        <v>357840.00000000006</v>
      </c>
      <c r="AB42" s="203">
        <f t="shared" si="154"/>
        <v>357840.00000000006</v>
      </c>
      <c r="AC42" s="203">
        <f t="shared" si="154"/>
        <v>357840.00000000006</v>
      </c>
      <c r="AD42" s="203">
        <f t="shared" si="154"/>
        <v>357840.00000000006</v>
      </c>
      <c r="AE42" s="203">
        <f t="shared" si="154"/>
        <v>357840.00000000006</v>
      </c>
      <c r="AF42" s="203">
        <f t="shared" si="154"/>
        <v>357840.00000000006</v>
      </c>
      <c r="AG42" s="203">
        <f t="shared" si="154"/>
        <v>357840.00000000006</v>
      </c>
      <c r="AH42" s="203">
        <f t="shared" si="154"/>
        <v>357840.00000000006</v>
      </c>
      <c r="AI42" s="203">
        <f t="shared" si="154"/>
        <v>357840.00000000006</v>
      </c>
      <c r="AJ42" s="203">
        <f t="shared" si="154"/>
        <v>357840.00000000006</v>
      </c>
      <c r="AK42" s="203">
        <f t="shared" si="154"/>
        <v>357840.00000000006</v>
      </c>
      <c r="AL42" s="203">
        <f t="shared" si="154"/>
        <v>357840.00000000006</v>
      </c>
      <c r="AM42" s="203">
        <f t="shared" si="154"/>
        <v>357840.00000000006</v>
      </c>
      <c r="AN42" s="203">
        <f t="shared" si="154"/>
        <v>357840.00000000006</v>
      </c>
      <c r="AO42" s="203">
        <f t="shared" si="154"/>
        <v>357840.00000000006</v>
      </c>
      <c r="AP42" s="203">
        <f t="shared" si="154"/>
        <v>357840.00000000006</v>
      </c>
      <c r="AQ42" s="203">
        <f t="shared" si="154"/>
        <v>357840.00000000006</v>
      </c>
      <c r="AR42" s="203">
        <f t="shared" si="154"/>
        <v>357840.00000000006</v>
      </c>
    </row>
    <row r="43" spans="2:44" outlineLevel="1" x14ac:dyDescent="0.2">
      <c r="B43" s="252"/>
      <c r="C43" s="770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</row>
    <row r="44" spans="2:44" ht="16.2" outlineLevel="1" x14ac:dyDescent="0.3">
      <c r="B44" s="253" t="s">
        <v>425</v>
      </c>
      <c r="C44" s="770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</row>
    <row r="45" spans="2:44" outlineLevel="1" x14ac:dyDescent="0.2">
      <c r="B45" s="252"/>
      <c r="C45" s="770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</row>
    <row r="46" spans="2:44" outlineLevel="1" x14ac:dyDescent="0.2">
      <c r="B46" s="252" t="s">
        <v>426</v>
      </c>
      <c r="C46" s="770" t="s">
        <v>317</v>
      </c>
      <c r="D46" s="777">
        <f>('OFERTA ALIMENTADORA'!P25+'OFERTA ALIMENTADORA'!P26+'OFERTA ALIMENTADORA'!P27)*PARAMETROS!$D$43</f>
        <v>572539.58926765656</v>
      </c>
      <c r="E46" s="203">
        <f>D46</f>
        <v>572539.58926765656</v>
      </c>
      <c r="F46" s="203">
        <f t="shared" ref="F46:AR46" si="155">E46</f>
        <v>572539.58926765656</v>
      </c>
      <c r="G46" s="203">
        <f t="shared" si="155"/>
        <v>572539.58926765656</v>
      </c>
      <c r="H46" s="203">
        <f t="shared" si="155"/>
        <v>572539.58926765656</v>
      </c>
      <c r="I46" s="203">
        <f t="shared" si="155"/>
        <v>572539.58926765656</v>
      </c>
      <c r="J46" s="203">
        <f t="shared" si="155"/>
        <v>572539.58926765656</v>
      </c>
      <c r="K46" s="203">
        <f t="shared" si="155"/>
        <v>572539.58926765656</v>
      </c>
      <c r="L46" s="203">
        <f t="shared" si="155"/>
        <v>572539.58926765656</v>
      </c>
      <c r="M46" s="203">
        <f t="shared" si="155"/>
        <v>572539.58926765656</v>
      </c>
      <c r="N46" s="203">
        <f t="shared" si="155"/>
        <v>572539.58926765656</v>
      </c>
      <c r="O46" s="203">
        <f t="shared" si="155"/>
        <v>572539.58926765656</v>
      </c>
      <c r="P46" s="203">
        <f t="shared" si="155"/>
        <v>572539.58926765656</v>
      </c>
      <c r="Q46" s="203">
        <f t="shared" si="155"/>
        <v>572539.58926765656</v>
      </c>
      <c r="R46" s="203">
        <f t="shared" si="155"/>
        <v>572539.58926765656</v>
      </c>
      <c r="S46" s="203">
        <f t="shared" si="155"/>
        <v>572539.58926765656</v>
      </c>
      <c r="T46" s="203">
        <f t="shared" si="155"/>
        <v>572539.58926765656</v>
      </c>
      <c r="U46" s="203">
        <f t="shared" si="155"/>
        <v>572539.58926765656</v>
      </c>
      <c r="V46" s="203">
        <f t="shared" si="155"/>
        <v>572539.58926765656</v>
      </c>
      <c r="W46" s="203">
        <f t="shared" si="155"/>
        <v>572539.58926765656</v>
      </c>
      <c r="X46" s="203">
        <f t="shared" si="155"/>
        <v>572539.58926765656</v>
      </c>
      <c r="Y46" s="203">
        <f t="shared" si="155"/>
        <v>572539.58926765656</v>
      </c>
      <c r="Z46" s="203">
        <f t="shared" si="155"/>
        <v>572539.58926765656</v>
      </c>
      <c r="AA46" s="203">
        <f t="shared" si="155"/>
        <v>572539.58926765656</v>
      </c>
      <c r="AB46" s="203">
        <f t="shared" si="155"/>
        <v>572539.58926765656</v>
      </c>
      <c r="AC46" s="203">
        <f t="shared" si="155"/>
        <v>572539.58926765656</v>
      </c>
      <c r="AD46" s="203">
        <f t="shared" si="155"/>
        <v>572539.58926765656</v>
      </c>
      <c r="AE46" s="203">
        <f t="shared" si="155"/>
        <v>572539.58926765656</v>
      </c>
      <c r="AF46" s="203">
        <f t="shared" si="155"/>
        <v>572539.58926765656</v>
      </c>
      <c r="AG46" s="203">
        <f t="shared" si="155"/>
        <v>572539.58926765656</v>
      </c>
      <c r="AH46" s="203">
        <f t="shared" si="155"/>
        <v>572539.58926765656</v>
      </c>
      <c r="AI46" s="203">
        <f t="shared" si="155"/>
        <v>572539.58926765656</v>
      </c>
      <c r="AJ46" s="203">
        <f t="shared" si="155"/>
        <v>572539.58926765656</v>
      </c>
      <c r="AK46" s="203">
        <f t="shared" si="155"/>
        <v>572539.58926765656</v>
      </c>
      <c r="AL46" s="203">
        <f t="shared" si="155"/>
        <v>572539.58926765656</v>
      </c>
      <c r="AM46" s="203">
        <f t="shared" si="155"/>
        <v>572539.58926765656</v>
      </c>
      <c r="AN46" s="203">
        <f t="shared" si="155"/>
        <v>572539.58926765656</v>
      </c>
      <c r="AO46" s="203">
        <f t="shared" si="155"/>
        <v>572539.58926765656</v>
      </c>
      <c r="AP46" s="203">
        <f t="shared" si="155"/>
        <v>572539.58926765656</v>
      </c>
      <c r="AQ46" s="203">
        <f t="shared" si="155"/>
        <v>572539.58926765656</v>
      </c>
      <c r="AR46" s="203">
        <f t="shared" si="155"/>
        <v>572539.58926765656</v>
      </c>
    </row>
    <row r="47" spans="2:44" outlineLevel="1" x14ac:dyDescent="0.2">
      <c r="B47" s="252"/>
      <c r="C47" s="770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</row>
    <row r="48" spans="2:44" ht="16.2" outlineLevel="1" x14ac:dyDescent="0.3">
      <c r="B48" s="253" t="s">
        <v>222</v>
      </c>
      <c r="C48" s="770" t="s">
        <v>317</v>
      </c>
      <c r="D48" s="203">
        <f>$C$13*(SUM(D22:D32)+D33+SUM(D37:D38)+D42)</f>
        <v>56829.503931207706</v>
      </c>
      <c r="E48" s="203">
        <f>$C$13*(SUM(E22:E32)+E33+SUM(E37:E38)+E42)</f>
        <v>56829.503931207706</v>
      </c>
      <c r="F48" s="203">
        <f t="shared" ref="F48:AQ48" si="156">$C$13*(SUM(F22:F32)+F33+SUM(F37:F38)+F42)</f>
        <v>56829.503931207706</v>
      </c>
      <c r="G48" s="203">
        <f t="shared" si="156"/>
        <v>56829.503931207706</v>
      </c>
      <c r="H48" s="203">
        <f t="shared" si="156"/>
        <v>116469.50393120773</v>
      </c>
      <c r="I48" s="203">
        <f t="shared" si="156"/>
        <v>56829.503931207706</v>
      </c>
      <c r="J48" s="203">
        <f t="shared" si="156"/>
        <v>56829.503931207706</v>
      </c>
      <c r="K48" s="203">
        <f t="shared" si="156"/>
        <v>56829.503931207706</v>
      </c>
      <c r="L48" s="203">
        <f t="shared" si="156"/>
        <v>56829.503931207706</v>
      </c>
      <c r="M48" s="203">
        <f t="shared" si="156"/>
        <v>116469.50393120773</v>
      </c>
      <c r="N48" s="203">
        <f t="shared" si="156"/>
        <v>56829.503931207706</v>
      </c>
      <c r="O48" s="203">
        <f t="shared" si="156"/>
        <v>56829.503931207706</v>
      </c>
      <c r="P48" s="203">
        <f t="shared" si="156"/>
        <v>56829.503931207706</v>
      </c>
      <c r="Q48" s="203">
        <f t="shared" si="156"/>
        <v>56829.503931207706</v>
      </c>
      <c r="R48" s="203">
        <f t="shared" si="156"/>
        <v>116469.50393120773</v>
      </c>
      <c r="S48" s="203">
        <f t="shared" si="156"/>
        <v>56829.503931207706</v>
      </c>
      <c r="T48" s="203">
        <f t="shared" si="156"/>
        <v>56829.503931207706</v>
      </c>
      <c r="U48" s="203">
        <f t="shared" si="156"/>
        <v>56829.503931207706</v>
      </c>
      <c r="V48" s="203">
        <f t="shared" si="156"/>
        <v>56829.503931207706</v>
      </c>
      <c r="W48" s="203">
        <f t="shared" si="156"/>
        <v>116469.50393120773</v>
      </c>
      <c r="X48" s="203">
        <f t="shared" si="156"/>
        <v>56829.503931207706</v>
      </c>
      <c r="Y48" s="203">
        <f t="shared" si="156"/>
        <v>56829.503931207706</v>
      </c>
      <c r="Z48" s="203">
        <f t="shared" si="156"/>
        <v>56829.503931207706</v>
      </c>
      <c r="AA48" s="203">
        <f t="shared" si="156"/>
        <v>56829.503931207706</v>
      </c>
      <c r="AB48" s="203">
        <f t="shared" si="156"/>
        <v>116469.50393120773</v>
      </c>
      <c r="AC48" s="203">
        <f t="shared" si="156"/>
        <v>56829.503931207706</v>
      </c>
      <c r="AD48" s="203">
        <f t="shared" si="156"/>
        <v>56829.503931207706</v>
      </c>
      <c r="AE48" s="203">
        <f t="shared" si="156"/>
        <v>56829.503931207706</v>
      </c>
      <c r="AF48" s="203">
        <f t="shared" si="156"/>
        <v>56829.503931207706</v>
      </c>
      <c r="AG48" s="203">
        <f t="shared" si="156"/>
        <v>116469.50393120773</v>
      </c>
      <c r="AH48" s="203">
        <f t="shared" si="156"/>
        <v>56829.503931207706</v>
      </c>
      <c r="AI48" s="203">
        <f t="shared" si="156"/>
        <v>56829.503931207706</v>
      </c>
      <c r="AJ48" s="203">
        <f t="shared" si="156"/>
        <v>56829.503931207706</v>
      </c>
      <c r="AK48" s="203">
        <f t="shared" si="156"/>
        <v>56829.503931207706</v>
      </c>
      <c r="AL48" s="203">
        <f t="shared" si="156"/>
        <v>116469.50393120773</v>
      </c>
      <c r="AM48" s="203">
        <f t="shared" si="156"/>
        <v>56829.503931207706</v>
      </c>
      <c r="AN48" s="203">
        <f t="shared" si="156"/>
        <v>56829.503931207706</v>
      </c>
      <c r="AO48" s="203">
        <f t="shared" si="156"/>
        <v>56829.503931207706</v>
      </c>
      <c r="AP48" s="203">
        <f t="shared" si="156"/>
        <v>56829.503931207706</v>
      </c>
      <c r="AQ48" s="203">
        <f t="shared" si="156"/>
        <v>116469.50393120773</v>
      </c>
      <c r="AR48" s="203">
        <f t="shared" ref="AR48" si="157">$C$13*(SUM(AR22:AR32)+AR33+SUM(AR37:AR38)+AR42)</f>
        <v>56829.503931207706</v>
      </c>
    </row>
    <row r="49" spans="1:50" outlineLevel="1" x14ac:dyDescent="0.2">
      <c r="B49" s="252"/>
      <c r="C49" s="770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</row>
    <row r="50" spans="1:50" ht="16.2" outlineLevel="1" x14ac:dyDescent="0.3">
      <c r="B50" s="253" t="s">
        <v>223</v>
      </c>
      <c r="C50" s="771"/>
      <c r="D50" s="258">
        <f>SUM(D22:D32)+D33+D37+D38+D41+D48+D46</f>
        <v>3113004.2897592494</v>
      </c>
      <c r="E50" s="258">
        <f t="shared" ref="E50:AK50" si="158">SUM(E22:E32)+E33+E37+E38+E41+E48+E46</f>
        <v>3113004.2897592494</v>
      </c>
      <c r="F50" s="258">
        <f t="shared" si="158"/>
        <v>3113004.2897592494</v>
      </c>
      <c r="G50" s="258">
        <f t="shared" si="158"/>
        <v>3113004.2897592494</v>
      </c>
      <c r="H50" s="258">
        <f t="shared" si="158"/>
        <v>7943844.2897592494</v>
      </c>
      <c r="I50" s="258">
        <f t="shared" si="158"/>
        <v>3113004.2897592494</v>
      </c>
      <c r="J50" s="258">
        <f t="shared" si="158"/>
        <v>3113004.2897592494</v>
      </c>
      <c r="K50" s="258">
        <f t="shared" si="158"/>
        <v>3113004.2897592494</v>
      </c>
      <c r="L50" s="258">
        <f t="shared" si="158"/>
        <v>3113004.2897592494</v>
      </c>
      <c r="M50" s="258">
        <f t="shared" si="158"/>
        <v>7943844.2897592494</v>
      </c>
      <c r="N50" s="258">
        <f t="shared" si="158"/>
        <v>3113004.2897592494</v>
      </c>
      <c r="O50" s="258">
        <f t="shared" si="158"/>
        <v>3113004.2897592494</v>
      </c>
      <c r="P50" s="258">
        <f t="shared" si="158"/>
        <v>3113004.2897592494</v>
      </c>
      <c r="Q50" s="258">
        <f t="shared" si="158"/>
        <v>3113004.2897592494</v>
      </c>
      <c r="R50" s="258">
        <f t="shared" si="158"/>
        <v>7943844.2897592494</v>
      </c>
      <c r="S50" s="258">
        <f t="shared" si="158"/>
        <v>3113004.2897592494</v>
      </c>
      <c r="T50" s="258">
        <f t="shared" si="158"/>
        <v>3113004.2897592494</v>
      </c>
      <c r="U50" s="258">
        <f t="shared" si="158"/>
        <v>3113004.2897592494</v>
      </c>
      <c r="V50" s="258">
        <f t="shared" si="158"/>
        <v>3113004.2897592494</v>
      </c>
      <c r="W50" s="258">
        <f t="shared" si="158"/>
        <v>7943844.2897592494</v>
      </c>
      <c r="X50" s="258">
        <f t="shared" si="158"/>
        <v>3113004.2897592494</v>
      </c>
      <c r="Y50" s="258">
        <f t="shared" si="158"/>
        <v>3113004.2897592494</v>
      </c>
      <c r="Z50" s="258">
        <f t="shared" si="158"/>
        <v>3113004.2897592494</v>
      </c>
      <c r="AA50" s="258">
        <f t="shared" si="158"/>
        <v>3113004.2897592494</v>
      </c>
      <c r="AB50" s="258">
        <f t="shared" si="158"/>
        <v>7943844.2897592494</v>
      </c>
      <c r="AC50" s="258">
        <f t="shared" si="158"/>
        <v>3113004.2897592494</v>
      </c>
      <c r="AD50" s="258">
        <f t="shared" si="158"/>
        <v>3113004.2897592494</v>
      </c>
      <c r="AE50" s="258">
        <f t="shared" si="158"/>
        <v>3113004.2897592494</v>
      </c>
      <c r="AF50" s="258">
        <f t="shared" si="158"/>
        <v>3113004.2897592494</v>
      </c>
      <c r="AG50" s="258">
        <f t="shared" si="158"/>
        <v>7943844.2897592494</v>
      </c>
      <c r="AH50" s="258">
        <f t="shared" si="158"/>
        <v>3113004.2897592494</v>
      </c>
      <c r="AI50" s="258">
        <f t="shared" si="158"/>
        <v>3113004.2897592494</v>
      </c>
      <c r="AJ50" s="258">
        <f t="shared" si="158"/>
        <v>3113004.2897592494</v>
      </c>
      <c r="AK50" s="258">
        <f t="shared" si="158"/>
        <v>3113004.2897592494</v>
      </c>
      <c r="AL50" s="258">
        <f t="shared" ref="AL50:AR50" si="159">SUM(AL22:AL32)+AL33+AL37+AL38+AL41+AL48</f>
        <v>7371304.7004915932</v>
      </c>
      <c r="AM50" s="258">
        <f t="shared" si="159"/>
        <v>2540464.7004915928</v>
      </c>
      <c r="AN50" s="258">
        <f t="shared" si="159"/>
        <v>2540464.7004915928</v>
      </c>
      <c r="AO50" s="258">
        <f t="shared" si="159"/>
        <v>2540464.7004915928</v>
      </c>
      <c r="AP50" s="258">
        <f t="shared" si="159"/>
        <v>2540464.7004915928</v>
      </c>
      <c r="AQ50" s="258">
        <f t="shared" si="159"/>
        <v>7371304.7004915932</v>
      </c>
      <c r="AR50" s="258">
        <f t="shared" si="159"/>
        <v>2540464.7004915928</v>
      </c>
      <c r="AS50" s="43"/>
      <c r="AT50" s="43"/>
      <c r="AU50" s="43"/>
      <c r="AV50" s="43"/>
      <c r="AW50" s="43"/>
      <c r="AX50" s="43"/>
    </row>
    <row r="51" spans="1:50" ht="16.2" x14ac:dyDescent="0.3">
      <c r="B51" s="784" t="s">
        <v>418</v>
      </c>
      <c r="C51" s="785"/>
      <c r="D51" s="786">
        <f>SUM(D22:D32)+D34+D37+D38+D42+D48+D46</f>
        <v>4067244.2897592494</v>
      </c>
      <c r="E51" s="786">
        <f t="shared" ref="E51:AR51" si="160">SUM(E22:E32)+E34+E37+E38+E42+E48+E46</f>
        <v>4067244.2897592494</v>
      </c>
      <c r="F51" s="786">
        <f t="shared" si="160"/>
        <v>4067244.2897592494</v>
      </c>
      <c r="G51" s="786">
        <f t="shared" si="160"/>
        <v>4067244.2897592494</v>
      </c>
      <c r="H51" s="786">
        <f t="shared" si="160"/>
        <v>4126884.2897592494</v>
      </c>
      <c r="I51" s="786">
        <f t="shared" si="160"/>
        <v>4067244.2897592494</v>
      </c>
      <c r="J51" s="786">
        <f t="shared" si="160"/>
        <v>4067244.2897592494</v>
      </c>
      <c r="K51" s="786">
        <f t="shared" si="160"/>
        <v>4067244.2897592494</v>
      </c>
      <c r="L51" s="786">
        <f t="shared" si="160"/>
        <v>4067244.2897592494</v>
      </c>
      <c r="M51" s="786">
        <f t="shared" si="160"/>
        <v>4126884.2897592494</v>
      </c>
      <c r="N51" s="786">
        <f t="shared" si="160"/>
        <v>4067244.2897592494</v>
      </c>
      <c r="O51" s="786">
        <f t="shared" si="160"/>
        <v>4067244.2897592494</v>
      </c>
      <c r="P51" s="786">
        <f t="shared" si="160"/>
        <v>4067244.2897592494</v>
      </c>
      <c r="Q51" s="786">
        <f t="shared" si="160"/>
        <v>4067244.2897592494</v>
      </c>
      <c r="R51" s="786">
        <f t="shared" si="160"/>
        <v>4126884.2897592494</v>
      </c>
      <c r="S51" s="786">
        <f t="shared" si="160"/>
        <v>4067244.2897592494</v>
      </c>
      <c r="T51" s="786">
        <f t="shared" si="160"/>
        <v>4067244.2897592494</v>
      </c>
      <c r="U51" s="786">
        <f t="shared" si="160"/>
        <v>4067244.2897592494</v>
      </c>
      <c r="V51" s="786">
        <f t="shared" si="160"/>
        <v>4067244.2897592494</v>
      </c>
      <c r="W51" s="786">
        <f t="shared" si="160"/>
        <v>4126884.2897592494</v>
      </c>
      <c r="X51" s="786">
        <f t="shared" si="160"/>
        <v>4067244.2897592494</v>
      </c>
      <c r="Y51" s="786">
        <f t="shared" si="160"/>
        <v>4067244.2897592494</v>
      </c>
      <c r="Z51" s="786">
        <f t="shared" si="160"/>
        <v>4067244.2897592494</v>
      </c>
      <c r="AA51" s="786">
        <f t="shared" si="160"/>
        <v>4067244.2897592494</v>
      </c>
      <c r="AB51" s="786">
        <f t="shared" si="160"/>
        <v>4126884.2897592494</v>
      </c>
      <c r="AC51" s="786">
        <f t="shared" si="160"/>
        <v>4067244.2897592494</v>
      </c>
      <c r="AD51" s="786">
        <f t="shared" si="160"/>
        <v>4067244.2897592494</v>
      </c>
      <c r="AE51" s="786">
        <f t="shared" si="160"/>
        <v>4067244.2897592494</v>
      </c>
      <c r="AF51" s="786">
        <f t="shared" si="160"/>
        <v>4067244.2897592494</v>
      </c>
      <c r="AG51" s="786">
        <f t="shared" si="160"/>
        <v>4126884.2897592494</v>
      </c>
      <c r="AH51" s="786">
        <f t="shared" si="160"/>
        <v>4067244.2897592494</v>
      </c>
      <c r="AI51" s="786">
        <f t="shared" si="160"/>
        <v>4067244.2897592494</v>
      </c>
      <c r="AJ51" s="786">
        <f t="shared" si="160"/>
        <v>4067244.2897592494</v>
      </c>
      <c r="AK51" s="786">
        <f t="shared" si="160"/>
        <v>4067244.2897592494</v>
      </c>
      <c r="AL51" s="786">
        <f t="shared" si="160"/>
        <v>4126884.2897592494</v>
      </c>
      <c r="AM51" s="786">
        <f t="shared" si="160"/>
        <v>4067244.2897592494</v>
      </c>
      <c r="AN51" s="786">
        <f t="shared" si="160"/>
        <v>4067244.2897592494</v>
      </c>
      <c r="AO51" s="786">
        <f t="shared" si="160"/>
        <v>4067244.2897592494</v>
      </c>
      <c r="AP51" s="786">
        <f t="shared" si="160"/>
        <v>4067244.2897592494</v>
      </c>
      <c r="AQ51" s="786">
        <f t="shared" si="160"/>
        <v>4126884.2897592494</v>
      </c>
      <c r="AR51" s="786">
        <f t="shared" si="160"/>
        <v>4067244.2897592494</v>
      </c>
      <c r="AS51" s="43"/>
      <c r="AT51" s="43"/>
      <c r="AU51" s="43"/>
      <c r="AV51" s="43"/>
      <c r="AW51" s="43"/>
      <c r="AX51" s="43"/>
    </row>
    <row r="52" spans="1:50" x14ac:dyDescent="0.2">
      <c r="C52" s="752"/>
      <c r="AS52" s="43"/>
      <c r="AT52" s="43"/>
      <c r="AU52" s="43"/>
      <c r="AV52" s="43"/>
      <c r="AW52" s="43"/>
      <c r="AX52" s="43"/>
    </row>
    <row r="53" spans="1:50" x14ac:dyDescent="0.2">
      <c r="B53" s="743" t="s">
        <v>413</v>
      </c>
      <c r="C53" s="744"/>
      <c r="D53" s="745"/>
      <c r="E53" s="746"/>
      <c r="F53" s="746"/>
      <c r="G53" s="746"/>
      <c r="H53" s="747"/>
      <c r="I53" s="748"/>
      <c r="J53" s="731"/>
      <c r="K53" s="731"/>
      <c r="L53" s="731"/>
      <c r="M53" s="731"/>
      <c r="N53" s="731"/>
      <c r="O53" s="731"/>
      <c r="P53" s="731"/>
      <c r="Q53" s="731"/>
      <c r="R53" s="731"/>
      <c r="S53" s="731"/>
      <c r="T53" s="731"/>
      <c r="U53" s="731"/>
      <c r="V53" s="731"/>
      <c r="W53" s="731"/>
      <c r="X53" s="731"/>
      <c r="Y53" s="731"/>
      <c r="Z53" s="731"/>
      <c r="AA53" s="731"/>
      <c r="AB53" s="731"/>
      <c r="AC53" s="731"/>
      <c r="AD53" s="731"/>
      <c r="AE53" s="731"/>
      <c r="AF53" s="731"/>
      <c r="AG53" s="731"/>
      <c r="AH53" s="731"/>
      <c r="AI53" s="731"/>
      <c r="AJ53" s="731"/>
      <c r="AK53" s="731"/>
      <c r="AL53" s="731"/>
      <c r="AM53" s="731"/>
      <c r="AN53" s="731"/>
      <c r="AO53" s="749"/>
      <c r="AP53" s="749"/>
      <c r="AQ53" s="749"/>
      <c r="AR53" s="749"/>
      <c r="AS53" s="43"/>
      <c r="AT53" s="43"/>
      <c r="AU53" s="43"/>
      <c r="AV53" s="43"/>
      <c r="AW53" s="43"/>
      <c r="AX53" s="43"/>
    </row>
    <row r="54" spans="1:50" x14ac:dyDescent="0.2">
      <c r="C54" s="752"/>
      <c r="AS54" s="43"/>
      <c r="AT54" s="43"/>
      <c r="AU54" s="43"/>
      <c r="AV54" s="43"/>
      <c r="AW54" s="43"/>
      <c r="AX54" s="43"/>
    </row>
    <row r="55" spans="1:50" x14ac:dyDescent="0.2">
      <c r="C55" s="752"/>
      <c r="D55" s="754">
        <f>D17</f>
        <v>2019</v>
      </c>
      <c r="E55" s="754">
        <f t="shared" ref="E55:AR55" si="161">E17</f>
        <v>2020</v>
      </c>
      <c r="F55" s="754">
        <f t="shared" si="161"/>
        <v>2021</v>
      </c>
      <c r="G55" s="754">
        <f t="shared" si="161"/>
        <v>2022</v>
      </c>
      <c r="H55" s="754">
        <f t="shared" si="161"/>
        <v>2023</v>
      </c>
      <c r="I55" s="754">
        <f t="shared" si="161"/>
        <v>2024</v>
      </c>
      <c r="J55" s="754">
        <f t="shared" si="161"/>
        <v>2025</v>
      </c>
      <c r="K55" s="754">
        <f t="shared" si="161"/>
        <v>2026</v>
      </c>
      <c r="L55" s="754">
        <f t="shared" si="161"/>
        <v>2027</v>
      </c>
      <c r="M55" s="754">
        <f t="shared" si="161"/>
        <v>2028</v>
      </c>
      <c r="N55" s="754">
        <f t="shared" si="161"/>
        <v>2029</v>
      </c>
      <c r="O55" s="754">
        <f t="shared" si="161"/>
        <v>2030</v>
      </c>
      <c r="P55" s="754">
        <f t="shared" si="161"/>
        <v>2031</v>
      </c>
      <c r="Q55" s="754">
        <f t="shared" si="161"/>
        <v>2032</v>
      </c>
      <c r="R55" s="754">
        <f t="shared" si="161"/>
        <v>2033</v>
      </c>
      <c r="S55" s="754">
        <f t="shared" si="161"/>
        <v>2034</v>
      </c>
      <c r="T55" s="754">
        <f t="shared" si="161"/>
        <v>2035</v>
      </c>
      <c r="U55" s="754">
        <f t="shared" si="161"/>
        <v>2036</v>
      </c>
      <c r="V55" s="754">
        <f t="shared" si="161"/>
        <v>2037</v>
      </c>
      <c r="W55" s="754">
        <f t="shared" si="161"/>
        <v>2038</v>
      </c>
      <c r="X55" s="754">
        <f t="shared" si="161"/>
        <v>2039</v>
      </c>
      <c r="Y55" s="754">
        <f t="shared" si="161"/>
        <v>2040</v>
      </c>
      <c r="Z55" s="754">
        <f t="shared" si="161"/>
        <v>2041</v>
      </c>
      <c r="AA55" s="754">
        <f t="shared" si="161"/>
        <v>2042</v>
      </c>
      <c r="AB55" s="754">
        <f t="shared" si="161"/>
        <v>2043</v>
      </c>
      <c r="AC55" s="754">
        <f t="shared" si="161"/>
        <v>2044</v>
      </c>
      <c r="AD55" s="754">
        <f t="shared" si="161"/>
        <v>2045</v>
      </c>
      <c r="AE55" s="754">
        <f t="shared" si="161"/>
        <v>2046</v>
      </c>
      <c r="AF55" s="754">
        <f t="shared" si="161"/>
        <v>2047</v>
      </c>
      <c r="AG55" s="754">
        <f t="shared" si="161"/>
        <v>2048</v>
      </c>
      <c r="AH55" s="754">
        <f t="shared" si="161"/>
        <v>2049</v>
      </c>
      <c r="AI55" s="754">
        <f t="shared" si="161"/>
        <v>2050</v>
      </c>
      <c r="AJ55" s="754">
        <f t="shared" si="161"/>
        <v>2051</v>
      </c>
      <c r="AK55" s="754">
        <f t="shared" si="161"/>
        <v>2052</v>
      </c>
      <c r="AL55" s="754">
        <f t="shared" si="161"/>
        <v>2053</v>
      </c>
      <c r="AM55" s="754">
        <f t="shared" si="161"/>
        <v>2054</v>
      </c>
      <c r="AN55" s="754">
        <f t="shared" si="161"/>
        <v>2055</v>
      </c>
      <c r="AO55" s="754">
        <f t="shared" si="161"/>
        <v>2056</v>
      </c>
      <c r="AP55" s="754">
        <f t="shared" si="161"/>
        <v>2057</v>
      </c>
      <c r="AQ55" s="754">
        <f t="shared" si="161"/>
        <v>2058</v>
      </c>
      <c r="AR55" s="754">
        <f t="shared" si="161"/>
        <v>2059</v>
      </c>
      <c r="AS55" s="797"/>
      <c r="AT55" s="43"/>
      <c r="AU55" s="43"/>
      <c r="AV55" s="43"/>
      <c r="AW55" s="43"/>
      <c r="AX55" s="43"/>
    </row>
    <row r="56" spans="1:50" x14ac:dyDescent="0.2">
      <c r="C56" s="752"/>
      <c r="F56" s="755">
        <v>1</v>
      </c>
      <c r="G56" s="756">
        <v>2</v>
      </c>
      <c r="H56" s="755">
        <v>3</v>
      </c>
      <c r="I56" s="755">
        <v>4</v>
      </c>
      <c r="J56" s="756">
        <v>5</v>
      </c>
      <c r="K56" s="755">
        <v>6</v>
      </c>
      <c r="L56" s="755">
        <v>7</v>
      </c>
      <c r="M56" s="756">
        <v>8</v>
      </c>
      <c r="N56" s="755">
        <v>9</v>
      </c>
      <c r="O56" s="755">
        <v>10</v>
      </c>
      <c r="P56" s="756">
        <v>11</v>
      </c>
      <c r="Q56" s="755">
        <v>12</v>
      </c>
      <c r="R56" s="755">
        <v>13</v>
      </c>
      <c r="S56" s="756">
        <v>14</v>
      </c>
      <c r="T56" s="755">
        <v>15</v>
      </c>
      <c r="U56" s="755">
        <v>16</v>
      </c>
      <c r="V56" s="756">
        <v>17</v>
      </c>
      <c r="W56" s="755">
        <v>18</v>
      </c>
      <c r="X56" s="755">
        <v>19</v>
      </c>
      <c r="Y56" s="756">
        <v>20</v>
      </c>
      <c r="Z56" s="755">
        <v>21</v>
      </c>
      <c r="AA56" s="755">
        <v>22</v>
      </c>
      <c r="AB56" s="756">
        <v>23</v>
      </c>
      <c r="AC56" s="755">
        <v>24</v>
      </c>
      <c r="AD56" s="755">
        <v>25</v>
      </c>
      <c r="AE56" s="756">
        <v>26</v>
      </c>
      <c r="AF56" s="755">
        <v>27</v>
      </c>
      <c r="AG56" s="755">
        <v>28</v>
      </c>
      <c r="AH56" s="756">
        <v>29</v>
      </c>
      <c r="AI56" s="755">
        <v>30</v>
      </c>
      <c r="AJ56" s="755">
        <v>31</v>
      </c>
      <c r="AK56" s="756">
        <v>32</v>
      </c>
      <c r="AL56" s="755">
        <v>33</v>
      </c>
      <c r="AM56" s="755">
        <v>34</v>
      </c>
      <c r="AN56" s="756">
        <v>35</v>
      </c>
      <c r="AO56" s="755">
        <v>36</v>
      </c>
      <c r="AP56" s="755">
        <v>37</v>
      </c>
      <c r="AQ56" s="756">
        <v>38</v>
      </c>
      <c r="AR56" s="755">
        <v>39</v>
      </c>
      <c r="AS56" s="730"/>
      <c r="AT56" s="43"/>
      <c r="AU56" s="43"/>
      <c r="AV56" s="43"/>
      <c r="AW56" s="43"/>
      <c r="AX56" s="43"/>
    </row>
    <row r="57" spans="1:50" x14ac:dyDescent="0.2">
      <c r="B57" s="792" t="s">
        <v>427</v>
      </c>
      <c r="C57" s="770" t="s">
        <v>317</v>
      </c>
      <c r="D57" s="791">
        <f>SUM(D22:D26)*(1+PARAMETROS!$C$98)*(1+PARAMETROS!$D$98)*(1+PARAMETROS!$E$98)*(1+PARAMETROS!$F$98)</f>
        <v>837537.99996867136</v>
      </c>
      <c r="E57" s="791">
        <f>SUM(E22:E26)*(1+PARAMETROS!$C$98)*(1+PARAMETROS!$D$98)*(1+PARAMETROS!$E$98)*(1+PARAMETROS!$F$98)*(1+PARAMETROS!$G$98)</f>
        <v>862664.13996773155</v>
      </c>
      <c r="F57" s="791">
        <f>SUM(F22:F26)*(1+PARAMETROS!$C$98)*(1+PARAMETROS!$D$98)*(1+PARAMETROS!$E$98)*(1+PARAMETROS!$F$98)*(1+PARAMETROS!$G$98)*(1+PARAMETROS!$H$98)^F56</f>
        <v>884230.74346692476</v>
      </c>
      <c r="G57" s="214">
        <f>SUM(G22:G26)*(1+PARAMETROS!$C$98)*(1+PARAMETROS!$D$98)*(1+PARAMETROS!$E$98)*(1+PARAMETROS!$F$98)*(1+PARAMETROS!$G$98)*(1+PARAMETROS!$H$98)^G56</f>
        <v>906336.51205359783</v>
      </c>
      <c r="H57" s="214">
        <f>SUM(H22:H26)*(1+PARAMETROS!$C$98)*(1+PARAMETROS!$D$98)*(1+PARAMETROS!$E$98)*(1+PARAMETROS!$F$98)*(1+PARAMETROS!$G$98)*(1+PARAMETROS!$H$98)^H56</f>
        <v>928994.92485493782</v>
      </c>
      <c r="I57" s="214">
        <f>SUM(I22:I26)*(1+PARAMETROS!$C$98)*(1+PARAMETROS!$D$98)*(1+PARAMETROS!$E$98)*(1+PARAMETROS!$F$98)*(1+PARAMETROS!$G$98)*(1+PARAMETROS!$H$98)^I56</f>
        <v>952219.79797631118</v>
      </c>
      <c r="J57" s="214">
        <f>SUM(J22:J26)*(1+PARAMETROS!$C$98)*(1+PARAMETROS!$D$98)*(1+PARAMETROS!$E$98)*(1+PARAMETROS!$F$98)*(1+PARAMETROS!$G$98)*(1+PARAMETROS!$H$98)^J56</f>
        <v>976025.29292571882</v>
      </c>
      <c r="K57" s="214">
        <f>SUM(K22:K26)*(1+PARAMETROS!$C$98)*(1+PARAMETROS!$D$98)*(1+PARAMETROS!$E$98)*(1+PARAMETROS!$F$98)*(1+PARAMETROS!$G$98)*(1+PARAMETROS!$H$98)^K56</f>
        <v>1000425.9252488618</v>
      </c>
      <c r="L57" s="214">
        <f>SUM(L22:L26)*(1+PARAMETROS!$C$98)*(1+PARAMETROS!$D$98)*(1+PARAMETROS!$E$98)*(1+PARAMETROS!$F$98)*(1+PARAMETROS!$G$98)*(1+PARAMETROS!$H$98)^L56</f>
        <v>1025436.5733800833</v>
      </c>
      <c r="M57" s="214">
        <f>SUM(M22:M26)*(1+PARAMETROS!$C$98)*(1+PARAMETROS!$D$98)*(1+PARAMETROS!$E$98)*(1+PARAMETROS!$F$98)*(1+PARAMETROS!$G$98)*(1+PARAMETROS!$H$98)^M56</f>
        <v>1051072.4877145854</v>
      </c>
      <c r="N57" s="214">
        <f>SUM(N22:N26)*(1+PARAMETROS!$C$98)*(1+PARAMETROS!$D$98)*(1+PARAMETROS!$E$98)*(1+PARAMETROS!$F$98)*(1+PARAMETROS!$G$98)*(1+PARAMETROS!$H$98)^N56</f>
        <v>1077349.2999074499</v>
      </c>
      <c r="O57" s="214">
        <f>SUM(O22:O26)*(1+PARAMETROS!$C$98)*(1+PARAMETROS!$D$98)*(1+PARAMETROS!$E$98)*(1+PARAMETROS!$F$98)*(1+PARAMETROS!$G$98)*(1+PARAMETROS!$H$98)^O56</f>
        <v>1104283.0324051359</v>
      </c>
      <c r="P57" s="214">
        <f>SUM(P22:P26)*(1+PARAMETROS!$C$98)*(1+PARAMETROS!$D$98)*(1+PARAMETROS!$E$98)*(1+PARAMETROS!$F$98)*(1+PARAMETROS!$G$98)*(1+PARAMETROS!$H$98)^P56</f>
        <v>1131890.1082152645</v>
      </c>
      <c r="Q57" s="214">
        <f>SUM(Q22:Q26)*(1+PARAMETROS!$C$98)*(1+PARAMETROS!$D$98)*(1+PARAMETROS!$E$98)*(1+PARAMETROS!$F$98)*(1+PARAMETROS!$G$98)*(1+PARAMETROS!$H$98)^Q56</f>
        <v>1160187.360920646</v>
      </c>
      <c r="R57" s="214">
        <f>SUM(R22:R26)*(1+PARAMETROS!$C$98)*(1+PARAMETROS!$D$98)*(1+PARAMETROS!$E$98)*(1+PARAMETROS!$F$98)*(1+PARAMETROS!$G$98)*(1+PARAMETROS!$H$98)^R56</f>
        <v>1189192.0449436621</v>
      </c>
      <c r="S57" s="214">
        <f>SUM(S22:S26)*(1+PARAMETROS!$C$98)*(1+PARAMETROS!$D$98)*(1+PARAMETROS!$E$98)*(1+PARAMETROS!$F$98)*(1+PARAMETROS!$G$98)*(1+PARAMETROS!$H$98)^S56</f>
        <v>1218921.8460672535</v>
      </c>
      <c r="T57" s="214">
        <f>SUM(T22:T26)*(1+PARAMETROS!$C$98)*(1+PARAMETROS!$D$98)*(1+PARAMETROS!$E$98)*(1+PARAMETROS!$F$98)*(1+PARAMETROS!$G$98)*(1+PARAMETROS!$H$98)^T56</f>
        <v>1249394.8922189351</v>
      </c>
      <c r="U57" s="214">
        <f>SUM(U22:U26)*(1+PARAMETROS!$C$98)*(1+PARAMETROS!$D$98)*(1+PARAMETROS!$E$98)*(1+PARAMETROS!$F$98)*(1+PARAMETROS!$G$98)*(1+PARAMETROS!$H$98)^U56</f>
        <v>1280629.7645244082</v>
      </c>
      <c r="V57" s="214">
        <f>SUM(V22:V26)*(1+PARAMETROS!$C$98)*(1+PARAMETROS!$D$98)*(1+PARAMETROS!$E$98)*(1+PARAMETROS!$F$98)*(1+PARAMETROS!$G$98)*(1+PARAMETROS!$H$98)^V56</f>
        <v>1312645.5086375182</v>
      </c>
      <c r="W57" s="214">
        <f>SUM(W22:W26)*(1+PARAMETROS!$C$98)*(1+PARAMETROS!$D$98)*(1+PARAMETROS!$E$98)*(1+PARAMETROS!$F$98)*(1+PARAMETROS!$G$98)*(1+PARAMETROS!$H$98)^W56</f>
        <v>1345461.6463534562</v>
      </c>
      <c r="X57" s="214">
        <f>SUM(X22:X26)*(1+PARAMETROS!$C$98)*(1+PARAMETROS!$D$98)*(1+PARAMETROS!$E$98)*(1+PARAMETROS!$F$98)*(1+PARAMETROS!$G$98)*(1+PARAMETROS!$H$98)^X56</f>
        <v>1379098.1875122928</v>
      </c>
      <c r="Y57" s="214">
        <f>SUM(Y22:Y26)*(1+PARAMETROS!$C$98)*(1+PARAMETROS!$D$98)*(1+PARAMETROS!$E$98)*(1+PARAMETROS!$F$98)*(1+PARAMETROS!$G$98)*(1+PARAMETROS!$H$98)^Y56</f>
        <v>1413575.6422000998</v>
      </c>
      <c r="Z57" s="214">
        <f>SUM(Z22:Z26)*(1+PARAMETROS!$C$98)*(1+PARAMETROS!$D$98)*(1+PARAMETROS!$E$98)*(1+PARAMETROS!$F$98)*(1+PARAMETROS!$G$98)*(1+PARAMETROS!$H$98)^Z56</f>
        <v>1448915.0332551021</v>
      </c>
      <c r="AA57" s="214">
        <f>SUM(AA22:AA26)*(1+PARAMETROS!$C$98)*(1+PARAMETROS!$D$98)*(1+PARAMETROS!$E$98)*(1+PARAMETROS!$F$98)*(1+PARAMETROS!$G$98)*(1+PARAMETROS!$H$98)^AA56</f>
        <v>1485137.9090864796</v>
      </c>
      <c r="AB57" s="214">
        <f>SUM(AB22:AB26)*(1+PARAMETROS!$C$98)*(1+PARAMETROS!$D$98)*(1+PARAMETROS!$E$98)*(1+PARAMETROS!$F$98)*(1+PARAMETROS!$G$98)*(1+PARAMETROS!$H$98)^AB56</f>
        <v>1522266.3568136417</v>
      </c>
      <c r="AC57" s="214">
        <f>SUM(AC22:AC26)*(1+PARAMETROS!$C$98)*(1+PARAMETROS!$D$98)*(1+PARAMETROS!$E$98)*(1+PARAMETROS!$F$98)*(1+PARAMETROS!$G$98)*(1+PARAMETROS!$H$98)^AC56</f>
        <v>1560323.0157339827</v>
      </c>
      <c r="AD57" s="214">
        <f>SUM(AD22:AD26)*(1+PARAMETROS!$C$98)*(1+PARAMETROS!$D$98)*(1+PARAMETROS!$E$98)*(1+PARAMETROS!$F$98)*(1+PARAMETROS!$G$98)*(1+PARAMETROS!$H$98)^AD56</f>
        <v>1599331.0911273321</v>
      </c>
      <c r="AE57" s="214">
        <f>SUM(AE22:AE26)*(1+PARAMETROS!$C$98)*(1+PARAMETROS!$D$98)*(1+PARAMETROS!$E$98)*(1+PARAMETROS!$F$98)*(1+PARAMETROS!$G$98)*(1+PARAMETROS!$H$98)^AE56</f>
        <v>1639314.3684055151</v>
      </c>
      <c r="AF57" s="214">
        <f>SUM(AF22:AF26)*(1+PARAMETROS!$C$98)*(1+PARAMETROS!$D$98)*(1+PARAMETROS!$E$98)*(1+PARAMETROS!$F$98)*(1+PARAMETROS!$G$98)*(1+PARAMETROS!$H$98)^AF56</f>
        <v>1680297.2276156531</v>
      </c>
      <c r="AG57" s="214">
        <f>SUM(AG22:AG26)*(1+PARAMETROS!$C$98)*(1+PARAMETROS!$D$98)*(1+PARAMETROS!$E$98)*(1+PARAMETROS!$F$98)*(1+PARAMETROS!$G$98)*(1+PARAMETROS!$H$98)^AG56</f>
        <v>1722304.6583060441</v>
      </c>
      <c r="AH57" s="214">
        <f>SUM(AH22:AH26)*(1+PARAMETROS!$C$98)*(1+PARAMETROS!$D$98)*(1+PARAMETROS!$E$98)*(1+PARAMETROS!$F$98)*(1+PARAMETROS!$G$98)*(1+PARAMETROS!$H$98)^AH56</f>
        <v>1765362.2747636954</v>
      </c>
      <c r="AI57" s="214">
        <f>SUM(AI22:AI26)*(1+PARAMETROS!$C$98)*(1+PARAMETROS!$D$98)*(1+PARAMETROS!$E$98)*(1+PARAMETROS!$F$98)*(1+PARAMETROS!$G$98)*(1+PARAMETROS!$H$98)^AI56</f>
        <v>1809496.3316327874</v>
      </c>
      <c r="AJ57" s="214">
        <f>SUM(AJ22:AJ26)*(1+PARAMETROS!$C$98)*(1+PARAMETROS!$D$98)*(1+PARAMETROS!$E$98)*(1+PARAMETROS!$F$98)*(1+PARAMETROS!$G$98)*(1+PARAMETROS!$H$98)^AJ56</f>
        <v>1854733.7399236076</v>
      </c>
      <c r="AK57" s="214">
        <f>SUM(AK22:AK26)*(1+PARAMETROS!$C$98)*(1+PARAMETROS!$D$98)*(1+PARAMETROS!$E$98)*(1+PARAMETROS!$F$98)*(1+PARAMETROS!$G$98)*(1+PARAMETROS!$H$98)^AK56</f>
        <v>1901102.0834216974</v>
      </c>
      <c r="AL57" s="214">
        <f>SUM(AL22:AL26)*(1+PARAMETROS!$C$98)*(1+PARAMETROS!$D$98)*(1+PARAMETROS!$E$98)*(1+PARAMETROS!$F$98)*(1+PARAMETROS!$G$98)*(1+PARAMETROS!$H$98)^AL56</f>
        <v>1948629.6355072397</v>
      </c>
      <c r="AM57" s="214">
        <f>SUM(AM22:AM26)*(1+PARAMETROS!$C$98)*(1+PARAMETROS!$D$98)*(1+PARAMETROS!$E$98)*(1+PARAMETROS!$F$98)*(1+PARAMETROS!$G$98)*(1+PARAMETROS!$H$98)^AM56</f>
        <v>1997345.3763949207</v>
      </c>
      <c r="AN57" s="214">
        <f>SUM(AN22:AN26)*(1+PARAMETROS!$C$98)*(1+PARAMETROS!$D$98)*(1+PARAMETROS!$E$98)*(1+PARAMETROS!$F$98)*(1+PARAMETROS!$G$98)*(1+PARAMETROS!$H$98)^AN56</f>
        <v>2047279.0108047933</v>
      </c>
      <c r="AO57" s="214">
        <f>SUM(AO22:AO26)*(1+PARAMETROS!$C$98)*(1+PARAMETROS!$D$98)*(1+PARAMETROS!$E$98)*(1+PARAMETROS!$F$98)*(1+PARAMETROS!$G$98)*(1+PARAMETROS!$H$98)^AO56</f>
        <v>2098460.9860749133</v>
      </c>
      <c r="AP57" s="214">
        <f>SUM(AP22:AP26)*(1+PARAMETROS!$C$98)*(1+PARAMETROS!$D$98)*(1+PARAMETROS!$E$98)*(1+PARAMETROS!$F$98)*(1+PARAMETROS!$G$98)*(1+PARAMETROS!$H$98)^AP56</f>
        <v>2150922.5107267862</v>
      </c>
      <c r="AQ57" s="214">
        <f>SUM(AQ22:AQ26)*(1+PARAMETROS!$C$98)*(1+PARAMETROS!$D$98)*(1+PARAMETROS!$E$98)*(1+PARAMETROS!$F$98)*(1+PARAMETROS!$G$98)*(1+PARAMETROS!$H$98)^AQ56</f>
        <v>2204695.573494955</v>
      </c>
      <c r="AR57" s="214">
        <f>SUM(AR22:AR26)*(1+PARAMETROS!$C$98)*(1+PARAMETROS!$D$98)*(1+PARAMETROS!$E$98)*(1+PARAMETROS!$F$98)*(1+PARAMETROS!$G$98)*(1+PARAMETROS!$H$98)^AR56</f>
        <v>2259812.9628323293</v>
      </c>
      <c r="AS57" s="43"/>
      <c r="AT57" s="43"/>
      <c r="AU57" s="43"/>
      <c r="AV57" s="43"/>
      <c r="AW57" s="43"/>
      <c r="AX57" s="43"/>
    </row>
    <row r="58" spans="1:50" x14ac:dyDescent="0.2">
      <c r="B58" s="792" t="s">
        <v>428</v>
      </c>
      <c r="C58" s="770" t="s">
        <v>317</v>
      </c>
      <c r="D58" s="791">
        <f>D28*(1+PARAMETROS!$C$103)*(1+PARAMETROS!$D$103)*(1+PARAMETROS!$E$103)*(1+PARAMETROS!$F$103)</f>
        <v>513535.00293230615</v>
      </c>
      <c r="E58" s="791">
        <f>E28*(1+PARAMETROS!$C$103)*(1+PARAMETROS!$D$103)*(1+PARAMETROS!$E$103)*(1+PARAMETROS!$F$103)*(1+PARAMETROS!$G$103)</f>
        <v>531508.72803493682</v>
      </c>
      <c r="F58" s="791">
        <f>F28*(1+PARAMETROS!$C$103)*(1+PARAMETROS!$D$103)*(1+PARAMETROS!$E$103)*(1+PARAMETROS!$F$103)*(1+PARAMETROS!$G$103)*(1+PARAMETROS!$H$103)^F56</f>
        <v>547453.98987598496</v>
      </c>
      <c r="G58" s="214">
        <f>G28*(1+PARAMETROS!$C$103)*(1+PARAMETROS!$D$103)*(1+PARAMETROS!$E$103)*(1+PARAMETROS!$F$103)*(1+PARAMETROS!$G$103)*(1+PARAMETROS!$H$103)^G56</f>
        <v>563877.60957226448</v>
      </c>
      <c r="H58" s="214">
        <f>H28*(1+PARAMETROS!$C$103)*(1+PARAMETROS!$D$103)*(1+PARAMETROS!$E$103)*(1+PARAMETROS!$F$103)*(1+PARAMETROS!$G$103)*(1+PARAMETROS!$H$103)^H56</f>
        <v>580793.93785943242</v>
      </c>
      <c r="I58" s="214">
        <f>I28*(1+PARAMETROS!$C$103)*(1+PARAMETROS!$D$103)*(1+PARAMETROS!$E$103)*(1+PARAMETROS!$F$103)*(1+PARAMETROS!$G$103)*(1+PARAMETROS!$H$103)^I56</f>
        <v>598217.75599521538</v>
      </c>
      <c r="J58" s="214">
        <f>J28*(1+PARAMETROS!$C$103)*(1+PARAMETROS!$D$103)*(1+PARAMETROS!$E$103)*(1+PARAMETROS!$F$103)*(1+PARAMETROS!$G$103)*(1+PARAMETROS!$H$103)^J56</f>
        <v>616164.28867507179</v>
      </c>
      <c r="K58" s="214">
        <f>K28*(1+PARAMETROS!$C$103)*(1+PARAMETROS!$D$103)*(1+PARAMETROS!$E$103)*(1+PARAMETROS!$F$103)*(1+PARAMETROS!$G$103)*(1+PARAMETROS!$H$103)^K56</f>
        <v>634649.21733532392</v>
      </c>
      <c r="L58" s="214">
        <f>L28*(1+PARAMETROS!$C$103)*(1+PARAMETROS!$D$103)*(1+PARAMETROS!$E$103)*(1+PARAMETROS!$F$103)*(1+PARAMETROS!$G$103)*(1+PARAMETROS!$H$103)^L56</f>
        <v>653688.69385538367</v>
      </c>
      <c r="M58" s="214">
        <f>M28*(1+PARAMETROS!$C$103)*(1+PARAMETROS!$D$103)*(1+PARAMETROS!$E$103)*(1+PARAMETROS!$F$103)*(1+PARAMETROS!$G$103)*(1+PARAMETROS!$H$103)^M56</f>
        <v>673299.35467104509</v>
      </c>
      <c r="N58" s="214">
        <f>N28*(1+PARAMETROS!$C$103)*(1+PARAMETROS!$D$103)*(1+PARAMETROS!$E$103)*(1+PARAMETROS!$F$103)*(1+PARAMETROS!$G$103)*(1+PARAMETROS!$H$103)^N56</f>
        <v>693498.33531117649</v>
      </c>
      <c r="O58" s="214">
        <f>O28*(1+PARAMETROS!$C$103)*(1+PARAMETROS!$D$103)*(1+PARAMETROS!$E$103)*(1+PARAMETROS!$F$103)*(1+PARAMETROS!$G$103)*(1+PARAMETROS!$H$103)^O56</f>
        <v>714303.28537051182</v>
      </c>
      <c r="P58" s="214">
        <f>P28*(1+PARAMETROS!$C$103)*(1+PARAMETROS!$D$103)*(1+PARAMETROS!$E$103)*(1+PARAMETROS!$F$103)*(1+PARAMETROS!$G$103)*(1+PARAMETROS!$H$103)^P56</f>
        <v>735732.38393162715</v>
      </c>
      <c r="Q58" s="214">
        <f>Q28*(1+PARAMETROS!$C$103)*(1+PARAMETROS!$D$103)*(1+PARAMETROS!$E$103)*(1+PARAMETROS!$F$103)*(1+PARAMETROS!$G$103)*(1+PARAMETROS!$H$103)^Q56</f>
        <v>757804.35544957593</v>
      </c>
      <c r="R58" s="214">
        <f>R28*(1+PARAMETROS!$C$103)*(1+PARAMETROS!$D$103)*(1+PARAMETROS!$E$103)*(1+PARAMETROS!$F$103)*(1+PARAMETROS!$G$103)*(1+PARAMETROS!$H$103)^R56</f>
        <v>780538.48611306318</v>
      </c>
      <c r="S58" s="214">
        <f>S28*(1+PARAMETROS!$C$103)*(1+PARAMETROS!$D$103)*(1+PARAMETROS!$E$103)*(1+PARAMETROS!$F$103)*(1+PARAMETROS!$G$103)*(1+PARAMETROS!$H$103)^S56</f>
        <v>803954.64069645514</v>
      </c>
      <c r="T58" s="214">
        <f>T28*(1+PARAMETROS!$C$103)*(1+PARAMETROS!$D$103)*(1+PARAMETROS!$E$103)*(1+PARAMETROS!$F$103)*(1+PARAMETROS!$G$103)*(1+PARAMETROS!$H$103)^T56</f>
        <v>828073.27991734887</v>
      </c>
      <c r="U58" s="214">
        <f>U28*(1+PARAMETROS!$C$103)*(1+PARAMETROS!$D$103)*(1+PARAMETROS!$E$103)*(1+PARAMETROS!$F$103)*(1+PARAMETROS!$G$103)*(1+PARAMETROS!$H$103)^U56</f>
        <v>852915.47831486911</v>
      </c>
      <c r="V58" s="214">
        <f>V28*(1+PARAMETROS!$C$103)*(1+PARAMETROS!$D$103)*(1+PARAMETROS!$E$103)*(1+PARAMETROS!$F$103)*(1+PARAMETROS!$G$103)*(1+PARAMETROS!$H$103)^V56</f>
        <v>878502.94266431523</v>
      </c>
      <c r="W58" s="214">
        <f>W28*(1+PARAMETROS!$C$103)*(1+PARAMETROS!$D$103)*(1+PARAMETROS!$E$103)*(1+PARAMETROS!$F$103)*(1+PARAMETROS!$G$103)*(1+PARAMETROS!$H$103)^W56</f>
        <v>904858.0309442447</v>
      </c>
      <c r="X58" s="214">
        <f>X28*(1+PARAMETROS!$C$103)*(1+PARAMETROS!$D$103)*(1+PARAMETROS!$E$103)*(1+PARAMETROS!$F$103)*(1+PARAMETROS!$G$103)*(1+PARAMETROS!$H$103)^X56</f>
        <v>932003.77187257202</v>
      </c>
      <c r="Y58" s="214">
        <f>Y28*(1+PARAMETROS!$C$103)*(1+PARAMETROS!$D$103)*(1+PARAMETROS!$E$103)*(1+PARAMETROS!$F$103)*(1+PARAMETROS!$G$103)*(1+PARAMETROS!$H$103)^Y56</f>
        <v>959963.88502874912</v>
      </c>
      <c r="Z58" s="214">
        <f>Z28*(1+PARAMETROS!$C$103)*(1+PARAMETROS!$D$103)*(1+PARAMETROS!$E$103)*(1+PARAMETROS!$F$103)*(1+PARAMETROS!$G$103)*(1+PARAMETROS!$H$103)^Z56</f>
        <v>988762.80157961149</v>
      </c>
      <c r="AA58" s="214">
        <f>AA28*(1+PARAMETROS!$C$103)*(1+PARAMETROS!$D$103)*(1+PARAMETROS!$E$103)*(1+PARAMETROS!$F$103)*(1+PARAMETROS!$G$103)*(1+PARAMETROS!$H$103)^AA56</f>
        <v>1018425.6856269999</v>
      </c>
      <c r="AB58" s="214">
        <f>AB28*(1+PARAMETROS!$C$103)*(1+PARAMETROS!$D$103)*(1+PARAMETROS!$E$103)*(1+PARAMETROS!$F$103)*(1+PARAMETROS!$G$103)*(1+PARAMETROS!$H$103)^AB56</f>
        <v>1048978.4561958099</v>
      </c>
      <c r="AC58" s="214">
        <f>AC28*(1+PARAMETROS!$C$103)*(1+PARAMETROS!$D$103)*(1+PARAMETROS!$E$103)*(1+PARAMETROS!$F$103)*(1+PARAMETROS!$G$103)*(1+PARAMETROS!$H$103)^AC56</f>
        <v>1080447.8098816841</v>
      </c>
      <c r="AD58" s="214">
        <f>AD28*(1+PARAMETROS!$C$103)*(1+PARAMETROS!$D$103)*(1+PARAMETROS!$E$103)*(1+PARAMETROS!$F$103)*(1+PARAMETROS!$G$103)*(1+PARAMETROS!$H$103)^AD56</f>
        <v>1112861.2441781347</v>
      </c>
      <c r="AE58" s="214">
        <f>AE28*(1+PARAMETROS!$C$103)*(1+PARAMETROS!$D$103)*(1+PARAMETROS!$E$103)*(1+PARAMETROS!$F$103)*(1+PARAMETROS!$G$103)*(1+PARAMETROS!$H$103)^AE56</f>
        <v>1146247.0815034788</v>
      </c>
      <c r="AF58" s="214">
        <f>AF28*(1+PARAMETROS!$C$103)*(1+PARAMETROS!$D$103)*(1+PARAMETROS!$E$103)*(1+PARAMETROS!$F$103)*(1+PARAMETROS!$G$103)*(1+PARAMETROS!$H$103)^AF56</f>
        <v>1180634.493948583</v>
      </c>
      <c r="AG58" s="214">
        <f>AG28*(1+PARAMETROS!$C$103)*(1+PARAMETROS!$D$103)*(1+PARAMETROS!$E$103)*(1+PARAMETROS!$F$103)*(1+PARAMETROS!$G$103)*(1+PARAMETROS!$H$103)^AG56</f>
        <v>1216053.5287670405</v>
      </c>
      <c r="AH58" s="214">
        <f>AH28*(1+PARAMETROS!$C$103)*(1+PARAMETROS!$D$103)*(1+PARAMETROS!$E$103)*(1+PARAMETROS!$F$103)*(1+PARAMETROS!$G$103)*(1+PARAMETROS!$H$103)^AH56</f>
        <v>1252535.1346300517</v>
      </c>
      <c r="AI58" s="214">
        <f>AI28*(1+PARAMETROS!$C$103)*(1+PARAMETROS!$D$103)*(1+PARAMETROS!$E$103)*(1+PARAMETROS!$F$103)*(1+PARAMETROS!$G$103)*(1+PARAMETROS!$H$103)^AI56</f>
        <v>1290111.1886689533</v>
      </c>
      <c r="AJ58" s="214">
        <f>AJ28*(1+PARAMETROS!$C$103)*(1+PARAMETROS!$D$103)*(1+PARAMETROS!$E$103)*(1+PARAMETROS!$F$103)*(1+PARAMETROS!$G$103)*(1+PARAMETROS!$H$103)^AJ56</f>
        <v>1328814.524329022</v>
      </c>
      <c r="AK58" s="214">
        <f>AK28*(1+PARAMETROS!$C$103)*(1+PARAMETROS!$D$103)*(1+PARAMETROS!$E$103)*(1+PARAMETROS!$F$103)*(1+PARAMETROS!$G$103)*(1+PARAMETROS!$H$103)^AK56</f>
        <v>1368678.9600588924</v>
      </c>
      <c r="AL58" s="214">
        <f>AL28*(1+PARAMETROS!$C$103)*(1+PARAMETROS!$D$103)*(1+PARAMETROS!$E$103)*(1+PARAMETROS!$F$103)*(1+PARAMETROS!$G$103)*(1+PARAMETROS!$H$103)^AL56</f>
        <v>1409739.3288606592</v>
      </c>
      <c r="AM58" s="214">
        <f>AM28*(1+PARAMETROS!$C$103)*(1+PARAMETROS!$D$103)*(1+PARAMETROS!$E$103)*(1+PARAMETROS!$F$103)*(1+PARAMETROS!$G$103)*(1+PARAMETROS!$H$103)^AM56</f>
        <v>1452031.5087264788</v>
      </c>
      <c r="AN58" s="214">
        <f>AN28*(1+PARAMETROS!$C$103)*(1+PARAMETROS!$D$103)*(1+PARAMETROS!$E$103)*(1+PARAMETROS!$F$103)*(1+PARAMETROS!$G$103)*(1+PARAMETROS!$H$103)^AN56</f>
        <v>1495592.4539882734</v>
      </c>
      <c r="AO58" s="214">
        <f>AO28*(1+PARAMETROS!$C$103)*(1+PARAMETROS!$D$103)*(1+PARAMETROS!$E$103)*(1+PARAMETROS!$F$103)*(1+PARAMETROS!$G$103)*(1+PARAMETROS!$H$103)^AO56</f>
        <v>1540460.2276079215</v>
      </c>
      <c r="AP58" s="214">
        <f>AP28*(1+PARAMETROS!$C$103)*(1+PARAMETROS!$D$103)*(1+PARAMETROS!$E$103)*(1+PARAMETROS!$F$103)*(1+PARAMETROS!$G$103)*(1+PARAMETROS!$H$103)^AP56</f>
        <v>1586674.0344361588</v>
      </c>
      <c r="AQ58" s="214">
        <f>AQ28*(1+PARAMETROS!$C$103)*(1+PARAMETROS!$D$103)*(1+PARAMETROS!$E$103)*(1+PARAMETROS!$F$103)*(1+PARAMETROS!$G$103)*(1+PARAMETROS!$H$103)^AQ56</f>
        <v>1634274.2554692437</v>
      </c>
      <c r="AR58" s="214">
        <f>AR28*(1+PARAMETROS!$C$103)*(1+PARAMETROS!$D$103)*(1+PARAMETROS!$E$103)*(1+PARAMETROS!$F$103)*(1+PARAMETROS!$G$103)*(1+PARAMETROS!$H$103)^AR56</f>
        <v>1683302.4831333212</v>
      </c>
    </row>
    <row r="59" spans="1:50" x14ac:dyDescent="0.2">
      <c r="B59" s="792" t="s">
        <v>429</v>
      </c>
      <c r="C59" s="770" t="s">
        <v>317</v>
      </c>
      <c r="D59" s="791">
        <f>(D37+D38)*(1+PARAMETROS!$C$88)*(1+PARAMETROS!$D$88)*(1+PARAMETROS!$E$88)*(1+PARAMETROS!$F$88)</f>
        <v>680981.23324943718</v>
      </c>
      <c r="E59" s="791">
        <f>(E37+E38)*(1+PARAMETROS!$C$88)*(1+PARAMETROS!$D$88)*(1+PARAMETROS!$E$88)*(1+PARAMETROS!$F$88)*(1+PARAMETROS!$G$88)</f>
        <v>698005.76408067311</v>
      </c>
      <c r="F59" s="791">
        <f>(F37+F38)*(1+PARAMETROS!$C$88)*(1+PARAMETROS!$D$88)*(1+PARAMETROS!$E$88)*(1+PARAMETROS!$F$88)*(1+PARAMETROS!$G$88)*(1+PARAMETROS!$H$88)^F56</f>
        <v>711965.87936228653</v>
      </c>
      <c r="G59" s="214">
        <f>(G37+G38)*(1+PARAMETROS!$C$88)*(1+PARAMETROS!$D$88)*(1+PARAMETROS!$E$88)*(1+PARAMETROS!$F$88)*(1+PARAMETROS!$G$88)*(1+PARAMETROS!$H$88)^G56</f>
        <v>726205.19694953226</v>
      </c>
      <c r="H59" s="214">
        <f>(H37+H38)*(1+PARAMETROS!$C$88)*(1+PARAMETROS!$D$88)*(1+PARAMETROS!$E$88)*(1+PARAMETROS!$F$88)*(1+PARAMETROS!$G$88)*(1+PARAMETROS!$H$88)^H56</f>
        <v>740729.30088852288</v>
      </c>
      <c r="I59" s="214">
        <f>(I37+I38)*(1+PARAMETROS!$C$88)*(1+PARAMETROS!$D$88)*(1+PARAMETROS!$E$88)*(1+PARAMETROS!$F$88)*(1+PARAMETROS!$G$88)*(1+PARAMETROS!$H$88)^I56</f>
        <v>755543.88690629334</v>
      </c>
      <c r="J59" s="214">
        <f>(J37+J38)*(1+PARAMETROS!$C$88)*(1+PARAMETROS!$D$88)*(1+PARAMETROS!$E$88)*(1+PARAMETROS!$F$88)*(1+PARAMETROS!$G$88)*(1+PARAMETROS!$H$88)^J56</f>
        <v>770654.76464441931</v>
      </c>
      <c r="K59" s="214">
        <f>(K37+K38)*(1+PARAMETROS!$C$88)*(1+PARAMETROS!$D$88)*(1+PARAMETROS!$E$88)*(1+PARAMETROS!$F$88)*(1+PARAMETROS!$G$88)*(1+PARAMETROS!$H$88)^K56</f>
        <v>786067.85993730766</v>
      </c>
      <c r="L59" s="214">
        <f>(L37+L38)*(1+PARAMETROS!$C$88)*(1+PARAMETROS!$D$88)*(1+PARAMETROS!$E$88)*(1+PARAMETROS!$F$88)*(1+PARAMETROS!$G$88)*(1+PARAMETROS!$H$88)^L56</f>
        <v>801789.21713605372</v>
      </c>
      <c r="M59" s="214">
        <f>(M37+M38)*(1+PARAMETROS!$C$88)*(1+PARAMETROS!$D$88)*(1+PARAMETROS!$E$88)*(1+PARAMETROS!$F$88)*(1+PARAMETROS!$G$88)*(1+PARAMETROS!$H$88)^M56</f>
        <v>817825.00147877482</v>
      </c>
      <c r="N59" s="214">
        <f>(N37+N38)*(1+PARAMETROS!$C$88)*(1+PARAMETROS!$D$88)*(1+PARAMETROS!$E$88)*(1+PARAMETROS!$F$88)*(1+PARAMETROS!$G$88)*(1+PARAMETROS!$H$88)^N56</f>
        <v>834181.50150835037</v>
      </c>
      <c r="O59" s="214">
        <f>(O37+O38)*(1+PARAMETROS!$C$88)*(1+PARAMETROS!$D$88)*(1+PARAMETROS!$E$88)*(1+PARAMETROS!$F$88)*(1+PARAMETROS!$G$88)*(1+PARAMETROS!$H$88)^O56</f>
        <v>850865.13153851742</v>
      </c>
      <c r="P59" s="214">
        <f>(P37+P38)*(1+PARAMETROS!$C$88)*(1+PARAMETROS!$D$88)*(1+PARAMETROS!$E$88)*(1+PARAMETROS!$F$88)*(1+PARAMETROS!$G$88)*(1+PARAMETROS!$H$88)^P56</f>
        <v>867882.43416928756</v>
      </c>
      <c r="Q59" s="214">
        <f>(Q37+Q38)*(1+PARAMETROS!$C$88)*(1+PARAMETROS!$D$88)*(1+PARAMETROS!$E$88)*(1+PARAMETROS!$F$88)*(1+PARAMETROS!$G$88)*(1+PARAMETROS!$H$88)^Q56</f>
        <v>885240.08285267348</v>
      </c>
      <c r="R59" s="214">
        <f>(R37+R38)*(1+PARAMETROS!$C$88)*(1+PARAMETROS!$D$88)*(1+PARAMETROS!$E$88)*(1+PARAMETROS!$F$88)*(1+PARAMETROS!$G$88)*(1+PARAMETROS!$H$88)^R56</f>
        <v>902944.88450972689</v>
      </c>
      <c r="S59" s="214">
        <f>(S37+S38)*(1+PARAMETROS!$C$88)*(1+PARAMETROS!$D$88)*(1+PARAMETROS!$E$88)*(1+PARAMETROS!$F$88)*(1+PARAMETROS!$G$88)*(1+PARAMETROS!$H$88)^S56</f>
        <v>921003.78219992155</v>
      </c>
      <c r="T59" s="214">
        <f>(T37+T38)*(1+PARAMETROS!$C$88)*(1+PARAMETROS!$D$88)*(1+PARAMETROS!$E$88)*(1+PARAMETROS!$F$88)*(1+PARAMETROS!$G$88)*(1+PARAMETROS!$H$88)^T56</f>
        <v>939423.85784391966</v>
      </c>
      <c r="U59" s="214">
        <f>(U37+U38)*(1+PARAMETROS!$C$88)*(1+PARAMETROS!$D$88)*(1+PARAMETROS!$E$88)*(1+PARAMETROS!$F$88)*(1+PARAMETROS!$G$88)*(1+PARAMETROS!$H$88)^U56</f>
        <v>958212.33500079822</v>
      </c>
      <c r="V59" s="214">
        <f>(V37+V38)*(1+PARAMETROS!$C$88)*(1+PARAMETROS!$D$88)*(1+PARAMETROS!$E$88)*(1+PARAMETROS!$F$88)*(1+PARAMETROS!$G$88)*(1+PARAMETROS!$H$88)^V56</f>
        <v>977376.58170081431</v>
      </c>
      <c r="W59" s="214">
        <f>(W37+W38)*(1+PARAMETROS!$C$88)*(1+PARAMETROS!$D$88)*(1+PARAMETROS!$E$88)*(1+PARAMETROS!$F$88)*(1+PARAMETROS!$G$88)*(1+PARAMETROS!$H$88)^W56</f>
        <v>996924.1133348305</v>
      </c>
      <c r="X59" s="214">
        <f>(X37+X38)*(1+PARAMETROS!$C$88)*(1+PARAMETROS!$D$88)*(1+PARAMETROS!$E$88)*(1+PARAMETROS!$F$88)*(1+PARAMETROS!$G$88)*(1+PARAMETROS!$H$88)^X56</f>
        <v>1016862.595601527</v>
      </c>
      <c r="Y59" s="214">
        <f>(Y37+Y38)*(1+PARAMETROS!$C$88)*(1+PARAMETROS!$D$88)*(1+PARAMETROS!$E$88)*(1+PARAMETROS!$F$88)*(1+PARAMETROS!$G$88)*(1+PARAMETROS!$H$88)^Y56</f>
        <v>1037199.8475135576</v>
      </c>
      <c r="Z59" s="214">
        <f>(Z37+Z38)*(1+PARAMETROS!$C$88)*(1+PARAMETROS!$D$88)*(1+PARAMETROS!$E$88)*(1+PARAMETROS!$F$88)*(1+PARAMETROS!$G$88)*(1+PARAMETROS!$H$88)^Z56</f>
        <v>1057943.8444638287</v>
      </c>
      <c r="AA59" s="214">
        <f>(AA37+AA38)*(1+PARAMETROS!$C$88)*(1+PARAMETROS!$D$88)*(1+PARAMETROS!$E$88)*(1+PARAMETROS!$F$88)*(1+PARAMETROS!$G$88)*(1+PARAMETROS!$H$88)^AA56</f>
        <v>1079102.7213531053</v>
      </c>
      <c r="AB59" s="214">
        <f>(AB37+AB38)*(1+PARAMETROS!$C$88)*(1+PARAMETROS!$D$88)*(1+PARAMETROS!$E$88)*(1+PARAMETROS!$F$88)*(1+PARAMETROS!$G$88)*(1+PARAMETROS!$H$88)^AB56</f>
        <v>1100684.7757801672</v>
      </c>
      <c r="AC59" s="214">
        <f>(AC37+AC38)*(1+PARAMETROS!$C$88)*(1+PARAMETROS!$D$88)*(1+PARAMETROS!$E$88)*(1+PARAMETROS!$F$88)*(1+PARAMETROS!$G$88)*(1+PARAMETROS!$H$88)^AC56</f>
        <v>1122698.4712957707</v>
      </c>
      <c r="AD59" s="214">
        <f>(AD37+AD38)*(1+PARAMETROS!$C$88)*(1+PARAMETROS!$D$88)*(1+PARAMETROS!$E$88)*(1+PARAMETROS!$F$88)*(1+PARAMETROS!$G$88)*(1+PARAMETROS!$H$88)^AD56</f>
        <v>1145152.440721686</v>
      </c>
      <c r="AE59" s="214">
        <f>(AE37+AE38)*(1+PARAMETROS!$C$88)*(1+PARAMETROS!$D$88)*(1+PARAMETROS!$E$88)*(1+PARAMETROS!$F$88)*(1+PARAMETROS!$G$88)*(1+PARAMETROS!$H$88)^AE56</f>
        <v>1168055.4895361199</v>
      </c>
      <c r="AF59" s="214">
        <f>(AF37+AF38)*(1+PARAMETROS!$C$88)*(1+PARAMETROS!$D$88)*(1+PARAMETROS!$E$88)*(1+PARAMETROS!$F$88)*(1+PARAMETROS!$G$88)*(1+PARAMETROS!$H$88)^AF56</f>
        <v>1191416.5993268422</v>
      </c>
      <c r="AG59" s="214">
        <f>(AG37+AG38)*(1+PARAMETROS!$C$88)*(1+PARAMETROS!$D$88)*(1+PARAMETROS!$E$88)*(1+PARAMETROS!$F$88)*(1+PARAMETROS!$G$88)*(1+PARAMETROS!$H$88)^AG56</f>
        <v>1215244.9313133792</v>
      </c>
      <c r="AH59" s="214">
        <f>(AH37+AH38)*(1+PARAMETROS!$C$88)*(1+PARAMETROS!$D$88)*(1+PARAMETROS!$E$88)*(1+PARAMETROS!$F$88)*(1+PARAMETROS!$G$88)*(1+PARAMETROS!$H$88)^AH56</f>
        <v>1239549.8299396466</v>
      </c>
      <c r="AI59" s="214">
        <f>(AI37+AI38)*(1+PARAMETROS!$C$88)*(1+PARAMETROS!$D$88)*(1+PARAMETROS!$E$88)*(1+PARAMETROS!$F$88)*(1+PARAMETROS!$G$88)*(1+PARAMETROS!$H$88)^AI56</f>
        <v>1264340.8265384396</v>
      </c>
      <c r="AJ59" s="214">
        <f>(AJ37+AJ38)*(1+PARAMETROS!$C$88)*(1+PARAMETROS!$D$88)*(1+PARAMETROS!$E$88)*(1+PARAMETROS!$F$88)*(1+PARAMETROS!$G$88)*(1+PARAMETROS!$H$88)^AJ56</f>
        <v>1289627.6430692081</v>
      </c>
      <c r="AK59" s="214">
        <f>(AK37+AK38)*(1+PARAMETROS!$C$88)*(1+PARAMETROS!$D$88)*(1+PARAMETROS!$E$88)*(1+PARAMETROS!$F$88)*(1+PARAMETROS!$G$88)*(1+PARAMETROS!$H$88)^AK56</f>
        <v>1315420.1959305925</v>
      </c>
      <c r="AL59" s="214">
        <f>(AL37+AL38)*(1+PARAMETROS!$C$88)*(1+PARAMETROS!$D$88)*(1+PARAMETROS!$E$88)*(1+PARAMETROS!$F$88)*(1+PARAMETROS!$G$88)*(1+PARAMETROS!$H$88)^AL56</f>
        <v>1341728.5998492045</v>
      </c>
      <c r="AM59" s="214">
        <f>(AM37+AM38)*(1+PARAMETROS!$C$88)*(1+PARAMETROS!$D$88)*(1+PARAMETROS!$E$88)*(1+PARAMETROS!$F$88)*(1+PARAMETROS!$G$88)*(1+PARAMETROS!$H$88)^AM56</f>
        <v>1368563.1718461886</v>
      </c>
      <c r="AN59" s="214">
        <f>(AN37+AN38)*(1+PARAMETROS!$C$88)*(1+PARAMETROS!$D$88)*(1+PARAMETROS!$E$88)*(1+PARAMETROS!$F$88)*(1+PARAMETROS!$G$88)*(1+PARAMETROS!$H$88)^AN56</f>
        <v>1395934.4352831123</v>
      </c>
      <c r="AO59" s="214">
        <f>(AO37+AO38)*(1+PARAMETROS!$C$88)*(1+PARAMETROS!$D$88)*(1+PARAMETROS!$E$88)*(1+PARAMETROS!$F$88)*(1+PARAMETROS!$G$88)*(1+PARAMETROS!$H$88)^AO56</f>
        <v>1423853.1239887744</v>
      </c>
      <c r="AP59" s="214">
        <f>(AP37+AP38)*(1+PARAMETROS!$C$88)*(1+PARAMETROS!$D$88)*(1+PARAMETROS!$E$88)*(1+PARAMETROS!$F$88)*(1+PARAMETROS!$G$88)*(1+PARAMETROS!$H$88)^AP56</f>
        <v>1452330.18646855</v>
      </c>
      <c r="AQ59" s="214">
        <f>(AQ37+AQ38)*(1+PARAMETROS!$C$88)*(1+PARAMETROS!$D$88)*(1+PARAMETROS!$E$88)*(1+PARAMETROS!$F$88)*(1+PARAMETROS!$G$88)*(1+PARAMETROS!$H$88)^AQ56</f>
        <v>1481376.7901979212</v>
      </c>
      <c r="AR59" s="214">
        <f>(AR37+AR38)*(1+PARAMETROS!$C$88)*(1+PARAMETROS!$D$88)*(1+PARAMETROS!$E$88)*(1+PARAMETROS!$F$88)*(1+PARAMETROS!$G$88)*(1+PARAMETROS!$H$88)^AR56</f>
        <v>1511004.3260018791</v>
      </c>
    </row>
    <row r="60" spans="1:50" x14ac:dyDescent="0.2">
      <c r="B60" s="792" t="s">
        <v>430</v>
      </c>
      <c r="C60" s="770" t="s">
        <v>318</v>
      </c>
      <c r="D60" s="791">
        <f>(D32+D33+D41)*(1+PARAMETROS!$C$93)*(1+PARAMETROS!$D$93)*(1+PARAMETROS!$E$93)*(1+PARAMETROS!$F$93)</f>
        <v>715064.42787859088</v>
      </c>
      <c r="E60" s="791">
        <f>(E$32+E$33+E$41)*(1+PARAMETROS!$C$93)*(1+PARAMETROS!$D$93)*(1+PARAMETROS!$E$93)*(1+PARAMETROS!$F$93)*(1+PARAMETROS!$G$93)</f>
        <v>725790.39429676963</v>
      </c>
      <c r="F60" s="791">
        <f>(F32+F33+F41)*(1+PARAMETROS!$C$93)*(1+PARAMETROS!$D$93)*(1+PARAMETROS!$E$93)*(1+PARAMETROS!$F$93)*(1+PARAMETROS!$G$93)*(1+PARAMETROS!$H$93)^F56</f>
        <v>739580.41178840818</v>
      </c>
      <c r="G60" s="214">
        <f>(G32+G33+G41)*(1+PARAMETROS!$C$93)*(1+PARAMETROS!$D$93)*(1+PARAMETROS!$E$93)*(1+PARAMETROS!$F$93)*(1+PARAMETROS!$G$93)*(1+PARAMETROS!$H$93)^G56</f>
        <v>753632.43961238791</v>
      </c>
      <c r="H60" s="214">
        <f>(H32+H33+H41)*(1+PARAMETROS!$C$93)*(1+PARAMETROS!$D$93)*(1+PARAMETROS!$E$93)*(1+PARAMETROS!$F$93)*(1+PARAMETROS!$G$93)*(1+PARAMETROS!$H$93)^H56</f>
        <v>6188785.2627769541</v>
      </c>
      <c r="I60" s="214">
        <f>(I32+I33+I41)*(1+PARAMETROS!$C$93)*(1+PARAMETROS!$D$93)*(1+PARAMETROS!$E$93)*(1+PARAMETROS!$F$93)*(1+PARAMETROS!$G$93)*(1+PARAMETROS!$H$93)^I56</f>
        <v>782542.53362835874</v>
      </c>
      <c r="J60" s="214">
        <f>(J32+J33+J41)*(1+PARAMETROS!$C$93)*(1+PARAMETROS!$D$93)*(1+PARAMETROS!$E$93)*(1+PARAMETROS!$F$93)*(1+PARAMETROS!$G$93)*(1+PARAMETROS!$H$93)^J56</f>
        <v>797410.84176729736</v>
      </c>
      <c r="K60" s="214">
        <f>(K32+K33+K41)*(1+PARAMETROS!$C$93)*(1+PARAMETROS!$D$93)*(1+PARAMETROS!$E$93)*(1+PARAMETROS!$F$93)*(1+PARAMETROS!$G$93)*(1+PARAMETROS!$H$93)^K56</f>
        <v>812561.64776087611</v>
      </c>
      <c r="L60" s="214">
        <f>(L32+L33+L41)*(1+PARAMETROS!$C$93)*(1+PARAMETROS!$D$93)*(1+PARAMETROS!$E$93)*(1+PARAMETROS!$F$93)*(1+PARAMETROS!$G$93)*(1+PARAMETROS!$H$93)^L56</f>
        <v>828000.31906833278</v>
      </c>
      <c r="M60" s="214">
        <f>(M32+M33+M41)*(1+PARAMETROS!$C$93)*(1+PARAMETROS!$D$93)*(1+PARAMETROS!$E$93)*(1+PARAMETROS!$F$93)*(1+PARAMETROS!$G$93)*(1+PARAMETROS!$H$93)^M56</f>
        <v>6799489.9142880281</v>
      </c>
      <c r="N60" s="214">
        <f>(N32+N33+N41)*(1+PARAMETROS!$C$93)*(1+PARAMETROS!$D$93)*(1+PARAMETROS!$E$93)*(1+PARAMETROS!$F$93)*(1+PARAMETROS!$G$93)*(1+PARAMETROS!$H$93)^N56</f>
        <v>859763.23930811288</v>
      </c>
      <c r="O60" s="214">
        <f>(O32+O33+O41)*(1+PARAMETROS!$C$93)*(1+PARAMETROS!$D$93)*(1+PARAMETROS!$E$93)*(1+PARAMETROS!$F$93)*(1+PARAMETROS!$G$93)*(1+PARAMETROS!$H$93)^O56</f>
        <v>876098.74085496704</v>
      </c>
      <c r="P60" s="214">
        <f>(P32+P33+P41)*(1+PARAMETROS!$C$93)*(1+PARAMETROS!$D$93)*(1+PARAMETROS!$E$93)*(1+PARAMETROS!$F$93)*(1+PARAMETROS!$G$93)*(1+PARAMETROS!$H$93)^P56</f>
        <v>892744.61693121144</v>
      </c>
      <c r="Q60" s="214">
        <f>(Q32+Q33+Q41)*(1+PARAMETROS!$C$93)*(1+PARAMETROS!$D$93)*(1+PARAMETROS!$E$93)*(1+PARAMETROS!$F$93)*(1+PARAMETROS!$G$93)*(1+PARAMETROS!$H$93)^Q56</f>
        <v>909706.76465290436</v>
      </c>
      <c r="R60" s="214">
        <f>(R32+R33+R41)*(1+PARAMETROS!$C$93)*(1+PARAMETROS!$D$93)*(1+PARAMETROS!$E$93)*(1+PARAMETROS!$F$93)*(1+PARAMETROS!$G$93)*(1+PARAMETROS!$H$93)^R56</f>
        <v>7470458.4391670246</v>
      </c>
      <c r="S60" s="214">
        <f>(S32+S33+S41)*(1+PARAMETROS!$C$93)*(1+PARAMETROS!$D$93)*(1+PARAMETROS!$E$93)*(1+PARAMETROS!$F$93)*(1+PARAMETROS!$G$93)*(1+PARAMETROS!$H$93)^S56</f>
        <v>944604.02585175436</v>
      </c>
      <c r="T60" s="214">
        <f>(T32+T33+T41)*(1+PARAMETROS!$C$93)*(1+PARAMETROS!$D$93)*(1+PARAMETROS!$E$93)*(1+PARAMETROS!$F$93)*(1+PARAMETROS!$G$93)*(1+PARAMETROS!$H$93)^T56</f>
        <v>962551.50234293763</v>
      </c>
      <c r="U60" s="214">
        <f>(U32+U33+U41)*(1+PARAMETROS!$C$93)*(1+PARAMETROS!$D$93)*(1+PARAMETROS!$E$93)*(1+PARAMETROS!$F$93)*(1+PARAMETROS!$G$93)*(1+PARAMETROS!$H$93)^U56</f>
        <v>980839.98088745342</v>
      </c>
      <c r="V60" s="214">
        <f>(V32+V33+V41)*(1+PARAMETROS!$C$93)*(1+PARAMETROS!$D$93)*(1+PARAMETROS!$E$93)*(1+PARAMETROS!$F$93)*(1+PARAMETROS!$G$93)*(1+PARAMETROS!$H$93)^V56</f>
        <v>999475.940524315</v>
      </c>
      <c r="W60" s="214">
        <f>(W32+W33+W41)*(1+PARAMETROS!$C$93)*(1+PARAMETROS!$D$93)*(1+PARAMETROS!$E$93)*(1+PARAMETROS!$F$93)*(1+PARAMETROS!$G$93)*(1+PARAMETROS!$H$93)^W56</f>
        <v>8207637.6308832923</v>
      </c>
      <c r="X60" s="214">
        <f>(X32+X33+X41)*(1+PARAMETROS!$C$93)*(1+PARAMETROS!$D$93)*(1+PARAMETROS!$E$93)*(1+PARAMETROS!$F$93)*(1+PARAMETROS!$G$93)*(1+PARAMETROS!$H$93)^X56</f>
        <v>1037816.8370787682</v>
      </c>
      <c r="Y60" s="214">
        <f>(Y32+Y33+Y41)*(1+PARAMETROS!$C$93)*(1+PARAMETROS!$D$93)*(1+PARAMETROS!$E$93)*(1+PARAMETROS!$F$93)*(1+PARAMETROS!$G$93)*(1+PARAMETROS!$H$93)^Y56</f>
        <v>1057535.3569832647</v>
      </c>
      <c r="Z60" s="214">
        <f>(Z32+Z33+Z41)*(1+PARAMETROS!$C$93)*(1+PARAMETROS!$D$93)*(1+PARAMETROS!$E$93)*(1+PARAMETROS!$F$93)*(1+PARAMETROS!$G$93)*(1+PARAMETROS!$H$93)^Z56</f>
        <v>1077628.5287659466</v>
      </c>
      <c r="AA60" s="214">
        <f>(AA32+AA33+AA41)*(1+PARAMETROS!$C$93)*(1+PARAMETROS!$D$93)*(1+PARAMETROS!$E$93)*(1+PARAMETROS!$F$93)*(1+PARAMETROS!$G$93)*(1+PARAMETROS!$H$93)^AA56</f>
        <v>1098103.4708124998</v>
      </c>
      <c r="AB60" s="214">
        <f>(AB32+AB33+AB41)*(1+PARAMETROS!$C$93)*(1+PARAMETROS!$D$93)*(1+PARAMETROS!$E$93)*(1+PARAMETROS!$F$93)*(1+PARAMETROS!$G$93)*(1+PARAMETROS!$H$93)^AB56</f>
        <v>9017561.1079904363</v>
      </c>
      <c r="AC60" s="214">
        <f>(AC32+AC33+AC41)*(1+PARAMETROS!$C$93)*(1+PARAMETROS!$D$93)*(1+PARAMETROS!$E$93)*(1+PARAMETROS!$F$93)*(1+PARAMETROS!$G$93)*(1+PARAMETROS!$H$93)^AC56</f>
        <v>1140227.818056338</v>
      </c>
      <c r="AD60" s="214">
        <f>(AD32+AD33+AD41)*(1+PARAMETROS!$C$93)*(1+PARAMETROS!$D$93)*(1+PARAMETROS!$E$93)*(1+PARAMETROS!$F$93)*(1+PARAMETROS!$G$93)*(1+PARAMETROS!$H$93)^AD56</f>
        <v>1161892.1465994082</v>
      </c>
      <c r="AE60" s="214">
        <f>(AE32+AE33+AE41)*(1+PARAMETROS!$C$93)*(1+PARAMETROS!$D$93)*(1+PARAMETROS!$E$93)*(1+PARAMETROS!$F$93)*(1+PARAMETROS!$G$93)*(1+PARAMETROS!$H$93)^AE56</f>
        <v>1183968.0973847969</v>
      </c>
      <c r="AF60" s="214">
        <f>(AF32+AF33+AF41)*(1+PARAMETROS!$C$93)*(1+PARAMETROS!$D$93)*(1+PARAMETROS!$E$93)*(1+PARAMETROS!$F$93)*(1+PARAMETROS!$G$93)*(1+PARAMETROS!$H$93)^AF56</f>
        <v>1206463.4912351081</v>
      </c>
      <c r="AG60" s="214">
        <f>(AG32+AG33+AG41)*(1+PARAMETROS!$C$93)*(1+PARAMETROS!$D$93)*(1+PARAMETROS!$E$93)*(1+PARAMETROS!$F$93)*(1+PARAMETROS!$G$93)*(1+PARAMETROS!$H$93)^AG56</f>
        <v>9907407.2215820476</v>
      </c>
      <c r="AH60" s="214">
        <f>(AH32+AH33+AH41)*(1+PARAMETROS!$C$93)*(1+PARAMETROS!$D$93)*(1+PARAMETROS!$E$93)*(1+PARAMETROS!$F$93)*(1+PARAMETROS!$G$93)*(1+PARAMETROS!$H$93)^AH56</f>
        <v>1252744.6372223776</v>
      </c>
      <c r="AI60" s="214">
        <f>(AI32+AI33+AI41)*(1+PARAMETROS!$C$93)*(1+PARAMETROS!$D$93)*(1+PARAMETROS!$E$93)*(1+PARAMETROS!$F$93)*(1+PARAMETROS!$G$93)*(1+PARAMETROS!$H$93)^AI56</f>
        <v>1276546.7853296031</v>
      </c>
      <c r="AJ60" s="214">
        <f>(AJ32+AJ33+AJ41)*(1+PARAMETROS!$C$93)*(1+PARAMETROS!$D$93)*(1+PARAMETROS!$E$93)*(1+PARAMETROS!$F$93)*(1+PARAMETROS!$G$93)*(1+PARAMETROS!$H$93)^AJ56</f>
        <v>1300801.1742508656</v>
      </c>
      <c r="AK60" s="214">
        <f>(AK32+AK33+AK41)*(1+PARAMETROS!$C$93)*(1+PARAMETROS!$D$93)*(1+PARAMETROS!$E$93)*(1+PARAMETROS!$F$93)*(1+PARAMETROS!$G$93)*(1+PARAMETROS!$H$93)^AK56</f>
        <v>1325516.3965616319</v>
      </c>
      <c r="AL60" s="214">
        <f>(AL32+AL33+AL41)*(1+PARAMETROS!$C$93)*(1+PARAMETROS!$D$93)*(1+PARAMETROS!$E$93)*(1+PARAMETROS!$F$93)*(1+PARAMETROS!$G$93)*(1+PARAMETROS!$H$93)^AL56</f>
        <v>10885062.677011384</v>
      </c>
      <c r="AM60" s="214">
        <f>(AM32+AM33+AM41)*(1+PARAMETROS!$C$93)*(1+PARAMETROS!$D$93)*(1+PARAMETROS!$E$93)*(1+PARAMETROS!$F$93)*(1+PARAMETROS!$G$93)*(1+PARAMETROS!$H$93)^AM56</f>
        <v>1376364.5310501324</v>
      </c>
      <c r="AN60" s="214">
        <f>(AN32+AN33+AN41)*(1+PARAMETROS!$C$93)*(1+PARAMETROS!$D$93)*(1+PARAMETROS!$E$93)*(1+PARAMETROS!$F$93)*(1+PARAMETROS!$G$93)*(1+PARAMETROS!$H$93)^AN56</f>
        <v>1402515.4571400851</v>
      </c>
      <c r="AO60" s="214">
        <f>(AO32+AO33+AO41)*(1+PARAMETROS!$C$93)*(1+PARAMETROS!$D$93)*(1+PARAMETROS!$E$93)*(1+PARAMETROS!$F$93)*(1+PARAMETROS!$G$93)*(1+PARAMETROS!$H$93)^AO56</f>
        <v>1429163.2508257465</v>
      </c>
      <c r="AP60" s="214">
        <f>(AP32+AP33+AP41)*(1+PARAMETROS!$C$93)*(1+PARAMETROS!$D$93)*(1+PARAMETROS!$E$93)*(1+PARAMETROS!$F$93)*(1+PARAMETROS!$G$93)*(1+PARAMETROS!$H$93)^AP56</f>
        <v>1456317.3525914352</v>
      </c>
      <c r="AQ60" s="214">
        <f>(AQ32+AQ33+AQ41)*(1+PARAMETROS!$C$93)*(1+PARAMETROS!$D$93)*(1+PARAMETROS!$E$93)*(1+PARAMETROS!$F$93)*(1+PARAMETROS!$G$93)*(1+PARAMETROS!$H$93)^AQ56</f>
        <v>11959192.43375425</v>
      </c>
      <c r="AR60" s="214">
        <f>(AR32+AR33+AR41)*(1+PARAMETROS!$C$93)*(1+PARAMETROS!$D$93)*(1+PARAMETROS!$E$93)*(1+PARAMETROS!$F$93)*(1+PARAMETROS!$G$93)*(1+PARAMETROS!$H$93)^AR56</f>
        <v>1512183.1425541956</v>
      </c>
    </row>
    <row r="61" spans="1:50" x14ac:dyDescent="0.2">
      <c r="B61" s="792" t="s">
        <v>426</v>
      </c>
      <c r="C61" s="770" t="s">
        <v>317</v>
      </c>
      <c r="D61" s="791">
        <f>D46*(1+PARAMETROS!$C$98)*(1+PARAMETROS!$D$98)*(1+PARAMETROS!$E$98)*(1+PARAMETROS!$F$98)</f>
        <v>644711.1665284097</v>
      </c>
      <c r="E61" s="791">
        <f>(E46)*(1+PARAMETROS!$C$98)*(1+PARAMETROS!$D$98)*(1+PARAMETROS!$E$98)*(1+PARAMETROS!$F$98)*(1+PARAMETROS!$G$98)</f>
        <v>664052.50152426201</v>
      </c>
      <c r="F61" s="791">
        <f>(F46)*(1+PARAMETROS!$C$98)*(1+PARAMETROS!$D$98)*(1+PARAMETROS!$E$98)*(1+PARAMETROS!$F$98)*(1+PARAMETROS!$G$98)*(1+PARAMETROS!$H$98)^F56</f>
        <v>680653.81406236847</v>
      </c>
      <c r="G61" s="214">
        <f>(G46)*(1+PARAMETROS!$C$98)*(1+PARAMETROS!$D$98)*(1+PARAMETROS!$E$98)*(1+PARAMETROS!$F$98)*(1+PARAMETROS!$G$98)*(1+PARAMETROS!$H$98)^G56</f>
        <v>697670.1594139277</v>
      </c>
      <c r="H61" s="214">
        <f>(H46)*(1+PARAMETROS!$C$98)*(1+PARAMETROS!$D$98)*(1+PARAMETROS!$E$98)*(1+PARAMETROS!$F$98)*(1+PARAMETROS!$G$98)*(1+PARAMETROS!$H$98)^H56</f>
        <v>715111.91339927586</v>
      </c>
      <c r="I61" s="214">
        <f>(I46)*(1+PARAMETROS!$C$98)*(1+PARAMETROS!$D$98)*(1+PARAMETROS!$E$98)*(1+PARAMETROS!$F$98)*(1+PARAMETROS!$G$98)*(1+PARAMETROS!$H$98)^I56</f>
        <v>732989.71123425767</v>
      </c>
      <c r="J61" s="214">
        <f>(J46)*(1+PARAMETROS!$C$98)*(1+PARAMETROS!$D$98)*(1+PARAMETROS!$E$98)*(1+PARAMETROS!$F$98)*(1+PARAMETROS!$G$98)*(1+PARAMETROS!$H$98)^J56</f>
        <v>751314.45401511411</v>
      </c>
      <c r="K61" s="214">
        <f>(K46)*(1+PARAMETROS!$C$98)*(1+PARAMETROS!$D$98)*(1+PARAMETROS!$E$98)*(1+PARAMETROS!$F$98)*(1+PARAMETROS!$G$98)*(1+PARAMETROS!$H$98)^K56</f>
        <v>770097.3153654919</v>
      </c>
      <c r="L61" s="214">
        <f>(L46)*(1+PARAMETROS!$C$98)*(1+PARAMETROS!$D$98)*(1+PARAMETROS!$E$98)*(1+PARAMETROS!$F$98)*(1+PARAMETROS!$G$98)*(1+PARAMETROS!$H$98)^L56</f>
        <v>789349.74824962916</v>
      </c>
      <c r="M61" s="214">
        <f>(M46)*(1+PARAMETROS!$C$98)*(1+PARAMETROS!$D$98)*(1+PARAMETROS!$E$98)*(1+PARAMETROS!$F$98)*(1+PARAMETROS!$G$98)*(1+PARAMETROS!$H$98)^M56</f>
        <v>809083.49195586983</v>
      </c>
      <c r="N61" s="214">
        <f>(N46)*(1+PARAMETROS!$C$98)*(1+PARAMETROS!$D$98)*(1+PARAMETROS!$E$98)*(1+PARAMETROS!$F$98)*(1+PARAMETROS!$G$98)*(1+PARAMETROS!$H$98)^N56</f>
        <v>829310.57925476646</v>
      </c>
      <c r="O61" s="214">
        <f>(O46)*(1+PARAMETROS!$C$98)*(1+PARAMETROS!$D$98)*(1+PARAMETROS!$E$98)*(1+PARAMETROS!$F$98)*(1+PARAMETROS!$G$98)*(1+PARAMETROS!$H$98)^O56</f>
        <v>850043.34373613563</v>
      </c>
      <c r="P61" s="214">
        <f>(P46)*(1+PARAMETROS!$C$98)*(1+PARAMETROS!$D$98)*(1+PARAMETROS!$E$98)*(1+PARAMETROS!$F$98)*(1+PARAMETROS!$G$98)*(1+PARAMETROS!$H$98)^P56</f>
        <v>871294.42732953909</v>
      </c>
      <c r="Q61" s="214">
        <f>(Q46)*(1+PARAMETROS!$C$98)*(1+PARAMETROS!$D$98)*(1+PARAMETROS!$E$98)*(1+PARAMETROS!$F$98)*(1+PARAMETROS!$G$98)*(1+PARAMETROS!$H$98)^Q56</f>
        <v>893076.78801277746</v>
      </c>
      <c r="R61" s="214">
        <f>(R46)*(1+PARAMETROS!$C$98)*(1+PARAMETROS!$D$98)*(1+PARAMETROS!$E$98)*(1+PARAMETROS!$F$98)*(1+PARAMETROS!$G$98)*(1+PARAMETROS!$H$98)^R56</f>
        <v>915403.70771309687</v>
      </c>
      <c r="S61" s="214">
        <f>(S46)*(1+PARAMETROS!$C$98)*(1+PARAMETROS!$D$98)*(1+PARAMETROS!$E$98)*(1+PARAMETROS!$F$98)*(1+PARAMETROS!$G$98)*(1+PARAMETROS!$H$98)^S56</f>
        <v>938288.80040592409</v>
      </c>
      <c r="T61" s="214">
        <f>(T46)*(1+PARAMETROS!$C$98)*(1+PARAMETROS!$D$98)*(1+PARAMETROS!$E$98)*(1+PARAMETROS!$F$98)*(1+PARAMETROS!$G$98)*(1+PARAMETROS!$H$98)^T56</f>
        <v>961746.02041607245</v>
      </c>
      <c r="U61" s="214">
        <f>(U46)*(1+PARAMETROS!$C$98)*(1+PARAMETROS!$D$98)*(1+PARAMETROS!$E$98)*(1+PARAMETROS!$F$98)*(1+PARAMETROS!$G$98)*(1+PARAMETROS!$H$98)^U56</f>
        <v>985789.67092647415</v>
      </c>
      <c r="V61" s="214">
        <f>(V46)*(1+PARAMETROS!$C$98)*(1+PARAMETROS!$D$98)*(1+PARAMETROS!$E$98)*(1+PARAMETROS!$F$98)*(1+PARAMETROS!$G$98)*(1+PARAMETROS!$H$98)^V56</f>
        <v>1010434.4126996358</v>
      </c>
      <c r="W61" s="214">
        <f>(W46)*(1+PARAMETROS!$C$98)*(1+PARAMETROS!$D$98)*(1+PARAMETROS!$E$98)*(1+PARAMETROS!$F$98)*(1+PARAMETROS!$G$98)*(1+PARAMETROS!$H$98)^W56</f>
        <v>1035695.2730171268</v>
      </c>
      <c r="X61" s="214">
        <f>(X46)*(1+PARAMETROS!$C$98)*(1+PARAMETROS!$D$98)*(1+PARAMETROS!$E$98)*(1+PARAMETROS!$F$98)*(1+PARAMETROS!$G$98)*(1+PARAMETROS!$H$98)^X56</f>
        <v>1061587.6548425551</v>
      </c>
      <c r="Y61" s="214">
        <f>(Y46)*(1+PARAMETROS!$C$98)*(1+PARAMETROS!$D$98)*(1+PARAMETROS!$E$98)*(1+PARAMETROS!$F$98)*(1+PARAMETROS!$G$98)*(1+PARAMETROS!$H$98)^Y56</f>
        <v>1088127.3462136188</v>
      </c>
      <c r="Z61" s="214">
        <f>(Z46)*(1+PARAMETROS!$C$98)*(1+PARAMETROS!$D$98)*(1+PARAMETROS!$E$98)*(1+PARAMETROS!$F$98)*(1+PARAMETROS!$G$98)*(1+PARAMETROS!$H$98)^Z56</f>
        <v>1115330.529868959</v>
      </c>
      <c r="AA61" s="214">
        <f>(AA46)*(1+PARAMETROS!$C$98)*(1+PARAMETROS!$D$98)*(1+PARAMETROS!$E$98)*(1+PARAMETROS!$F$98)*(1+PARAMETROS!$G$98)*(1+PARAMETROS!$H$98)^AA56</f>
        <v>1143213.7931156829</v>
      </c>
      <c r="AB61" s="214">
        <f>(AB46)*(1+PARAMETROS!$C$98)*(1+PARAMETROS!$D$98)*(1+PARAMETROS!$E$98)*(1+PARAMETROS!$F$98)*(1+PARAMETROS!$G$98)*(1+PARAMETROS!$H$98)^AB56</f>
        <v>1171794.1379435752</v>
      </c>
      <c r="AC61" s="214">
        <f>(AC46)*(1+PARAMETROS!$C$98)*(1+PARAMETROS!$D$98)*(1+PARAMETROS!$E$98)*(1+PARAMETROS!$F$98)*(1+PARAMETROS!$G$98)*(1+PARAMETROS!$H$98)^AC56</f>
        <v>1201088.9913921645</v>
      </c>
      <c r="AD61" s="214">
        <f>(AD46)*(1+PARAMETROS!$C$98)*(1+PARAMETROS!$D$98)*(1+PARAMETROS!$E$98)*(1+PARAMETROS!$F$98)*(1+PARAMETROS!$G$98)*(1+PARAMETROS!$H$98)^AD56</f>
        <v>1231116.2161769683</v>
      </c>
      <c r="AE61" s="214">
        <f>(AE46)*(1+PARAMETROS!$C$98)*(1+PARAMETROS!$D$98)*(1+PARAMETROS!$E$98)*(1+PARAMETROS!$F$98)*(1+PARAMETROS!$G$98)*(1+PARAMETROS!$H$98)^AE56</f>
        <v>1261894.1215813924</v>
      </c>
      <c r="AF61" s="214">
        <f>(AF46)*(1+PARAMETROS!$C$98)*(1+PARAMETROS!$D$98)*(1+PARAMETROS!$E$98)*(1+PARAMETROS!$F$98)*(1+PARAMETROS!$G$98)*(1+PARAMETROS!$H$98)^AF56</f>
        <v>1293441.4746209271</v>
      </c>
      <c r="AG61" s="214">
        <f>(AG46)*(1+PARAMETROS!$C$98)*(1+PARAMETROS!$D$98)*(1+PARAMETROS!$E$98)*(1+PARAMETROS!$F$98)*(1+PARAMETROS!$G$98)*(1+PARAMETROS!$H$98)^AG56</f>
        <v>1325777.5114864502</v>
      </c>
      <c r="AH61" s="214">
        <f>(AH46)*(1+PARAMETROS!$C$98)*(1+PARAMETROS!$D$98)*(1+PARAMETROS!$E$98)*(1+PARAMETROS!$F$98)*(1+PARAMETROS!$G$98)*(1+PARAMETROS!$H$98)^AH56</f>
        <v>1358921.9492736117</v>
      </c>
      <c r="AI61" s="214">
        <f>(AI46)*(1+PARAMETROS!$C$98)*(1+PARAMETROS!$D$98)*(1+PARAMETROS!$E$98)*(1+PARAMETROS!$F$98)*(1+PARAMETROS!$G$98)*(1+PARAMETROS!$H$98)^AI56</f>
        <v>1392894.9980054516</v>
      </c>
      <c r="AJ61" s="214">
        <f>(AJ46)*(1+PARAMETROS!$C$98)*(1+PARAMETROS!$D$98)*(1+PARAMETROS!$E$98)*(1+PARAMETROS!$F$98)*(1+PARAMETROS!$G$98)*(1+PARAMETROS!$H$98)^AJ56</f>
        <v>1427717.3729555884</v>
      </c>
      <c r="AK61" s="214">
        <f>(AK46)*(1+PARAMETROS!$C$98)*(1+PARAMETROS!$D$98)*(1+PARAMETROS!$E$98)*(1+PARAMETROS!$F$98)*(1+PARAMETROS!$G$98)*(1+PARAMETROS!$H$98)^AK56</f>
        <v>1463410.3072794776</v>
      </c>
      <c r="AL61" s="214">
        <f>(AL46)*(1+PARAMETROS!$C$98)*(1+PARAMETROS!$D$98)*(1+PARAMETROS!$E$98)*(1+PARAMETROS!$F$98)*(1+PARAMETROS!$G$98)*(1+PARAMETROS!$H$98)^AL56</f>
        <v>1499995.5649614646</v>
      </c>
      <c r="AM61" s="214">
        <f>(AM46)*(1+PARAMETROS!$C$98)*(1+PARAMETROS!$D$98)*(1+PARAMETROS!$E$98)*(1+PARAMETROS!$F$98)*(1+PARAMETROS!$G$98)*(1+PARAMETROS!$H$98)^AM56</f>
        <v>1537495.4540855011</v>
      </c>
      <c r="AN61" s="214">
        <f>(AN46)*(1+PARAMETROS!$C$98)*(1+PARAMETROS!$D$98)*(1+PARAMETROS!$E$98)*(1+PARAMETROS!$F$98)*(1+PARAMETROS!$G$98)*(1+PARAMETROS!$H$98)^AN56</f>
        <v>1575932.8404376386</v>
      </c>
      <c r="AO61" s="214">
        <f>(AO46)*(1+PARAMETROS!$C$98)*(1+PARAMETROS!$D$98)*(1+PARAMETROS!$E$98)*(1+PARAMETROS!$F$98)*(1+PARAMETROS!$G$98)*(1+PARAMETROS!$H$98)^AO56</f>
        <v>1615331.1614485795</v>
      </c>
      <c r="AP61" s="214">
        <f>(AP46)*(1+PARAMETROS!$C$98)*(1+PARAMETROS!$D$98)*(1+PARAMETROS!$E$98)*(1+PARAMETROS!$F$98)*(1+PARAMETROS!$G$98)*(1+PARAMETROS!$H$98)^AP56</f>
        <v>1655714.4404847939</v>
      </c>
      <c r="AQ61" s="214">
        <f>(AQ46)*(1+PARAMETROS!$C$98)*(1+PARAMETROS!$D$98)*(1+PARAMETROS!$E$98)*(1+PARAMETROS!$F$98)*(1+PARAMETROS!$G$98)*(1+PARAMETROS!$H$98)^AQ56</f>
        <v>1697107.3014969134</v>
      </c>
      <c r="AR61" s="214">
        <f>(AR46)*(1+PARAMETROS!$C$98)*(1+PARAMETROS!$D$98)*(1+PARAMETROS!$E$98)*(1+PARAMETROS!$F$98)*(1+PARAMETROS!$G$98)*(1+PARAMETROS!$H$98)^AR56</f>
        <v>1739534.9840343364</v>
      </c>
    </row>
    <row r="62" spans="1:50" x14ac:dyDescent="0.2">
      <c r="B62" s="792" t="s">
        <v>431</v>
      </c>
      <c r="C62" s="770" t="s">
        <v>317</v>
      </c>
      <c r="D62" s="791">
        <f>D48*(1+PARAMETROS!$C$88)*(1+PARAMETROS!$D$88)*(1+PARAMETROS!$E$88)*(1+PARAMETROS!$F$88)</f>
        <v>62759.738587094631</v>
      </c>
      <c r="E62" s="791">
        <f>(E48)*(1+PARAMETROS!$C$88)*(1+PARAMETROS!$D$88)*(1+PARAMETROS!$E$88)*(1+PARAMETROS!$F$88)*(1+PARAMETROS!$G$88)</f>
        <v>64328.732051771993</v>
      </c>
      <c r="F62" s="791">
        <f>(F48)*(1+PARAMETROS!$C$88)*(1+PARAMETROS!$D$88)*(1+PARAMETROS!$E$88)*(1+PARAMETROS!$F$88)*(1+PARAMETROS!$G$88)*(1+PARAMETROS!$H$88)^F56</f>
        <v>65615.30669280744</v>
      </c>
      <c r="G62" s="214">
        <f>(G48)*(1+PARAMETROS!$C$88)*(1+PARAMETROS!$D$88)*(1+PARAMETROS!$E$88)*(1+PARAMETROS!$F$88)*(1+PARAMETROS!$G$88)*(1+PARAMETROS!$H$88)^G56</f>
        <v>66927.612826663579</v>
      </c>
      <c r="H62" s="214">
        <f>(H48)*(1+PARAMETROS!$C$88)*(1+PARAMETROS!$D$88)*(1+PARAMETROS!$E$88)*(1+PARAMETROS!$F$88)*(1+PARAMETROS!$G$88)*(1+PARAMETROS!$H$88)^H56</f>
        <v>139908.42489405666</v>
      </c>
      <c r="I62" s="214">
        <f>(I48)*(1+PARAMETROS!$C$88)*(1+PARAMETROS!$D$88)*(1+PARAMETROS!$E$88)*(1+PARAMETROS!$F$88)*(1+PARAMETROS!$G$88)*(1+PARAMETROS!$H$88)^I56</f>
        <v>69631.488384860786</v>
      </c>
      <c r="J62" s="214">
        <f>(J48)*(1+PARAMETROS!$C$88)*(1+PARAMETROS!$D$88)*(1+PARAMETROS!$E$88)*(1+PARAMETROS!$F$88)*(1+PARAMETROS!$G$88)*(1+PARAMETROS!$H$88)^J56</f>
        <v>71024.118152558003</v>
      </c>
      <c r="K62" s="214">
        <f>(K48)*(1+PARAMETROS!$C$88)*(1+PARAMETROS!$D$88)*(1+PARAMETROS!$E$88)*(1+PARAMETROS!$F$88)*(1+PARAMETROS!$G$88)*(1+PARAMETROS!$H$88)^K56</f>
        <v>72444.600515609171</v>
      </c>
      <c r="L62" s="214">
        <f>(L48)*(1+PARAMETROS!$C$88)*(1+PARAMETROS!$D$88)*(1+PARAMETROS!$E$88)*(1+PARAMETROS!$F$88)*(1+PARAMETROS!$G$88)*(1+PARAMETROS!$H$88)^L56</f>
        <v>73893.492525921334</v>
      </c>
      <c r="M62" s="214">
        <f>(M48)*(1+PARAMETROS!$C$88)*(1+PARAMETROS!$D$88)*(1+PARAMETROS!$E$88)*(1+PARAMETROS!$F$88)*(1+PARAMETROS!$G$88)*(1+PARAMETROS!$H$88)^M56</f>
        <v>154470.20613147697</v>
      </c>
      <c r="N62" s="214">
        <f>(N48)*(1+PARAMETROS!$C$88)*(1+PARAMETROS!$D$88)*(1+PARAMETROS!$E$88)*(1+PARAMETROS!$F$88)*(1+PARAMETROS!$G$88)*(1+PARAMETROS!$H$88)^N56</f>
        <v>76878.789623968565</v>
      </c>
      <c r="O62" s="214">
        <f>(O48)*(1+PARAMETROS!$C$88)*(1+PARAMETROS!$D$88)*(1+PARAMETROS!$E$88)*(1+PARAMETROS!$F$88)*(1+PARAMETROS!$G$88)*(1+PARAMETROS!$H$88)^O56</f>
        <v>78416.365416447938</v>
      </c>
      <c r="P62" s="214">
        <f>(P48)*(1+PARAMETROS!$C$88)*(1+PARAMETROS!$D$88)*(1+PARAMETROS!$E$88)*(1+PARAMETROS!$F$88)*(1+PARAMETROS!$G$88)*(1+PARAMETROS!$H$88)^P56</f>
        <v>79984.692724776891</v>
      </c>
      <c r="Q62" s="214">
        <f>(Q48)*(1+PARAMETROS!$C$88)*(1+PARAMETROS!$D$88)*(1+PARAMETROS!$E$88)*(1+PARAMETROS!$F$88)*(1+PARAMETROS!$G$88)*(1+PARAMETROS!$H$88)^Q56</f>
        <v>81584.386579272439</v>
      </c>
      <c r="R62" s="214">
        <f>(R48)*(1+PARAMETROS!$C$88)*(1+PARAMETROS!$D$88)*(1+PARAMETROS!$E$88)*(1+PARAMETROS!$F$88)*(1+PARAMETROS!$G$88)*(1+PARAMETROS!$H$88)^R56</f>
        <v>170547.58925611063</v>
      </c>
      <c r="S62" s="214">
        <f>(S48)*(1+PARAMETROS!$C$88)*(1+PARAMETROS!$D$88)*(1+PARAMETROS!$E$88)*(1+PARAMETROS!$F$88)*(1+PARAMETROS!$G$88)*(1+PARAMETROS!$H$88)^S56</f>
        <v>84880.395797075049</v>
      </c>
      <c r="T62" s="214">
        <f>(T48)*(1+PARAMETROS!$C$88)*(1+PARAMETROS!$D$88)*(1+PARAMETROS!$E$88)*(1+PARAMETROS!$F$88)*(1+PARAMETROS!$G$88)*(1+PARAMETROS!$H$88)^T56</f>
        <v>86578.003713016529</v>
      </c>
      <c r="U62" s="214">
        <f>(U48)*(1+PARAMETROS!$C$88)*(1+PARAMETROS!$D$88)*(1+PARAMETROS!$E$88)*(1+PARAMETROS!$F$88)*(1+PARAMETROS!$G$88)*(1+PARAMETROS!$H$88)^U56</f>
        <v>88309.563787276871</v>
      </c>
      <c r="V62" s="214">
        <f>(V48)*(1+PARAMETROS!$C$88)*(1+PARAMETROS!$D$88)*(1+PARAMETROS!$E$88)*(1+PARAMETROS!$F$88)*(1+PARAMETROS!$G$88)*(1+PARAMETROS!$H$88)^V56</f>
        <v>90075.755063022414</v>
      </c>
      <c r="W62" s="214">
        <f>(W48)*(1+PARAMETROS!$C$88)*(1+PARAMETROS!$D$88)*(1+PARAMETROS!$E$88)*(1+PARAMETROS!$F$88)*(1+PARAMETROS!$G$88)*(1+PARAMETROS!$H$88)^W56</f>
        <v>188298.31932971033</v>
      </c>
      <c r="X62" s="214">
        <f>(X48)*(1+PARAMETROS!$C$88)*(1+PARAMETROS!$D$88)*(1+PARAMETROS!$E$88)*(1+PARAMETROS!$F$88)*(1+PARAMETROS!$G$88)*(1+PARAMETROS!$H$88)^X56</f>
        <v>93714.815567568512</v>
      </c>
      <c r="Y62" s="214">
        <f>(Y48)*(1+PARAMETROS!$C$88)*(1+PARAMETROS!$D$88)*(1+PARAMETROS!$E$88)*(1+PARAMETROS!$F$88)*(1+PARAMETROS!$G$88)*(1+PARAMETROS!$H$88)^Y56</f>
        <v>95589.111878919881</v>
      </c>
      <c r="Z62" s="214">
        <f>(Z48)*(1+PARAMETROS!$C$88)*(1+PARAMETROS!$D$88)*(1+PARAMETROS!$E$88)*(1+PARAMETROS!$F$88)*(1+PARAMETROS!$G$88)*(1+PARAMETROS!$H$88)^Z56</f>
        <v>97500.894116498283</v>
      </c>
      <c r="AA62" s="214">
        <f>(AA48)*(1+PARAMETROS!$C$88)*(1+PARAMETROS!$D$88)*(1+PARAMETROS!$E$88)*(1+PARAMETROS!$F$88)*(1+PARAMETROS!$G$88)*(1+PARAMETROS!$H$88)^AA56</f>
        <v>99450.911998828247</v>
      </c>
      <c r="AB62" s="214">
        <f>(AB48)*(1+PARAMETROS!$C$88)*(1+PARAMETROS!$D$88)*(1+PARAMETROS!$E$88)*(1+PARAMETROS!$F$88)*(1+PARAMETROS!$G$88)*(1+PARAMETROS!$H$88)^AB56</f>
        <v>207896.55964675662</v>
      </c>
      <c r="AC62" s="214">
        <f>(AC48)*(1+PARAMETROS!$C$88)*(1+PARAMETROS!$D$88)*(1+PARAMETROS!$E$88)*(1+PARAMETROS!$F$88)*(1+PARAMETROS!$G$88)*(1+PARAMETROS!$H$88)^AC56</f>
        <v>103468.72884358089</v>
      </c>
      <c r="AD62" s="214">
        <f>(AD48)*(1+PARAMETROS!$C$88)*(1+PARAMETROS!$D$88)*(1+PARAMETROS!$E$88)*(1+PARAMETROS!$F$88)*(1+PARAMETROS!$G$88)*(1+PARAMETROS!$H$88)^AD56</f>
        <v>105538.10342045251</v>
      </c>
      <c r="AE62" s="214">
        <f>(AE48)*(1+PARAMETROS!$C$88)*(1+PARAMETROS!$D$88)*(1+PARAMETROS!$E$88)*(1+PARAMETROS!$F$88)*(1+PARAMETROS!$G$88)*(1+PARAMETROS!$H$88)^AE56</f>
        <v>107648.86548886157</v>
      </c>
      <c r="AF62" s="214">
        <f>(AF48)*(1+PARAMETROS!$C$88)*(1+PARAMETROS!$D$88)*(1+PARAMETROS!$E$88)*(1+PARAMETROS!$F$88)*(1+PARAMETROS!$G$88)*(1+PARAMETROS!$H$88)^AF56</f>
        <v>109801.84279863878</v>
      </c>
      <c r="AG62" s="214">
        <f>(AG48)*(1+PARAMETROS!$C$88)*(1+PARAMETROS!$D$88)*(1+PARAMETROS!$E$88)*(1+PARAMETROS!$F$88)*(1+PARAMETROS!$G$88)*(1+PARAMETROS!$H$88)^AG56</f>
        <v>229534.6005573078</v>
      </c>
      <c r="AH62" s="214">
        <f>(AH48)*(1+PARAMETROS!$C$88)*(1+PARAMETROS!$D$88)*(1+PARAMETROS!$E$88)*(1+PARAMETROS!$F$88)*(1+PARAMETROS!$G$88)*(1+PARAMETROS!$H$88)^AH56</f>
        <v>114237.83724770379</v>
      </c>
      <c r="AI62" s="214">
        <f>(AI48)*(1+PARAMETROS!$C$88)*(1+PARAMETROS!$D$88)*(1+PARAMETROS!$E$88)*(1+PARAMETROS!$F$88)*(1+PARAMETROS!$G$88)*(1+PARAMETROS!$H$88)^AI56</f>
        <v>116522.59399265789</v>
      </c>
      <c r="AJ62" s="214">
        <f>(AJ48)*(1+PARAMETROS!$C$88)*(1+PARAMETROS!$D$88)*(1+PARAMETROS!$E$88)*(1+PARAMETROS!$F$88)*(1+PARAMETROS!$G$88)*(1+PARAMETROS!$H$88)^AJ56</f>
        <v>118853.04587251101</v>
      </c>
      <c r="AK62" s="214">
        <f>(AK48)*(1+PARAMETROS!$C$88)*(1+PARAMETROS!$D$88)*(1+PARAMETROS!$E$88)*(1+PARAMETROS!$F$88)*(1+PARAMETROS!$G$88)*(1+PARAMETROS!$H$88)^AK56</f>
        <v>121230.10678996125</v>
      </c>
      <c r="AL62" s="214">
        <f>(AL48)*(1+PARAMETROS!$C$88)*(1+PARAMETROS!$D$88)*(1+PARAMETROS!$E$88)*(1+PARAMETROS!$F$88)*(1+PARAMETROS!$G$88)*(1+PARAMETROS!$H$88)^AL56</f>
        <v>253424.74614550357</v>
      </c>
      <c r="AM62" s="214">
        <f>(AM48)*(1+PARAMETROS!$C$88)*(1+PARAMETROS!$D$88)*(1+PARAMETROS!$E$88)*(1+PARAMETROS!$F$88)*(1+PARAMETROS!$G$88)*(1+PARAMETROS!$H$88)^AM56</f>
        <v>126127.80310427569</v>
      </c>
      <c r="AN62" s="214">
        <f>(AN48)*(1+PARAMETROS!$C$88)*(1+PARAMETROS!$D$88)*(1+PARAMETROS!$E$88)*(1+PARAMETROS!$F$88)*(1+PARAMETROS!$G$88)*(1+PARAMETROS!$H$88)^AN56</f>
        <v>128650.3591663612</v>
      </c>
      <c r="AO62" s="214">
        <f>(AO48)*(1+PARAMETROS!$C$88)*(1+PARAMETROS!$D$88)*(1+PARAMETROS!$E$88)*(1+PARAMETROS!$F$88)*(1+PARAMETROS!$G$88)*(1+PARAMETROS!$H$88)^AO56</f>
        <v>131223.36634968841</v>
      </c>
      <c r="AP62" s="214">
        <f>(AP48)*(1+PARAMETROS!$C$88)*(1+PARAMETROS!$D$88)*(1+PARAMETROS!$E$88)*(1+PARAMETROS!$F$88)*(1+PARAMETROS!$G$88)*(1+PARAMETROS!$H$88)^AP56</f>
        <v>133847.8336766822</v>
      </c>
      <c r="AQ62" s="214">
        <f>(AQ48)*(1+PARAMETROS!$C$88)*(1+PARAMETROS!$D$88)*(1+PARAMETROS!$E$88)*(1+PARAMETROS!$F$88)*(1+PARAMETROS!$G$88)*(1+PARAMETROS!$H$88)^AQ56</f>
        <v>279801.3972750837</v>
      </c>
      <c r="AR62" s="214">
        <f>(AR48)*(1+PARAMETROS!$C$88)*(1+PARAMETROS!$D$88)*(1+PARAMETROS!$E$88)*(1+PARAMETROS!$F$88)*(1+PARAMETROS!$G$88)*(1+PARAMETROS!$H$88)^AR56</f>
        <v>139255.28615722014</v>
      </c>
    </row>
    <row r="63" spans="1:50" x14ac:dyDescent="0.2">
      <c r="B63" s="795"/>
      <c r="C63" s="796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43"/>
      <c r="AT63" s="43"/>
      <c r="AU63" s="43"/>
      <c r="AV63" s="43"/>
    </row>
    <row r="64" spans="1:50" x14ac:dyDescent="0.2">
      <c r="A64" s="723"/>
      <c r="B64" s="794" t="s">
        <v>177</v>
      </c>
      <c r="C64" s="793"/>
      <c r="D64" s="793">
        <f>SUM(D57:D62)</f>
        <v>3454589.5691445097</v>
      </c>
      <c r="E64" s="793">
        <f t="shared" ref="E64" si="162">SUM(E57:E62)</f>
        <v>3546350.2599561452</v>
      </c>
      <c r="F64" s="793">
        <f t="shared" ref="F64" si="163">SUM(F57:F62)</f>
        <v>3629500.1452487805</v>
      </c>
      <c r="G64" s="793">
        <f t="shared" ref="G64" si="164">SUM(G57:G62)</f>
        <v>3714649.5304283733</v>
      </c>
      <c r="H64" s="793">
        <f t="shared" ref="H64" si="165">SUM(H57:H62)</f>
        <v>9294323.7646731809</v>
      </c>
      <c r="I64" s="793">
        <f t="shared" ref="I64" si="166">SUM(I57:I62)</f>
        <v>3891145.174125297</v>
      </c>
      <c r="J64" s="793">
        <f t="shared" ref="J64" si="167">SUM(J57:J62)</f>
        <v>3982593.760180179</v>
      </c>
      <c r="K64" s="793">
        <f t="shared" ref="K64" si="168">SUM(K57:K62)</f>
        <v>4076246.5661634705</v>
      </c>
      <c r="L64" s="793">
        <f t="shared" ref="L64" si="169">SUM(L57:L62)</f>
        <v>4172158.0442154035</v>
      </c>
      <c r="M64" s="793">
        <f t="shared" ref="M64" si="170">SUM(M57:M62)</f>
        <v>10305240.456239779</v>
      </c>
      <c r="N64" s="793">
        <f t="shared" ref="N64" si="171">SUM(N57:N62)</f>
        <v>4370981.7449138239</v>
      </c>
      <c r="O64" s="793">
        <f t="shared" ref="O64" si="172">SUM(O57:O62)</f>
        <v>4474009.8993217153</v>
      </c>
      <c r="P64" s="793">
        <f t="shared" ref="P64" si="173">SUM(P57:P62)</f>
        <v>4579528.6633017063</v>
      </c>
      <c r="Q64" s="793">
        <f t="shared" ref="Q64" si="174">SUM(Q57:Q62)</f>
        <v>4687599.7384678498</v>
      </c>
      <c r="R64" s="793">
        <f t="shared" ref="R64" si="175">SUM(R57:R62)</f>
        <v>11429085.151702685</v>
      </c>
      <c r="S64" s="793">
        <f t="shared" ref="S64" si="176">SUM(S57:S62)</f>
        <v>4911653.4910183838</v>
      </c>
      <c r="T64" s="793">
        <f t="shared" ref="T64" si="177">SUM(T57:T62)</f>
        <v>5027767.5564522296</v>
      </c>
      <c r="U64" s="793">
        <f t="shared" ref="U64" si="178">SUM(U57:U62)</f>
        <v>5146696.7934412798</v>
      </c>
      <c r="V64" s="793">
        <f t="shared" ref="V64" si="179">SUM(V57:V62)</f>
        <v>5268511.1412896216</v>
      </c>
      <c r="W64" s="793">
        <f t="shared" ref="W64" si="180">SUM(W57:W62)</f>
        <v>12678875.013862662</v>
      </c>
      <c r="X64" s="793">
        <f t="shared" ref="X64" si="181">SUM(X57:X62)</f>
        <v>5521083.8624752844</v>
      </c>
      <c r="Y64" s="793">
        <f t="shared" ref="Y64" si="182">SUM(Y57:Y62)</f>
        <v>5651991.1898182109</v>
      </c>
      <c r="Z64" s="793">
        <f t="shared" ref="Z64" si="183">SUM(Z57:Z62)</f>
        <v>5786081.6320499461</v>
      </c>
      <c r="AA64" s="793">
        <f t="shared" ref="AA64" si="184">SUM(AA57:AA62)</f>
        <v>5923434.4919935949</v>
      </c>
      <c r="AB64" s="793">
        <f t="shared" ref="AB64" si="185">SUM(AB57:AB62)</f>
        <v>14069181.394370388</v>
      </c>
      <c r="AC64" s="793">
        <f t="shared" ref="AC64" si="186">SUM(AC57:AC62)</f>
        <v>6208254.835203521</v>
      </c>
      <c r="AD64" s="793">
        <f t="shared" ref="AD64" si="187">SUM(AD57:AD62)</f>
        <v>6355891.2422239808</v>
      </c>
      <c r="AE64" s="793">
        <f t="shared" ref="AE64" si="188">SUM(AE57:AE62)</f>
        <v>6507128.0239001652</v>
      </c>
      <c r="AF64" s="793">
        <f t="shared" ref="AF64" si="189">SUM(AF57:AF62)</f>
        <v>6662055.1295457529</v>
      </c>
      <c r="AG64" s="793">
        <f t="shared" ref="AG64" si="190">SUM(AG57:AG62)</f>
        <v>15616322.452012271</v>
      </c>
      <c r="AH64" s="793">
        <f t="shared" ref="AH64" si="191">SUM(AH57:AH62)</f>
        <v>6983351.6630770871</v>
      </c>
      <c r="AI64" s="793">
        <f t="shared" ref="AI64" si="192">SUM(AI57:AI62)</f>
        <v>7149912.7241678927</v>
      </c>
      <c r="AJ64" s="793">
        <f t="shared" ref="AJ64" si="193">SUM(AJ57:AJ62)</f>
        <v>7320547.5004008031</v>
      </c>
      <c r="AK64" s="793">
        <f t="shared" ref="AK64" si="194">SUM(AK57:AK62)</f>
        <v>7495358.0500422539</v>
      </c>
      <c r="AL64" s="793">
        <f t="shared" ref="AL64" si="195">SUM(AL57:AL62)</f>
        <v>17338580.552335452</v>
      </c>
      <c r="AM64" s="793">
        <f t="shared" ref="AM64" si="196">SUM(AM57:AM62)</f>
        <v>7857927.8452074975</v>
      </c>
      <c r="AN64" s="793">
        <f t="shared" ref="AN64" si="197">SUM(AN57:AN62)</f>
        <v>8045904.5568202641</v>
      </c>
      <c r="AO64" s="793">
        <f t="shared" ref="AO64" si="198">SUM(AO57:AO62)</f>
        <v>8238492.1162956236</v>
      </c>
      <c r="AP64" s="793">
        <f t="shared" ref="AP64" si="199">SUM(AP57:AP62)</f>
        <v>8435806.3583844062</v>
      </c>
      <c r="AQ64" s="793">
        <f t="shared" ref="AQ64" si="200">SUM(AQ57:AQ62)</f>
        <v>19256447.751688365</v>
      </c>
      <c r="AR64" s="793">
        <f t="shared" ref="AR64" si="201">SUM(AR57:AR62)</f>
        <v>8845093.1847132817</v>
      </c>
      <c r="AS64" s="43"/>
    </row>
    <row r="65" spans="2:44" x14ac:dyDescent="0.2">
      <c r="C65" s="752"/>
    </row>
    <row r="66" spans="2:44" x14ac:dyDescent="0.2">
      <c r="B66" s="743" t="s">
        <v>414</v>
      </c>
      <c r="C66" s="744"/>
      <c r="D66" s="745"/>
      <c r="E66" s="746"/>
      <c r="F66" s="746"/>
      <c r="G66" s="746"/>
      <c r="H66" s="747"/>
      <c r="I66" s="748"/>
      <c r="J66" s="731"/>
      <c r="K66" s="731"/>
      <c r="L66" s="731"/>
      <c r="M66" s="731"/>
      <c r="N66" s="731"/>
      <c r="O66" s="731"/>
      <c r="P66" s="731"/>
      <c r="Q66" s="731"/>
      <c r="R66" s="731"/>
      <c r="S66" s="731"/>
      <c r="T66" s="731"/>
      <c r="U66" s="731"/>
      <c r="V66" s="731"/>
      <c r="W66" s="731"/>
      <c r="X66" s="731"/>
      <c r="Y66" s="731"/>
      <c r="Z66" s="731"/>
      <c r="AA66" s="731"/>
      <c r="AB66" s="731"/>
      <c r="AC66" s="731"/>
      <c r="AD66" s="731"/>
      <c r="AE66" s="731"/>
      <c r="AF66" s="731"/>
      <c r="AG66" s="731"/>
      <c r="AH66" s="731"/>
      <c r="AI66" s="731"/>
      <c r="AJ66" s="731"/>
      <c r="AK66" s="731"/>
      <c r="AL66" s="731"/>
      <c r="AM66" s="731"/>
      <c r="AN66" s="731"/>
      <c r="AO66" s="749"/>
      <c r="AP66" s="749"/>
      <c r="AQ66" s="749"/>
      <c r="AR66" s="749"/>
    </row>
    <row r="67" spans="2:44" x14ac:dyDescent="0.2">
      <c r="C67" s="752"/>
    </row>
    <row r="68" spans="2:44" x14ac:dyDescent="0.2">
      <c r="C68" s="752"/>
      <c r="D68" s="754">
        <f>D17</f>
        <v>2019</v>
      </c>
      <c r="E68" s="754">
        <f t="shared" ref="E68:AR68" si="202">E17</f>
        <v>2020</v>
      </c>
      <c r="F68" s="754">
        <f t="shared" si="202"/>
        <v>2021</v>
      </c>
      <c r="G68" s="754">
        <f t="shared" si="202"/>
        <v>2022</v>
      </c>
      <c r="H68" s="754">
        <f t="shared" si="202"/>
        <v>2023</v>
      </c>
      <c r="I68" s="754">
        <f t="shared" si="202"/>
        <v>2024</v>
      </c>
      <c r="J68" s="754">
        <f t="shared" si="202"/>
        <v>2025</v>
      </c>
      <c r="K68" s="754">
        <f t="shared" si="202"/>
        <v>2026</v>
      </c>
      <c r="L68" s="754">
        <f t="shared" si="202"/>
        <v>2027</v>
      </c>
      <c r="M68" s="754">
        <f t="shared" si="202"/>
        <v>2028</v>
      </c>
      <c r="N68" s="754">
        <f t="shared" si="202"/>
        <v>2029</v>
      </c>
      <c r="O68" s="754">
        <f t="shared" si="202"/>
        <v>2030</v>
      </c>
      <c r="P68" s="754">
        <f t="shared" si="202"/>
        <v>2031</v>
      </c>
      <c r="Q68" s="754">
        <f t="shared" si="202"/>
        <v>2032</v>
      </c>
      <c r="R68" s="754">
        <f t="shared" si="202"/>
        <v>2033</v>
      </c>
      <c r="S68" s="754">
        <f t="shared" si="202"/>
        <v>2034</v>
      </c>
      <c r="T68" s="754">
        <f t="shared" si="202"/>
        <v>2035</v>
      </c>
      <c r="U68" s="754">
        <f t="shared" si="202"/>
        <v>2036</v>
      </c>
      <c r="V68" s="754">
        <f t="shared" si="202"/>
        <v>2037</v>
      </c>
      <c r="W68" s="754">
        <f t="shared" si="202"/>
        <v>2038</v>
      </c>
      <c r="X68" s="754">
        <f t="shared" si="202"/>
        <v>2039</v>
      </c>
      <c r="Y68" s="754">
        <f t="shared" si="202"/>
        <v>2040</v>
      </c>
      <c r="Z68" s="754">
        <f t="shared" si="202"/>
        <v>2041</v>
      </c>
      <c r="AA68" s="754">
        <f t="shared" si="202"/>
        <v>2042</v>
      </c>
      <c r="AB68" s="754">
        <f t="shared" si="202"/>
        <v>2043</v>
      </c>
      <c r="AC68" s="754">
        <f t="shared" si="202"/>
        <v>2044</v>
      </c>
      <c r="AD68" s="754">
        <f t="shared" si="202"/>
        <v>2045</v>
      </c>
      <c r="AE68" s="754">
        <f t="shared" si="202"/>
        <v>2046</v>
      </c>
      <c r="AF68" s="754">
        <f t="shared" si="202"/>
        <v>2047</v>
      </c>
      <c r="AG68" s="754">
        <f t="shared" si="202"/>
        <v>2048</v>
      </c>
      <c r="AH68" s="754">
        <f t="shared" si="202"/>
        <v>2049</v>
      </c>
      <c r="AI68" s="754">
        <f t="shared" si="202"/>
        <v>2050</v>
      </c>
      <c r="AJ68" s="754">
        <f t="shared" si="202"/>
        <v>2051</v>
      </c>
      <c r="AK68" s="754">
        <f t="shared" si="202"/>
        <v>2052</v>
      </c>
      <c r="AL68" s="754">
        <f t="shared" si="202"/>
        <v>2053</v>
      </c>
      <c r="AM68" s="754">
        <f t="shared" si="202"/>
        <v>2054</v>
      </c>
      <c r="AN68" s="754">
        <f t="shared" si="202"/>
        <v>2055</v>
      </c>
      <c r="AO68" s="754">
        <f t="shared" si="202"/>
        <v>2056</v>
      </c>
      <c r="AP68" s="754">
        <f t="shared" si="202"/>
        <v>2057</v>
      </c>
      <c r="AQ68" s="754">
        <f t="shared" si="202"/>
        <v>2058</v>
      </c>
      <c r="AR68" s="754">
        <f t="shared" si="202"/>
        <v>2059</v>
      </c>
    </row>
    <row r="69" spans="2:44" x14ac:dyDescent="0.2">
      <c r="C69" s="752"/>
      <c r="F69" s="755">
        <v>1</v>
      </c>
      <c r="G69" s="756">
        <v>2</v>
      </c>
      <c r="H69" s="755">
        <v>3</v>
      </c>
      <c r="I69" s="755">
        <v>4</v>
      </c>
      <c r="J69" s="756">
        <v>5</v>
      </c>
      <c r="K69" s="755">
        <v>6</v>
      </c>
      <c r="L69" s="755">
        <v>7</v>
      </c>
      <c r="M69" s="756">
        <v>8</v>
      </c>
      <c r="N69" s="755">
        <v>9</v>
      </c>
      <c r="O69" s="755">
        <v>10</v>
      </c>
      <c r="P69" s="756">
        <v>11</v>
      </c>
      <c r="Q69" s="755">
        <v>12</v>
      </c>
      <c r="R69" s="755">
        <v>13</v>
      </c>
      <c r="S69" s="756">
        <v>14</v>
      </c>
      <c r="T69" s="755">
        <v>15</v>
      </c>
      <c r="U69" s="755">
        <v>16</v>
      </c>
      <c r="V69" s="756">
        <v>17</v>
      </c>
      <c r="W69" s="755">
        <v>18</v>
      </c>
      <c r="X69" s="755">
        <v>19</v>
      </c>
      <c r="Y69" s="756">
        <v>20</v>
      </c>
      <c r="Z69" s="755">
        <v>21</v>
      </c>
      <c r="AA69" s="755">
        <v>22</v>
      </c>
      <c r="AB69" s="756">
        <v>23</v>
      </c>
      <c r="AC69" s="755">
        <v>24</v>
      </c>
      <c r="AD69" s="755">
        <v>25</v>
      </c>
      <c r="AE69" s="756">
        <v>26</v>
      </c>
      <c r="AF69" s="755">
        <v>27</v>
      </c>
      <c r="AG69" s="755">
        <v>28</v>
      </c>
      <c r="AH69" s="756">
        <v>29</v>
      </c>
      <c r="AI69" s="755">
        <v>30</v>
      </c>
      <c r="AJ69" s="755">
        <v>31</v>
      </c>
      <c r="AK69" s="756">
        <v>32</v>
      </c>
      <c r="AL69" s="755">
        <v>33</v>
      </c>
      <c r="AM69" s="755">
        <v>34</v>
      </c>
      <c r="AN69" s="756">
        <v>35</v>
      </c>
      <c r="AO69" s="755">
        <v>36</v>
      </c>
      <c r="AP69" s="755">
        <v>37</v>
      </c>
      <c r="AQ69" s="756">
        <v>38</v>
      </c>
      <c r="AR69" s="755">
        <v>39</v>
      </c>
    </row>
    <row r="70" spans="2:44" x14ac:dyDescent="0.2">
      <c r="B70" s="792" t="s">
        <v>427</v>
      </c>
      <c r="C70" s="770" t="s">
        <v>317</v>
      </c>
      <c r="D70" s="791">
        <f>SUM(D22:D26)*(1+PARAMETROS!$C$99)*(1+PARAMETROS!$D$99)*(1+PARAMETROS!$E$99)*(1+PARAMETROS!$F$99)</f>
        <v>887280.10492440767</v>
      </c>
      <c r="E70" s="791">
        <f>SUM(E22:E26)*(1+PARAMETROS!$C$99)*(1+PARAMETROS!$D$99)*(1+PARAMETROS!$E$99)*(1+PARAMETROS!$F$99)*(1+PARAMETROS!$G$99)</f>
        <v>931644.11017062806</v>
      </c>
      <c r="F70" s="791">
        <f>SUM(F22:F26)*(1+PARAMETROS!$C$99)*(1+PARAMETROS!$D$99)*(1+PARAMETROS!$E$99)*(1+PARAMETROS!$F$99)*(1+PARAMETROS!$G$99)*(1+PARAMETROS!$H$99)^F69</f>
        <v>973568.0951283063</v>
      </c>
      <c r="G70" s="214">
        <f>SUM(G22:G26)*(1+PARAMETROS!$C$99)*(1+PARAMETROS!$D$99)*(1+PARAMETROS!$E$99)*(1+PARAMETROS!$F$99)*(1+PARAMETROS!$G$99)*(1+PARAMETROS!$H$99)^G69</f>
        <v>1017378.6594090799</v>
      </c>
      <c r="H70" s="214">
        <f>SUM(H22:H26)*(1+PARAMETROS!$C$99)*(1+PARAMETROS!$D$99)*(1+PARAMETROS!$E$99)*(1+PARAMETROS!$F$99)*(1+PARAMETROS!$G$99)*(1+PARAMETROS!$H$99)^H69</f>
        <v>1063160.6990824884</v>
      </c>
      <c r="I70" s="214">
        <f>SUM(I22:I26)*(1+PARAMETROS!$C$99)*(1+PARAMETROS!$D$99)*(1+PARAMETROS!$E$99)*(1+PARAMETROS!$F$99)*(1+PARAMETROS!$G$99)*(1+PARAMETROS!$H$99)^I69</f>
        <v>1111002.9305412003</v>
      </c>
      <c r="J70" s="214">
        <f>SUM(J22:J26)*(1+PARAMETROS!$C$99)*(1+PARAMETROS!$D$99)*(1+PARAMETROS!$E$99)*(1+PARAMETROS!$F$99)*(1+PARAMETROS!$G$99)*(1+PARAMETROS!$H$99)^J69</f>
        <v>1160998.0624155542</v>
      </c>
      <c r="K70" s="214">
        <f>SUM(K22:K26)*(1+PARAMETROS!$C$99)*(1+PARAMETROS!$D$99)*(1+PARAMETROS!$E$99)*(1+PARAMETROS!$F$99)*(1+PARAMETROS!$G$99)*(1+PARAMETROS!$H$99)^K69</f>
        <v>1213242.975224254</v>
      </c>
      <c r="L70" s="214">
        <f>SUM(L22:L26)*(1+PARAMETROS!$C$99)*(1+PARAMETROS!$D$99)*(1+PARAMETROS!$E$99)*(1+PARAMETROS!$F$99)*(1+PARAMETROS!$G$99)*(1+PARAMETROS!$H$99)^L69</f>
        <v>1267838.9091093454</v>
      </c>
      <c r="M70" s="214">
        <f>SUM(M22:M26)*(1+PARAMETROS!$C$99)*(1+PARAMETROS!$D$99)*(1+PARAMETROS!$E$99)*(1+PARAMETROS!$F$99)*(1+PARAMETROS!$G$99)*(1+PARAMETROS!$H$99)^M69</f>
        <v>1324891.6600192655</v>
      </c>
      <c r="N70" s="214">
        <f>SUM(N22:N26)*(1+PARAMETROS!$C$99)*(1+PARAMETROS!$D$99)*(1+PARAMETROS!$E$99)*(1+PARAMETROS!$F$99)*(1+PARAMETROS!$G$99)*(1+PARAMETROS!$H$99)^N69</f>
        <v>1384511.7847201324</v>
      </c>
      <c r="O70" s="214">
        <f>SUM(O22:O26)*(1+PARAMETROS!$C$99)*(1+PARAMETROS!$D$99)*(1+PARAMETROS!$E$99)*(1+PARAMETROS!$F$99)*(1+PARAMETROS!$G$99)*(1+PARAMETROS!$H$99)^O69</f>
        <v>1446814.815032538</v>
      </c>
      <c r="P70" s="214">
        <f>SUM(P22:P26)*(1+PARAMETROS!$C$99)*(1+PARAMETROS!$D$99)*(1+PARAMETROS!$E$99)*(1+PARAMETROS!$F$99)*(1+PARAMETROS!$G$99)*(1+PARAMETROS!$H$99)^P69</f>
        <v>1511921.4817090023</v>
      </c>
      <c r="Q70" s="214">
        <f>SUM(Q22:Q26)*(1+PARAMETROS!$C$99)*(1+PARAMETROS!$D$99)*(1+PARAMETROS!$E$99)*(1+PARAMETROS!$F$99)*(1+PARAMETROS!$G$99)*(1+PARAMETROS!$H$99)^Q69</f>
        <v>1579957.9483859071</v>
      </c>
      <c r="R70" s="214">
        <f>SUM(R22:R26)*(1+PARAMETROS!$C$99)*(1+PARAMETROS!$D$99)*(1+PARAMETROS!$E$99)*(1+PARAMETROS!$F$99)*(1+PARAMETROS!$G$99)*(1+PARAMETROS!$H$99)^R69</f>
        <v>1651056.056063273</v>
      </c>
      <c r="S70" s="214">
        <f>SUM(S22:S26)*(1+PARAMETROS!$C$99)*(1+PARAMETROS!$D$99)*(1+PARAMETROS!$E$99)*(1+PARAMETROS!$F$99)*(1+PARAMETROS!$G$99)*(1+PARAMETROS!$H$99)^S69</f>
        <v>1725353.5785861197</v>
      </c>
      <c r="T70" s="214">
        <f>SUM(T22:T26)*(1+PARAMETROS!$C$99)*(1+PARAMETROS!$D$99)*(1+PARAMETROS!$E$99)*(1+PARAMETROS!$F$99)*(1+PARAMETROS!$G$99)*(1+PARAMETROS!$H$99)^T69</f>
        <v>1802994.4896224954</v>
      </c>
      <c r="U70" s="214">
        <f>SUM(U22:U26)*(1+PARAMETROS!$C$99)*(1+PARAMETROS!$D$99)*(1+PARAMETROS!$E$99)*(1+PARAMETROS!$F$99)*(1+PARAMETROS!$G$99)*(1+PARAMETROS!$H$99)^U69</f>
        <v>1884129.2416555069</v>
      </c>
      <c r="V70" s="214">
        <f>SUM(V22:V26)*(1+PARAMETROS!$C$99)*(1+PARAMETROS!$D$99)*(1+PARAMETROS!$E$99)*(1+PARAMETROS!$F$99)*(1+PARAMETROS!$G$99)*(1+PARAMETROS!$H$99)^V69</f>
        <v>1968915.0575300048</v>
      </c>
      <c r="W70" s="214">
        <f>SUM(W22:W26)*(1+PARAMETROS!$C$99)*(1+PARAMETROS!$D$99)*(1+PARAMETROS!$E$99)*(1+PARAMETROS!$F$99)*(1+PARAMETROS!$G$99)*(1+PARAMETROS!$H$99)^W69</f>
        <v>2057516.2351188546</v>
      </c>
      <c r="X70" s="214">
        <f>SUM(X22:X26)*(1+PARAMETROS!$C$99)*(1+PARAMETROS!$D$99)*(1+PARAMETROS!$E$99)*(1+PARAMETROS!$F$99)*(1+PARAMETROS!$G$99)*(1+PARAMETROS!$H$99)^X69</f>
        <v>2150104.4656992028</v>
      </c>
      <c r="Y70" s="214">
        <f>SUM(Y22:Y26)*(1+PARAMETROS!$C$99)*(1+PARAMETROS!$D$99)*(1+PARAMETROS!$E$99)*(1+PARAMETROS!$F$99)*(1+PARAMETROS!$G$99)*(1+PARAMETROS!$H$99)^Y69</f>
        <v>2246859.1666556667</v>
      </c>
      <c r="Z70" s="214">
        <f>SUM(Z22:Z26)*(1+PARAMETROS!$C$99)*(1+PARAMETROS!$D$99)*(1+PARAMETROS!$E$99)*(1+PARAMETROS!$F$99)*(1+PARAMETROS!$G$99)*(1+PARAMETROS!$H$99)^Z69</f>
        <v>2347967.8291551718</v>
      </c>
      <c r="AA70" s="214">
        <f>SUM(AA22:AA26)*(1+PARAMETROS!$C$99)*(1+PARAMETROS!$D$99)*(1+PARAMETROS!$E$99)*(1+PARAMETROS!$F$99)*(1+PARAMETROS!$G$99)*(1+PARAMETROS!$H$99)^AA69</f>
        <v>2453626.3814671533</v>
      </c>
      <c r="AB70" s="214">
        <f>SUM(AB22:AB26)*(1+PARAMETROS!$C$99)*(1+PARAMETROS!$D$99)*(1+PARAMETROS!$E$99)*(1+PARAMETROS!$F$99)*(1+PARAMETROS!$G$99)*(1+PARAMETROS!$H$99)^AB69</f>
        <v>2564039.5686331755</v>
      </c>
      <c r="AC70" s="214">
        <f>SUM(AC22:AC26)*(1+PARAMETROS!$C$99)*(1+PARAMETROS!$D$99)*(1+PARAMETROS!$E$99)*(1+PARAMETROS!$F$99)*(1+PARAMETROS!$G$99)*(1+PARAMETROS!$H$99)^AC69</f>
        <v>2679421.3492216677</v>
      </c>
      <c r="AD70" s="214">
        <f>SUM(AD22:AD26)*(1+PARAMETROS!$C$99)*(1+PARAMETROS!$D$99)*(1+PARAMETROS!$E$99)*(1+PARAMETROS!$F$99)*(1+PARAMETROS!$G$99)*(1+PARAMETROS!$H$99)^AD69</f>
        <v>2799995.3099366426</v>
      </c>
      <c r="AE70" s="214">
        <f>SUM(AE22:AE26)*(1+PARAMETROS!$C$99)*(1+PARAMETROS!$D$99)*(1+PARAMETROS!$E$99)*(1+PARAMETROS!$F$99)*(1+PARAMETROS!$G$99)*(1+PARAMETROS!$H$99)^AE69</f>
        <v>2925995.0988837909</v>
      </c>
      <c r="AF70" s="214">
        <f>SUM(AF22:AF26)*(1+PARAMETROS!$C$99)*(1+PARAMETROS!$D$99)*(1+PARAMETROS!$E$99)*(1+PARAMETROS!$F$99)*(1+PARAMETROS!$G$99)*(1+PARAMETROS!$H$99)^AF69</f>
        <v>3057664.8783335616</v>
      </c>
      <c r="AG70" s="214">
        <f>SUM(AG22:AG26)*(1+PARAMETROS!$C$99)*(1+PARAMETROS!$D$99)*(1+PARAMETROS!$E$99)*(1+PARAMETROS!$F$99)*(1+PARAMETROS!$G$99)*(1+PARAMETROS!$H$99)^AG69</f>
        <v>3195259.7978585712</v>
      </c>
      <c r="AH70" s="214">
        <f>SUM(AH22:AH26)*(1+PARAMETROS!$C$99)*(1+PARAMETROS!$D$99)*(1+PARAMETROS!$E$99)*(1+PARAMETROS!$F$99)*(1+PARAMETROS!$G$99)*(1+PARAMETROS!$H$99)^AH69</f>
        <v>3339046.4887622073</v>
      </c>
      <c r="AI70" s="214">
        <f>SUM(AI22:AI26)*(1+PARAMETROS!$C$99)*(1+PARAMETROS!$D$99)*(1+PARAMETROS!$E$99)*(1+PARAMETROS!$F$99)*(1+PARAMETROS!$G$99)*(1+PARAMETROS!$H$99)^AI69</f>
        <v>3489303.5807565055</v>
      </c>
      <c r="AJ70" s="214">
        <f>SUM(AJ22:AJ26)*(1+PARAMETROS!$C$99)*(1+PARAMETROS!$D$99)*(1+PARAMETROS!$E$99)*(1+PARAMETROS!$F$99)*(1+PARAMETROS!$G$99)*(1+PARAMETROS!$H$99)^AJ69</f>
        <v>3646322.2418905487</v>
      </c>
      <c r="AK70" s="214">
        <f>SUM(AK22:AK26)*(1+PARAMETROS!$C$99)*(1+PARAMETROS!$D$99)*(1+PARAMETROS!$E$99)*(1+PARAMETROS!$F$99)*(1+PARAMETROS!$G$99)*(1+PARAMETROS!$H$99)^AK69</f>
        <v>3810406.7427756214</v>
      </c>
      <c r="AL70" s="214">
        <f>SUM(AL22:AL26)*(1+PARAMETROS!$C$99)*(1+PARAMETROS!$D$99)*(1+PARAMETROS!$E$99)*(1+PARAMETROS!$F$99)*(1+PARAMETROS!$G$99)*(1+PARAMETROS!$H$99)^AL69</f>
        <v>3981875.0462005241</v>
      </c>
      <c r="AM70" s="214">
        <f>SUM(AM22:AM26)*(1+PARAMETROS!$C$99)*(1+PARAMETROS!$D$99)*(1+PARAMETROS!$E$99)*(1+PARAMETROS!$F$99)*(1+PARAMETROS!$G$99)*(1+PARAMETROS!$H$99)^AM69</f>
        <v>4161059.4232795471</v>
      </c>
      <c r="AN70" s="214">
        <f>SUM(AN22:AN26)*(1+PARAMETROS!$C$99)*(1+PARAMETROS!$D$99)*(1+PARAMETROS!$E$99)*(1+PARAMETROS!$F$99)*(1+PARAMETROS!$G$99)*(1+PARAMETROS!$H$99)^AN69</f>
        <v>4348307.0973271271</v>
      </c>
      <c r="AO70" s="214">
        <f>SUM(AO22:AO26)*(1+PARAMETROS!$C$99)*(1+PARAMETROS!$D$99)*(1+PARAMETROS!$E$99)*(1+PARAMETROS!$F$99)*(1+PARAMETROS!$G$99)*(1+PARAMETROS!$H$99)^AO69</f>
        <v>4543980.9167068461</v>
      </c>
      <c r="AP70" s="214">
        <f>SUM(AP22:AP26)*(1+PARAMETROS!$C$99)*(1+PARAMETROS!$D$99)*(1+PARAMETROS!$E$99)*(1+PARAMETROS!$F$99)*(1+PARAMETROS!$G$99)*(1+PARAMETROS!$H$99)^AP69</f>
        <v>4748460.0579586541</v>
      </c>
      <c r="AQ70" s="214">
        <f>SUM(AQ22:AQ26)*(1+PARAMETROS!$C$99)*(1+PARAMETROS!$D$99)*(1+PARAMETROS!$E$99)*(1+PARAMETROS!$F$99)*(1+PARAMETROS!$G$99)*(1+PARAMETROS!$H$99)^AQ69</f>
        <v>4962140.7605667934</v>
      </c>
      <c r="AR70" s="214">
        <f>SUM(AR22:AR26)*(1+PARAMETROS!$C$99)*(1+PARAMETROS!$D$99)*(1+PARAMETROS!$E$99)*(1+PARAMETROS!$F$99)*(1+PARAMETROS!$G$99)*(1+PARAMETROS!$H$99)^AR69</f>
        <v>5185437.094792299</v>
      </c>
    </row>
    <row r="71" spans="2:44" x14ac:dyDescent="0.2">
      <c r="B71" s="792" t="s">
        <v>428</v>
      </c>
      <c r="C71" s="770" t="s">
        <v>317</v>
      </c>
      <c r="D71" s="791">
        <f>D28*(1+PARAMETROS!$C$104)*(1+PARAMETROS!$D$104)*(1+PARAMETROS!$E$104)*(1+PARAMETROS!$F$104)</f>
        <v>543884.12196733127</v>
      </c>
      <c r="E71" s="791">
        <f>E28*(1+PARAMETROS!$C$104)*(1+PARAMETROS!$D$104)*(1+PARAMETROS!$E$104)*(1+PARAMETROS!$F$104)*(1+PARAMETROS!$G$104)</f>
        <v>573797.7486755345</v>
      </c>
      <c r="F71" s="791">
        <f>F28*(1+PARAMETROS!$C$104)*(1+PARAMETROS!$D$104)*(1+PARAMETROS!$E$104)*(1+PARAMETROS!$F$104)*(1+PARAMETROS!$G$104)*(1+PARAMETROS!$H$104)^F69</f>
        <v>602487.63610931125</v>
      </c>
      <c r="G71" s="214">
        <f>G28*(1+PARAMETROS!$C$104)*(1+PARAMETROS!$D$104)*(1+PARAMETROS!$E$104)*(1+PARAMETROS!$F$104)*(1+PARAMETROS!$G$104)*(1+PARAMETROS!$H$104)^G69</f>
        <v>632612.01791477681</v>
      </c>
      <c r="H71" s="214">
        <f>H28*(1+PARAMETROS!$C$104)*(1+PARAMETROS!$D$104)*(1+PARAMETROS!$E$104)*(1+PARAMETROS!$F$104)*(1+PARAMETROS!$G$104)*(1+PARAMETROS!$H$104)^H69</f>
        <v>664242.61881051573</v>
      </c>
      <c r="I71" s="214">
        <f>I28*(1+PARAMETROS!$C$104)*(1+PARAMETROS!$D$104)*(1+PARAMETROS!$E$104)*(1+PARAMETROS!$F$104)*(1+PARAMETROS!$G$104)*(1+PARAMETROS!$H$104)^I69</f>
        <v>697454.74975104141</v>
      </c>
      <c r="J71" s="214">
        <f>J28*(1+PARAMETROS!$C$104)*(1+PARAMETROS!$D$104)*(1+PARAMETROS!$E$104)*(1+PARAMETROS!$F$104)*(1+PARAMETROS!$G$104)*(1+PARAMETROS!$H$104)^J69</f>
        <v>732327.48723859352</v>
      </c>
      <c r="K71" s="214">
        <f>K28*(1+PARAMETROS!$C$104)*(1+PARAMETROS!$D$104)*(1+PARAMETROS!$E$104)*(1+PARAMETROS!$F$104)*(1+PARAMETROS!$G$104)*(1+PARAMETROS!$H$104)^K69</f>
        <v>768943.86160052312</v>
      </c>
      <c r="L71" s="214">
        <f>L28*(1+PARAMETROS!$C$104)*(1+PARAMETROS!$D$104)*(1+PARAMETROS!$E$104)*(1+PARAMETROS!$F$104)*(1+PARAMETROS!$G$104)*(1+PARAMETROS!$H$104)^L69</f>
        <v>807391.05468054942</v>
      </c>
      <c r="M71" s="214">
        <f>M28*(1+PARAMETROS!$C$104)*(1+PARAMETROS!$D$104)*(1+PARAMETROS!$E$104)*(1+PARAMETROS!$F$104)*(1+PARAMETROS!$G$104)*(1+PARAMETROS!$H$104)^M69</f>
        <v>847760.60741457681</v>
      </c>
      <c r="N71" s="214">
        <f>N28*(1+PARAMETROS!$C$104)*(1+PARAMETROS!$D$104)*(1+PARAMETROS!$E$104)*(1+PARAMETROS!$F$104)*(1+PARAMETROS!$G$104)*(1+PARAMETROS!$H$104)^N69</f>
        <v>890148.63778530573</v>
      </c>
      <c r="O71" s="214">
        <f>O28*(1+PARAMETROS!$C$104)*(1+PARAMETROS!$D$104)*(1+PARAMETROS!$E$104)*(1+PARAMETROS!$F$104)*(1+PARAMETROS!$G$104)*(1+PARAMETROS!$H$104)^O69</f>
        <v>934656.06967457104</v>
      </c>
      <c r="P71" s="214">
        <f>P28*(1+PARAMETROS!$C$104)*(1+PARAMETROS!$D$104)*(1+PARAMETROS!$E$104)*(1+PARAMETROS!$F$104)*(1+PARAMETROS!$G$104)*(1+PARAMETROS!$H$104)^P69</f>
        <v>981388.8731582996</v>
      </c>
      <c r="Q71" s="214">
        <f>Q28*(1+PARAMETROS!$C$104)*(1+PARAMETROS!$D$104)*(1+PARAMETROS!$E$104)*(1+PARAMETROS!$F$104)*(1+PARAMETROS!$G$104)*(1+PARAMETROS!$H$104)^Q69</f>
        <v>1030458.3168162145</v>
      </c>
      <c r="R71" s="214">
        <f>R28*(1+PARAMETROS!$C$104)*(1+PARAMETROS!$D$104)*(1+PARAMETROS!$E$104)*(1+PARAMETROS!$F$104)*(1+PARAMETROS!$G$104)*(1+PARAMETROS!$H$104)^R69</f>
        <v>1081981.2326570253</v>
      </c>
      <c r="S71" s="214">
        <f>S28*(1+PARAMETROS!$C$104)*(1+PARAMETROS!$D$104)*(1+PARAMETROS!$E$104)*(1+PARAMETROS!$F$104)*(1+PARAMETROS!$G$104)*(1+PARAMETROS!$H$104)^S69</f>
        <v>1136080.2942898765</v>
      </c>
      <c r="T71" s="214">
        <f>T28*(1+PARAMETROS!$C$104)*(1+PARAMETROS!$D$104)*(1+PARAMETROS!$E$104)*(1+PARAMETROS!$F$104)*(1+PARAMETROS!$G$104)*(1+PARAMETROS!$H$104)^T69</f>
        <v>1192884.3090043706</v>
      </c>
      <c r="U71" s="214">
        <f>U28*(1+PARAMETROS!$C$104)*(1+PARAMETROS!$D$104)*(1+PARAMETROS!$E$104)*(1+PARAMETROS!$F$104)*(1+PARAMETROS!$G$104)*(1+PARAMETROS!$H$104)^U69</f>
        <v>1252528.524454589</v>
      </c>
      <c r="V71" s="214">
        <f>V28*(1+PARAMETROS!$C$104)*(1+PARAMETROS!$D$104)*(1+PARAMETROS!$E$104)*(1+PARAMETROS!$F$104)*(1+PARAMETROS!$G$104)*(1+PARAMETROS!$H$104)^V69</f>
        <v>1315154.9506773185</v>
      </c>
      <c r="W71" s="214">
        <f>W28*(1+PARAMETROS!$C$104)*(1+PARAMETROS!$D$104)*(1+PARAMETROS!$E$104)*(1+PARAMETROS!$F$104)*(1+PARAMETROS!$G$104)*(1+PARAMETROS!$H$104)^W69</f>
        <v>1380912.6982111845</v>
      </c>
      <c r="X71" s="214">
        <f>X28*(1+PARAMETROS!$C$104)*(1+PARAMETROS!$D$104)*(1+PARAMETROS!$E$104)*(1+PARAMETROS!$F$104)*(1+PARAMETROS!$G$104)*(1+PARAMETROS!$H$104)^X69</f>
        <v>1449958.3331217438</v>
      </c>
      <c r="Y71" s="214">
        <f>Y28*(1+PARAMETROS!$C$104)*(1+PARAMETROS!$D$104)*(1+PARAMETROS!$E$104)*(1+PARAMETROS!$F$104)*(1+PARAMETROS!$G$104)*(1+PARAMETROS!$H$104)^Y69</f>
        <v>1522456.2497778309</v>
      </c>
      <c r="Z71" s="214">
        <f>Z28*(1+PARAMETROS!$C$104)*(1+PARAMETROS!$D$104)*(1+PARAMETROS!$E$104)*(1+PARAMETROS!$F$104)*(1+PARAMETROS!$G$104)*(1+PARAMETROS!$H$104)^Z69</f>
        <v>1598579.0622667223</v>
      </c>
      <c r="AA71" s="214">
        <f>AA28*(1+PARAMETROS!$C$104)*(1+PARAMETROS!$D$104)*(1+PARAMETROS!$E$104)*(1+PARAMETROS!$F$104)*(1+PARAMETROS!$G$104)*(1+PARAMETROS!$H$104)^AA69</f>
        <v>1678508.0153800584</v>
      </c>
      <c r="AB71" s="214">
        <f>AB28*(1+PARAMETROS!$C$104)*(1+PARAMETROS!$D$104)*(1+PARAMETROS!$E$104)*(1+PARAMETROS!$F$104)*(1+PARAMETROS!$G$104)*(1+PARAMETROS!$H$104)^AB69</f>
        <v>1762433.4161490616</v>
      </c>
      <c r="AC71" s="214">
        <f>AC28*(1+PARAMETROS!$C$104)*(1+PARAMETROS!$D$104)*(1+PARAMETROS!$E$104)*(1+PARAMETROS!$F$104)*(1+PARAMETROS!$G$104)*(1+PARAMETROS!$H$104)^AC69</f>
        <v>1850555.0869565145</v>
      </c>
      <c r="AD71" s="214">
        <f>AD28*(1+PARAMETROS!$C$104)*(1+PARAMETROS!$D$104)*(1+PARAMETROS!$E$104)*(1+PARAMETROS!$F$104)*(1+PARAMETROS!$G$104)*(1+PARAMETROS!$H$104)^AD69</f>
        <v>1943082.8413043402</v>
      </c>
      <c r="AE71" s="214">
        <f>AE28*(1+PARAMETROS!$C$104)*(1+PARAMETROS!$D$104)*(1+PARAMETROS!$E$104)*(1+PARAMETROS!$F$104)*(1+PARAMETROS!$G$104)*(1+PARAMETROS!$H$104)^AE69</f>
        <v>2040236.9833695574</v>
      </c>
      <c r="AF71" s="214">
        <f>AF28*(1+PARAMETROS!$C$104)*(1+PARAMETROS!$D$104)*(1+PARAMETROS!$E$104)*(1+PARAMETROS!$F$104)*(1+PARAMETROS!$G$104)*(1+PARAMETROS!$H$104)^AF69</f>
        <v>2142248.8325380352</v>
      </c>
      <c r="AG71" s="214">
        <f>AG28*(1+PARAMETROS!$C$104)*(1+PARAMETROS!$D$104)*(1+PARAMETROS!$E$104)*(1+PARAMETROS!$F$104)*(1+PARAMETROS!$G$104)*(1+PARAMETROS!$H$104)^AG69</f>
        <v>2249361.274164937</v>
      </c>
      <c r="AH71" s="214">
        <f>AH28*(1+PARAMETROS!$C$104)*(1+PARAMETROS!$D$104)*(1+PARAMETROS!$E$104)*(1+PARAMETROS!$F$104)*(1+PARAMETROS!$G$104)*(1+PARAMETROS!$H$104)^AH69</f>
        <v>2361829.3378731841</v>
      </c>
      <c r="AI71" s="214">
        <f>AI28*(1+PARAMETROS!$C$104)*(1+PARAMETROS!$D$104)*(1+PARAMETROS!$E$104)*(1+PARAMETROS!$F$104)*(1+PARAMETROS!$G$104)*(1+PARAMETROS!$H$104)^AI69</f>
        <v>2479920.8047668426</v>
      </c>
      <c r="AJ71" s="214">
        <f>AJ28*(1+PARAMETROS!$C$104)*(1+PARAMETROS!$D$104)*(1+PARAMETROS!$E$104)*(1+PARAMETROS!$F$104)*(1+PARAMETROS!$G$104)*(1+PARAMETROS!$H$104)^AJ69</f>
        <v>2603916.8450051858</v>
      </c>
      <c r="AK71" s="214">
        <f>AK28*(1+PARAMETROS!$C$104)*(1+PARAMETROS!$D$104)*(1+PARAMETROS!$E$104)*(1+PARAMETROS!$F$104)*(1+PARAMETROS!$G$104)*(1+PARAMETROS!$H$104)^AK69</f>
        <v>2734112.6872554449</v>
      </c>
      <c r="AL71" s="214">
        <f>AL28*(1+PARAMETROS!$C$104)*(1+PARAMETROS!$D$104)*(1+PARAMETROS!$E$104)*(1+PARAMETROS!$F$104)*(1+PARAMETROS!$G$104)*(1+PARAMETROS!$H$104)^AL69</f>
        <v>2870818.321618217</v>
      </c>
      <c r="AM71" s="214">
        <f>AM28*(1+PARAMETROS!$C$104)*(1+PARAMETROS!$D$104)*(1+PARAMETROS!$E$104)*(1+PARAMETROS!$F$104)*(1+PARAMETROS!$G$104)*(1+PARAMETROS!$H$104)^AM69</f>
        <v>3014359.2376991278</v>
      </c>
      <c r="AN71" s="214">
        <f>AN28*(1+PARAMETROS!$C$104)*(1+PARAMETROS!$D$104)*(1+PARAMETROS!$E$104)*(1+PARAMETROS!$F$104)*(1+PARAMETROS!$G$104)*(1+PARAMETROS!$H$104)^AN69</f>
        <v>3165077.1995840846</v>
      </c>
      <c r="AO71" s="214">
        <f>AO28*(1+PARAMETROS!$C$104)*(1+PARAMETROS!$D$104)*(1+PARAMETROS!$E$104)*(1+PARAMETROS!$F$104)*(1+PARAMETROS!$G$104)*(1+PARAMETROS!$H$104)^AO69</f>
        <v>3323331.0595632885</v>
      </c>
      <c r="AP71" s="214">
        <f>AP28*(1+PARAMETROS!$C$104)*(1+PARAMETROS!$D$104)*(1+PARAMETROS!$E$104)*(1+PARAMETROS!$F$104)*(1+PARAMETROS!$G$104)*(1+PARAMETROS!$H$104)^AP69</f>
        <v>3489497.612541453</v>
      </c>
      <c r="AQ71" s="214">
        <f>AQ28*(1+PARAMETROS!$C$104)*(1+PARAMETROS!$D$104)*(1+PARAMETROS!$E$104)*(1+PARAMETROS!$F$104)*(1+PARAMETROS!$G$104)*(1+PARAMETROS!$H$104)^AQ69</f>
        <v>3663972.4931685254</v>
      </c>
      <c r="AR71" s="214">
        <f>AR28*(1+PARAMETROS!$C$104)*(1+PARAMETROS!$D$104)*(1+PARAMETROS!$E$104)*(1+PARAMETROS!$F$104)*(1+PARAMETROS!$G$104)*(1+PARAMETROS!$H$104)^AR69</f>
        <v>3847171.1178269521</v>
      </c>
    </row>
    <row r="72" spans="2:44" x14ac:dyDescent="0.2">
      <c r="B72" s="792" t="s">
        <v>429</v>
      </c>
      <c r="C72" s="770" t="s">
        <v>317</v>
      </c>
      <c r="D72" s="791">
        <f>(D37+D38)*(1+PARAMETROS!$C$89)*(1+PARAMETROS!$D$89)*(1+PARAMETROS!$E$89)*(1+PARAMETROS!$F$89)</f>
        <v>721626.40950187622</v>
      </c>
      <c r="E72" s="791">
        <f>(E37+E38)*(1+PARAMETROS!$C$89)*(1+PARAMETROS!$D$89)*(1+PARAMETROS!$E$89)*(1+PARAMETROS!$F$89)*(1+PARAMETROS!$G$89)</f>
        <v>754099.59792946058</v>
      </c>
      <c r="F72" s="791">
        <f>(F37+F38)*(1+PARAMETROS!$C$89)*(1+PARAMETROS!$D$89)*(1+PARAMETROS!$E$89)*(1+PARAMETROS!$F$89)*(1+PARAMETROS!$G$89)*(1+PARAMETROS!$H$89)^F69</f>
        <v>784263.58184663905</v>
      </c>
      <c r="G72" s="214">
        <f>(G37+G38)*(1+PARAMETROS!$C$89)*(1+PARAMETROS!$D$89)*(1+PARAMETROS!$E$89)*(1+PARAMETROS!$F$89)*(1+PARAMETROS!$G$89)*(1+PARAMETROS!$H$89)^G69</f>
        <v>815634.12512050464</v>
      </c>
      <c r="H72" s="214">
        <f>(H37+H38)*(1+PARAMETROS!$C$89)*(1+PARAMETROS!$D$89)*(1+PARAMETROS!$E$89)*(1+PARAMETROS!$F$89)*(1+PARAMETROS!$G$89)*(1+PARAMETROS!$H$89)^H69</f>
        <v>848259.49012532481</v>
      </c>
      <c r="I72" s="214">
        <f>(I37+I38)*(1+PARAMETROS!$C$89)*(1+PARAMETROS!$D$89)*(1+PARAMETROS!$E$89)*(1+PARAMETROS!$F$89)*(1+PARAMETROS!$G$89)*(1+PARAMETROS!$H$89)^I69</f>
        <v>882189.86973033787</v>
      </c>
      <c r="J72" s="214">
        <f>(J37+J38)*(1+PARAMETROS!$C$89)*(1+PARAMETROS!$D$89)*(1+PARAMETROS!$E$89)*(1+PARAMETROS!$F$89)*(1+PARAMETROS!$G$89)*(1+PARAMETROS!$H$89)^J69</f>
        <v>917477.46451955149</v>
      </c>
      <c r="K72" s="214">
        <f>(K37+K38)*(1+PARAMETROS!$C$89)*(1+PARAMETROS!$D$89)*(1+PARAMETROS!$E$89)*(1+PARAMETROS!$F$89)*(1+PARAMETROS!$G$89)*(1+PARAMETROS!$H$89)^K69</f>
        <v>954176.56310033356</v>
      </c>
      <c r="L72" s="214">
        <f>(L37+L38)*(1+PARAMETROS!$C$89)*(1+PARAMETROS!$D$89)*(1+PARAMETROS!$E$89)*(1+PARAMETROS!$F$89)*(1+PARAMETROS!$G$89)*(1+PARAMETROS!$H$89)^L69</f>
        <v>992343.62562434678</v>
      </c>
      <c r="M72" s="214">
        <f>(M37+M38)*(1+PARAMETROS!$C$89)*(1+PARAMETROS!$D$89)*(1+PARAMETROS!$E$89)*(1+PARAMETROS!$F$89)*(1+PARAMETROS!$G$89)*(1+PARAMETROS!$H$89)^M69</f>
        <v>1032037.3706493209</v>
      </c>
      <c r="N72" s="214">
        <f>(N37+N38)*(1+PARAMETROS!$C$89)*(1+PARAMETROS!$D$89)*(1+PARAMETROS!$E$89)*(1+PARAMETROS!$F$89)*(1+PARAMETROS!$G$89)*(1+PARAMETROS!$H$89)^N69</f>
        <v>1073318.8654752937</v>
      </c>
      <c r="O72" s="214">
        <f>(O37+O38)*(1+PARAMETROS!$C$89)*(1+PARAMETROS!$D$89)*(1+PARAMETROS!$E$89)*(1+PARAMETROS!$F$89)*(1+PARAMETROS!$G$89)*(1+PARAMETROS!$H$89)^O69</f>
        <v>1116251.6200943056</v>
      </c>
      <c r="P72" s="214">
        <f>(P37+P38)*(1+PARAMETROS!$C$89)*(1+PARAMETROS!$D$89)*(1+PARAMETROS!$E$89)*(1+PARAMETROS!$F$89)*(1+PARAMETROS!$G$89)*(1+PARAMETROS!$H$89)^P69</f>
        <v>1160901.6848980777</v>
      </c>
      <c r="Q72" s="214">
        <f>(Q37+Q38)*(1+PARAMETROS!$C$89)*(1+PARAMETROS!$D$89)*(1+PARAMETROS!$E$89)*(1+PARAMETROS!$F$89)*(1+PARAMETROS!$G$89)*(1+PARAMETROS!$H$89)^Q69</f>
        <v>1207337.7522940009</v>
      </c>
      <c r="R72" s="214">
        <f>(R37+R38)*(1+PARAMETROS!$C$89)*(1+PARAMETROS!$D$89)*(1+PARAMETROS!$E$89)*(1+PARAMETROS!$F$89)*(1+PARAMETROS!$G$89)*(1+PARAMETROS!$H$89)^R69</f>
        <v>1255631.2623857611</v>
      </c>
      <c r="S72" s="214">
        <f>(S37+S38)*(1+PARAMETROS!$C$89)*(1+PARAMETROS!$D$89)*(1+PARAMETROS!$E$89)*(1+PARAMETROS!$F$89)*(1+PARAMETROS!$G$89)*(1+PARAMETROS!$H$89)^S69</f>
        <v>1305856.5128811914</v>
      </c>
      <c r="T72" s="214">
        <f>(T37+T38)*(1+PARAMETROS!$C$89)*(1+PARAMETROS!$D$89)*(1+PARAMETROS!$E$89)*(1+PARAMETROS!$F$89)*(1+PARAMETROS!$G$89)*(1+PARAMETROS!$H$89)^T69</f>
        <v>1358090.7733964392</v>
      </c>
      <c r="U72" s="214">
        <f>(U37+U38)*(1+PARAMETROS!$C$89)*(1+PARAMETROS!$D$89)*(1+PARAMETROS!$E$89)*(1+PARAMETROS!$F$89)*(1+PARAMETROS!$G$89)*(1+PARAMETROS!$H$89)^U69</f>
        <v>1412414.4043322969</v>
      </c>
      <c r="V72" s="214">
        <f>(V37+V38)*(1+PARAMETROS!$C$89)*(1+PARAMETROS!$D$89)*(1+PARAMETROS!$E$89)*(1+PARAMETROS!$F$89)*(1+PARAMETROS!$G$89)*(1+PARAMETROS!$H$89)^V69</f>
        <v>1468910.9805055889</v>
      </c>
      <c r="W72" s="214">
        <f>(W37+W38)*(1+PARAMETROS!$C$89)*(1+PARAMETROS!$D$89)*(1+PARAMETROS!$E$89)*(1+PARAMETROS!$F$89)*(1+PARAMETROS!$G$89)*(1+PARAMETROS!$H$89)^W69</f>
        <v>1527667.4197258127</v>
      </c>
      <c r="X72" s="214">
        <f>(X37+X38)*(1+PARAMETROS!$C$89)*(1+PARAMETROS!$D$89)*(1+PARAMETROS!$E$89)*(1+PARAMETROS!$F$89)*(1+PARAMETROS!$G$89)*(1+PARAMETROS!$H$89)^X69</f>
        <v>1588774.1165148451</v>
      </c>
      <c r="Y72" s="214">
        <f>(Y37+Y38)*(1+PARAMETROS!$C$89)*(1+PARAMETROS!$D$89)*(1+PARAMETROS!$E$89)*(1+PARAMETROS!$F$89)*(1+PARAMETROS!$G$89)*(1+PARAMETROS!$H$89)^Y69</f>
        <v>1652325.0811754388</v>
      </c>
      <c r="Z72" s="214">
        <f>(Z37+Z38)*(1+PARAMETROS!$C$89)*(1+PARAMETROS!$D$89)*(1+PARAMETROS!$E$89)*(1+PARAMETROS!$F$89)*(1+PARAMETROS!$G$89)*(1+PARAMETROS!$H$89)^Z69</f>
        <v>1718418.0844224568</v>
      </c>
      <c r="AA72" s="214">
        <f>(AA37+AA38)*(1+PARAMETROS!$C$89)*(1+PARAMETROS!$D$89)*(1+PARAMETROS!$E$89)*(1+PARAMETROS!$F$89)*(1+PARAMETROS!$G$89)*(1+PARAMETROS!$H$89)^AA69</f>
        <v>1787154.8077993551</v>
      </c>
      <c r="AB72" s="214">
        <f>(AB37+AB38)*(1+PARAMETROS!$C$89)*(1+PARAMETROS!$D$89)*(1+PARAMETROS!$E$89)*(1+PARAMETROS!$F$89)*(1+PARAMETROS!$G$89)*(1+PARAMETROS!$H$89)^AB69</f>
        <v>1858641.0001113291</v>
      </c>
      <c r="AC72" s="214">
        <f>(AC37+AC38)*(1+PARAMETROS!$C$89)*(1+PARAMETROS!$D$89)*(1+PARAMETROS!$E$89)*(1+PARAMETROS!$F$89)*(1+PARAMETROS!$G$89)*(1+PARAMETROS!$H$89)^AC69</f>
        <v>1932986.6401157824</v>
      </c>
      <c r="AD72" s="214">
        <f>(AD37+AD38)*(1+PARAMETROS!$C$89)*(1+PARAMETROS!$D$89)*(1+PARAMETROS!$E$89)*(1+PARAMETROS!$F$89)*(1+PARAMETROS!$G$89)*(1+PARAMETROS!$H$89)^AD69</f>
        <v>2010306.1057204141</v>
      </c>
      <c r="AE72" s="214">
        <f>(AE37+AE38)*(1+PARAMETROS!$C$89)*(1+PARAMETROS!$D$89)*(1+PARAMETROS!$E$89)*(1+PARAMETROS!$F$89)*(1+PARAMETROS!$G$89)*(1+PARAMETROS!$H$89)^AE69</f>
        <v>2090718.3499492304</v>
      </c>
      <c r="AF72" s="214">
        <f>(AF37+AF38)*(1+PARAMETROS!$C$89)*(1+PARAMETROS!$D$89)*(1+PARAMETROS!$E$89)*(1+PARAMETROS!$F$89)*(1+PARAMETROS!$G$89)*(1+PARAMETROS!$H$89)^AF69</f>
        <v>2174347.0839471999</v>
      </c>
      <c r="AG72" s="214">
        <f>(AG37+AG38)*(1+PARAMETROS!$C$89)*(1+PARAMETROS!$D$89)*(1+PARAMETROS!$E$89)*(1+PARAMETROS!$F$89)*(1+PARAMETROS!$G$89)*(1+PARAMETROS!$H$89)^AG69</f>
        <v>2261320.9673050884</v>
      </c>
      <c r="AH72" s="214">
        <f>(AH37+AH38)*(1+PARAMETROS!$C$89)*(1+PARAMETROS!$D$89)*(1+PARAMETROS!$E$89)*(1+PARAMETROS!$F$89)*(1+PARAMETROS!$G$89)*(1+PARAMETROS!$H$89)^AH69</f>
        <v>2351773.805997292</v>
      </c>
      <c r="AI72" s="214">
        <f>(AI37+AI38)*(1+PARAMETROS!$C$89)*(1+PARAMETROS!$D$89)*(1+PARAMETROS!$E$89)*(1+PARAMETROS!$F$89)*(1+PARAMETROS!$G$89)*(1+PARAMETROS!$H$89)^AI69</f>
        <v>2445844.7582371831</v>
      </c>
      <c r="AJ72" s="214">
        <f>(AJ37+AJ38)*(1+PARAMETROS!$C$89)*(1+PARAMETROS!$D$89)*(1+PARAMETROS!$E$89)*(1+PARAMETROS!$F$89)*(1+PARAMETROS!$G$89)*(1+PARAMETROS!$H$89)^AJ69</f>
        <v>2543678.5485666706</v>
      </c>
      <c r="AK72" s="214">
        <f>(AK37+AK38)*(1+PARAMETROS!$C$89)*(1+PARAMETROS!$D$89)*(1+PARAMETROS!$E$89)*(1+PARAMETROS!$F$89)*(1+PARAMETROS!$G$89)*(1+PARAMETROS!$H$89)^AK69</f>
        <v>2645425.6905093379</v>
      </c>
      <c r="AL72" s="214">
        <f>(AL37+AL38)*(1+PARAMETROS!$C$89)*(1+PARAMETROS!$D$89)*(1+PARAMETROS!$E$89)*(1+PARAMETROS!$F$89)*(1+PARAMETROS!$G$89)*(1+PARAMETROS!$H$89)^AL69</f>
        <v>2751242.7181297112</v>
      </c>
      <c r="AM72" s="214">
        <f>(AM37+AM38)*(1+PARAMETROS!$C$89)*(1+PARAMETROS!$D$89)*(1+PARAMETROS!$E$89)*(1+PARAMETROS!$F$89)*(1+PARAMETROS!$G$89)*(1+PARAMETROS!$H$89)^AM69</f>
        <v>2861292.4268549001</v>
      </c>
      <c r="AN72" s="214">
        <f>(AN37+AN38)*(1+PARAMETROS!$C$89)*(1+PARAMETROS!$D$89)*(1+PARAMETROS!$E$89)*(1+PARAMETROS!$F$89)*(1+PARAMETROS!$G$89)*(1+PARAMETROS!$H$89)^AN69</f>
        <v>2975744.1239290959</v>
      </c>
      <c r="AO72" s="214">
        <f>(AO37+AO38)*(1+PARAMETROS!$C$89)*(1+PARAMETROS!$D$89)*(1+PARAMETROS!$E$89)*(1+PARAMETROS!$F$89)*(1+PARAMETROS!$G$89)*(1+PARAMETROS!$H$89)^AO69</f>
        <v>3094773.8888862599</v>
      </c>
      <c r="AP72" s="214">
        <f>(AP37+AP38)*(1+PARAMETROS!$C$89)*(1+PARAMETROS!$D$89)*(1+PARAMETROS!$E$89)*(1+PARAMETROS!$F$89)*(1+PARAMETROS!$G$89)*(1+PARAMETROS!$H$89)^AP69</f>
        <v>3218564.844441711</v>
      </c>
      <c r="AQ72" s="214">
        <f>(AQ37+AQ38)*(1+PARAMETROS!$C$89)*(1+PARAMETROS!$D$89)*(1+PARAMETROS!$E$89)*(1+PARAMETROS!$F$89)*(1+PARAMETROS!$G$89)*(1+PARAMETROS!$H$89)^AQ69</f>
        <v>3347307.4382193792</v>
      </c>
      <c r="AR72" s="214">
        <f>(AR37+AR38)*(1+PARAMETROS!$C$89)*(1+PARAMETROS!$D$89)*(1+PARAMETROS!$E$89)*(1+PARAMETROS!$F$89)*(1+PARAMETROS!$G$89)*(1+PARAMETROS!$H$89)^AR69</f>
        <v>3481199.7357481536</v>
      </c>
    </row>
    <row r="73" spans="2:44" x14ac:dyDescent="0.2">
      <c r="B73" s="792" t="s">
        <v>430</v>
      </c>
      <c r="C73" s="770" t="s">
        <v>318</v>
      </c>
      <c r="D73" s="791">
        <f>(D32+D33+D41)*(1+PARAMETROS!$C$93)*(1+PARAMETROS!$D$93)*(1+PARAMETROS!$E$93)*(1+PARAMETROS!$F$93)</f>
        <v>715064.42787859088</v>
      </c>
      <c r="E73" s="791">
        <f>(E32+E33+E41)*(1+PARAMETROS!$C$93)*(1+PARAMETROS!$D$93)*(1+PARAMETROS!$E$93)*(1+PARAMETROS!$F$93)*(1+PARAMETROS!$G$93)</f>
        <v>725790.39429676963</v>
      </c>
      <c r="F73" s="791">
        <f>(F32+F33+F41)*(1+PARAMETROS!$C$93)*(1+PARAMETROS!$D$93)*(1+PARAMETROS!$E$93)*(1+PARAMETROS!$F$93)*(1+PARAMETROS!$G$93)*(1+PARAMETROS!$H$93)^F69</f>
        <v>739580.41178840818</v>
      </c>
      <c r="G73" s="214">
        <f>(G32+G33+G41)*(1+PARAMETROS!$C$93)*(1+PARAMETROS!$D$93)*(1+PARAMETROS!$E$93)*(1+PARAMETROS!$F$93)*(1+PARAMETROS!$G$93)*(1+PARAMETROS!$H$93)^G69</f>
        <v>753632.43961238791</v>
      </c>
      <c r="H73" s="214">
        <f>(H32+H33+H41)*(1+PARAMETROS!$C$93)*(1+PARAMETROS!$D$93)*(1+PARAMETROS!$E$93)*(1+PARAMETROS!$F$93)*(1+PARAMETROS!$G$93)*(1+PARAMETROS!$H$93)^H69</f>
        <v>6188785.2627769541</v>
      </c>
      <c r="I73" s="214">
        <f>(I32+I33+I41)*(1+PARAMETROS!$C$93)*(1+PARAMETROS!$D$93)*(1+PARAMETROS!$E$93)*(1+PARAMETROS!$F$93)*(1+PARAMETROS!$G$93)*(1+PARAMETROS!$H$93)^I69</f>
        <v>782542.53362835874</v>
      </c>
      <c r="J73" s="214">
        <f>(J32+J33+J41)*(1+PARAMETROS!$C$93)*(1+PARAMETROS!$D$93)*(1+PARAMETROS!$E$93)*(1+PARAMETROS!$F$93)*(1+PARAMETROS!$G$93)*(1+PARAMETROS!$H$93)^J69</f>
        <v>797410.84176729736</v>
      </c>
      <c r="K73" s="214">
        <f>(K32+K33+K41)*(1+PARAMETROS!$C$93)*(1+PARAMETROS!$D$93)*(1+PARAMETROS!$E$93)*(1+PARAMETROS!$F$93)*(1+PARAMETROS!$G$93)*(1+PARAMETROS!$H$93)^K69</f>
        <v>812561.64776087611</v>
      </c>
      <c r="L73" s="214">
        <f>(L32+L33+L41)*(1+PARAMETROS!$C$93)*(1+PARAMETROS!$D$93)*(1+PARAMETROS!$E$93)*(1+PARAMETROS!$F$93)*(1+PARAMETROS!$G$93)*(1+PARAMETROS!$H$93)^L69</f>
        <v>828000.31906833278</v>
      </c>
      <c r="M73" s="214">
        <f>(M32+M33+M41)*(1+PARAMETROS!$C$93)*(1+PARAMETROS!$D$93)*(1+PARAMETROS!$E$93)*(1+PARAMETROS!$F$93)*(1+PARAMETROS!$G$93)*(1+PARAMETROS!$H$93)^M69</f>
        <v>6799489.9142880281</v>
      </c>
      <c r="N73" s="214">
        <f>(N32+N33+N41)*(1+PARAMETROS!$C$93)*(1+PARAMETROS!$D$93)*(1+PARAMETROS!$E$93)*(1+PARAMETROS!$F$93)*(1+PARAMETROS!$G$93)*(1+PARAMETROS!$H$93)^N69</f>
        <v>859763.23930811288</v>
      </c>
      <c r="O73" s="214">
        <f>(O32+O33+O41)*(1+PARAMETROS!$C$93)*(1+PARAMETROS!$D$93)*(1+PARAMETROS!$E$93)*(1+PARAMETROS!$F$93)*(1+PARAMETROS!$G$93)*(1+PARAMETROS!$H$93)^O69</f>
        <v>876098.74085496704</v>
      </c>
      <c r="P73" s="214">
        <f>(P32+P33+P41)*(1+PARAMETROS!$C$93)*(1+PARAMETROS!$D$93)*(1+PARAMETROS!$E$93)*(1+PARAMETROS!$F$93)*(1+PARAMETROS!$G$93)*(1+PARAMETROS!$H$93)^P69</f>
        <v>892744.61693121144</v>
      </c>
      <c r="Q73" s="214">
        <f>(Q32+Q33+Q41)*(1+PARAMETROS!$C$93)*(1+PARAMETROS!$D$93)*(1+PARAMETROS!$E$93)*(1+PARAMETROS!$F$93)*(1+PARAMETROS!$G$93)*(1+PARAMETROS!$H$93)^Q69</f>
        <v>909706.76465290436</v>
      </c>
      <c r="R73" s="214">
        <f>(R32+R33+R41)*(1+PARAMETROS!$C$93)*(1+PARAMETROS!$D$93)*(1+PARAMETROS!$E$93)*(1+PARAMETROS!$F$93)*(1+PARAMETROS!$G$93)*(1+PARAMETROS!$H$93)^R69</f>
        <v>7470458.4391670246</v>
      </c>
      <c r="S73" s="214">
        <f>(S32+S33+S41)*(1+PARAMETROS!$C$93)*(1+PARAMETROS!$D$93)*(1+PARAMETROS!$E$93)*(1+PARAMETROS!$F$93)*(1+PARAMETROS!$G$93)*(1+PARAMETROS!$H$93)^S69</f>
        <v>944604.02585175436</v>
      </c>
      <c r="T73" s="214">
        <f>(T32+T33+T41)*(1+PARAMETROS!$C$93)*(1+PARAMETROS!$D$93)*(1+PARAMETROS!$E$93)*(1+PARAMETROS!$F$93)*(1+PARAMETROS!$G$93)*(1+PARAMETROS!$H$93)^T69</f>
        <v>962551.50234293763</v>
      </c>
      <c r="U73" s="214">
        <f>(U32+U33+U41)*(1+PARAMETROS!$C$93)*(1+PARAMETROS!$D$93)*(1+PARAMETROS!$E$93)*(1+PARAMETROS!$F$93)*(1+PARAMETROS!$G$93)*(1+PARAMETROS!$H$93)^U69</f>
        <v>980839.98088745342</v>
      </c>
      <c r="V73" s="214">
        <f>(V32+V33+V41)*(1+PARAMETROS!$C$93)*(1+PARAMETROS!$D$93)*(1+PARAMETROS!$E$93)*(1+PARAMETROS!$F$93)*(1+PARAMETROS!$G$93)*(1+PARAMETROS!$H$93)^V69</f>
        <v>999475.940524315</v>
      </c>
      <c r="W73" s="214">
        <f>(W32+W33+W41)*(1+PARAMETROS!$C$93)*(1+PARAMETROS!$D$93)*(1+PARAMETROS!$E$93)*(1+PARAMETROS!$F$93)*(1+PARAMETROS!$G$93)*(1+PARAMETROS!$H$93)^W69</f>
        <v>8207637.6308832923</v>
      </c>
      <c r="X73" s="214">
        <f>(X32+X33+X41)*(1+PARAMETROS!$C$93)*(1+PARAMETROS!$D$93)*(1+PARAMETROS!$E$93)*(1+PARAMETROS!$F$93)*(1+PARAMETROS!$G$93)*(1+PARAMETROS!$H$93)^X69</f>
        <v>1037816.8370787682</v>
      </c>
      <c r="Y73" s="214">
        <f>(Y32+Y33+Y41)*(1+PARAMETROS!$C$93)*(1+PARAMETROS!$D$93)*(1+PARAMETROS!$E$93)*(1+PARAMETROS!$F$93)*(1+PARAMETROS!$G$93)*(1+PARAMETROS!$H$93)^Y69</f>
        <v>1057535.3569832647</v>
      </c>
      <c r="Z73" s="214">
        <f>(Z32+Z33+Z41)*(1+PARAMETROS!$C$93)*(1+PARAMETROS!$D$93)*(1+PARAMETROS!$E$93)*(1+PARAMETROS!$F$93)*(1+PARAMETROS!$G$93)*(1+PARAMETROS!$H$93)^Z69</f>
        <v>1077628.5287659466</v>
      </c>
      <c r="AA73" s="214">
        <f>(AA32+AA33+AA41)*(1+PARAMETROS!$C$93)*(1+PARAMETROS!$D$93)*(1+PARAMETROS!$E$93)*(1+PARAMETROS!$F$93)*(1+PARAMETROS!$G$93)*(1+PARAMETROS!$H$93)^AA69</f>
        <v>1098103.4708124998</v>
      </c>
      <c r="AB73" s="214">
        <f>(AB32+AB33+AB41)*(1+PARAMETROS!$C$93)*(1+PARAMETROS!$D$93)*(1+PARAMETROS!$E$93)*(1+PARAMETROS!$F$93)*(1+PARAMETROS!$G$93)*(1+PARAMETROS!$H$93)^AB69</f>
        <v>9017561.1079904363</v>
      </c>
      <c r="AC73" s="214">
        <f>(AC32+AC33+AC41)*(1+PARAMETROS!$C$93)*(1+PARAMETROS!$D$93)*(1+PARAMETROS!$E$93)*(1+PARAMETROS!$F$93)*(1+PARAMETROS!$G$93)*(1+PARAMETROS!$H$93)^AC69</f>
        <v>1140227.818056338</v>
      </c>
      <c r="AD73" s="214">
        <f>(AD32+AD33+AD41)*(1+PARAMETROS!$C$93)*(1+PARAMETROS!$D$93)*(1+PARAMETROS!$E$93)*(1+PARAMETROS!$F$93)*(1+PARAMETROS!$G$93)*(1+PARAMETROS!$H$93)^AD69</f>
        <v>1161892.1465994082</v>
      </c>
      <c r="AE73" s="214">
        <f>(AE32+AE33+AE41)*(1+PARAMETROS!$C$93)*(1+PARAMETROS!$D$93)*(1+PARAMETROS!$E$93)*(1+PARAMETROS!$F$93)*(1+PARAMETROS!$G$93)*(1+PARAMETROS!$H$93)^AE69</f>
        <v>1183968.0973847969</v>
      </c>
      <c r="AF73" s="214">
        <f>(AF32+AF33+AF41)*(1+PARAMETROS!$C$93)*(1+PARAMETROS!$D$93)*(1+PARAMETROS!$E$93)*(1+PARAMETROS!$F$93)*(1+PARAMETROS!$G$93)*(1+PARAMETROS!$H$93)^AF69</f>
        <v>1206463.4912351081</v>
      </c>
      <c r="AG73" s="214">
        <f>(AG32+AG33+AG41)*(1+PARAMETROS!$C$93)*(1+PARAMETROS!$D$93)*(1+PARAMETROS!$E$93)*(1+PARAMETROS!$F$93)*(1+PARAMETROS!$G$93)*(1+PARAMETROS!$H$93)^AG69</f>
        <v>9907407.2215820476</v>
      </c>
      <c r="AH73" s="214">
        <f>(AH32+AH33+AH41)*(1+PARAMETROS!$C$93)*(1+PARAMETROS!$D$93)*(1+PARAMETROS!$E$93)*(1+PARAMETROS!$F$93)*(1+PARAMETROS!$G$93)*(1+PARAMETROS!$H$93)^AH69</f>
        <v>1252744.6372223776</v>
      </c>
      <c r="AI73" s="214">
        <f>(AI32+AI33+AI41)*(1+PARAMETROS!$C$93)*(1+PARAMETROS!$D$93)*(1+PARAMETROS!$E$93)*(1+PARAMETROS!$F$93)*(1+PARAMETROS!$G$93)*(1+PARAMETROS!$H$93)^AI69</f>
        <v>1276546.7853296031</v>
      </c>
      <c r="AJ73" s="214">
        <f>(AJ32+AJ33+AJ41)*(1+PARAMETROS!$C$93)*(1+PARAMETROS!$D$93)*(1+PARAMETROS!$E$93)*(1+PARAMETROS!$F$93)*(1+PARAMETROS!$G$93)*(1+PARAMETROS!$H$93)^AJ69</f>
        <v>1300801.1742508656</v>
      </c>
      <c r="AK73" s="214">
        <f>(AK32+AK33+AK41)*(1+PARAMETROS!$C$93)*(1+PARAMETROS!$D$93)*(1+PARAMETROS!$E$93)*(1+PARAMETROS!$F$93)*(1+PARAMETROS!$G$93)*(1+PARAMETROS!$H$93)^AK69</f>
        <v>1325516.3965616319</v>
      </c>
      <c r="AL73" s="214">
        <f>(AL32+AL33+AL41)*(1+PARAMETROS!$C$93)*(1+PARAMETROS!$D$93)*(1+PARAMETROS!$E$93)*(1+PARAMETROS!$F$93)*(1+PARAMETROS!$G$93)*(1+PARAMETROS!$H$93)^AL69</f>
        <v>10885062.677011384</v>
      </c>
      <c r="AM73" s="214">
        <f>(AM32+AM33+AM41)*(1+PARAMETROS!$C$93)*(1+PARAMETROS!$D$93)*(1+PARAMETROS!$E$93)*(1+PARAMETROS!$F$93)*(1+PARAMETROS!$G$93)*(1+PARAMETROS!$H$93)^AM69</f>
        <v>1376364.5310501324</v>
      </c>
      <c r="AN73" s="214">
        <f>(AN32+AN33+AN41)*(1+PARAMETROS!$C$93)*(1+PARAMETROS!$D$93)*(1+PARAMETROS!$E$93)*(1+PARAMETROS!$F$93)*(1+PARAMETROS!$G$93)*(1+PARAMETROS!$H$93)^AN69</f>
        <v>1402515.4571400851</v>
      </c>
      <c r="AO73" s="214">
        <f>(AO32+AO33+AO41)*(1+PARAMETROS!$C$93)*(1+PARAMETROS!$D$93)*(1+PARAMETROS!$E$93)*(1+PARAMETROS!$F$93)*(1+PARAMETROS!$G$93)*(1+PARAMETROS!$H$93)^AO69</f>
        <v>1429163.2508257465</v>
      </c>
      <c r="AP73" s="214">
        <f>(AP32+AP33+AP41)*(1+PARAMETROS!$C$93)*(1+PARAMETROS!$D$93)*(1+PARAMETROS!$E$93)*(1+PARAMETROS!$F$93)*(1+PARAMETROS!$G$93)*(1+PARAMETROS!$H$93)^AP69</f>
        <v>1456317.3525914352</v>
      </c>
      <c r="AQ73" s="214">
        <f>(AQ32+AQ33+AQ41)*(1+PARAMETROS!$C$93)*(1+PARAMETROS!$D$93)*(1+PARAMETROS!$E$93)*(1+PARAMETROS!$F$93)*(1+PARAMETROS!$G$93)*(1+PARAMETROS!$H$93)^AQ69</f>
        <v>11959192.43375425</v>
      </c>
      <c r="AR73" s="214">
        <f>(AR32+AR33+AR41)*(1+PARAMETROS!$C$93)*(1+PARAMETROS!$D$93)*(1+PARAMETROS!$E$93)*(1+PARAMETROS!$F$93)*(1+PARAMETROS!$G$93)*(1+PARAMETROS!$H$93)^AR69</f>
        <v>1512183.1425541956</v>
      </c>
    </row>
    <row r="74" spans="2:44" x14ac:dyDescent="0.2">
      <c r="B74" s="792" t="s">
        <v>426</v>
      </c>
      <c r="C74" s="770" t="s">
        <v>317</v>
      </c>
      <c r="D74" s="791">
        <f>D46*(1+PARAMETROS!$C$99)*(1+PARAMETROS!$D$99)*(1+PARAMETROS!$E$99)*(1+PARAMETROS!$F$99)</f>
        <v>683001.11935776309</v>
      </c>
      <c r="E74" s="791">
        <f>(E46)*(1+PARAMETROS!$C$99)*(1+PARAMETROS!$D$99)*(1+PARAMETROS!$E$99)*(1+PARAMETROS!$F$99)*(1+PARAMETROS!$G$99)</f>
        <v>717151.1753256513</v>
      </c>
      <c r="F74" s="791">
        <f>(F46)*(1+PARAMETROS!$C$99)*(1+PARAMETROS!$D$99)*(1+PARAMETROS!$E$99)*(1+PARAMETROS!$F$99)*(1+PARAMETROS!$G$99)*(1+PARAMETROS!$H$99)^F69</f>
        <v>749422.9782153056</v>
      </c>
      <c r="G74" s="214">
        <f>(G46)*(1+PARAMETROS!$C$99)*(1+PARAMETROS!$D$99)*(1+PARAMETROS!$E$99)*(1+PARAMETROS!$F$99)*(1+PARAMETROS!$G$99)*(1+PARAMETROS!$H$99)^G69</f>
        <v>783147.01223499421</v>
      </c>
      <c r="H74" s="214">
        <f>(H46)*(1+PARAMETROS!$C$99)*(1+PARAMETROS!$D$99)*(1+PARAMETROS!$E$99)*(1+PARAMETROS!$F$99)*(1+PARAMETROS!$G$99)*(1+PARAMETROS!$H$99)^H69</f>
        <v>818388.62778556894</v>
      </c>
      <c r="I74" s="214">
        <f>(I46)*(1+PARAMETROS!$C$99)*(1+PARAMETROS!$D$99)*(1+PARAMETROS!$E$99)*(1+PARAMETROS!$F$99)*(1+PARAMETROS!$G$99)*(1+PARAMETROS!$H$99)^I69</f>
        <v>855216.1160359194</v>
      </c>
      <c r="J74" s="214">
        <f>(J46)*(1+PARAMETROS!$C$99)*(1+PARAMETROS!$D$99)*(1+PARAMETROS!$E$99)*(1+PARAMETROS!$F$99)*(1+PARAMETROS!$G$99)*(1+PARAMETROS!$H$99)^J69</f>
        <v>893700.84125753574</v>
      </c>
      <c r="K74" s="214">
        <f>(K46)*(1+PARAMETROS!$C$99)*(1+PARAMETROS!$D$99)*(1+PARAMETROS!$E$99)*(1+PARAMETROS!$F$99)*(1+PARAMETROS!$G$99)*(1+PARAMETROS!$H$99)^K69</f>
        <v>933917.37911412457</v>
      </c>
      <c r="L74" s="214">
        <f>(L46)*(1+PARAMETROS!$C$99)*(1+PARAMETROS!$D$99)*(1+PARAMETROS!$E$99)*(1+PARAMETROS!$F$99)*(1+PARAMETROS!$G$99)*(1+PARAMETROS!$H$99)^L69</f>
        <v>975943.66117426031</v>
      </c>
      <c r="M74" s="214">
        <f>(M46)*(1+PARAMETROS!$C$99)*(1+PARAMETROS!$D$99)*(1+PARAMETROS!$E$99)*(1+PARAMETROS!$F$99)*(1+PARAMETROS!$G$99)*(1+PARAMETROS!$H$99)^M69</f>
        <v>1019861.1259271017</v>
      </c>
      <c r="N74" s="214">
        <f>(N46)*(1+PARAMETROS!$C$99)*(1+PARAMETROS!$D$99)*(1+PARAMETROS!$E$99)*(1+PARAMETROS!$F$99)*(1+PARAMETROS!$G$99)*(1+PARAMETROS!$H$99)^N69</f>
        <v>1065754.8765938212</v>
      </c>
      <c r="O74" s="214">
        <f>(O46)*(1+PARAMETROS!$C$99)*(1+PARAMETROS!$D$99)*(1+PARAMETROS!$E$99)*(1+PARAMETROS!$F$99)*(1+PARAMETROS!$G$99)*(1+PARAMETROS!$H$99)^O69</f>
        <v>1113713.8460405429</v>
      </c>
      <c r="P74" s="214">
        <f>(P46)*(1+PARAMETROS!$C$99)*(1+PARAMETROS!$D$99)*(1+PARAMETROS!$E$99)*(1+PARAMETROS!$F$99)*(1+PARAMETROS!$G$99)*(1+PARAMETROS!$H$99)^P69</f>
        <v>1163830.9691123674</v>
      </c>
      <c r="Q74" s="214">
        <f>(Q46)*(1+PARAMETROS!$C$99)*(1+PARAMETROS!$D$99)*(1+PARAMETROS!$E$99)*(1+PARAMETROS!$F$99)*(1+PARAMETROS!$G$99)*(1+PARAMETROS!$H$99)^Q69</f>
        <v>1216203.3627224236</v>
      </c>
      <c r="R74" s="214">
        <f>(R46)*(1+PARAMETROS!$C$99)*(1+PARAMETROS!$D$99)*(1+PARAMETROS!$E$99)*(1+PARAMETROS!$F$99)*(1+PARAMETROS!$G$99)*(1+PARAMETROS!$H$99)^R69</f>
        <v>1270932.5140449328</v>
      </c>
      <c r="S74" s="214">
        <f>(S46)*(1+PARAMETROS!$C$99)*(1+PARAMETROS!$D$99)*(1+PARAMETROS!$E$99)*(1+PARAMETROS!$F$99)*(1+PARAMETROS!$G$99)*(1+PARAMETROS!$H$99)^S69</f>
        <v>1328124.4771769545</v>
      </c>
      <c r="T74" s="214">
        <f>(T46)*(1+PARAMETROS!$C$99)*(1+PARAMETROS!$D$99)*(1+PARAMETROS!$E$99)*(1+PARAMETROS!$F$99)*(1+PARAMETROS!$G$99)*(1+PARAMETROS!$H$99)^T69</f>
        <v>1387890.0786499174</v>
      </c>
      <c r="U74" s="214">
        <f>(U46)*(1+PARAMETROS!$C$99)*(1+PARAMETROS!$D$99)*(1+PARAMETROS!$E$99)*(1+PARAMETROS!$F$99)*(1+PARAMETROS!$G$99)*(1+PARAMETROS!$H$99)^U69</f>
        <v>1450345.1321891632</v>
      </c>
      <c r="V74" s="214">
        <f>(V46)*(1+PARAMETROS!$C$99)*(1+PARAMETROS!$D$99)*(1+PARAMETROS!$E$99)*(1+PARAMETROS!$F$99)*(1+PARAMETROS!$G$99)*(1+PARAMETROS!$H$99)^V69</f>
        <v>1515610.6631376755</v>
      </c>
      <c r="W74" s="214">
        <f>(W46)*(1+PARAMETROS!$C$99)*(1+PARAMETROS!$D$99)*(1+PARAMETROS!$E$99)*(1+PARAMETROS!$F$99)*(1+PARAMETROS!$G$99)*(1+PARAMETROS!$H$99)^W69</f>
        <v>1583813.1429788705</v>
      </c>
      <c r="X74" s="214">
        <f>(X46)*(1+PARAMETROS!$C$99)*(1+PARAMETROS!$D$99)*(1+PARAMETROS!$E$99)*(1+PARAMETROS!$F$99)*(1+PARAMETROS!$G$99)*(1+PARAMETROS!$H$99)^X69</f>
        <v>1655084.7344129197</v>
      </c>
      <c r="Y74" s="214">
        <f>(Y46)*(1+PARAMETROS!$C$99)*(1+PARAMETROS!$D$99)*(1+PARAMETROS!$E$99)*(1+PARAMETROS!$F$99)*(1+PARAMETROS!$G$99)*(1+PARAMETROS!$H$99)^Y69</f>
        <v>1729563.5474615006</v>
      </c>
      <c r="Z74" s="214">
        <f>(Z46)*(1+PARAMETROS!$C$99)*(1+PARAMETROS!$D$99)*(1+PARAMETROS!$E$99)*(1+PARAMETROS!$F$99)*(1+PARAMETROS!$G$99)*(1+PARAMETROS!$H$99)^Z69</f>
        <v>1807393.9070972684</v>
      </c>
      <c r="AA74" s="214">
        <f>(AA46)*(1+PARAMETROS!$C$99)*(1+PARAMETROS!$D$99)*(1+PARAMETROS!$E$99)*(1+PARAMETROS!$F$99)*(1+PARAMETROS!$G$99)*(1+PARAMETROS!$H$99)^AA69</f>
        <v>1888726.6329166449</v>
      </c>
      <c r="AB74" s="214">
        <f>(AB46)*(1+PARAMETROS!$C$99)*(1+PARAMETROS!$D$99)*(1+PARAMETROS!$E$99)*(1+PARAMETROS!$F$99)*(1+PARAMETROS!$G$99)*(1+PARAMETROS!$H$99)^AB69</f>
        <v>1973719.3313978938</v>
      </c>
      <c r="AC74" s="214">
        <f>(AC46)*(1+PARAMETROS!$C$99)*(1+PARAMETROS!$D$99)*(1+PARAMETROS!$E$99)*(1+PARAMETROS!$F$99)*(1+PARAMETROS!$G$99)*(1+PARAMETROS!$H$99)^AC69</f>
        <v>2062536.7013107988</v>
      </c>
      <c r="AD74" s="214">
        <f>(AD46)*(1+PARAMETROS!$C$99)*(1+PARAMETROS!$D$99)*(1+PARAMETROS!$E$99)*(1+PARAMETROS!$F$99)*(1+PARAMETROS!$G$99)*(1+PARAMETROS!$H$99)^AD69</f>
        <v>2155350.8528697845</v>
      </c>
      <c r="AE74" s="214">
        <f>(AE46)*(1+PARAMETROS!$C$99)*(1+PARAMETROS!$D$99)*(1+PARAMETROS!$E$99)*(1+PARAMETROS!$F$99)*(1+PARAMETROS!$G$99)*(1+PARAMETROS!$H$99)^AE69</f>
        <v>2252341.6412489242</v>
      </c>
      <c r="AF74" s="214">
        <f>(AF46)*(1+PARAMETROS!$C$99)*(1+PARAMETROS!$D$99)*(1+PARAMETROS!$E$99)*(1+PARAMETROS!$F$99)*(1+PARAMETROS!$G$99)*(1+PARAMETROS!$H$99)^AF69</f>
        <v>2353697.015105126</v>
      </c>
      <c r="AG74" s="214">
        <f>(AG46)*(1+PARAMETROS!$C$99)*(1+PARAMETROS!$D$99)*(1+PARAMETROS!$E$99)*(1+PARAMETROS!$F$99)*(1+PARAMETROS!$G$99)*(1+PARAMETROS!$H$99)^AG69</f>
        <v>2459613.3807848562</v>
      </c>
      <c r="AH74" s="214">
        <f>(AH46)*(1+PARAMETROS!$C$99)*(1+PARAMETROS!$D$99)*(1+PARAMETROS!$E$99)*(1+PARAMETROS!$F$99)*(1+PARAMETROS!$G$99)*(1+PARAMETROS!$H$99)^AH69</f>
        <v>2570295.982920175</v>
      </c>
      <c r="AI74" s="214">
        <f>(AI46)*(1+PARAMETROS!$C$99)*(1+PARAMETROS!$D$99)*(1+PARAMETROS!$E$99)*(1+PARAMETROS!$F$99)*(1+PARAMETROS!$G$99)*(1+PARAMETROS!$H$99)^AI69</f>
        <v>2685959.3021515817</v>
      </c>
      <c r="AJ74" s="214">
        <f>(AJ46)*(1+PARAMETROS!$C$99)*(1+PARAMETROS!$D$99)*(1+PARAMETROS!$E$99)*(1+PARAMETROS!$F$99)*(1+PARAMETROS!$G$99)*(1+PARAMETROS!$H$99)^AJ69</f>
        <v>2806827.4707484036</v>
      </c>
      <c r="AK74" s="214">
        <f>(AK46)*(1+PARAMETROS!$C$99)*(1+PARAMETROS!$D$99)*(1+PARAMETROS!$E$99)*(1+PARAMETROS!$F$99)*(1+PARAMETROS!$G$99)*(1+PARAMETROS!$H$99)^AK69</f>
        <v>2933134.70693208</v>
      </c>
      <c r="AL74" s="214">
        <f>(AL46)*(1+PARAMETROS!$C$99)*(1+PARAMETROS!$D$99)*(1+PARAMETROS!$E$99)*(1+PARAMETROS!$F$99)*(1+PARAMETROS!$G$99)*(1+PARAMETROS!$H$99)^AL69</f>
        <v>3065125.7687440231</v>
      </c>
      <c r="AM74" s="214">
        <f>(AM46)*(1+PARAMETROS!$C$99)*(1+PARAMETROS!$D$99)*(1+PARAMETROS!$E$99)*(1+PARAMETROS!$F$99)*(1+PARAMETROS!$G$99)*(1+PARAMETROS!$H$99)^AM69</f>
        <v>3203056.4283375042</v>
      </c>
      <c r="AN74" s="214">
        <f>(AN46)*(1+PARAMETROS!$C$99)*(1+PARAMETROS!$D$99)*(1+PARAMETROS!$E$99)*(1+PARAMETROS!$F$99)*(1+PARAMETROS!$G$99)*(1+PARAMETROS!$H$99)^AN69</f>
        <v>3347193.9676126917</v>
      </c>
      <c r="AO74" s="214">
        <f>(AO46)*(1+PARAMETROS!$C$99)*(1+PARAMETROS!$D$99)*(1+PARAMETROS!$E$99)*(1+PARAMETROS!$F$99)*(1+PARAMETROS!$G$99)*(1+PARAMETROS!$H$99)^AO69</f>
        <v>3497817.6961552622</v>
      </c>
      <c r="AP74" s="214">
        <f>(AP46)*(1+PARAMETROS!$C$99)*(1+PARAMETROS!$D$99)*(1+PARAMETROS!$E$99)*(1+PARAMETROS!$F$99)*(1+PARAMETROS!$G$99)*(1+PARAMETROS!$H$99)^AP69</f>
        <v>3655219.4924822487</v>
      </c>
      <c r="AQ74" s="214">
        <f>(AQ46)*(1+PARAMETROS!$C$99)*(1+PARAMETROS!$D$99)*(1+PARAMETROS!$E$99)*(1+PARAMETROS!$F$99)*(1+PARAMETROS!$G$99)*(1+PARAMETROS!$H$99)^AQ69</f>
        <v>3819704.3696439494</v>
      </c>
      <c r="AR74" s="214">
        <f>(AR46)*(1+PARAMETROS!$C$99)*(1+PARAMETROS!$D$99)*(1+PARAMETROS!$E$99)*(1+PARAMETROS!$F$99)*(1+PARAMETROS!$G$99)*(1+PARAMETROS!$H$99)^AR69</f>
        <v>3991591.0662779268</v>
      </c>
    </row>
    <row r="75" spans="2:44" x14ac:dyDescent="0.2">
      <c r="B75" s="792" t="s">
        <v>431</v>
      </c>
      <c r="C75" s="770" t="s">
        <v>317</v>
      </c>
      <c r="D75" s="791">
        <f>D48*(1+PARAMETROS!$C$89)*(1+PARAMETROS!$D$89)*(1+PARAMETROS!$E$89)*(1+PARAMETROS!$F$89)</f>
        <v>66505.628358913193</v>
      </c>
      <c r="E75" s="791">
        <f>(E48)*(1+PARAMETROS!$C$89)*(1+PARAMETROS!$D$89)*(1+PARAMETROS!$E$89)*(1+PARAMETROS!$F$89)*(1+PARAMETROS!$G$89)</f>
        <v>69498.381635064288</v>
      </c>
      <c r="F75" s="791">
        <f>(F48)*(1+PARAMETROS!$C$89)*(1+PARAMETROS!$D$89)*(1+PARAMETROS!$E$89)*(1+PARAMETROS!$F$89)*(1+PARAMETROS!$G$89)*(1+PARAMETROS!$H$89)^F69</f>
        <v>72278.31690046686</v>
      </c>
      <c r="G75" s="214">
        <f>(G48)*(1+PARAMETROS!$C$89)*(1+PARAMETROS!$D$89)*(1+PARAMETROS!$E$89)*(1+PARAMETROS!$F$89)*(1+PARAMETROS!$G$89)*(1+PARAMETROS!$H$89)^G69</f>
        <v>75169.449576485538</v>
      </c>
      <c r="H75" s="214">
        <f>(H48)*(1+PARAMETROS!$C$89)*(1+PARAMETROS!$D$89)*(1+PARAMETROS!$E$89)*(1+PARAMETROS!$F$89)*(1+PARAMETROS!$G$89)*(1+PARAMETROS!$H$89)^H69</f>
        <v>160218.65075745198</v>
      </c>
      <c r="I75" s="214">
        <f>(I48)*(1+PARAMETROS!$C$89)*(1+PARAMETROS!$D$89)*(1+PARAMETROS!$E$89)*(1+PARAMETROS!$F$89)*(1+PARAMETROS!$G$89)*(1+PARAMETROS!$H$89)^I69</f>
        <v>81303.276661926764</v>
      </c>
      <c r="J75" s="214">
        <f>(J48)*(1+PARAMETROS!$C$89)*(1+PARAMETROS!$D$89)*(1+PARAMETROS!$E$89)*(1+PARAMETROS!$F$89)*(1+PARAMETROS!$G$89)*(1+PARAMETROS!$H$89)^J69</f>
        <v>84555.40772840385</v>
      </c>
      <c r="K75" s="214">
        <f>(K48)*(1+PARAMETROS!$C$89)*(1+PARAMETROS!$D$89)*(1+PARAMETROS!$E$89)*(1+PARAMETROS!$F$89)*(1+PARAMETROS!$G$89)*(1+PARAMETROS!$H$89)^K69</f>
        <v>87937.624037540008</v>
      </c>
      <c r="L75" s="214">
        <f>(L48)*(1+PARAMETROS!$C$89)*(1+PARAMETROS!$D$89)*(1+PARAMETROS!$E$89)*(1+PARAMETROS!$F$89)*(1+PARAMETROS!$G$89)*(1+PARAMETROS!$H$89)^L69</f>
        <v>91455.128999041597</v>
      </c>
      <c r="M75" s="214">
        <f>(M48)*(1+PARAMETROS!$C$89)*(1+PARAMETROS!$D$89)*(1+PARAMETROS!$E$89)*(1+PARAMETROS!$F$89)*(1+PARAMETROS!$G$89)*(1+PARAMETROS!$H$89)^M69</f>
        <v>194930.48646266595</v>
      </c>
      <c r="N75" s="214">
        <f>(N48)*(1+PARAMETROS!$C$89)*(1+PARAMETROS!$D$89)*(1+PARAMETROS!$E$89)*(1+PARAMETROS!$F$89)*(1+PARAMETROS!$G$89)*(1+PARAMETROS!$H$89)^N69</f>
        <v>98917.867525363414</v>
      </c>
      <c r="O75" s="214">
        <f>(O48)*(1+PARAMETROS!$C$89)*(1+PARAMETROS!$D$89)*(1+PARAMETROS!$E$89)*(1+PARAMETROS!$F$89)*(1+PARAMETROS!$G$89)*(1+PARAMETROS!$H$89)^O69</f>
        <v>102874.58222637796</v>
      </c>
      <c r="P75" s="214">
        <f>(P48)*(1+PARAMETROS!$C$89)*(1+PARAMETROS!$D$89)*(1+PARAMETROS!$E$89)*(1+PARAMETROS!$F$89)*(1+PARAMETROS!$G$89)*(1+PARAMETROS!$H$89)^P69</f>
        <v>106989.56551543306</v>
      </c>
      <c r="Q75" s="214">
        <f>(Q48)*(1+PARAMETROS!$C$89)*(1+PARAMETROS!$D$89)*(1+PARAMETROS!$E$89)*(1+PARAMETROS!$F$89)*(1+PARAMETROS!$G$89)*(1+PARAMETROS!$H$89)^Q69</f>
        <v>111269.14813605041</v>
      </c>
      <c r="R75" s="214">
        <f>(R48)*(1+PARAMETROS!$C$89)*(1+PARAMETROS!$D$89)*(1+PARAMETROS!$E$89)*(1+PARAMETROS!$F$89)*(1+PARAMETROS!$G$89)*(1+PARAMETROS!$H$89)^R69</f>
        <v>237162.7421210465</v>
      </c>
      <c r="S75" s="214">
        <f>(S48)*(1+PARAMETROS!$C$89)*(1+PARAMETROS!$D$89)*(1+PARAMETROS!$E$89)*(1+PARAMETROS!$F$89)*(1+PARAMETROS!$G$89)*(1+PARAMETROS!$H$89)^S69</f>
        <v>120348.71062395212</v>
      </c>
      <c r="T75" s="214">
        <f>(T48)*(1+PARAMETROS!$C$89)*(1+PARAMETROS!$D$89)*(1+PARAMETROS!$E$89)*(1+PARAMETROS!$F$89)*(1+PARAMETROS!$G$89)*(1+PARAMETROS!$H$89)^T69</f>
        <v>125162.65904891021</v>
      </c>
      <c r="U75" s="214">
        <f>(U48)*(1+PARAMETROS!$C$89)*(1+PARAMETROS!$D$89)*(1+PARAMETROS!$E$89)*(1+PARAMETROS!$F$89)*(1+PARAMETROS!$G$89)*(1+PARAMETROS!$H$89)^U69</f>
        <v>130169.16541086663</v>
      </c>
      <c r="V75" s="214">
        <f>(V48)*(1+PARAMETROS!$C$89)*(1+PARAMETROS!$D$89)*(1+PARAMETROS!$E$89)*(1+PARAMETROS!$F$89)*(1+PARAMETROS!$G$89)*(1+PARAMETROS!$H$89)^V69</f>
        <v>135375.93202730131</v>
      </c>
      <c r="W75" s="214">
        <f>(W48)*(1+PARAMETROS!$C$89)*(1+PARAMETROS!$D$89)*(1+PARAMETROS!$E$89)*(1+PARAMETROS!$F$89)*(1+PARAMETROS!$G$89)*(1+PARAMETROS!$H$89)^W69</f>
        <v>288544.73854271404</v>
      </c>
      <c r="X75" s="214">
        <f>(X48)*(1+PARAMETROS!$C$89)*(1+PARAMETROS!$D$89)*(1+PARAMETROS!$E$89)*(1+PARAMETROS!$F$89)*(1+PARAMETROS!$G$89)*(1+PARAMETROS!$H$89)^X69</f>
        <v>146422.60808072911</v>
      </c>
      <c r="Y75" s="214">
        <f>(Y48)*(1+PARAMETROS!$C$89)*(1+PARAMETROS!$D$89)*(1+PARAMETROS!$E$89)*(1+PARAMETROS!$F$89)*(1+PARAMETROS!$G$89)*(1+PARAMETROS!$H$89)^Y69</f>
        <v>152279.51240395827</v>
      </c>
      <c r="Z75" s="214">
        <f>(Z48)*(1+PARAMETROS!$C$89)*(1+PARAMETROS!$D$89)*(1+PARAMETROS!$E$89)*(1+PARAMETROS!$F$89)*(1+PARAMETROS!$G$89)*(1+PARAMETROS!$H$89)^Z69</f>
        <v>158370.69290011664</v>
      </c>
      <c r="AA75" s="214">
        <f>(AA48)*(1+PARAMETROS!$C$89)*(1+PARAMETROS!$D$89)*(1+PARAMETROS!$E$89)*(1+PARAMETROS!$F$89)*(1+PARAMETROS!$G$89)*(1+PARAMETROS!$H$89)^AA69</f>
        <v>164705.5206161213</v>
      </c>
      <c r="AB75" s="214">
        <f>(AB48)*(1+PARAMETROS!$C$89)*(1+PARAMETROS!$D$89)*(1+PARAMETROS!$E$89)*(1+PARAMETROS!$F$89)*(1+PARAMETROS!$G$89)*(1+PARAMETROS!$H$89)^AB69</f>
        <v>351058.79362024221</v>
      </c>
      <c r="AC75" s="214">
        <f>(AC48)*(1+PARAMETROS!$C$89)*(1+PARAMETROS!$D$89)*(1+PARAMETROS!$E$89)*(1+PARAMETROS!$F$89)*(1+PARAMETROS!$G$89)*(1+PARAMETROS!$H$89)^AC69</f>
        <v>178145.4910983968</v>
      </c>
      <c r="AD75" s="214">
        <f>(AD48)*(1+PARAMETROS!$C$89)*(1+PARAMETROS!$D$89)*(1+PARAMETROS!$E$89)*(1+PARAMETROS!$F$89)*(1+PARAMETROS!$G$89)*(1+PARAMETROS!$H$89)^AD69</f>
        <v>185271.31074233269</v>
      </c>
      <c r="AE75" s="214">
        <f>(AE48)*(1+PARAMETROS!$C$89)*(1+PARAMETROS!$D$89)*(1+PARAMETROS!$E$89)*(1+PARAMETROS!$F$89)*(1+PARAMETROS!$G$89)*(1+PARAMETROS!$H$89)^AE69</f>
        <v>192682.16317202599</v>
      </c>
      <c r="AF75" s="214">
        <f>(AF48)*(1+PARAMETROS!$C$89)*(1+PARAMETROS!$D$89)*(1+PARAMETROS!$E$89)*(1+PARAMETROS!$F$89)*(1+PARAMETROS!$G$89)*(1+PARAMETROS!$H$89)^AF69</f>
        <v>200389.44969890703</v>
      </c>
      <c r="AG75" s="214">
        <f>(AG48)*(1+PARAMETROS!$C$89)*(1+PARAMETROS!$D$89)*(1+PARAMETROS!$E$89)*(1+PARAMETROS!$F$89)*(1+PARAMETROS!$G$89)*(1+PARAMETROS!$H$89)^AG69</f>
        <v>427116.70017111045</v>
      </c>
      <c r="AH75" s="214">
        <f>(AH48)*(1+PARAMETROS!$C$89)*(1+PARAMETROS!$D$89)*(1+PARAMETROS!$E$89)*(1+PARAMETROS!$F$89)*(1+PARAMETROS!$G$89)*(1+PARAMETROS!$H$89)^AH69</f>
        <v>216741.22879433789</v>
      </c>
      <c r="AI75" s="214">
        <f>(AI48)*(1+PARAMETROS!$C$89)*(1+PARAMETROS!$D$89)*(1+PARAMETROS!$E$89)*(1+PARAMETROS!$F$89)*(1+PARAMETROS!$G$89)*(1+PARAMETROS!$H$89)^AI69</f>
        <v>225410.87794611137</v>
      </c>
      <c r="AJ75" s="214">
        <f>(AJ48)*(1+PARAMETROS!$C$89)*(1+PARAMETROS!$D$89)*(1+PARAMETROS!$E$89)*(1+PARAMETROS!$F$89)*(1+PARAMETROS!$G$89)*(1+PARAMETROS!$H$89)^AJ69</f>
        <v>234427.31306395584</v>
      </c>
      <c r="AK75" s="214">
        <f>(AK48)*(1+PARAMETROS!$C$89)*(1+PARAMETROS!$D$89)*(1+PARAMETROS!$E$89)*(1+PARAMETROS!$F$89)*(1+PARAMETROS!$G$89)*(1+PARAMETROS!$H$89)^AK69</f>
        <v>243804.4055865141</v>
      </c>
      <c r="AL75" s="214">
        <f>(AL48)*(1+PARAMETROS!$C$89)*(1+PARAMETROS!$D$89)*(1+PARAMETROS!$E$89)*(1+PARAMETROS!$F$89)*(1+PARAMETROS!$G$89)*(1+PARAMETROS!$H$89)^AL69</f>
        <v>519652.77292669215</v>
      </c>
      <c r="AM75" s="214">
        <f>(AM48)*(1+PARAMETROS!$C$89)*(1+PARAMETROS!$D$89)*(1+PARAMETROS!$E$89)*(1+PARAMETROS!$F$89)*(1+PARAMETROS!$G$89)*(1+PARAMETROS!$H$89)^AM69</f>
        <v>263698.84508237371</v>
      </c>
      <c r="AN75" s="214">
        <f>(AN48)*(1+PARAMETROS!$C$89)*(1+PARAMETROS!$D$89)*(1+PARAMETROS!$E$89)*(1+PARAMETROS!$F$89)*(1+PARAMETROS!$G$89)*(1+PARAMETROS!$H$89)^AN69</f>
        <v>274246.79888566863</v>
      </c>
      <c r="AO75" s="214">
        <f>(AO48)*(1+PARAMETROS!$C$89)*(1+PARAMETROS!$D$89)*(1+PARAMETROS!$E$89)*(1+PARAMETROS!$F$89)*(1+PARAMETROS!$G$89)*(1+PARAMETROS!$H$89)^AO69</f>
        <v>285216.67084109539</v>
      </c>
      <c r="AP75" s="214">
        <f>(AP48)*(1+PARAMETROS!$C$89)*(1+PARAMETROS!$D$89)*(1+PARAMETROS!$E$89)*(1+PARAMETROS!$F$89)*(1+PARAMETROS!$G$89)*(1+PARAMETROS!$H$89)^AP69</f>
        <v>296625.33767473925</v>
      </c>
      <c r="AQ75" s="214">
        <f>(AQ48)*(1+PARAMETROS!$C$89)*(1+PARAMETROS!$D$89)*(1+PARAMETROS!$E$89)*(1+PARAMETROS!$F$89)*(1+PARAMETROS!$G$89)*(1+PARAMETROS!$H$89)^AQ69</f>
        <v>632237.05442146829</v>
      </c>
      <c r="AR75" s="214">
        <f>(AR48)*(1+PARAMETROS!$C$89)*(1+PARAMETROS!$D$89)*(1+PARAMETROS!$E$89)*(1+PARAMETROS!$F$89)*(1+PARAMETROS!$G$89)*(1+PARAMETROS!$H$89)^AR69</f>
        <v>320829.96522899793</v>
      </c>
    </row>
    <row r="76" spans="2:44" x14ac:dyDescent="0.2">
      <c r="B76" s="795"/>
      <c r="C76" s="796"/>
      <c r="D76" s="214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</row>
    <row r="77" spans="2:44" x14ac:dyDescent="0.2">
      <c r="B77" s="794" t="s">
        <v>177</v>
      </c>
      <c r="C77" s="793"/>
      <c r="D77" s="793">
        <f>SUM(D70:D75)</f>
        <v>3617361.8119888823</v>
      </c>
      <c r="E77" s="793">
        <f t="shared" ref="E77" si="203">SUM(E70:E75)</f>
        <v>3771981.4080331079</v>
      </c>
      <c r="F77" s="793">
        <f t="shared" ref="F77" si="204">SUM(F70:F75)</f>
        <v>3921601.0199884376</v>
      </c>
      <c r="G77" s="793">
        <f t="shared" ref="G77" si="205">SUM(G70:G75)</f>
        <v>4077573.7038682294</v>
      </c>
      <c r="H77" s="793">
        <f t="shared" ref="H77" si="206">SUM(H70:H75)</f>
        <v>9743055.3493383043</v>
      </c>
      <c r="I77" s="793">
        <f t="shared" ref="I77" si="207">SUM(I70:I75)</f>
        <v>4409709.4763487848</v>
      </c>
      <c r="J77" s="793">
        <f t="shared" ref="J77" si="208">SUM(J70:J75)</f>
        <v>4586470.1049269363</v>
      </c>
      <c r="K77" s="793">
        <f t="shared" ref="K77" si="209">SUM(K70:K75)</f>
        <v>4770780.0508376509</v>
      </c>
      <c r="L77" s="793">
        <f t="shared" ref="L77" si="210">SUM(L70:L75)</f>
        <v>4962972.6986558763</v>
      </c>
      <c r="M77" s="793">
        <f t="shared" ref="M77" si="211">SUM(M70:M75)</f>
        <v>11218971.164760958</v>
      </c>
      <c r="N77" s="793">
        <f t="shared" ref="N77" si="212">SUM(N70:N75)</f>
        <v>5372415.2714080289</v>
      </c>
      <c r="O77" s="793">
        <f t="shared" ref="O77" si="213">SUM(O70:O75)</f>
        <v>5590409.6739233034</v>
      </c>
      <c r="P77" s="793">
        <f t="shared" ref="P77" si="214">SUM(P70:P75)</f>
        <v>5817777.1913243914</v>
      </c>
      <c r="Q77" s="793">
        <f t="shared" ref="Q77" si="215">SUM(Q70:Q75)</f>
        <v>6054933.2930075014</v>
      </c>
      <c r="R77" s="793">
        <f t="shared" ref="R77" si="216">SUM(R70:R75)</f>
        <v>12967222.246439064</v>
      </c>
      <c r="S77" s="793">
        <f t="shared" ref="S77" si="217">SUM(S70:S75)</f>
        <v>6560367.5994098494</v>
      </c>
      <c r="T77" s="793">
        <f t="shared" ref="T77" si="218">SUM(T70:T75)</f>
        <v>6829573.8120650705</v>
      </c>
      <c r="U77" s="793">
        <f t="shared" ref="U77" si="219">SUM(U70:U75)</f>
        <v>7110426.4489298761</v>
      </c>
      <c r="V77" s="793">
        <f t="shared" ref="V77" si="220">SUM(V70:V75)</f>
        <v>7403443.5244022049</v>
      </c>
      <c r="W77" s="793">
        <f t="shared" ref="W77" si="221">SUM(W70:W75)</f>
        <v>15046091.865460729</v>
      </c>
      <c r="X77" s="793">
        <f t="shared" ref="X77" si="222">SUM(X70:X75)</f>
        <v>8028161.0949082077</v>
      </c>
      <c r="Y77" s="793">
        <f t="shared" ref="Y77" si="223">SUM(Y70:Y75)</f>
        <v>8361018.9144576602</v>
      </c>
      <c r="Z77" s="793">
        <f t="shared" ref="Z77" si="224">SUM(Z70:Z75)</f>
        <v>8708358.1046076827</v>
      </c>
      <c r="AA77" s="793">
        <f t="shared" ref="AA77" si="225">SUM(AA70:AA75)</f>
        <v>9070824.8289918322</v>
      </c>
      <c r="AB77" s="793">
        <f t="shared" ref="AB77" si="226">SUM(AB70:AB75)</f>
        <v>17527453.217902143</v>
      </c>
      <c r="AC77" s="793">
        <f t="shared" ref="AC77" si="227">SUM(AC70:AC75)</f>
        <v>9843873.0867594983</v>
      </c>
      <c r="AD77" s="793">
        <f t="shared" ref="AD77" si="228">SUM(AD70:AD75)</f>
        <v>10255898.567172922</v>
      </c>
      <c r="AE77" s="793">
        <f t="shared" ref="AE77" si="229">SUM(AE70:AE75)</f>
        <v>10685942.334008325</v>
      </c>
      <c r="AF77" s="793">
        <f t="shared" ref="AF77" si="230">SUM(AF70:AF75)</f>
        <v>11134810.750857936</v>
      </c>
      <c r="AG77" s="793">
        <f t="shared" ref="AG77" si="231">SUM(AG70:AG75)</f>
        <v>20500079.341866609</v>
      </c>
      <c r="AH77" s="793">
        <f t="shared" ref="AH77" si="232">SUM(AH70:AH75)</f>
        <v>12092431.481569575</v>
      </c>
      <c r="AI77" s="793">
        <f t="shared" ref="AI77" si="233">SUM(AI70:AI75)</f>
        <v>12602986.109187827</v>
      </c>
      <c r="AJ77" s="793">
        <f t="shared" ref="AJ77" si="234">SUM(AJ70:AJ75)</f>
        <v>13135973.593525629</v>
      </c>
      <c r="AK77" s="793">
        <f t="shared" ref="AK77" si="235">SUM(AK70:AK75)</f>
        <v>13692400.62962063</v>
      </c>
      <c r="AL77" s="793">
        <f t="shared" ref="AL77" si="236">SUM(AL70:AL75)</f>
        <v>24073777.304630551</v>
      </c>
      <c r="AM77" s="793">
        <f t="shared" ref="AM77" si="237">SUM(AM70:AM75)</f>
        <v>14879830.892303588</v>
      </c>
      <c r="AN77" s="793">
        <f t="shared" ref="AN77" si="238">SUM(AN70:AN75)</f>
        <v>15513084.644478753</v>
      </c>
      <c r="AO77" s="793">
        <f t="shared" ref="AO77" si="239">SUM(AO70:AO75)</f>
        <v>16174283.482978499</v>
      </c>
      <c r="AP77" s="793">
        <f t="shared" ref="AP77" si="240">SUM(AP70:AP75)</f>
        <v>16864684.697690241</v>
      </c>
      <c r="AQ77" s="793">
        <f t="shared" ref="AQ77" si="241">SUM(AQ70:AQ75)</f>
        <v>28384554.549774367</v>
      </c>
      <c r="AR77" s="793">
        <f t="shared" ref="AR77" si="242">SUM(AR70:AR75)</f>
        <v>18338412.122428522</v>
      </c>
    </row>
    <row r="78" spans="2:44" x14ac:dyDescent="0.2">
      <c r="C78" s="752"/>
    </row>
    <row r="79" spans="2:44" x14ac:dyDescent="0.2">
      <c r="C79" s="752"/>
    </row>
    <row r="80" spans="2:44" x14ac:dyDescent="0.2">
      <c r="B80" s="250" t="s">
        <v>563</v>
      </c>
      <c r="C80" s="769" t="s">
        <v>419</v>
      </c>
      <c r="D80" s="251">
        <v>2019</v>
      </c>
      <c r="E80" s="251">
        <v>2020</v>
      </c>
      <c r="F80" s="251">
        <v>2021</v>
      </c>
      <c r="G80" s="251">
        <v>2022</v>
      </c>
      <c r="H80" s="251">
        <v>2023</v>
      </c>
      <c r="I80" s="251">
        <v>2024</v>
      </c>
      <c r="J80" s="251">
        <v>2025</v>
      </c>
      <c r="K80" s="251">
        <v>2026</v>
      </c>
      <c r="L80" s="251">
        <v>2027</v>
      </c>
      <c r="M80" s="251">
        <v>2028</v>
      </c>
      <c r="N80" s="251">
        <v>2029</v>
      </c>
      <c r="O80" s="251">
        <v>2030</v>
      </c>
      <c r="P80" s="251">
        <v>2031</v>
      </c>
      <c r="Q80" s="251">
        <v>2032</v>
      </c>
      <c r="R80" s="251">
        <v>2033</v>
      </c>
      <c r="S80" s="251">
        <v>2034</v>
      </c>
      <c r="T80" s="251">
        <v>2035</v>
      </c>
      <c r="U80" s="251">
        <v>2036</v>
      </c>
      <c r="V80" s="251">
        <v>2037</v>
      </c>
      <c r="W80" s="251">
        <v>2038</v>
      </c>
      <c r="X80" s="251">
        <v>2039</v>
      </c>
      <c r="Y80" s="251">
        <v>2040</v>
      </c>
      <c r="Z80" s="251">
        <v>2041</v>
      </c>
      <c r="AA80" s="251">
        <v>2042</v>
      </c>
      <c r="AB80" s="251">
        <v>2043</v>
      </c>
      <c r="AC80" s="251">
        <v>2044</v>
      </c>
      <c r="AD80" s="251">
        <v>2045</v>
      </c>
      <c r="AE80" s="251">
        <v>2046</v>
      </c>
      <c r="AF80" s="251">
        <v>2047</v>
      </c>
      <c r="AG80" s="251">
        <v>2048</v>
      </c>
      <c r="AH80" s="251">
        <v>2049</v>
      </c>
      <c r="AI80" s="251">
        <v>2050</v>
      </c>
      <c r="AJ80" s="251">
        <v>2051</v>
      </c>
      <c r="AK80" s="251">
        <v>2052</v>
      </c>
      <c r="AL80" s="251">
        <v>2053</v>
      </c>
      <c r="AM80" s="251">
        <v>2054</v>
      </c>
      <c r="AN80" s="251">
        <v>2055</v>
      </c>
      <c r="AO80" s="251">
        <v>2056</v>
      </c>
      <c r="AP80" s="251">
        <v>2057</v>
      </c>
      <c r="AQ80" s="251">
        <v>2058</v>
      </c>
      <c r="AR80" s="251">
        <v>2059</v>
      </c>
    </row>
    <row r="81" spans="2:44" outlineLevel="1" x14ac:dyDescent="0.2">
      <c r="B81" s="252"/>
      <c r="C81" s="770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</row>
    <row r="82" spans="2:44" ht="16.2" outlineLevel="1" x14ac:dyDescent="0.3">
      <c r="B82" s="253" t="s">
        <v>207</v>
      </c>
      <c r="C82" s="771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</row>
    <row r="83" spans="2:44" outlineLevel="1" x14ac:dyDescent="0.2">
      <c r="B83" s="252"/>
      <c r="C83" s="770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</row>
    <row r="84" spans="2:44" outlineLevel="1" x14ac:dyDescent="0.2">
      <c r="B84" s="254" t="s">
        <v>208</v>
      </c>
      <c r="C84" s="772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</row>
    <row r="85" spans="2:44" outlineLevel="1" x14ac:dyDescent="0.2">
      <c r="B85" s="255" t="s">
        <v>186</v>
      </c>
      <c r="C85" s="773" t="s">
        <v>317</v>
      </c>
      <c r="D85" s="777">
        <f>OPERACION_Mano_de_Obras!E$32</f>
        <v>179140</v>
      </c>
      <c r="E85" s="203">
        <f>D85</f>
        <v>179140</v>
      </c>
      <c r="F85" s="203">
        <f t="shared" ref="F85:F87" si="243">E85</f>
        <v>179140</v>
      </c>
      <c r="G85" s="203">
        <f t="shared" ref="G85:G87" si="244">F85</f>
        <v>179140</v>
      </c>
      <c r="H85" s="203">
        <f t="shared" ref="H85:H87" si="245">G85</f>
        <v>179140</v>
      </c>
      <c r="I85" s="203">
        <f t="shared" ref="I85:I87" si="246">H85</f>
        <v>179140</v>
      </c>
      <c r="J85" s="203">
        <f t="shared" ref="J85:J87" si="247">I85</f>
        <v>179140</v>
      </c>
      <c r="K85" s="203">
        <f t="shared" ref="K85:K87" si="248">J85</f>
        <v>179140</v>
      </c>
      <c r="L85" s="203">
        <f t="shared" ref="L85:L87" si="249">K85</f>
        <v>179140</v>
      </c>
      <c r="M85" s="203">
        <f t="shared" ref="M85:M87" si="250">L85</f>
        <v>179140</v>
      </c>
      <c r="N85" s="203">
        <f t="shared" ref="N85:N87" si="251">M85</f>
        <v>179140</v>
      </c>
      <c r="O85" s="203">
        <f t="shared" ref="O85:O87" si="252">N85</f>
        <v>179140</v>
      </c>
      <c r="P85" s="203">
        <f t="shared" ref="P85:P87" si="253">O85</f>
        <v>179140</v>
      </c>
      <c r="Q85" s="203">
        <f t="shared" ref="Q85:Q87" si="254">P85</f>
        <v>179140</v>
      </c>
      <c r="R85" s="203">
        <f t="shared" ref="R85:R87" si="255">Q85</f>
        <v>179140</v>
      </c>
      <c r="S85" s="203">
        <f t="shared" ref="S85:S87" si="256">R85</f>
        <v>179140</v>
      </c>
      <c r="T85" s="203">
        <f t="shared" ref="T85:T87" si="257">S85</f>
        <v>179140</v>
      </c>
      <c r="U85" s="203">
        <f t="shared" ref="U85:U87" si="258">T85</f>
        <v>179140</v>
      </c>
      <c r="V85" s="203">
        <f t="shared" ref="V85:V87" si="259">U85</f>
        <v>179140</v>
      </c>
      <c r="W85" s="203">
        <f t="shared" ref="W85:W87" si="260">V85</f>
        <v>179140</v>
      </c>
      <c r="X85" s="203">
        <f t="shared" ref="X85:X87" si="261">W85</f>
        <v>179140</v>
      </c>
      <c r="Y85" s="203">
        <f t="shared" ref="Y85:Y87" si="262">X85</f>
        <v>179140</v>
      </c>
      <c r="Z85" s="203">
        <f t="shared" ref="Z85:Z87" si="263">Y85</f>
        <v>179140</v>
      </c>
      <c r="AA85" s="203">
        <f t="shared" ref="AA85:AA87" si="264">Z85</f>
        <v>179140</v>
      </c>
      <c r="AB85" s="203">
        <f t="shared" ref="AB85:AB87" si="265">AA85</f>
        <v>179140</v>
      </c>
      <c r="AC85" s="203">
        <f t="shared" ref="AC85:AC87" si="266">AB85</f>
        <v>179140</v>
      </c>
      <c r="AD85" s="203">
        <f t="shared" ref="AD85:AD87" si="267">AC85</f>
        <v>179140</v>
      </c>
      <c r="AE85" s="203">
        <f t="shared" ref="AE85:AE87" si="268">AD85</f>
        <v>179140</v>
      </c>
      <c r="AF85" s="203">
        <f t="shared" ref="AF85:AF87" si="269">AE85</f>
        <v>179140</v>
      </c>
      <c r="AG85" s="203">
        <f t="shared" ref="AG85:AG87" si="270">AF85</f>
        <v>179140</v>
      </c>
      <c r="AH85" s="203">
        <f t="shared" ref="AH85:AH87" si="271">AG85</f>
        <v>179140</v>
      </c>
      <c r="AI85" s="203">
        <f t="shared" ref="AI85:AI87" si="272">AH85</f>
        <v>179140</v>
      </c>
      <c r="AJ85" s="203">
        <f t="shared" ref="AJ85:AJ87" si="273">AI85</f>
        <v>179140</v>
      </c>
      <c r="AK85" s="203">
        <f t="shared" ref="AK85:AK87" si="274">AJ85</f>
        <v>179140</v>
      </c>
      <c r="AL85" s="203">
        <f t="shared" ref="AL85:AL87" si="275">AK85</f>
        <v>179140</v>
      </c>
      <c r="AM85" s="203">
        <f t="shared" ref="AM85:AM87" si="276">AL85</f>
        <v>179140</v>
      </c>
      <c r="AN85" s="203">
        <f t="shared" ref="AN85:AN87" si="277">AM85</f>
        <v>179140</v>
      </c>
      <c r="AO85" s="203">
        <f t="shared" ref="AO85:AO87" si="278">AN85</f>
        <v>179140</v>
      </c>
      <c r="AP85" s="203">
        <f t="shared" ref="AP85:AP87" si="279">AO85</f>
        <v>179140</v>
      </c>
      <c r="AQ85" s="203">
        <f t="shared" ref="AQ85:AR87" si="280">AP85</f>
        <v>179140</v>
      </c>
      <c r="AR85" s="203">
        <f t="shared" si="280"/>
        <v>179140</v>
      </c>
    </row>
    <row r="86" spans="2:44" outlineLevel="1" x14ac:dyDescent="0.2">
      <c r="B86" s="255" t="s">
        <v>187</v>
      </c>
      <c r="C86" s="773" t="s">
        <v>317</v>
      </c>
      <c r="D86" s="777">
        <f>OPERACION_Mano_de_Obras!E$35</f>
        <v>403319.3125</v>
      </c>
      <c r="E86" s="203">
        <f>D86</f>
        <v>403319.3125</v>
      </c>
      <c r="F86" s="203">
        <f t="shared" si="243"/>
        <v>403319.3125</v>
      </c>
      <c r="G86" s="203">
        <f t="shared" si="244"/>
        <v>403319.3125</v>
      </c>
      <c r="H86" s="203">
        <f t="shared" si="245"/>
        <v>403319.3125</v>
      </c>
      <c r="I86" s="203">
        <f t="shared" si="246"/>
        <v>403319.3125</v>
      </c>
      <c r="J86" s="203">
        <f t="shared" si="247"/>
        <v>403319.3125</v>
      </c>
      <c r="K86" s="203">
        <f t="shared" si="248"/>
        <v>403319.3125</v>
      </c>
      <c r="L86" s="203">
        <f t="shared" si="249"/>
        <v>403319.3125</v>
      </c>
      <c r="M86" s="203">
        <f t="shared" si="250"/>
        <v>403319.3125</v>
      </c>
      <c r="N86" s="203">
        <f t="shared" si="251"/>
        <v>403319.3125</v>
      </c>
      <c r="O86" s="203">
        <f t="shared" si="252"/>
        <v>403319.3125</v>
      </c>
      <c r="P86" s="203">
        <f t="shared" si="253"/>
        <v>403319.3125</v>
      </c>
      <c r="Q86" s="203">
        <f t="shared" si="254"/>
        <v>403319.3125</v>
      </c>
      <c r="R86" s="203">
        <f t="shared" si="255"/>
        <v>403319.3125</v>
      </c>
      <c r="S86" s="203">
        <f t="shared" si="256"/>
        <v>403319.3125</v>
      </c>
      <c r="T86" s="203">
        <f t="shared" si="257"/>
        <v>403319.3125</v>
      </c>
      <c r="U86" s="203">
        <f t="shared" si="258"/>
        <v>403319.3125</v>
      </c>
      <c r="V86" s="203">
        <f t="shared" si="259"/>
        <v>403319.3125</v>
      </c>
      <c r="W86" s="203">
        <f t="shared" si="260"/>
        <v>403319.3125</v>
      </c>
      <c r="X86" s="203">
        <f t="shared" si="261"/>
        <v>403319.3125</v>
      </c>
      <c r="Y86" s="203">
        <f t="shared" si="262"/>
        <v>403319.3125</v>
      </c>
      <c r="Z86" s="203">
        <f t="shared" si="263"/>
        <v>403319.3125</v>
      </c>
      <c r="AA86" s="203">
        <f t="shared" si="264"/>
        <v>403319.3125</v>
      </c>
      <c r="AB86" s="203">
        <f t="shared" si="265"/>
        <v>403319.3125</v>
      </c>
      <c r="AC86" s="203">
        <f t="shared" si="266"/>
        <v>403319.3125</v>
      </c>
      <c r="AD86" s="203">
        <f t="shared" si="267"/>
        <v>403319.3125</v>
      </c>
      <c r="AE86" s="203">
        <f t="shared" si="268"/>
        <v>403319.3125</v>
      </c>
      <c r="AF86" s="203">
        <f t="shared" si="269"/>
        <v>403319.3125</v>
      </c>
      <c r="AG86" s="203">
        <f t="shared" si="270"/>
        <v>403319.3125</v>
      </c>
      <c r="AH86" s="203">
        <f t="shared" si="271"/>
        <v>403319.3125</v>
      </c>
      <c r="AI86" s="203">
        <f t="shared" si="272"/>
        <v>403319.3125</v>
      </c>
      <c r="AJ86" s="203">
        <f t="shared" si="273"/>
        <v>403319.3125</v>
      </c>
      <c r="AK86" s="203">
        <f t="shared" si="274"/>
        <v>403319.3125</v>
      </c>
      <c r="AL86" s="203">
        <f t="shared" si="275"/>
        <v>403319.3125</v>
      </c>
      <c r="AM86" s="203">
        <f t="shared" si="276"/>
        <v>403319.3125</v>
      </c>
      <c r="AN86" s="203">
        <f t="shared" si="277"/>
        <v>403319.3125</v>
      </c>
      <c r="AO86" s="203">
        <f t="shared" si="278"/>
        <v>403319.3125</v>
      </c>
      <c r="AP86" s="203">
        <f t="shared" si="279"/>
        <v>403319.3125</v>
      </c>
      <c r="AQ86" s="203">
        <f t="shared" si="280"/>
        <v>403319.3125</v>
      </c>
      <c r="AR86" s="203">
        <f t="shared" si="280"/>
        <v>403319.3125</v>
      </c>
    </row>
    <row r="87" spans="2:44" outlineLevel="1" x14ac:dyDescent="0.2">
      <c r="B87" s="255" t="s">
        <v>195</v>
      </c>
      <c r="C87" s="773" t="s">
        <v>317</v>
      </c>
      <c r="D87" s="777">
        <f>OPERACION_Mano_de_Obras!E$42</f>
        <v>43771.8125</v>
      </c>
      <c r="E87" s="203">
        <f>D87</f>
        <v>43771.8125</v>
      </c>
      <c r="F87" s="203">
        <f t="shared" si="243"/>
        <v>43771.8125</v>
      </c>
      <c r="G87" s="203">
        <f t="shared" si="244"/>
        <v>43771.8125</v>
      </c>
      <c r="H87" s="203">
        <f t="shared" si="245"/>
        <v>43771.8125</v>
      </c>
      <c r="I87" s="203">
        <f t="shared" si="246"/>
        <v>43771.8125</v>
      </c>
      <c r="J87" s="203">
        <f t="shared" si="247"/>
        <v>43771.8125</v>
      </c>
      <c r="K87" s="203">
        <f t="shared" si="248"/>
        <v>43771.8125</v>
      </c>
      <c r="L87" s="203">
        <f t="shared" si="249"/>
        <v>43771.8125</v>
      </c>
      <c r="M87" s="203">
        <f t="shared" si="250"/>
        <v>43771.8125</v>
      </c>
      <c r="N87" s="203">
        <f t="shared" si="251"/>
        <v>43771.8125</v>
      </c>
      <c r="O87" s="203">
        <f t="shared" si="252"/>
        <v>43771.8125</v>
      </c>
      <c r="P87" s="203">
        <f t="shared" si="253"/>
        <v>43771.8125</v>
      </c>
      <c r="Q87" s="203">
        <f t="shared" si="254"/>
        <v>43771.8125</v>
      </c>
      <c r="R87" s="203">
        <f t="shared" si="255"/>
        <v>43771.8125</v>
      </c>
      <c r="S87" s="203">
        <f t="shared" si="256"/>
        <v>43771.8125</v>
      </c>
      <c r="T87" s="203">
        <f t="shared" si="257"/>
        <v>43771.8125</v>
      </c>
      <c r="U87" s="203">
        <f t="shared" si="258"/>
        <v>43771.8125</v>
      </c>
      <c r="V87" s="203">
        <f t="shared" si="259"/>
        <v>43771.8125</v>
      </c>
      <c r="W87" s="203">
        <f t="shared" si="260"/>
        <v>43771.8125</v>
      </c>
      <c r="X87" s="203">
        <f t="shared" si="261"/>
        <v>43771.8125</v>
      </c>
      <c r="Y87" s="203">
        <f t="shared" si="262"/>
        <v>43771.8125</v>
      </c>
      <c r="Z87" s="203">
        <f t="shared" si="263"/>
        <v>43771.8125</v>
      </c>
      <c r="AA87" s="203">
        <f t="shared" si="264"/>
        <v>43771.8125</v>
      </c>
      <c r="AB87" s="203">
        <f t="shared" si="265"/>
        <v>43771.8125</v>
      </c>
      <c r="AC87" s="203">
        <f t="shared" si="266"/>
        <v>43771.8125</v>
      </c>
      <c r="AD87" s="203">
        <f t="shared" si="267"/>
        <v>43771.8125</v>
      </c>
      <c r="AE87" s="203">
        <f t="shared" si="268"/>
        <v>43771.8125</v>
      </c>
      <c r="AF87" s="203">
        <f t="shared" si="269"/>
        <v>43771.8125</v>
      </c>
      <c r="AG87" s="203">
        <f t="shared" si="270"/>
        <v>43771.8125</v>
      </c>
      <c r="AH87" s="203">
        <f t="shared" si="271"/>
        <v>43771.8125</v>
      </c>
      <c r="AI87" s="203">
        <f t="shared" si="272"/>
        <v>43771.8125</v>
      </c>
      <c r="AJ87" s="203">
        <f t="shared" si="273"/>
        <v>43771.8125</v>
      </c>
      <c r="AK87" s="203">
        <f t="shared" si="274"/>
        <v>43771.8125</v>
      </c>
      <c r="AL87" s="203">
        <f t="shared" si="275"/>
        <v>43771.8125</v>
      </c>
      <c r="AM87" s="203">
        <f t="shared" si="276"/>
        <v>43771.8125</v>
      </c>
      <c r="AN87" s="203">
        <f t="shared" si="277"/>
        <v>43771.8125</v>
      </c>
      <c r="AO87" s="203">
        <f t="shared" si="278"/>
        <v>43771.8125</v>
      </c>
      <c r="AP87" s="203">
        <f t="shared" si="279"/>
        <v>43771.8125</v>
      </c>
      <c r="AQ87" s="203">
        <f t="shared" si="280"/>
        <v>43771.8125</v>
      </c>
      <c r="AR87" s="203">
        <f t="shared" si="280"/>
        <v>43771.8125</v>
      </c>
    </row>
    <row r="88" spans="2:44" outlineLevel="1" x14ac:dyDescent="0.2">
      <c r="B88" s="255"/>
      <c r="C88" s="77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</row>
    <row r="89" spans="2:44" outlineLevel="1" x14ac:dyDescent="0.2">
      <c r="B89" s="255" t="s">
        <v>423</v>
      </c>
      <c r="C89" s="773" t="s">
        <v>317</v>
      </c>
      <c r="D89" s="203">
        <f t="shared" ref="D89:AR89" si="281">$C$9*SUM(D85:D87)</f>
        <v>18786.93375</v>
      </c>
      <c r="E89" s="203">
        <f t="shared" si="281"/>
        <v>18786.93375</v>
      </c>
      <c r="F89" s="203">
        <f t="shared" si="281"/>
        <v>18786.93375</v>
      </c>
      <c r="G89" s="203">
        <f t="shared" si="281"/>
        <v>18786.93375</v>
      </c>
      <c r="H89" s="203">
        <f t="shared" si="281"/>
        <v>18786.93375</v>
      </c>
      <c r="I89" s="203">
        <f t="shared" si="281"/>
        <v>18786.93375</v>
      </c>
      <c r="J89" s="203">
        <f t="shared" si="281"/>
        <v>18786.93375</v>
      </c>
      <c r="K89" s="203">
        <f t="shared" si="281"/>
        <v>18786.93375</v>
      </c>
      <c r="L89" s="203">
        <f t="shared" si="281"/>
        <v>18786.93375</v>
      </c>
      <c r="M89" s="203">
        <f t="shared" si="281"/>
        <v>18786.93375</v>
      </c>
      <c r="N89" s="203">
        <f t="shared" si="281"/>
        <v>18786.93375</v>
      </c>
      <c r="O89" s="203">
        <f t="shared" si="281"/>
        <v>18786.93375</v>
      </c>
      <c r="P89" s="203">
        <f t="shared" si="281"/>
        <v>18786.93375</v>
      </c>
      <c r="Q89" s="203">
        <f t="shared" si="281"/>
        <v>18786.93375</v>
      </c>
      <c r="R89" s="203">
        <f t="shared" si="281"/>
        <v>18786.93375</v>
      </c>
      <c r="S89" s="203">
        <f t="shared" si="281"/>
        <v>18786.93375</v>
      </c>
      <c r="T89" s="203">
        <f t="shared" si="281"/>
        <v>18786.93375</v>
      </c>
      <c r="U89" s="203">
        <f t="shared" si="281"/>
        <v>18786.93375</v>
      </c>
      <c r="V89" s="203">
        <f t="shared" si="281"/>
        <v>18786.93375</v>
      </c>
      <c r="W89" s="203">
        <f t="shared" si="281"/>
        <v>18786.93375</v>
      </c>
      <c r="X89" s="203">
        <f t="shared" si="281"/>
        <v>18786.93375</v>
      </c>
      <c r="Y89" s="203">
        <f t="shared" si="281"/>
        <v>18786.93375</v>
      </c>
      <c r="Z89" s="203">
        <f t="shared" si="281"/>
        <v>18786.93375</v>
      </c>
      <c r="AA89" s="203">
        <f t="shared" si="281"/>
        <v>18786.93375</v>
      </c>
      <c r="AB89" s="203">
        <f t="shared" si="281"/>
        <v>18786.93375</v>
      </c>
      <c r="AC89" s="203">
        <f t="shared" si="281"/>
        <v>18786.93375</v>
      </c>
      <c r="AD89" s="203">
        <f t="shared" si="281"/>
        <v>18786.93375</v>
      </c>
      <c r="AE89" s="203">
        <f t="shared" si="281"/>
        <v>18786.93375</v>
      </c>
      <c r="AF89" s="203">
        <f t="shared" si="281"/>
        <v>18786.93375</v>
      </c>
      <c r="AG89" s="203">
        <f t="shared" si="281"/>
        <v>18786.93375</v>
      </c>
      <c r="AH89" s="203">
        <f t="shared" si="281"/>
        <v>18786.93375</v>
      </c>
      <c r="AI89" s="203">
        <f t="shared" si="281"/>
        <v>18786.93375</v>
      </c>
      <c r="AJ89" s="203">
        <f t="shared" si="281"/>
        <v>18786.93375</v>
      </c>
      <c r="AK89" s="203">
        <f t="shared" si="281"/>
        <v>18786.93375</v>
      </c>
      <c r="AL89" s="203">
        <f t="shared" si="281"/>
        <v>18786.93375</v>
      </c>
      <c r="AM89" s="203">
        <f t="shared" si="281"/>
        <v>18786.93375</v>
      </c>
      <c r="AN89" s="203">
        <f t="shared" si="281"/>
        <v>18786.93375</v>
      </c>
      <c r="AO89" s="203">
        <f t="shared" si="281"/>
        <v>18786.93375</v>
      </c>
      <c r="AP89" s="203">
        <f t="shared" si="281"/>
        <v>18786.93375</v>
      </c>
      <c r="AQ89" s="203">
        <f t="shared" si="281"/>
        <v>18786.93375</v>
      </c>
      <c r="AR89" s="203">
        <f t="shared" si="281"/>
        <v>18786.93375</v>
      </c>
    </row>
    <row r="90" spans="2:44" outlineLevel="1" x14ac:dyDescent="0.2">
      <c r="B90" s="252"/>
      <c r="C90" s="770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</row>
    <row r="91" spans="2:44" outlineLevel="1" x14ac:dyDescent="0.2">
      <c r="B91" s="256" t="s">
        <v>213</v>
      </c>
      <c r="C91" s="770" t="s">
        <v>317</v>
      </c>
      <c r="D91" s="777">
        <f>CANTIDADES!C99*PARAMETROS!D41</f>
        <v>308700</v>
      </c>
      <c r="E91" s="249">
        <f>D91</f>
        <v>308700</v>
      </c>
      <c r="F91" s="249">
        <f t="shared" ref="F91" si="282">E91</f>
        <v>308700</v>
      </c>
      <c r="G91" s="249">
        <f t="shared" ref="G91" si="283">F91</f>
        <v>308700</v>
      </c>
      <c r="H91" s="249">
        <f t="shared" ref="H91" si="284">G91</f>
        <v>308700</v>
      </c>
      <c r="I91" s="249">
        <f t="shared" ref="I91" si="285">H91</f>
        <v>308700</v>
      </c>
      <c r="J91" s="249">
        <f t="shared" ref="J91" si="286">I91</f>
        <v>308700</v>
      </c>
      <c r="K91" s="249">
        <f t="shared" ref="K91" si="287">J91</f>
        <v>308700</v>
      </c>
      <c r="L91" s="249">
        <f t="shared" ref="L91" si="288">K91</f>
        <v>308700</v>
      </c>
      <c r="M91" s="249">
        <f t="shared" ref="M91" si="289">L91</f>
        <v>308700</v>
      </c>
      <c r="N91" s="249">
        <f t="shared" ref="N91" si="290">M91</f>
        <v>308700</v>
      </c>
      <c r="O91" s="249">
        <f t="shared" ref="O91" si="291">N91</f>
        <v>308700</v>
      </c>
      <c r="P91" s="249">
        <f t="shared" ref="P91" si="292">O91</f>
        <v>308700</v>
      </c>
      <c r="Q91" s="249">
        <f t="shared" ref="Q91" si="293">P91</f>
        <v>308700</v>
      </c>
      <c r="R91" s="249">
        <f t="shared" ref="R91" si="294">Q91</f>
        <v>308700</v>
      </c>
      <c r="S91" s="249">
        <f t="shared" ref="S91" si="295">R91</f>
        <v>308700</v>
      </c>
      <c r="T91" s="249">
        <f t="shared" ref="T91" si="296">S91</f>
        <v>308700</v>
      </c>
      <c r="U91" s="249">
        <f t="shared" ref="U91" si="297">T91</f>
        <v>308700</v>
      </c>
      <c r="V91" s="249">
        <f t="shared" ref="V91" si="298">U91</f>
        <v>308700</v>
      </c>
      <c r="W91" s="249">
        <f t="shared" ref="W91" si="299">V91</f>
        <v>308700</v>
      </c>
      <c r="X91" s="249">
        <f t="shared" ref="X91" si="300">W91</f>
        <v>308700</v>
      </c>
      <c r="Y91" s="249">
        <f t="shared" ref="Y91" si="301">X91</f>
        <v>308700</v>
      </c>
      <c r="Z91" s="249">
        <f t="shared" ref="Z91" si="302">Y91</f>
        <v>308700</v>
      </c>
      <c r="AA91" s="249">
        <f t="shared" ref="AA91" si="303">Z91</f>
        <v>308700</v>
      </c>
      <c r="AB91" s="249">
        <f t="shared" ref="AB91" si="304">AA91</f>
        <v>308700</v>
      </c>
      <c r="AC91" s="249">
        <f t="shared" ref="AC91" si="305">AB91</f>
        <v>308700</v>
      </c>
      <c r="AD91" s="249">
        <f t="shared" ref="AD91" si="306">AC91</f>
        <v>308700</v>
      </c>
      <c r="AE91" s="249">
        <f t="shared" ref="AE91" si="307">AD91</f>
        <v>308700</v>
      </c>
      <c r="AF91" s="249">
        <f t="shared" ref="AF91" si="308">AE91</f>
        <v>308700</v>
      </c>
      <c r="AG91" s="249">
        <f t="shared" ref="AG91" si="309">AF91</f>
        <v>308700</v>
      </c>
      <c r="AH91" s="249">
        <f t="shared" ref="AH91" si="310">AG91</f>
        <v>308700</v>
      </c>
      <c r="AI91" s="249">
        <f t="shared" ref="AI91" si="311">AH91</f>
        <v>308700</v>
      </c>
      <c r="AJ91" s="249">
        <f t="shared" ref="AJ91" si="312">AI91</f>
        <v>308700</v>
      </c>
      <c r="AK91" s="249">
        <f t="shared" ref="AK91" si="313">AJ91</f>
        <v>308700</v>
      </c>
      <c r="AL91" s="249">
        <f t="shared" ref="AL91" si="314">AK91</f>
        <v>308700</v>
      </c>
      <c r="AM91" s="249">
        <f t="shared" ref="AM91" si="315">AL91</f>
        <v>308700</v>
      </c>
      <c r="AN91" s="249">
        <f t="shared" ref="AN91" si="316">AM91</f>
        <v>308700</v>
      </c>
      <c r="AO91" s="249">
        <f t="shared" ref="AO91" si="317">AN91</f>
        <v>308700</v>
      </c>
      <c r="AP91" s="249">
        <f t="shared" ref="AP91" si="318">AO91</f>
        <v>308700</v>
      </c>
      <c r="AQ91" s="249">
        <f t="shared" ref="AQ91:AR91" si="319">AP91</f>
        <v>308700</v>
      </c>
      <c r="AR91" s="249">
        <f t="shared" si="319"/>
        <v>308700</v>
      </c>
    </row>
    <row r="92" spans="2:44" outlineLevel="1" x14ac:dyDescent="0.2">
      <c r="B92" s="252"/>
      <c r="C92" s="770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</row>
    <row r="93" spans="2:44" ht="16.2" outlineLevel="1" x14ac:dyDescent="0.3">
      <c r="B93" s="253" t="s">
        <v>220</v>
      </c>
      <c r="C93" s="771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</row>
    <row r="94" spans="2:44" ht="16.2" outlineLevel="1" x14ac:dyDescent="0.3">
      <c r="B94" s="253"/>
      <c r="C94" s="771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</row>
    <row r="95" spans="2:44" outlineLevel="1" x14ac:dyDescent="0.2">
      <c r="B95" s="252" t="s">
        <v>214</v>
      </c>
      <c r="C95" s="770" t="s">
        <v>318</v>
      </c>
      <c r="D95" s="777">
        <f>PARAMETROS!F48*CANTIDADES!C$22</f>
        <v>466480</v>
      </c>
      <c r="E95" s="203">
        <f>D95</f>
        <v>466480</v>
      </c>
      <c r="F95" s="203">
        <f t="shared" ref="F95" si="320">E95</f>
        <v>466480</v>
      </c>
      <c r="G95" s="203">
        <f t="shared" ref="G95" si="321">F95</f>
        <v>466480</v>
      </c>
      <c r="H95" s="203">
        <f t="shared" ref="H95" si="322">G95</f>
        <v>466480</v>
      </c>
      <c r="I95" s="203">
        <f t="shared" ref="I95" si="323">H95</f>
        <v>466480</v>
      </c>
      <c r="J95" s="203">
        <f t="shared" ref="J95" si="324">I95</f>
        <v>466480</v>
      </c>
      <c r="K95" s="203">
        <f t="shared" ref="K95" si="325">J95</f>
        <v>466480</v>
      </c>
      <c r="L95" s="203">
        <f t="shared" ref="L95" si="326">K95</f>
        <v>466480</v>
      </c>
      <c r="M95" s="203">
        <f t="shared" ref="M95" si="327">L95</f>
        <v>466480</v>
      </c>
      <c r="N95" s="203">
        <f t="shared" ref="N95" si="328">M95</f>
        <v>466480</v>
      </c>
      <c r="O95" s="203">
        <f t="shared" ref="O95" si="329">N95</f>
        <v>466480</v>
      </c>
      <c r="P95" s="203">
        <f t="shared" ref="P95" si="330">O95</f>
        <v>466480</v>
      </c>
      <c r="Q95" s="203">
        <f t="shared" ref="Q95" si="331">P95</f>
        <v>466480</v>
      </c>
      <c r="R95" s="203">
        <f t="shared" ref="R95" si="332">Q95</f>
        <v>466480</v>
      </c>
      <c r="S95" s="203">
        <f t="shared" ref="S95" si="333">R95</f>
        <v>466480</v>
      </c>
      <c r="T95" s="203">
        <f t="shared" ref="T95" si="334">S95</f>
        <v>466480</v>
      </c>
      <c r="U95" s="203">
        <f t="shared" ref="U95" si="335">T95</f>
        <v>466480</v>
      </c>
      <c r="V95" s="203">
        <f t="shared" ref="V95" si="336">U95</f>
        <v>466480</v>
      </c>
      <c r="W95" s="203">
        <f t="shared" ref="W95" si="337">V95</f>
        <v>466480</v>
      </c>
      <c r="X95" s="203">
        <f t="shared" ref="X95" si="338">W95</f>
        <v>466480</v>
      </c>
      <c r="Y95" s="203">
        <f t="shared" ref="Y95" si="339">X95</f>
        <v>466480</v>
      </c>
      <c r="Z95" s="203">
        <f t="shared" ref="Z95" si="340">Y95</f>
        <v>466480</v>
      </c>
      <c r="AA95" s="203">
        <f t="shared" ref="AA95" si="341">Z95</f>
        <v>466480</v>
      </c>
      <c r="AB95" s="203">
        <f t="shared" ref="AB95" si="342">AA95</f>
        <v>466480</v>
      </c>
      <c r="AC95" s="203">
        <f t="shared" ref="AC95" si="343">AB95</f>
        <v>466480</v>
      </c>
      <c r="AD95" s="203">
        <f t="shared" ref="AD95" si="344">AC95</f>
        <v>466480</v>
      </c>
      <c r="AE95" s="203">
        <f t="shared" ref="AE95" si="345">AD95</f>
        <v>466480</v>
      </c>
      <c r="AF95" s="203">
        <f t="shared" ref="AF95" si="346">AE95</f>
        <v>466480</v>
      </c>
      <c r="AG95" s="203">
        <f t="shared" ref="AG95" si="347">AF95</f>
        <v>466480</v>
      </c>
      <c r="AH95" s="203">
        <f t="shared" ref="AH95" si="348">AG95</f>
        <v>466480</v>
      </c>
      <c r="AI95" s="203">
        <f t="shared" ref="AI95" si="349">AH95</f>
        <v>466480</v>
      </c>
      <c r="AJ95" s="203">
        <f t="shared" ref="AJ95" si="350">AI95</f>
        <v>466480</v>
      </c>
      <c r="AK95" s="203">
        <f t="shared" ref="AK95" si="351">AJ95</f>
        <v>466480</v>
      </c>
      <c r="AL95" s="203">
        <f t="shared" ref="AL95" si="352">AK95</f>
        <v>466480</v>
      </c>
      <c r="AM95" s="203">
        <f t="shared" ref="AM95" si="353">AL95</f>
        <v>466480</v>
      </c>
      <c r="AN95" s="203">
        <f t="shared" ref="AN95" si="354">AM95</f>
        <v>466480</v>
      </c>
      <c r="AO95" s="203">
        <f t="shared" ref="AO95" si="355">AN95</f>
        <v>466480</v>
      </c>
      <c r="AP95" s="203">
        <f t="shared" ref="AP95" si="356">AO95</f>
        <v>466480</v>
      </c>
      <c r="AQ95" s="203">
        <f t="shared" ref="AQ95:AR95" si="357">AP95</f>
        <v>466480</v>
      </c>
      <c r="AR95" s="203">
        <f t="shared" si="357"/>
        <v>466480</v>
      </c>
    </row>
    <row r="96" spans="2:44" outlineLevel="1" x14ac:dyDescent="0.2">
      <c r="B96" s="763" t="s">
        <v>215</v>
      </c>
      <c r="C96" s="778" t="s">
        <v>318</v>
      </c>
      <c r="D96" s="764">
        <v>0</v>
      </c>
      <c r="E96" s="764">
        <v>0</v>
      </c>
      <c r="F96" s="764">
        <v>0</v>
      </c>
      <c r="G96" s="764">
        <v>0</v>
      </c>
      <c r="H96" s="787">
        <f>PARAMETROS!F49*CANTIDADES!C$22</f>
        <v>2058000.0000000002</v>
      </c>
      <c r="I96" s="764">
        <v>0</v>
      </c>
      <c r="J96" s="764">
        <v>0</v>
      </c>
      <c r="K96" s="779">
        <v>0</v>
      </c>
      <c r="L96" s="779">
        <v>0</v>
      </c>
      <c r="M96" s="779">
        <f>H96</f>
        <v>2058000.0000000002</v>
      </c>
      <c r="N96" s="779">
        <v>0</v>
      </c>
      <c r="O96" s="779">
        <v>0</v>
      </c>
      <c r="P96" s="779">
        <v>0</v>
      </c>
      <c r="Q96" s="779">
        <v>0</v>
      </c>
      <c r="R96" s="779">
        <f>M96</f>
        <v>2058000.0000000002</v>
      </c>
      <c r="S96" s="779">
        <v>0</v>
      </c>
      <c r="T96" s="779">
        <v>0</v>
      </c>
      <c r="U96" s="779">
        <v>0</v>
      </c>
      <c r="V96" s="779">
        <v>0</v>
      </c>
      <c r="W96" s="779">
        <f>R96</f>
        <v>2058000.0000000002</v>
      </c>
      <c r="X96" s="779">
        <v>0</v>
      </c>
      <c r="Y96" s="779">
        <v>0</v>
      </c>
      <c r="Z96" s="779">
        <v>0</v>
      </c>
      <c r="AA96" s="779">
        <v>0</v>
      </c>
      <c r="AB96" s="779">
        <f>W96</f>
        <v>2058000.0000000002</v>
      </c>
      <c r="AC96" s="779">
        <v>0</v>
      </c>
      <c r="AD96" s="779">
        <v>0</v>
      </c>
      <c r="AE96" s="779">
        <v>0</v>
      </c>
      <c r="AF96" s="779">
        <v>0</v>
      </c>
      <c r="AG96" s="779">
        <f>AB96</f>
        <v>2058000.0000000002</v>
      </c>
      <c r="AH96" s="779">
        <v>0</v>
      </c>
      <c r="AI96" s="779">
        <v>0</v>
      </c>
      <c r="AJ96" s="779">
        <v>0</v>
      </c>
      <c r="AK96" s="779">
        <v>0</v>
      </c>
      <c r="AL96" s="779">
        <f>AG96</f>
        <v>2058000.0000000002</v>
      </c>
      <c r="AM96" s="779">
        <v>0</v>
      </c>
      <c r="AN96" s="779">
        <v>0</v>
      </c>
      <c r="AO96" s="779">
        <v>0</v>
      </c>
      <c r="AP96" s="779">
        <v>0</v>
      </c>
      <c r="AQ96" s="779">
        <f>AL96</f>
        <v>2058000.0000000002</v>
      </c>
      <c r="AR96" s="779">
        <v>0</v>
      </c>
    </row>
    <row r="97" spans="2:44" outlineLevel="1" x14ac:dyDescent="0.2">
      <c r="B97" s="788" t="s">
        <v>241</v>
      </c>
      <c r="C97" s="789" t="s">
        <v>318</v>
      </c>
      <c r="D97" s="790">
        <f>$H$96/5</f>
        <v>411600.00000000006</v>
      </c>
      <c r="E97" s="790">
        <f t="shared" ref="E97:AR97" si="358">$H$96/5</f>
        <v>411600.00000000006</v>
      </c>
      <c r="F97" s="790">
        <f t="shared" si="358"/>
        <v>411600.00000000006</v>
      </c>
      <c r="G97" s="790">
        <f t="shared" si="358"/>
        <v>411600.00000000006</v>
      </c>
      <c r="H97" s="790">
        <f t="shared" si="358"/>
        <v>411600.00000000006</v>
      </c>
      <c r="I97" s="790">
        <f t="shared" si="358"/>
        <v>411600.00000000006</v>
      </c>
      <c r="J97" s="790">
        <f t="shared" si="358"/>
        <v>411600.00000000006</v>
      </c>
      <c r="K97" s="790">
        <f t="shared" si="358"/>
        <v>411600.00000000006</v>
      </c>
      <c r="L97" s="790">
        <f t="shared" si="358"/>
        <v>411600.00000000006</v>
      </c>
      <c r="M97" s="790">
        <f t="shared" si="358"/>
        <v>411600.00000000006</v>
      </c>
      <c r="N97" s="790">
        <f t="shared" si="358"/>
        <v>411600.00000000006</v>
      </c>
      <c r="O97" s="790">
        <f t="shared" si="358"/>
        <v>411600.00000000006</v>
      </c>
      <c r="P97" s="790">
        <f t="shared" si="358"/>
        <v>411600.00000000006</v>
      </c>
      <c r="Q97" s="790">
        <f t="shared" si="358"/>
        <v>411600.00000000006</v>
      </c>
      <c r="R97" s="790">
        <f t="shared" si="358"/>
        <v>411600.00000000006</v>
      </c>
      <c r="S97" s="790">
        <f t="shared" si="358"/>
        <v>411600.00000000006</v>
      </c>
      <c r="T97" s="790">
        <f t="shared" si="358"/>
        <v>411600.00000000006</v>
      </c>
      <c r="U97" s="790">
        <f t="shared" si="358"/>
        <v>411600.00000000006</v>
      </c>
      <c r="V97" s="790">
        <f t="shared" si="358"/>
        <v>411600.00000000006</v>
      </c>
      <c r="W97" s="790">
        <f t="shared" si="358"/>
        <v>411600.00000000006</v>
      </c>
      <c r="X97" s="790">
        <f t="shared" si="358"/>
        <v>411600.00000000006</v>
      </c>
      <c r="Y97" s="790">
        <f t="shared" si="358"/>
        <v>411600.00000000006</v>
      </c>
      <c r="Z97" s="790">
        <f t="shared" si="358"/>
        <v>411600.00000000006</v>
      </c>
      <c r="AA97" s="790">
        <f t="shared" si="358"/>
        <v>411600.00000000006</v>
      </c>
      <c r="AB97" s="790">
        <f t="shared" si="358"/>
        <v>411600.00000000006</v>
      </c>
      <c r="AC97" s="790">
        <f t="shared" si="358"/>
        <v>411600.00000000006</v>
      </c>
      <c r="AD97" s="790">
        <f t="shared" si="358"/>
        <v>411600.00000000006</v>
      </c>
      <c r="AE97" s="790">
        <f t="shared" si="358"/>
        <v>411600.00000000006</v>
      </c>
      <c r="AF97" s="790">
        <f t="shared" si="358"/>
        <v>411600.00000000006</v>
      </c>
      <c r="AG97" s="790">
        <f t="shared" si="358"/>
        <v>411600.00000000006</v>
      </c>
      <c r="AH97" s="790">
        <f t="shared" si="358"/>
        <v>411600.00000000006</v>
      </c>
      <c r="AI97" s="790">
        <f t="shared" si="358"/>
        <v>411600.00000000006</v>
      </c>
      <c r="AJ97" s="790">
        <f t="shared" si="358"/>
        <v>411600.00000000006</v>
      </c>
      <c r="AK97" s="790">
        <f t="shared" si="358"/>
        <v>411600.00000000006</v>
      </c>
      <c r="AL97" s="790">
        <f t="shared" si="358"/>
        <v>411600.00000000006</v>
      </c>
      <c r="AM97" s="790">
        <f t="shared" si="358"/>
        <v>411600.00000000006</v>
      </c>
      <c r="AN97" s="790">
        <f t="shared" si="358"/>
        <v>411600.00000000006</v>
      </c>
      <c r="AO97" s="790">
        <f t="shared" si="358"/>
        <v>411600.00000000006</v>
      </c>
      <c r="AP97" s="790">
        <f t="shared" si="358"/>
        <v>411600.00000000006</v>
      </c>
      <c r="AQ97" s="790">
        <f t="shared" si="358"/>
        <v>411600.00000000006</v>
      </c>
      <c r="AR97" s="790">
        <f t="shared" si="358"/>
        <v>411600.00000000006</v>
      </c>
    </row>
    <row r="98" spans="2:44" ht="16.2" outlineLevel="1" x14ac:dyDescent="0.3">
      <c r="B98" s="253"/>
      <c r="C98" s="771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</row>
    <row r="99" spans="2:44" outlineLevel="1" x14ac:dyDescent="0.2">
      <c r="B99" s="254" t="s">
        <v>216</v>
      </c>
      <c r="C99" s="772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</row>
    <row r="100" spans="2:44" outlineLevel="1" x14ac:dyDescent="0.2">
      <c r="B100" s="257" t="s">
        <v>217</v>
      </c>
      <c r="C100" s="774" t="s">
        <v>317</v>
      </c>
      <c r="D100" s="777">
        <f>$C$10*(CHIFFRAGE_TC!M$85+CHIFFRAGE_TC!M$175-CHIFFRAGE_TC!M$179-CHIFFRAGE_TC!M$180-CHIFFRAGE_TC!M$181)</f>
        <v>340721.08539292769</v>
      </c>
      <c r="E100" s="203">
        <f>D100</f>
        <v>340721.08539292769</v>
      </c>
      <c r="F100" s="203">
        <f t="shared" ref="F100:F101" si="359">E100</f>
        <v>340721.08539292769</v>
      </c>
      <c r="G100" s="203">
        <f t="shared" ref="G100:G101" si="360">F100</f>
        <v>340721.08539292769</v>
      </c>
      <c r="H100" s="203">
        <f t="shared" ref="H100:H101" si="361">G100</f>
        <v>340721.08539292769</v>
      </c>
      <c r="I100" s="203">
        <f t="shared" ref="I100:I101" si="362">H100</f>
        <v>340721.08539292769</v>
      </c>
      <c r="J100" s="203">
        <f t="shared" ref="J100:J101" si="363">I100</f>
        <v>340721.08539292769</v>
      </c>
      <c r="K100" s="203">
        <f t="shared" ref="K100:K101" si="364">J100</f>
        <v>340721.08539292769</v>
      </c>
      <c r="L100" s="203">
        <f t="shared" ref="L100:L101" si="365">K100</f>
        <v>340721.08539292769</v>
      </c>
      <c r="M100" s="203">
        <f t="shared" ref="M100:M101" si="366">L100</f>
        <v>340721.08539292769</v>
      </c>
      <c r="N100" s="203">
        <f t="shared" ref="N100:N101" si="367">M100</f>
        <v>340721.08539292769</v>
      </c>
      <c r="O100" s="203">
        <f t="shared" ref="O100:O101" si="368">N100</f>
        <v>340721.08539292769</v>
      </c>
      <c r="P100" s="203">
        <f t="shared" ref="P100:P101" si="369">O100</f>
        <v>340721.08539292769</v>
      </c>
      <c r="Q100" s="203">
        <f t="shared" ref="Q100:Q101" si="370">P100</f>
        <v>340721.08539292769</v>
      </c>
      <c r="R100" s="203">
        <f t="shared" ref="R100:R101" si="371">Q100</f>
        <v>340721.08539292769</v>
      </c>
      <c r="S100" s="203">
        <f t="shared" ref="S100:S101" si="372">R100</f>
        <v>340721.08539292769</v>
      </c>
      <c r="T100" s="203">
        <f t="shared" ref="T100:T101" si="373">S100</f>
        <v>340721.08539292769</v>
      </c>
      <c r="U100" s="203">
        <f t="shared" ref="U100:U101" si="374">T100</f>
        <v>340721.08539292769</v>
      </c>
      <c r="V100" s="203">
        <f t="shared" ref="V100:V101" si="375">U100</f>
        <v>340721.08539292769</v>
      </c>
      <c r="W100" s="203">
        <f t="shared" ref="W100:W101" si="376">V100</f>
        <v>340721.08539292769</v>
      </c>
      <c r="X100" s="203">
        <f t="shared" ref="X100:X101" si="377">W100</f>
        <v>340721.08539292769</v>
      </c>
      <c r="Y100" s="203">
        <f t="shared" ref="Y100:Y101" si="378">X100</f>
        <v>340721.08539292769</v>
      </c>
      <c r="Z100" s="203">
        <f t="shared" ref="Z100:Z101" si="379">Y100</f>
        <v>340721.08539292769</v>
      </c>
      <c r="AA100" s="203">
        <f t="shared" ref="AA100:AA101" si="380">Z100</f>
        <v>340721.08539292769</v>
      </c>
      <c r="AB100" s="203">
        <f t="shared" ref="AB100:AB101" si="381">AA100</f>
        <v>340721.08539292769</v>
      </c>
      <c r="AC100" s="203">
        <f t="shared" ref="AC100:AC101" si="382">AB100</f>
        <v>340721.08539292769</v>
      </c>
      <c r="AD100" s="203">
        <f t="shared" ref="AD100:AD101" si="383">AC100</f>
        <v>340721.08539292769</v>
      </c>
      <c r="AE100" s="203">
        <f t="shared" ref="AE100:AE101" si="384">AD100</f>
        <v>340721.08539292769</v>
      </c>
      <c r="AF100" s="203">
        <f t="shared" ref="AF100:AF101" si="385">AE100</f>
        <v>340721.08539292769</v>
      </c>
      <c r="AG100" s="203">
        <f t="shared" ref="AG100:AG101" si="386">AF100</f>
        <v>340721.08539292769</v>
      </c>
      <c r="AH100" s="203">
        <f t="shared" ref="AH100:AH101" si="387">AG100</f>
        <v>340721.08539292769</v>
      </c>
      <c r="AI100" s="203">
        <f t="shared" ref="AI100:AI101" si="388">AH100</f>
        <v>340721.08539292769</v>
      </c>
      <c r="AJ100" s="203">
        <f t="shared" ref="AJ100:AJ101" si="389">AI100</f>
        <v>340721.08539292769</v>
      </c>
      <c r="AK100" s="203">
        <f t="shared" ref="AK100:AK101" si="390">AJ100</f>
        <v>340721.08539292769</v>
      </c>
      <c r="AL100" s="203">
        <f t="shared" ref="AL100:AL101" si="391">AK100</f>
        <v>340721.08539292769</v>
      </c>
      <c r="AM100" s="203">
        <f t="shared" ref="AM100:AM101" si="392">AL100</f>
        <v>340721.08539292769</v>
      </c>
      <c r="AN100" s="203">
        <f t="shared" ref="AN100:AN101" si="393">AM100</f>
        <v>340721.08539292769</v>
      </c>
      <c r="AO100" s="203">
        <f t="shared" ref="AO100:AO101" si="394">AN100</f>
        <v>340721.08539292769</v>
      </c>
      <c r="AP100" s="203">
        <f t="shared" ref="AP100:AP101" si="395">AO100</f>
        <v>340721.08539292769</v>
      </c>
      <c r="AQ100" s="203">
        <f t="shared" ref="AQ100:AR101" si="396">AP100</f>
        <v>340721.08539292769</v>
      </c>
      <c r="AR100" s="203">
        <f t="shared" si="396"/>
        <v>340721.08539292769</v>
      </c>
    </row>
    <row r="101" spans="2:44" outlineLevel="1" x14ac:dyDescent="0.2">
      <c r="B101" s="257" t="s">
        <v>218</v>
      </c>
      <c r="C101" s="774" t="s">
        <v>317</v>
      </c>
      <c r="D101" s="777">
        <f>$C$12*CHIFFRAGE_TC!M$70</f>
        <v>134920.22322847918</v>
      </c>
      <c r="E101" s="203">
        <f>D101</f>
        <v>134920.22322847918</v>
      </c>
      <c r="F101" s="203">
        <f t="shared" si="359"/>
        <v>134920.22322847918</v>
      </c>
      <c r="G101" s="203">
        <f t="shared" si="360"/>
        <v>134920.22322847918</v>
      </c>
      <c r="H101" s="203">
        <f t="shared" si="361"/>
        <v>134920.22322847918</v>
      </c>
      <c r="I101" s="203">
        <f t="shared" si="362"/>
        <v>134920.22322847918</v>
      </c>
      <c r="J101" s="203">
        <f t="shared" si="363"/>
        <v>134920.22322847918</v>
      </c>
      <c r="K101" s="203">
        <f t="shared" si="364"/>
        <v>134920.22322847918</v>
      </c>
      <c r="L101" s="203">
        <f t="shared" si="365"/>
        <v>134920.22322847918</v>
      </c>
      <c r="M101" s="203">
        <f t="shared" si="366"/>
        <v>134920.22322847918</v>
      </c>
      <c r="N101" s="203">
        <f t="shared" si="367"/>
        <v>134920.22322847918</v>
      </c>
      <c r="O101" s="203">
        <f t="shared" si="368"/>
        <v>134920.22322847918</v>
      </c>
      <c r="P101" s="203">
        <f t="shared" si="369"/>
        <v>134920.22322847918</v>
      </c>
      <c r="Q101" s="203">
        <f t="shared" si="370"/>
        <v>134920.22322847918</v>
      </c>
      <c r="R101" s="203">
        <f t="shared" si="371"/>
        <v>134920.22322847918</v>
      </c>
      <c r="S101" s="203">
        <f t="shared" si="372"/>
        <v>134920.22322847918</v>
      </c>
      <c r="T101" s="203">
        <f t="shared" si="373"/>
        <v>134920.22322847918</v>
      </c>
      <c r="U101" s="203">
        <f t="shared" si="374"/>
        <v>134920.22322847918</v>
      </c>
      <c r="V101" s="203">
        <f t="shared" si="375"/>
        <v>134920.22322847918</v>
      </c>
      <c r="W101" s="203">
        <f t="shared" si="376"/>
        <v>134920.22322847918</v>
      </c>
      <c r="X101" s="203">
        <f t="shared" si="377"/>
        <v>134920.22322847918</v>
      </c>
      <c r="Y101" s="203">
        <f t="shared" si="378"/>
        <v>134920.22322847918</v>
      </c>
      <c r="Z101" s="203">
        <f t="shared" si="379"/>
        <v>134920.22322847918</v>
      </c>
      <c r="AA101" s="203">
        <f t="shared" si="380"/>
        <v>134920.22322847918</v>
      </c>
      <c r="AB101" s="203">
        <f t="shared" si="381"/>
        <v>134920.22322847918</v>
      </c>
      <c r="AC101" s="203">
        <f t="shared" si="382"/>
        <v>134920.22322847918</v>
      </c>
      <c r="AD101" s="203">
        <f t="shared" si="383"/>
        <v>134920.22322847918</v>
      </c>
      <c r="AE101" s="203">
        <f t="shared" si="384"/>
        <v>134920.22322847918</v>
      </c>
      <c r="AF101" s="203">
        <f t="shared" si="385"/>
        <v>134920.22322847918</v>
      </c>
      <c r="AG101" s="203">
        <f t="shared" si="386"/>
        <v>134920.22322847918</v>
      </c>
      <c r="AH101" s="203">
        <f t="shared" si="387"/>
        <v>134920.22322847918</v>
      </c>
      <c r="AI101" s="203">
        <f t="shared" si="388"/>
        <v>134920.22322847918</v>
      </c>
      <c r="AJ101" s="203">
        <f t="shared" si="389"/>
        <v>134920.22322847918</v>
      </c>
      <c r="AK101" s="203">
        <f t="shared" si="390"/>
        <v>134920.22322847918</v>
      </c>
      <c r="AL101" s="203">
        <f t="shared" si="391"/>
        <v>134920.22322847918</v>
      </c>
      <c r="AM101" s="203">
        <f t="shared" si="392"/>
        <v>134920.22322847918</v>
      </c>
      <c r="AN101" s="203">
        <f t="shared" si="393"/>
        <v>134920.22322847918</v>
      </c>
      <c r="AO101" s="203">
        <f t="shared" si="394"/>
        <v>134920.22322847918</v>
      </c>
      <c r="AP101" s="203">
        <f t="shared" si="395"/>
        <v>134920.22322847918</v>
      </c>
      <c r="AQ101" s="203">
        <f t="shared" si="396"/>
        <v>134920.22322847918</v>
      </c>
      <c r="AR101" s="203">
        <f t="shared" si="396"/>
        <v>134920.22322847918</v>
      </c>
    </row>
    <row r="102" spans="2:44" outlineLevel="1" x14ac:dyDescent="0.2">
      <c r="B102" s="252"/>
      <c r="C102" s="770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</row>
    <row r="103" spans="2:44" outlineLevel="1" x14ac:dyDescent="0.2">
      <c r="B103" s="254" t="s">
        <v>219</v>
      </c>
      <c r="C103" s="772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</row>
    <row r="104" spans="2:44" outlineLevel="1" x14ac:dyDescent="0.2">
      <c r="B104" s="763" t="s">
        <v>221</v>
      </c>
      <c r="C104" s="778" t="s">
        <v>318</v>
      </c>
      <c r="D104" s="764">
        <v>0</v>
      </c>
      <c r="E104" s="764">
        <v>0</v>
      </c>
      <c r="F104" s="764">
        <v>0</v>
      </c>
      <c r="G104" s="764">
        <v>0</v>
      </c>
      <c r="H104" s="787">
        <f>PARAMETROS!F51*CANTIDADES!C$22</f>
        <v>1234800.0000000002</v>
      </c>
      <c r="I104" s="779">
        <v>0</v>
      </c>
      <c r="J104" s="779">
        <v>0</v>
      </c>
      <c r="K104" s="779">
        <v>0</v>
      </c>
      <c r="L104" s="779">
        <v>0</v>
      </c>
      <c r="M104" s="779">
        <f>H104</f>
        <v>1234800.0000000002</v>
      </c>
      <c r="N104" s="779">
        <v>0</v>
      </c>
      <c r="O104" s="779">
        <v>0</v>
      </c>
      <c r="P104" s="779">
        <v>0</v>
      </c>
      <c r="Q104" s="779">
        <v>0</v>
      </c>
      <c r="R104" s="779">
        <f>M104</f>
        <v>1234800.0000000002</v>
      </c>
      <c r="S104" s="779">
        <v>0</v>
      </c>
      <c r="T104" s="779">
        <v>0</v>
      </c>
      <c r="U104" s="779">
        <v>0</v>
      </c>
      <c r="V104" s="779">
        <v>0</v>
      </c>
      <c r="W104" s="779">
        <f>R104</f>
        <v>1234800.0000000002</v>
      </c>
      <c r="X104" s="779">
        <v>0</v>
      </c>
      <c r="Y104" s="779">
        <v>0</v>
      </c>
      <c r="Z104" s="779">
        <v>0</v>
      </c>
      <c r="AA104" s="779">
        <v>0</v>
      </c>
      <c r="AB104" s="779">
        <f>W104</f>
        <v>1234800.0000000002</v>
      </c>
      <c r="AC104" s="779">
        <v>0</v>
      </c>
      <c r="AD104" s="779">
        <v>0</v>
      </c>
      <c r="AE104" s="779">
        <v>0</v>
      </c>
      <c r="AF104" s="779">
        <v>0</v>
      </c>
      <c r="AG104" s="779">
        <f>AB104</f>
        <v>1234800.0000000002</v>
      </c>
      <c r="AH104" s="779">
        <v>0</v>
      </c>
      <c r="AI104" s="779">
        <v>0</v>
      </c>
      <c r="AJ104" s="779">
        <v>0</v>
      </c>
      <c r="AK104" s="779">
        <v>0</v>
      </c>
      <c r="AL104" s="779">
        <f>AG104</f>
        <v>1234800.0000000002</v>
      </c>
      <c r="AM104" s="779">
        <v>0</v>
      </c>
      <c r="AN104" s="779">
        <v>0</v>
      </c>
      <c r="AO104" s="779">
        <v>0</v>
      </c>
      <c r="AP104" s="779">
        <v>0</v>
      </c>
      <c r="AQ104" s="779">
        <f>AL104</f>
        <v>1234800.0000000002</v>
      </c>
      <c r="AR104" s="779">
        <v>0</v>
      </c>
    </row>
    <row r="105" spans="2:44" outlineLevel="1" x14ac:dyDescent="0.2">
      <c r="B105" s="788" t="s">
        <v>243</v>
      </c>
      <c r="C105" s="789" t="s">
        <v>318</v>
      </c>
      <c r="D105" s="790">
        <f>$H$104/5</f>
        <v>246960.00000000006</v>
      </c>
      <c r="E105" s="790">
        <f t="shared" ref="E105:AR105" si="397">$H$104/5</f>
        <v>246960.00000000006</v>
      </c>
      <c r="F105" s="790">
        <f t="shared" si="397"/>
        <v>246960.00000000006</v>
      </c>
      <c r="G105" s="790">
        <f t="shared" si="397"/>
        <v>246960.00000000006</v>
      </c>
      <c r="H105" s="790">
        <f t="shared" si="397"/>
        <v>246960.00000000006</v>
      </c>
      <c r="I105" s="790">
        <f t="shared" si="397"/>
        <v>246960.00000000006</v>
      </c>
      <c r="J105" s="790">
        <f t="shared" si="397"/>
        <v>246960.00000000006</v>
      </c>
      <c r="K105" s="790">
        <f t="shared" si="397"/>
        <v>246960.00000000006</v>
      </c>
      <c r="L105" s="790">
        <f t="shared" si="397"/>
        <v>246960.00000000006</v>
      </c>
      <c r="M105" s="790">
        <f t="shared" si="397"/>
        <v>246960.00000000006</v>
      </c>
      <c r="N105" s="790">
        <f t="shared" si="397"/>
        <v>246960.00000000006</v>
      </c>
      <c r="O105" s="790">
        <f t="shared" si="397"/>
        <v>246960.00000000006</v>
      </c>
      <c r="P105" s="790">
        <f t="shared" si="397"/>
        <v>246960.00000000006</v>
      </c>
      <c r="Q105" s="790">
        <f t="shared" si="397"/>
        <v>246960.00000000006</v>
      </c>
      <c r="R105" s="790">
        <f t="shared" si="397"/>
        <v>246960.00000000006</v>
      </c>
      <c r="S105" s="790">
        <f t="shared" si="397"/>
        <v>246960.00000000006</v>
      </c>
      <c r="T105" s="790">
        <f t="shared" si="397"/>
        <v>246960.00000000006</v>
      </c>
      <c r="U105" s="790">
        <f t="shared" si="397"/>
        <v>246960.00000000006</v>
      </c>
      <c r="V105" s="790">
        <f t="shared" si="397"/>
        <v>246960.00000000006</v>
      </c>
      <c r="W105" s="790">
        <f t="shared" si="397"/>
        <v>246960.00000000006</v>
      </c>
      <c r="X105" s="790">
        <f t="shared" si="397"/>
        <v>246960.00000000006</v>
      </c>
      <c r="Y105" s="790">
        <f t="shared" si="397"/>
        <v>246960.00000000006</v>
      </c>
      <c r="Z105" s="790">
        <f t="shared" si="397"/>
        <v>246960.00000000006</v>
      </c>
      <c r="AA105" s="790">
        <f t="shared" si="397"/>
        <v>246960.00000000006</v>
      </c>
      <c r="AB105" s="790">
        <f t="shared" si="397"/>
        <v>246960.00000000006</v>
      </c>
      <c r="AC105" s="790">
        <f t="shared" si="397"/>
        <v>246960.00000000006</v>
      </c>
      <c r="AD105" s="790">
        <f t="shared" si="397"/>
        <v>246960.00000000006</v>
      </c>
      <c r="AE105" s="790">
        <f t="shared" si="397"/>
        <v>246960.00000000006</v>
      </c>
      <c r="AF105" s="790">
        <f t="shared" si="397"/>
        <v>246960.00000000006</v>
      </c>
      <c r="AG105" s="790">
        <f t="shared" si="397"/>
        <v>246960.00000000006</v>
      </c>
      <c r="AH105" s="790">
        <f t="shared" si="397"/>
        <v>246960.00000000006</v>
      </c>
      <c r="AI105" s="790">
        <f t="shared" si="397"/>
        <v>246960.00000000006</v>
      </c>
      <c r="AJ105" s="790">
        <f t="shared" si="397"/>
        <v>246960.00000000006</v>
      </c>
      <c r="AK105" s="790">
        <f t="shared" si="397"/>
        <v>246960.00000000006</v>
      </c>
      <c r="AL105" s="790">
        <f t="shared" si="397"/>
        <v>246960.00000000006</v>
      </c>
      <c r="AM105" s="790">
        <f t="shared" si="397"/>
        <v>246960.00000000006</v>
      </c>
      <c r="AN105" s="790">
        <f t="shared" si="397"/>
        <v>246960.00000000006</v>
      </c>
      <c r="AO105" s="790">
        <f t="shared" si="397"/>
        <v>246960.00000000006</v>
      </c>
      <c r="AP105" s="790">
        <f t="shared" si="397"/>
        <v>246960.00000000006</v>
      </c>
      <c r="AQ105" s="790">
        <f t="shared" si="397"/>
        <v>246960.00000000006</v>
      </c>
      <c r="AR105" s="790">
        <f t="shared" si="397"/>
        <v>246960.00000000006</v>
      </c>
    </row>
    <row r="106" spans="2:44" outlineLevel="1" x14ac:dyDescent="0.2">
      <c r="B106" s="252"/>
      <c r="C106" s="770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</row>
    <row r="107" spans="2:44" ht="16.2" outlineLevel="1" x14ac:dyDescent="0.3">
      <c r="B107" s="253" t="s">
        <v>425</v>
      </c>
      <c r="C107" s="770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</row>
    <row r="108" spans="2:44" outlineLevel="1" x14ac:dyDescent="0.2">
      <c r="B108" s="252"/>
      <c r="C108" s="770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</row>
    <row r="109" spans="2:44" outlineLevel="1" x14ac:dyDescent="0.2">
      <c r="B109" s="252" t="s">
        <v>426</v>
      </c>
      <c r="C109" s="770" t="s">
        <v>317</v>
      </c>
      <c r="D109" s="203">
        <f>D46</f>
        <v>572539.58926765656</v>
      </c>
      <c r="E109" s="203">
        <f t="shared" ref="E109:AR109" si="398">E46</f>
        <v>572539.58926765656</v>
      </c>
      <c r="F109" s="203">
        <f t="shared" si="398"/>
        <v>572539.58926765656</v>
      </c>
      <c r="G109" s="203">
        <f t="shared" si="398"/>
        <v>572539.58926765656</v>
      </c>
      <c r="H109" s="203">
        <f t="shared" si="398"/>
        <v>572539.58926765656</v>
      </c>
      <c r="I109" s="203">
        <f t="shared" si="398"/>
        <v>572539.58926765656</v>
      </c>
      <c r="J109" s="203">
        <f t="shared" si="398"/>
        <v>572539.58926765656</v>
      </c>
      <c r="K109" s="203">
        <f t="shared" si="398"/>
        <v>572539.58926765656</v>
      </c>
      <c r="L109" s="203">
        <f t="shared" si="398"/>
        <v>572539.58926765656</v>
      </c>
      <c r="M109" s="203">
        <f t="shared" si="398"/>
        <v>572539.58926765656</v>
      </c>
      <c r="N109" s="203">
        <f t="shared" si="398"/>
        <v>572539.58926765656</v>
      </c>
      <c r="O109" s="203">
        <f t="shared" si="398"/>
        <v>572539.58926765656</v>
      </c>
      <c r="P109" s="203">
        <f t="shared" si="398"/>
        <v>572539.58926765656</v>
      </c>
      <c r="Q109" s="203">
        <f t="shared" si="398"/>
        <v>572539.58926765656</v>
      </c>
      <c r="R109" s="203">
        <f t="shared" si="398"/>
        <v>572539.58926765656</v>
      </c>
      <c r="S109" s="203">
        <f t="shared" si="398"/>
        <v>572539.58926765656</v>
      </c>
      <c r="T109" s="203">
        <f t="shared" si="398"/>
        <v>572539.58926765656</v>
      </c>
      <c r="U109" s="203">
        <f t="shared" si="398"/>
        <v>572539.58926765656</v>
      </c>
      <c r="V109" s="203">
        <f t="shared" si="398"/>
        <v>572539.58926765656</v>
      </c>
      <c r="W109" s="203">
        <f t="shared" si="398"/>
        <v>572539.58926765656</v>
      </c>
      <c r="X109" s="203">
        <f t="shared" si="398"/>
        <v>572539.58926765656</v>
      </c>
      <c r="Y109" s="203">
        <f t="shared" si="398"/>
        <v>572539.58926765656</v>
      </c>
      <c r="Z109" s="203">
        <f t="shared" si="398"/>
        <v>572539.58926765656</v>
      </c>
      <c r="AA109" s="203">
        <f t="shared" si="398"/>
        <v>572539.58926765656</v>
      </c>
      <c r="AB109" s="203">
        <f t="shared" si="398"/>
        <v>572539.58926765656</v>
      </c>
      <c r="AC109" s="203">
        <f t="shared" si="398"/>
        <v>572539.58926765656</v>
      </c>
      <c r="AD109" s="203">
        <f t="shared" si="398"/>
        <v>572539.58926765656</v>
      </c>
      <c r="AE109" s="203">
        <f t="shared" si="398"/>
        <v>572539.58926765656</v>
      </c>
      <c r="AF109" s="203">
        <f t="shared" si="398"/>
        <v>572539.58926765656</v>
      </c>
      <c r="AG109" s="203">
        <f t="shared" si="398"/>
        <v>572539.58926765656</v>
      </c>
      <c r="AH109" s="203">
        <f t="shared" si="398"/>
        <v>572539.58926765656</v>
      </c>
      <c r="AI109" s="203">
        <f t="shared" si="398"/>
        <v>572539.58926765656</v>
      </c>
      <c r="AJ109" s="203">
        <f t="shared" si="398"/>
        <v>572539.58926765656</v>
      </c>
      <c r="AK109" s="203">
        <f t="shared" si="398"/>
        <v>572539.58926765656</v>
      </c>
      <c r="AL109" s="203">
        <f t="shared" si="398"/>
        <v>572539.58926765656</v>
      </c>
      <c r="AM109" s="203">
        <f t="shared" si="398"/>
        <v>572539.58926765656</v>
      </c>
      <c r="AN109" s="203">
        <f t="shared" si="398"/>
        <v>572539.58926765656</v>
      </c>
      <c r="AO109" s="203">
        <f t="shared" si="398"/>
        <v>572539.58926765656</v>
      </c>
      <c r="AP109" s="203">
        <f t="shared" si="398"/>
        <v>572539.58926765656</v>
      </c>
      <c r="AQ109" s="203">
        <f t="shared" si="398"/>
        <v>572539.58926765656</v>
      </c>
      <c r="AR109" s="203">
        <f t="shared" si="398"/>
        <v>572539.58926765656</v>
      </c>
    </row>
    <row r="110" spans="2:44" outlineLevel="1" x14ac:dyDescent="0.2">
      <c r="B110" s="252"/>
      <c r="C110" s="770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</row>
    <row r="111" spans="2:44" ht="16.2" outlineLevel="1" x14ac:dyDescent="0.3">
      <c r="B111" s="253" t="s">
        <v>222</v>
      </c>
      <c r="C111" s="770" t="s">
        <v>317</v>
      </c>
      <c r="D111" s="203">
        <f>$C$13*(SUM(D85:D95)+D96+SUM(D100:D101)+D105)</f>
        <v>42855.987347428141</v>
      </c>
      <c r="E111" s="203">
        <f>$C$13*(SUM(E85:E95)+E96+SUM(E100:E101)+E105)</f>
        <v>42855.987347428141</v>
      </c>
      <c r="F111" s="203">
        <f t="shared" ref="F111:AQ111" si="399">$C$13*(SUM(F85:F95)+F96+SUM(F100:F101)+F105)</f>
        <v>42855.987347428141</v>
      </c>
      <c r="G111" s="203">
        <f t="shared" si="399"/>
        <v>42855.987347428141</v>
      </c>
      <c r="H111" s="203">
        <f t="shared" si="399"/>
        <v>84015.987347428148</v>
      </c>
      <c r="I111" s="203">
        <f t="shared" si="399"/>
        <v>42855.987347428141</v>
      </c>
      <c r="J111" s="203">
        <f t="shared" si="399"/>
        <v>42855.987347428141</v>
      </c>
      <c r="K111" s="203">
        <f t="shared" si="399"/>
        <v>42855.987347428141</v>
      </c>
      <c r="L111" s="203">
        <f t="shared" si="399"/>
        <v>42855.987347428141</v>
      </c>
      <c r="M111" s="203">
        <f t="shared" si="399"/>
        <v>84015.987347428148</v>
      </c>
      <c r="N111" s="203">
        <f t="shared" si="399"/>
        <v>42855.987347428141</v>
      </c>
      <c r="O111" s="203">
        <f t="shared" si="399"/>
        <v>42855.987347428141</v>
      </c>
      <c r="P111" s="203">
        <f t="shared" si="399"/>
        <v>42855.987347428141</v>
      </c>
      <c r="Q111" s="203">
        <f t="shared" si="399"/>
        <v>42855.987347428141</v>
      </c>
      <c r="R111" s="203">
        <f t="shared" si="399"/>
        <v>84015.987347428148</v>
      </c>
      <c r="S111" s="203">
        <f t="shared" si="399"/>
        <v>42855.987347428141</v>
      </c>
      <c r="T111" s="203">
        <f t="shared" si="399"/>
        <v>42855.987347428141</v>
      </c>
      <c r="U111" s="203">
        <f t="shared" si="399"/>
        <v>42855.987347428141</v>
      </c>
      <c r="V111" s="203">
        <f t="shared" si="399"/>
        <v>42855.987347428141</v>
      </c>
      <c r="W111" s="203">
        <f t="shared" si="399"/>
        <v>84015.987347428148</v>
      </c>
      <c r="X111" s="203">
        <f t="shared" si="399"/>
        <v>42855.987347428141</v>
      </c>
      <c r="Y111" s="203">
        <f t="shared" si="399"/>
        <v>42855.987347428141</v>
      </c>
      <c r="Z111" s="203">
        <f t="shared" si="399"/>
        <v>42855.987347428141</v>
      </c>
      <c r="AA111" s="203">
        <f t="shared" si="399"/>
        <v>42855.987347428141</v>
      </c>
      <c r="AB111" s="203">
        <f t="shared" si="399"/>
        <v>84015.987347428148</v>
      </c>
      <c r="AC111" s="203">
        <f t="shared" si="399"/>
        <v>42855.987347428141</v>
      </c>
      <c r="AD111" s="203">
        <f t="shared" si="399"/>
        <v>42855.987347428141</v>
      </c>
      <c r="AE111" s="203">
        <f t="shared" si="399"/>
        <v>42855.987347428141</v>
      </c>
      <c r="AF111" s="203">
        <f t="shared" si="399"/>
        <v>42855.987347428141</v>
      </c>
      <c r="AG111" s="203">
        <f t="shared" si="399"/>
        <v>84015.987347428148</v>
      </c>
      <c r="AH111" s="203">
        <f t="shared" si="399"/>
        <v>42855.987347428141</v>
      </c>
      <c r="AI111" s="203">
        <f t="shared" si="399"/>
        <v>42855.987347428141</v>
      </c>
      <c r="AJ111" s="203">
        <f t="shared" si="399"/>
        <v>42855.987347428141</v>
      </c>
      <c r="AK111" s="203">
        <f t="shared" si="399"/>
        <v>42855.987347428141</v>
      </c>
      <c r="AL111" s="203">
        <f t="shared" si="399"/>
        <v>84015.987347428148</v>
      </c>
      <c r="AM111" s="203">
        <f t="shared" si="399"/>
        <v>42855.987347428141</v>
      </c>
      <c r="AN111" s="203">
        <f t="shared" si="399"/>
        <v>42855.987347428141</v>
      </c>
      <c r="AO111" s="203">
        <f t="shared" si="399"/>
        <v>42855.987347428141</v>
      </c>
      <c r="AP111" s="203">
        <f t="shared" si="399"/>
        <v>42855.987347428141</v>
      </c>
      <c r="AQ111" s="203">
        <f t="shared" si="399"/>
        <v>84015.987347428148</v>
      </c>
      <c r="AR111" s="203">
        <f t="shared" ref="AR111" si="400">$C$13*(SUM(AR85:AR95)+AR96+SUM(AR100:AR101)+AR105)</f>
        <v>42855.987347428141</v>
      </c>
    </row>
    <row r="112" spans="2:44" outlineLevel="1" x14ac:dyDescent="0.2">
      <c r="B112" s="252"/>
      <c r="C112" s="770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</row>
    <row r="113" spans="2:44" ht="16.2" outlineLevel="1" x14ac:dyDescent="0.3">
      <c r="B113" s="253" t="s">
        <v>223</v>
      </c>
      <c r="C113" s="771"/>
      <c r="D113" s="258">
        <f>SUM(D85:D95)+D96+D100+D101+D104+D111+D109</f>
        <v>2511234.9439864918</v>
      </c>
      <c r="E113" s="258">
        <f t="shared" ref="E113:AR113" si="401">SUM(E85:E95)+E96+E100+E101+E104+E111+E109</f>
        <v>2511234.9439864918</v>
      </c>
      <c r="F113" s="258">
        <f t="shared" si="401"/>
        <v>2511234.9439864918</v>
      </c>
      <c r="G113" s="258">
        <f t="shared" si="401"/>
        <v>2511234.9439864918</v>
      </c>
      <c r="H113" s="258">
        <f t="shared" si="401"/>
        <v>5845194.9439864913</v>
      </c>
      <c r="I113" s="258">
        <f t="shared" si="401"/>
        <v>2511234.9439864918</v>
      </c>
      <c r="J113" s="258">
        <f t="shared" si="401"/>
        <v>2511234.9439864918</v>
      </c>
      <c r="K113" s="258">
        <f t="shared" si="401"/>
        <v>2511234.9439864918</v>
      </c>
      <c r="L113" s="258">
        <f t="shared" si="401"/>
        <v>2511234.9439864918</v>
      </c>
      <c r="M113" s="258">
        <f t="shared" si="401"/>
        <v>5845194.9439864913</v>
      </c>
      <c r="N113" s="258">
        <f t="shared" si="401"/>
        <v>2511234.9439864918</v>
      </c>
      <c r="O113" s="258">
        <f t="shared" si="401"/>
        <v>2511234.9439864918</v>
      </c>
      <c r="P113" s="258">
        <f t="shared" si="401"/>
        <v>2511234.9439864918</v>
      </c>
      <c r="Q113" s="258">
        <f t="shared" si="401"/>
        <v>2511234.9439864918</v>
      </c>
      <c r="R113" s="258">
        <f t="shared" si="401"/>
        <v>5845194.9439864913</v>
      </c>
      <c r="S113" s="258">
        <f t="shared" si="401"/>
        <v>2511234.9439864918</v>
      </c>
      <c r="T113" s="258">
        <f t="shared" si="401"/>
        <v>2511234.9439864918</v>
      </c>
      <c r="U113" s="258">
        <f t="shared" si="401"/>
        <v>2511234.9439864918</v>
      </c>
      <c r="V113" s="258">
        <f t="shared" si="401"/>
        <v>2511234.9439864918</v>
      </c>
      <c r="W113" s="258">
        <f t="shared" si="401"/>
        <v>5845194.9439864913</v>
      </c>
      <c r="X113" s="258">
        <f t="shared" si="401"/>
        <v>2511234.9439864918</v>
      </c>
      <c r="Y113" s="258">
        <f t="shared" si="401"/>
        <v>2511234.9439864918</v>
      </c>
      <c r="Z113" s="258">
        <f t="shared" si="401"/>
        <v>2511234.9439864918</v>
      </c>
      <c r="AA113" s="258">
        <f t="shared" si="401"/>
        <v>2511234.9439864918</v>
      </c>
      <c r="AB113" s="258">
        <f t="shared" si="401"/>
        <v>5845194.9439864913</v>
      </c>
      <c r="AC113" s="258">
        <f t="shared" si="401"/>
        <v>2511234.9439864918</v>
      </c>
      <c r="AD113" s="258">
        <f t="shared" si="401"/>
        <v>2511234.9439864918</v>
      </c>
      <c r="AE113" s="258">
        <f t="shared" si="401"/>
        <v>2511234.9439864918</v>
      </c>
      <c r="AF113" s="258">
        <f t="shared" si="401"/>
        <v>2511234.9439864918</v>
      </c>
      <c r="AG113" s="258">
        <f t="shared" si="401"/>
        <v>5845194.9439864913</v>
      </c>
      <c r="AH113" s="258">
        <f t="shared" si="401"/>
        <v>2511234.9439864918</v>
      </c>
      <c r="AI113" s="258">
        <f t="shared" si="401"/>
        <v>2511234.9439864918</v>
      </c>
      <c r="AJ113" s="258">
        <f t="shared" si="401"/>
        <v>2511234.9439864918</v>
      </c>
      <c r="AK113" s="258">
        <f t="shared" si="401"/>
        <v>2511234.9439864918</v>
      </c>
      <c r="AL113" s="258">
        <f t="shared" si="401"/>
        <v>5845194.9439864913</v>
      </c>
      <c r="AM113" s="258">
        <f t="shared" si="401"/>
        <v>2511234.9439864918</v>
      </c>
      <c r="AN113" s="258">
        <f t="shared" si="401"/>
        <v>2511234.9439864918</v>
      </c>
      <c r="AO113" s="258">
        <f t="shared" si="401"/>
        <v>2511234.9439864918</v>
      </c>
      <c r="AP113" s="258">
        <f t="shared" si="401"/>
        <v>2511234.9439864918</v>
      </c>
      <c r="AQ113" s="258">
        <f t="shared" si="401"/>
        <v>5845194.9439864913</v>
      </c>
      <c r="AR113" s="258">
        <f t="shared" si="401"/>
        <v>2511234.9439864918</v>
      </c>
    </row>
    <row r="114" spans="2:44" ht="16.2" x14ac:dyDescent="0.3">
      <c r="B114" s="784" t="s">
        <v>418</v>
      </c>
      <c r="C114" s="785"/>
      <c r="D114" s="786">
        <f>SUM(D85:D95)+D97+D100+D101+D105+D111+D109</f>
        <v>3169794.9439864918</v>
      </c>
      <c r="E114" s="786">
        <f t="shared" ref="E114:AR114" si="402">SUM(E85:E95)+E97+E100+E101+E105+E111+E109</f>
        <v>3169794.9439864918</v>
      </c>
      <c r="F114" s="786">
        <f t="shared" si="402"/>
        <v>3169794.9439864918</v>
      </c>
      <c r="G114" s="786">
        <f t="shared" si="402"/>
        <v>3169794.9439864918</v>
      </c>
      <c r="H114" s="786">
        <f t="shared" si="402"/>
        <v>3210954.9439864918</v>
      </c>
      <c r="I114" s="786">
        <f t="shared" si="402"/>
        <v>3169794.9439864918</v>
      </c>
      <c r="J114" s="786">
        <f t="shared" si="402"/>
        <v>3169794.9439864918</v>
      </c>
      <c r="K114" s="786">
        <f t="shared" si="402"/>
        <v>3169794.9439864918</v>
      </c>
      <c r="L114" s="786">
        <f t="shared" si="402"/>
        <v>3169794.9439864918</v>
      </c>
      <c r="M114" s="786">
        <f t="shared" si="402"/>
        <v>3210954.9439864918</v>
      </c>
      <c r="N114" s="786">
        <f t="shared" si="402"/>
        <v>3169794.9439864918</v>
      </c>
      <c r="O114" s="786">
        <f t="shared" si="402"/>
        <v>3169794.9439864918</v>
      </c>
      <c r="P114" s="786">
        <f t="shared" si="402"/>
        <v>3169794.9439864918</v>
      </c>
      <c r="Q114" s="786">
        <f t="shared" si="402"/>
        <v>3169794.9439864918</v>
      </c>
      <c r="R114" s="786">
        <f t="shared" si="402"/>
        <v>3210954.9439864918</v>
      </c>
      <c r="S114" s="786">
        <f t="shared" si="402"/>
        <v>3169794.9439864918</v>
      </c>
      <c r="T114" s="786">
        <f t="shared" si="402"/>
        <v>3169794.9439864918</v>
      </c>
      <c r="U114" s="786">
        <f t="shared" si="402"/>
        <v>3169794.9439864918</v>
      </c>
      <c r="V114" s="786">
        <f t="shared" si="402"/>
        <v>3169794.9439864918</v>
      </c>
      <c r="W114" s="786">
        <f t="shared" si="402"/>
        <v>3210954.9439864918</v>
      </c>
      <c r="X114" s="786">
        <f t="shared" si="402"/>
        <v>3169794.9439864918</v>
      </c>
      <c r="Y114" s="786">
        <f t="shared" si="402"/>
        <v>3169794.9439864918</v>
      </c>
      <c r="Z114" s="786">
        <f t="shared" si="402"/>
        <v>3169794.9439864918</v>
      </c>
      <c r="AA114" s="786">
        <f t="shared" si="402"/>
        <v>3169794.9439864918</v>
      </c>
      <c r="AB114" s="786">
        <f t="shared" si="402"/>
        <v>3210954.9439864918</v>
      </c>
      <c r="AC114" s="786">
        <f t="shared" si="402"/>
        <v>3169794.9439864918</v>
      </c>
      <c r="AD114" s="786">
        <f t="shared" si="402"/>
        <v>3169794.9439864918</v>
      </c>
      <c r="AE114" s="786">
        <f t="shared" si="402"/>
        <v>3169794.9439864918</v>
      </c>
      <c r="AF114" s="786">
        <f t="shared" si="402"/>
        <v>3169794.9439864918</v>
      </c>
      <c r="AG114" s="786">
        <f t="shared" si="402"/>
        <v>3210954.9439864918</v>
      </c>
      <c r="AH114" s="786">
        <f t="shared" si="402"/>
        <v>3169794.9439864918</v>
      </c>
      <c r="AI114" s="786">
        <f t="shared" si="402"/>
        <v>3169794.9439864918</v>
      </c>
      <c r="AJ114" s="786">
        <f t="shared" si="402"/>
        <v>3169794.9439864918</v>
      </c>
      <c r="AK114" s="786">
        <f t="shared" si="402"/>
        <v>3169794.9439864918</v>
      </c>
      <c r="AL114" s="786">
        <f t="shared" si="402"/>
        <v>3210954.9439864918</v>
      </c>
      <c r="AM114" s="786">
        <f t="shared" si="402"/>
        <v>3169794.9439864918</v>
      </c>
      <c r="AN114" s="786">
        <f t="shared" si="402"/>
        <v>3169794.9439864918</v>
      </c>
      <c r="AO114" s="786">
        <f t="shared" si="402"/>
        <v>3169794.9439864918</v>
      </c>
      <c r="AP114" s="786">
        <f t="shared" si="402"/>
        <v>3169794.9439864918</v>
      </c>
      <c r="AQ114" s="786">
        <f t="shared" si="402"/>
        <v>3210954.9439864918</v>
      </c>
      <c r="AR114" s="786">
        <f t="shared" si="402"/>
        <v>3169794.9439864918</v>
      </c>
    </row>
    <row r="115" spans="2:44" x14ac:dyDescent="0.2">
      <c r="C115" s="752"/>
    </row>
    <row r="116" spans="2:44" x14ac:dyDescent="0.2">
      <c r="B116" s="743" t="s">
        <v>413</v>
      </c>
      <c r="C116" s="744"/>
      <c r="D116" s="745"/>
      <c r="E116" s="746"/>
      <c r="F116" s="746"/>
      <c r="G116" s="746"/>
      <c r="H116" s="747"/>
      <c r="I116" s="748"/>
      <c r="J116" s="731"/>
      <c r="K116" s="731"/>
      <c r="L116" s="731"/>
      <c r="M116" s="731"/>
      <c r="N116" s="731"/>
      <c r="O116" s="731"/>
      <c r="P116" s="731"/>
      <c r="Q116" s="731"/>
      <c r="R116" s="731"/>
      <c r="S116" s="731"/>
      <c r="T116" s="731"/>
      <c r="U116" s="731"/>
      <c r="V116" s="731"/>
      <c r="W116" s="731"/>
      <c r="X116" s="731"/>
      <c r="Y116" s="731"/>
      <c r="Z116" s="731"/>
      <c r="AA116" s="731"/>
      <c r="AB116" s="731"/>
      <c r="AC116" s="731"/>
      <c r="AD116" s="731"/>
      <c r="AE116" s="731"/>
      <c r="AF116" s="731"/>
      <c r="AG116" s="731"/>
      <c r="AH116" s="731"/>
      <c r="AI116" s="731"/>
      <c r="AJ116" s="731"/>
      <c r="AK116" s="731"/>
      <c r="AL116" s="731"/>
      <c r="AM116" s="731"/>
      <c r="AN116" s="731"/>
      <c r="AO116" s="749"/>
      <c r="AP116" s="749"/>
      <c r="AQ116" s="749"/>
      <c r="AR116" s="749"/>
    </row>
    <row r="117" spans="2:44" x14ac:dyDescent="0.2">
      <c r="C117" s="752"/>
    </row>
    <row r="118" spans="2:44" x14ac:dyDescent="0.2">
      <c r="C118" s="752"/>
      <c r="D118" s="754">
        <f>D80</f>
        <v>2019</v>
      </c>
      <c r="E118" s="754">
        <f t="shared" ref="E118:AR118" si="403">E80</f>
        <v>2020</v>
      </c>
      <c r="F118" s="754">
        <f t="shared" si="403"/>
        <v>2021</v>
      </c>
      <c r="G118" s="754">
        <f t="shared" si="403"/>
        <v>2022</v>
      </c>
      <c r="H118" s="754">
        <f t="shared" si="403"/>
        <v>2023</v>
      </c>
      <c r="I118" s="754">
        <f t="shared" si="403"/>
        <v>2024</v>
      </c>
      <c r="J118" s="754">
        <f t="shared" si="403"/>
        <v>2025</v>
      </c>
      <c r="K118" s="754">
        <f t="shared" si="403"/>
        <v>2026</v>
      </c>
      <c r="L118" s="754">
        <f t="shared" si="403"/>
        <v>2027</v>
      </c>
      <c r="M118" s="754">
        <f t="shared" si="403"/>
        <v>2028</v>
      </c>
      <c r="N118" s="754">
        <f t="shared" si="403"/>
        <v>2029</v>
      </c>
      <c r="O118" s="754">
        <f t="shared" si="403"/>
        <v>2030</v>
      </c>
      <c r="P118" s="754">
        <f t="shared" si="403"/>
        <v>2031</v>
      </c>
      <c r="Q118" s="754">
        <f t="shared" si="403"/>
        <v>2032</v>
      </c>
      <c r="R118" s="754">
        <f t="shared" si="403"/>
        <v>2033</v>
      </c>
      <c r="S118" s="754">
        <f t="shared" si="403"/>
        <v>2034</v>
      </c>
      <c r="T118" s="754">
        <f t="shared" si="403"/>
        <v>2035</v>
      </c>
      <c r="U118" s="754">
        <f t="shared" si="403"/>
        <v>2036</v>
      </c>
      <c r="V118" s="754">
        <f t="shared" si="403"/>
        <v>2037</v>
      </c>
      <c r="W118" s="754">
        <f t="shared" si="403"/>
        <v>2038</v>
      </c>
      <c r="X118" s="754">
        <f t="shared" si="403"/>
        <v>2039</v>
      </c>
      <c r="Y118" s="754">
        <f t="shared" si="403"/>
        <v>2040</v>
      </c>
      <c r="Z118" s="754">
        <f t="shared" si="403"/>
        <v>2041</v>
      </c>
      <c r="AA118" s="754">
        <f t="shared" si="403"/>
        <v>2042</v>
      </c>
      <c r="AB118" s="754">
        <f t="shared" si="403"/>
        <v>2043</v>
      </c>
      <c r="AC118" s="754">
        <f t="shared" si="403"/>
        <v>2044</v>
      </c>
      <c r="AD118" s="754">
        <f t="shared" si="403"/>
        <v>2045</v>
      </c>
      <c r="AE118" s="754">
        <f t="shared" si="403"/>
        <v>2046</v>
      </c>
      <c r="AF118" s="754">
        <f t="shared" si="403"/>
        <v>2047</v>
      </c>
      <c r="AG118" s="754">
        <f t="shared" si="403"/>
        <v>2048</v>
      </c>
      <c r="AH118" s="754">
        <f t="shared" si="403"/>
        <v>2049</v>
      </c>
      <c r="AI118" s="754">
        <f t="shared" si="403"/>
        <v>2050</v>
      </c>
      <c r="AJ118" s="754">
        <f t="shared" si="403"/>
        <v>2051</v>
      </c>
      <c r="AK118" s="754">
        <f t="shared" si="403"/>
        <v>2052</v>
      </c>
      <c r="AL118" s="754">
        <f t="shared" si="403"/>
        <v>2053</v>
      </c>
      <c r="AM118" s="754">
        <f t="shared" si="403"/>
        <v>2054</v>
      </c>
      <c r="AN118" s="754">
        <f t="shared" si="403"/>
        <v>2055</v>
      </c>
      <c r="AO118" s="754">
        <f t="shared" si="403"/>
        <v>2056</v>
      </c>
      <c r="AP118" s="754">
        <f t="shared" si="403"/>
        <v>2057</v>
      </c>
      <c r="AQ118" s="754">
        <f t="shared" si="403"/>
        <v>2058</v>
      </c>
      <c r="AR118" s="754">
        <f t="shared" si="403"/>
        <v>2059</v>
      </c>
    </row>
    <row r="119" spans="2:44" x14ac:dyDescent="0.2">
      <c r="C119" s="752"/>
      <c r="F119" s="755">
        <v>1</v>
      </c>
      <c r="G119" s="756">
        <v>2</v>
      </c>
      <c r="H119" s="755">
        <v>3</v>
      </c>
      <c r="I119" s="755">
        <v>4</v>
      </c>
      <c r="J119" s="756">
        <v>5</v>
      </c>
      <c r="K119" s="755">
        <v>6</v>
      </c>
      <c r="L119" s="755">
        <v>7</v>
      </c>
      <c r="M119" s="756">
        <v>8</v>
      </c>
      <c r="N119" s="755">
        <v>9</v>
      </c>
      <c r="O119" s="755">
        <v>10</v>
      </c>
      <c r="P119" s="756">
        <v>11</v>
      </c>
      <c r="Q119" s="755">
        <v>12</v>
      </c>
      <c r="R119" s="755">
        <v>13</v>
      </c>
      <c r="S119" s="756">
        <v>14</v>
      </c>
      <c r="T119" s="755">
        <v>15</v>
      </c>
      <c r="U119" s="755">
        <v>16</v>
      </c>
      <c r="V119" s="756">
        <v>17</v>
      </c>
      <c r="W119" s="755">
        <v>18</v>
      </c>
      <c r="X119" s="755">
        <v>19</v>
      </c>
      <c r="Y119" s="756">
        <v>20</v>
      </c>
      <c r="Z119" s="755">
        <v>21</v>
      </c>
      <c r="AA119" s="755">
        <v>22</v>
      </c>
      <c r="AB119" s="756">
        <v>23</v>
      </c>
      <c r="AC119" s="755">
        <v>24</v>
      </c>
      <c r="AD119" s="755">
        <v>25</v>
      </c>
      <c r="AE119" s="756">
        <v>26</v>
      </c>
      <c r="AF119" s="755">
        <v>27</v>
      </c>
      <c r="AG119" s="755">
        <v>28</v>
      </c>
      <c r="AH119" s="756">
        <v>29</v>
      </c>
      <c r="AI119" s="755">
        <v>30</v>
      </c>
      <c r="AJ119" s="755">
        <v>31</v>
      </c>
      <c r="AK119" s="756">
        <v>32</v>
      </c>
      <c r="AL119" s="755">
        <v>33</v>
      </c>
      <c r="AM119" s="755">
        <v>34</v>
      </c>
      <c r="AN119" s="756">
        <v>35</v>
      </c>
      <c r="AO119" s="755">
        <v>36</v>
      </c>
      <c r="AP119" s="755">
        <v>37</v>
      </c>
      <c r="AQ119" s="756">
        <v>38</v>
      </c>
      <c r="AR119" s="755">
        <v>39</v>
      </c>
    </row>
    <row r="120" spans="2:44" x14ac:dyDescent="0.2">
      <c r="B120" s="792" t="s">
        <v>427</v>
      </c>
      <c r="C120" s="770" t="s">
        <v>317</v>
      </c>
      <c r="D120" s="791">
        <f>SUM(D85:D89)*(1+PARAMETROS!$C$98)*(1+PARAMETROS!$D$98)*(1+PARAMETROS!$E$98)*(1+PARAMETROS!$F$98)</f>
        <v>726325.92205636448</v>
      </c>
      <c r="E120" s="791">
        <f>SUM(E85:E89)*(1+PARAMETROS!$C$98)*(1+PARAMETROS!$D$98)*(1+PARAMETROS!$E$98)*(1+PARAMETROS!$F$98)*(1+PARAMETROS!$G$98)</f>
        <v>748115.69971805543</v>
      </c>
      <c r="F120" s="791">
        <f>SUM(F85:F89)*(1+PARAMETROS!$C$98)*(1+PARAMETROS!$D$98)*(1+PARAMETROS!$E$98)*(1+PARAMETROS!$F$98)*(1+PARAMETROS!$G$98)*(1+PARAMETROS!$H$98)^F119</f>
        <v>766818.59221100679</v>
      </c>
      <c r="G120" s="214">
        <f>SUM(G85:G89)*(1+PARAMETROS!$C$98)*(1+PARAMETROS!$D$98)*(1+PARAMETROS!$E$98)*(1+PARAMETROS!$F$98)*(1+PARAMETROS!$G$98)*(1+PARAMETROS!$H$98)^G119</f>
        <v>785989.05701628188</v>
      </c>
      <c r="H120" s="214">
        <f>SUM(H85:H89)*(1+PARAMETROS!$C$98)*(1+PARAMETROS!$D$98)*(1+PARAMETROS!$E$98)*(1+PARAMETROS!$F$98)*(1+PARAMETROS!$G$98)*(1+PARAMETROS!$H$98)^H119</f>
        <v>805638.78344168898</v>
      </c>
      <c r="I120" s="214">
        <f>SUM(I85:I89)*(1+PARAMETROS!$C$98)*(1+PARAMETROS!$D$98)*(1+PARAMETROS!$E$98)*(1+PARAMETROS!$F$98)*(1+PARAMETROS!$G$98)*(1+PARAMETROS!$H$98)^I119</f>
        <v>825779.75302773109</v>
      </c>
      <c r="J120" s="214">
        <f>SUM(J85:J89)*(1+PARAMETROS!$C$98)*(1+PARAMETROS!$D$98)*(1+PARAMETROS!$E$98)*(1+PARAMETROS!$F$98)*(1+PARAMETROS!$G$98)*(1+PARAMETROS!$H$98)^J119</f>
        <v>846424.24685342424</v>
      </c>
      <c r="K120" s="214">
        <f>SUM(K85:K89)*(1+PARAMETROS!$C$98)*(1+PARAMETROS!$D$98)*(1+PARAMETROS!$E$98)*(1+PARAMETROS!$F$98)*(1+PARAMETROS!$G$98)*(1+PARAMETROS!$H$98)^K119</f>
        <v>867584.8530247598</v>
      </c>
      <c r="L120" s="214">
        <f>SUM(L85:L89)*(1+PARAMETROS!$C$98)*(1+PARAMETROS!$D$98)*(1+PARAMETROS!$E$98)*(1+PARAMETROS!$F$98)*(1+PARAMETROS!$G$98)*(1+PARAMETROS!$H$98)^L119</f>
        <v>889274.47435037885</v>
      </c>
      <c r="M120" s="214">
        <f>SUM(M85:M89)*(1+PARAMETROS!$C$98)*(1+PARAMETROS!$D$98)*(1+PARAMETROS!$E$98)*(1+PARAMETROS!$F$98)*(1+PARAMETROS!$G$98)*(1+PARAMETROS!$H$98)^M119</f>
        <v>911506.33620913827</v>
      </c>
      <c r="N120" s="214">
        <f>SUM(N85:N89)*(1+PARAMETROS!$C$98)*(1+PARAMETROS!$D$98)*(1+PARAMETROS!$E$98)*(1+PARAMETROS!$F$98)*(1+PARAMETROS!$G$98)*(1+PARAMETROS!$H$98)^N119</f>
        <v>934293.99461436656</v>
      </c>
      <c r="O120" s="214">
        <f>SUM(O85:O89)*(1+PARAMETROS!$C$98)*(1+PARAMETROS!$D$98)*(1+PARAMETROS!$E$98)*(1+PARAMETROS!$F$98)*(1+PARAMETROS!$G$98)*(1+PARAMETROS!$H$98)^O119</f>
        <v>957651.3444797257</v>
      </c>
      <c r="P120" s="214">
        <f>SUM(P85:P89)*(1+PARAMETROS!$C$98)*(1+PARAMETROS!$D$98)*(1+PARAMETROS!$E$98)*(1+PARAMETROS!$F$98)*(1+PARAMETROS!$G$98)*(1+PARAMETROS!$H$98)^P119</f>
        <v>981592.62809171889</v>
      </c>
      <c r="Q120" s="214">
        <f>SUM(Q85:Q89)*(1+PARAMETROS!$C$98)*(1+PARAMETROS!$D$98)*(1+PARAMETROS!$E$98)*(1+PARAMETROS!$F$98)*(1+PARAMETROS!$G$98)*(1+PARAMETROS!$H$98)^Q119</f>
        <v>1006132.4437940117</v>
      </c>
      <c r="R120" s="214">
        <f>SUM(R85:R89)*(1+PARAMETROS!$C$98)*(1+PARAMETROS!$D$98)*(1+PARAMETROS!$E$98)*(1+PARAMETROS!$F$98)*(1+PARAMETROS!$G$98)*(1+PARAMETROS!$H$98)^R119</f>
        <v>1031285.754888862</v>
      </c>
      <c r="S120" s="214">
        <f>SUM(S85:S89)*(1+PARAMETROS!$C$98)*(1+PARAMETROS!$D$98)*(1+PARAMETROS!$E$98)*(1+PARAMETROS!$F$98)*(1+PARAMETROS!$G$98)*(1+PARAMETROS!$H$98)^S119</f>
        <v>1057067.8987610834</v>
      </c>
      <c r="T120" s="214">
        <f>SUM(T85:T89)*(1+PARAMETROS!$C$98)*(1+PARAMETROS!$D$98)*(1+PARAMETROS!$E$98)*(1+PARAMETROS!$F$98)*(1+PARAMETROS!$G$98)*(1+PARAMETROS!$H$98)^T119</f>
        <v>1083494.5962301106</v>
      </c>
      <c r="U120" s="214">
        <f>SUM(U85:U89)*(1+PARAMETROS!$C$98)*(1+PARAMETROS!$D$98)*(1+PARAMETROS!$E$98)*(1+PARAMETROS!$F$98)*(1+PARAMETROS!$G$98)*(1+PARAMETROS!$H$98)^U119</f>
        <v>1110581.9611358633</v>
      </c>
      <c r="V120" s="214">
        <f>SUM(V85:V89)*(1+PARAMETROS!$C$98)*(1+PARAMETROS!$D$98)*(1+PARAMETROS!$E$98)*(1+PARAMETROS!$F$98)*(1+PARAMETROS!$G$98)*(1+PARAMETROS!$H$98)^V119</f>
        <v>1138346.5101642597</v>
      </c>
      <c r="W120" s="214">
        <f>SUM(W85:W89)*(1+PARAMETROS!$C$98)*(1+PARAMETROS!$D$98)*(1+PARAMETROS!$E$98)*(1+PARAMETROS!$F$98)*(1+PARAMETROS!$G$98)*(1+PARAMETROS!$H$98)^W119</f>
        <v>1166805.1729183663</v>
      </c>
      <c r="X120" s="214">
        <f>SUM(X85:X89)*(1+PARAMETROS!$C$98)*(1+PARAMETROS!$D$98)*(1+PARAMETROS!$E$98)*(1+PARAMETROS!$F$98)*(1+PARAMETROS!$G$98)*(1+PARAMETROS!$H$98)^X119</f>
        <v>1195975.3022413256</v>
      </c>
      <c r="Y120" s="214">
        <f>SUM(Y85:Y89)*(1+PARAMETROS!$C$98)*(1+PARAMETROS!$D$98)*(1+PARAMETROS!$E$98)*(1+PARAMETROS!$F$98)*(1+PARAMETROS!$G$98)*(1+PARAMETROS!$H$98)^Y119</f>
        <v>1225874.6847973585</v>
      </c>
      <c r="Z120" s="214">
        <f>SUM(Z85:Z89)*(1+PARAMETROS!$C$98)*(1+PARAMETROS!$D$98)*(1+PARAMETROS!$E$98)*(1+PARAMETROS!$F$98)*(1+PARAMETROS!$G$98)*(1+PARAMETROS!$H$98)^Z119</f>
        <v>1256521.5519172922</v>
      </c>
      <c r="AA120" s="214">
        <f>SUM(AA85:AA89)*(1+PARAMETROS!$C$98)*(1+PARAMETROS!$D$98)*(1+PARAMETROS!$E$98)*(1+PARAMETROS!$F$98)*(1+PARAMETROS!$G$98)*(1+PARAMETROS!$H$98)^AA119</f>
        <v>1287934.5907152246</v>
      </c>
      <c r="AB120" s="214">
        <f>SUM(AB85:AB89)*(1+PARAMETROS!$C$98)*(1+PARAMETROS!$D$98)*(1+PARAMETROS!$E$98)*(1+PARAMETROS!$F$98)*(1+PARAMETROS!$G$98)*(1+PARAMETROS!$H$98)^AB119</f>
        <v>1320132.9554831053</v>
      </c>
      <c r="AC120" s="214">
        <f>SUM(AC85:AC89)*(1+PARAMETROS!$C$98)*(1+PARAMETROS!$D$98)*(1+PARAMETROS!$E$98)*(1+PARAMETROS!$F$98)*(1+PARAMETROS!$G$98)*(1+PARAMETROS!$H$98)^AC119</f>
        <v>1353136.2793701827</v>
      </c>
      <c r="AD120" s="214">
        <f>SUM(AD85:AD89)*(1+PARAMETROS!$C$98)*(1+PARAMETROS!$D$98)*(1+PARAMETROS!$E$98)*(1+PARAMETROS!$F$98)*(1+PARAMETROS!$G$98)*(1+PARAMETROS!$H$98)^AD119</f>
        <v>1386964.6863544371</v>
      </c>
      <c r="AE120" s="214">
        <f>SUM(AE85:AE89)*(1+PARAMETROS!$C$98)*(1+PARAMETROS!$D$98)*(1+PARAMETROS!$E$98)*(1+PARAMETROS!$F$98)*(1+PARAMETROS!$G$98)*(1+PARAMETROS!$H$98)^AE119</f>
        <v>1421638.803513298</v>
      </c>
      <c r="AF120" s="214">
        <f>SUM(AF85:AF89)*(1+PARAMETROS!$C$98)*(1+PARAMETROS!$D$98)*(1+PARAMETROS!$E$98)*(1+PARAMETROS!$F$98)*(1+PARAMETROS!$G$98)*(1+PARAMETROS!$H$98)^AF119</f>
        <v>1457179.7736011303</v>
      </c>
      <c r="AG120" s="214">
        <f>SUM(AG85:AG89)*(1+PARAMETROS!$C$98)*(1+PARAMETROS!$D$98)*(1+PARAMETROS!$E$98)*(1+PARAMETROS!$F$98)*(1+PARAMETROS!$G$98)*(1+PARAMETROS!$H$98)^AG119</f>
        <v>1493609.2679411585</v>
      </c>
      <c r="AH120" s="214">
        <f>SUM(AH85:AH89)*(1+PARAMETROS!$C$98)*(1+PARAMETROS!$D$98)*(1+PARAMETROS!$E$98)*(1+PARAMETROS!$F$98)*(1+PARAMETROS!$G$98)*(1+PARAMETROS!$H$98)^AH119</f>
        <v>1530949.4996396876</v>
      </c>
      <c r="AI120" s="214">
        <f>SUM(AI85:AI89)*(1+PARAMETROS!$C$98)*(1+PARAMETROS!$D$98)*(1+PARAMETROS!$E$98)*(1+PARAMETROS!$F$98)*(1+PARAMETROS!$G$98)*(1+PARAMETROS!$H$98)^AI119</f>
        <v>1569223.2371306794</v>
      </c>
      <c r="AJ120" s="214">
        <f>SUM(AJ85:AJ89)*(1+PARAMETROS!$C$98)*(1+PARAMETROS!$D$98)*(1+PARAMETROS!$E$98)*(1+PARAMETROS!$F$98)*(1+PARAMETROS!$G$98)*(1+PARAMETROS!$H$98)^AJ119</f>
        <v>1608453.8180589469</v>
      </c>
      <c r="AK120" s="214">
        <f>SUM(AK85:AK89)*(1+PARAMETROS!$C$98)*(1+PARAMETROS!$D$98)*(1+PARAMETROS!$E$98)*(1+PARAMETROS!$F$98)*(1+PARAMETROS!$G$98)*(1+PARAMETROS!$H$98)^AK119</f>
        <v>1648665.1635104201</v>
      </c>
      <c r="AL120" s="214">
        <f>SUM(AL85:AL89)*(1+PARAMETROS!$C$98)*(1+PARAMETROS!$D$98)*(1+PARAMETROS!$E$98)*(1+PARAMETROS!$F$98)*(1+PARAMETROS!$G$98)*(1+PARAMETROS!$H$98)^AL119</f>
        <v>1689881.7925981805</v>
      </c>
      <c r="AM120" s="214">
        <f>SUM(AM85:AM89)*(1+PARAMETROS!$C$98)*(1+PARAMETROS!$D$98)*(1+PARAMETROS!$E$98)*(1+PARAMETROS!$F$98)*(1+PARAMETROS!$G$98)*(1+PARAMETROS!$H$98)^AM119</f>
        <v>1732128.837413135</v>
      </c>
      <c r="AN120" s="214">
        <f>SUM(AN85:AN89)*(1+PARAMETROS!$C$98)*(1+PARAMETROS!$D$98)*(1+PARAMETROS!$E$98)*(1+PARAMETROS!$F$98)*(1+PARAMETROS!$G$98)*(1+PARAMETROS!$H$98)^AN119</f>
        <v>1775432.0583484631</v>
      </c>
      <c r="AO120" s="214">
        <f>SUM(AO85:AO89)*(1+PARAMETROS!$C$98)*(1+PARAMETROS!$D$98)*(1+PARAMETROS!$E$98)*(1+PARAMETROS!$F$98)*(1+PARAMETROS!$G$98)*(1+PARAMETROS!$H$98)^AO119</f>
        <v>1819817.8598071749</v>
      </c>
      <c r="AP120" s="214">
        <f>SUM(AP85:AP89)*(1+PARAMETROS!$C$98)*(1+PARAMETROS!$D$98)*(1+PARAMETROS!$E$98)*(1+PARAMETROS!$F$98)*(1+PARAMETROS!$G$98)*(1+PARAMETROS!$H$98)^AP119</f>
        <v>1865313.3063023542</v>
      </c>
      <c r="AQ120" s="214">
        <f>SUM(AQ85:AQ89)*(1+PARAMETROS!$C$98)*(1+PARAMETROS!$D$98)*(1+PARAMETROS!$E$98)*(1+PARAMETROS!$F$98)*(1+PARAMETROS!$G$98)*(1+PARAMETROS!$H$98)^AQ119</f>
        <v>1911946.1389599126</v>
      </c>
      <c r="AR120" s="214">
        <f>SUM(AR85:AR89)*(1+PARAMETROS!$C$98)*(1+PARAMETROS!$D$98)*(1+PARAMETROS!$E$98)*(1+PARAMETROS!$F$98)*(1+PARAMETROS!$G$98)*(1+PARAMETROS!$H$98)^AR119</f>
        <v>1959744.7924339105</v>
      </c>
    </row>
    <row r="121" spans="2:44" x14ac:dyDescent="0.2">
      <c r="B121" s="792" t="s">
        <v>428</v>
      </c>
      <c r="C121" s="770" t="s">
        <v>317</v>
      </c>
      <c r="D121" s="791">
        <f>D91*(1+PARAMETROS!$C$103)*(1+PARAMETROS!$D$103)*(1+PARAMETROS!$E$103)*(1+PARAMETROS!$F$103)</f>
        <v>354411.48089694366</v>
      </c>
      <c r="E121" s="791">
        <f>E91*(1+PARAMETROS!$C$103)*(1+PARAMETROS!$D$103)*(1+PARAMETROS!$E$103)*(1+PARAMETROS!$F$103)*(1+PARAMETROS!$G$103)</f>
        <v>366815.88272833667</v>
      </c>
      <c r="F121" s="791">
        <f>F91*(1+PARAMETROS!$C$103)*(1+PARAMETROS!$D$103)*(1+PARAMETROS!$E$103)*(1+PARAMETROS!$F$103)*(1+PARAMETROS!$G$103)*(1+PARAMETROS!$H$103)^F119</f>
        <v>377820.35921018675</v>
      </c>
      <c r="G121" s="214">
        <f>G91*(1+PARAMETROS!$C$103)*(1+PARAMETROS!$D$103)*(1+PARAMETROS!$E$103)*(1+PARAMETROS!$F$103)*(1+PARAMETROS!$G$103)*(1+PARAMETROS!$H$103)^G119</f>
        <v>389154.96998649236</v>
      </c>
      <c r="H121" s="214">
        <f>H91*(1+PARAMETROS!$C$103)*(1+PARAMETROS!$D$103)*(1+PARAMETROS!$E$103)*(1+PARAMETROS!$F$103)*(1+PARAMETROS!$G$103)*(1+PARAMETROS!$H$103)^H119</f>
        <v>400829.61908608716</v>
      </c>
      <c r="I121" s="214">
        <f>I91*(1+PARAMETROS!$C$103)*(1+PARAMETROS!$D$103)*(1+PARAMETROS!$E$103)*(1+PARAMETROS!$F$103)*(1+PARAMETROS!$G$103)*(1+PARAMETROS!$H$103)^I119</f>
        <v>412854.50765866973</v>
      </c>
      <c r="J121" s="214">
        <f>J91*(1+PARAMETROS!$C$103)*(1+PARAMETROS!$D$103)*(1+PARAMETROS!$E$103)*(1+PARAMETROS!$F$103)*(1+PARAMETROS!$G$103)*(1+PARAMETROS!$H$103)^J119</f>
        <v>425240.14288842981</v>
      </c>
      <c r="K121" s="214">
        <f>K91*(1+PARAMETROS!$C$103)*(1+PARAMETROS!$D$103)*(1+PARAMETROS!$E$103)*(1+PARAMETROS!$F$103)*(1+PARAMETROS!$G$103)*(1+PARAMETROS!$H$103)^K119</f>
        <v>437997.34717508272</v>
      </c>
      <c r="L121" s="214">
        <f>L91*(1+PARAMETROS!$C$103)*(1+PARAMETROS!$D$103)*(1+PARAMETROS!$E$103)*(1+PARAMETROS!$F$103)*(1+PARAMETROS!$G$103)*(1+PARAMETROS!$H$103)^L119</f>
        <v>451137.26759033522</v>
      </c>
      <c r="M121" s="214">
        <f>M91*(1+PARAMETROS!$C$103)*(1+PARAMETROS!$D$103)*(1+PARAMETROS!$E$103)*(1+PARAMETROS!$F$103)*(1+PARAMETROS!$G$103)*(1+PARAMETROS!$H$103)^M119</f>
        <v>464671.38561804523</v>
      </c>
      <c r="N121" s="214">
        <f>N91*(1+PARAMETROS!$C$103)*(1+PARAMETROS!$D$103)*(1+PARAMETROS!$E$103)*(1+PARAMETROS!$F$103)*(1+PARAMETROS!$G$103)*(1+PARAMETROS!$H$103)^N119</f>
        <v>478611.52718658658</v>
      </c>
      <c r="O121" s="214">
        <f>O91*(1+PARAMETROS!$C$103)*(1+PARAMETROS!$D$103)*(1+PARAMETROS!$E$103)*(1+PARAMETROS!$F$103)*(1+PARAMETROS!$G$103)*(1+PARAMETROS!$H$103)^O119</f>
        <v>492969.87300218421</v>
      </c>
      <c r="P121" s="214">
        <f>P91*(1+PARAMETROS!$C$103)*(1+PARAMETROS!$D$103)*(1+PARAMETROS!$E$103)*(1+PARAMETROS!$F$103)*(1+PARAMETROS!$G$103)*(1+PARAMETROS!$H$103)^P119</f>
        <v>507758.96919224976</v>
      </c>
      <c r="Q121" s="214">
        <f>Q91*(1+PARAMETROS!$C$103)*(1+PARAMETROS!$D$103)*(1+PARAMETROS!$E$103)*(1+PARAMETROS!$F$103)*(1+PARAMETROS!$G$103)*(1+PARAMETROS!$H$103)^Q119</f>
        <v>522991.73826801713</v>
      </c>
      <c r="R121" s="214">
        <f>R91*(1+PARAMETROS!$C$103)*(1+PARAMETROS!$D$103)*(1+PARAMETROS!$E$103)*(1+PARAMETROS!$F$103)*(1+PARAMETROS!$G$103)*(1+PARAMETROS!$H$103)^R119</f>
        <v>538681.49041605764</v>
      </c>
      <c r="S121" s="214">
        <f>S91*(1+PARAMETROS!$C$103)*(1+PARAMETROS!$D$103)*(1+PARAMETROS!$E$103)*(1+PARAMETROS!$F$103)*(1+PARAMETROS!$G$103)*(1+PARAMETROS!$H$103)^S119</f>
        <v>554841.93512853945</v>
      </c>
      <c r="T121" s="214">
        <f>T91*(1+PARAMETROS!$C$103)*(1+PARAMETROS!$D$103)*(1+PARAMETROS!$E$103)*(1+PARAMETROS!$F$103)*(1+PARAMETROS!$G$103)*(1+PARAMETROS!$H$103)^T119</f>
        <v>571487.19318239565</v>
      </c>
      <c r="U121" s="214">
        <f>U91*(1+PARAMETROS!$C$103)*(1+PARAMETROS!$D$103)*(1+PARAMETROS!$E$103)*(1+PARAMETROS!$F$103)*(1+PARAMETROS!$G$103)*(1+PARAMETROS!$H$103)^U119</f>
        <v>588631.80897786736</v>
      </c>
      <c r="V121" s="214">
        <f>V91*(1+PARAMETROS!$C$103)*(1+PARAMETROS!$D$103)*(1+PARAMETROS!$E$103)*(1+PARAMETROS!$F$103)*(1+PARAMETROS!$G$103)*(1+PARAMETROS!$H$103)^V119</f>
        <v>606290.76324720343</v>
      </c>
      <c r="W121" s="214">
        <f>W91*(1+PARAMETROS!$C$103)*(1+PARAMETROS!$D$103)*(1+PARAMETROS!$E$103)*(1+PARAMETROS!$F$103)*(1+PARAMETROS!$G$103)*(1+PARAMETROS!$H$103)^W119</f>
        <v>624479.48614461953</v>
      </c>
      <c r="X121" s="214">
        <f>X91*(1+PARAMETROS!$C$103)*(1+PARAMETROS!$D$103)*(1+PARAMETROS!$E$103)*(1+PARAMETROS!$F$103)*(1+PARAMETROS!$G$103)*(1+PARAMETROS!$H$103)^X119</f>
        <v>643213.87072895817</v>
      </c>
      <c r="Y121" s="214">
        <f>Y91*(1+PARAMETROS!$C$103)*(1+PARAMETROS!$D$103)*(1+PARAMETROS!$E$103)*(1+PARAMETROS!$F$103)*(1+PARAMETROS!$G$103)*(1+PARAMETROS!$H$103)^Y119</f>
        <v>662510.28685082681</v>
      </c>
      <c r="Z121" s="214">
        <f>Z91*(1+PARAMETROS!$C$103)*(1+PARAMETROS!$D$103)*(1+PARAMETROS!$E$103)*(1+PARAMETROS!$F$103)*(1+PARAMETROS!$G$103)*(1+PARAMETROS!$H$103)^Z119</f>
        <v>682385.59545635153</v>
      </c>
      <c r="AA121" s="214">
        <f>AA91*(1+PARAMETROS!$C$103)*(1+PARAMETROS!$D$103)*(1+PARAMETROS!$E$103)*(1+PARAMETROS!$F$103)*(1+PARAMETROS!$G$103)*(1+PARAMETROS!$H$103)^AA119</f>
        <v>702857.16332004219</v>
      </c>
      <c r="AB121" s="214">
        <f>AB91*(1+PARAMETROS!$C$103)*(1+PARAMETROS!$D$103)*(1+PARAMETROS!$E$103)*(1+PARAMETROS!$F$103)*(1+PARAMETROS!$G$103)*(1+PARAMETROS!$H$103)^AB119</f>
        <v>723942.87821964349</v>
      </c>
      <c r="AC121" s="214">
        <f>AC91*(1+PARAMETROS!$C$103)*(1+PARAMETROS!$D$103)*(1+PARAMETROS!$E$103)*(1+PARAMETROS!$F$103)*(1+PARAMETROS!$G$103)*(1+PARAMETROS!$H$103)^AC119</f>
        <v>745661.16456623271</v>
      </c>
      <c r="AD121" s="214">
        <f>AD91*(1+PARAMETROS!$C$103)*(1+PARAMETROS!$D$103)*(1+PARAMETROS!$E$103)*(1+PARAMETROS!$F$103)*(1+PARAMETROS!$G$103)*(1+PARAMETROS!$H$103)^AD119</f>
        <v>768030.99950321962</v>
      </c>
      <c r="AE121" s="214">
        <f>AE91*(1+PARAMETROS!$C$103)*(1+PARAMETROS!$D$103)*(1+PARAMETROS!$E$103)*(1+PARAMETROS!$F$103)*(1+PARAMETROS!$G$103)*(1+PARAMETROS!$H$103)^AE119</f>
        <v>791071.92948831629</v>
      </c>
      <c r="AF121" s="214">
        <f>AF91*(1+PARAMETROS!$C$103)*(1+PARAMETROS!$D$103)*(1+PARAMETROS!$E$103)*(1+PARAMETROS!$F$103)*(1+PARAMETROS!$G$103)*(1+PARAMETROS!$H$103)^AF119</f>
        <v>814804.08737296576</v>
      </c>
      <c r="AG121" s="214">
        <f>AG91*(1+PARAMETROS!$C$103)*(1+PARAMETROS!$D$103)*(1+PARAMETROS!$E$103)*(1+PARAMETROS!$F$103)*(1+PARAMETROS!$G$103)*(1+PARAMETROS!$H$103)^AG119</f>
        <v>839248.20999415475</v>
      </c>
      <c r="AH121" s="214">
        <f>AH91*(1+PARAMETROS!$C$103)*(1+PARAMETROS!$D$103)*(1+PARAMETROS!$E$103)*(1+PARAMETROS!$F$103)*(1+PARAMETROS!$G$103)*(1+PARAMETROS!$H$103)^AH119</f>
        <v>864425.65629397926</v>
      </c>
      <c r="AI121" s="214">
        <f>AI91*(1+PARAMETROS!$C$103)*(1+PARAMETROS!$D$103)*(1+PARAMETROS!$E$103)*(1+PARAMETROS!$F$103)*(1+PARAMETROS!$G$103)*(1+PARAMETROS!$H$103)^AI119</f>
        <v>890358.42598279868</v>
      </c>
      <c r="AJ121" s="214">
        <f>AJ91*(1+PARAMETROS!$C$103)*(1+PARAMETROS!$D$103)*(1+PARAMETROS!$E$103)*(1+PARAMETROS!$F$103)*(1+PARAMETROS!$G$103)*(1+PARAMETROS!$H$103)^AJ119</f>
        <v>917069.17876228271</v>
      </c>
      <c r="AK121" s="214">
        <f>AK91*(1+PARAMETROS!$C$103)*(1+PARAMETROS!$D$103)*(1+PARAMETROS!$E$103)*(1+PARAMETROS!$F$103)*(1+PARAMETROS!$G$103)*(1+PARAMETROS!$H$103)^AK119</f>
        <v>944581.25412515108</v>
      </c>
      <c r="AL121" s="214">
        <f>AL91*(1+PARAMETROS!$C$103)*(1+PARAMETROS!$D$103)*(1+PARAMETROS!$E$103)*(1+PARAMETROS!$F$103)*(1+PARAMETROS!$G$103)*(1+PARAMETROS!$H$103)^AL119</f>
        <v>972918.69174890569</v>
      </c>
      <c r="AM121" s="214">
        <f>AM91*(1+PARAMETROS!$C$103)*(1+PARAMETROS!$D$103)*(1+PARAMETROS!$E$103)*(1+PARAMETROS!$F$103)*(1+PARAMETROS!$G$103)*(1+PARAMETROS!$H$103)^AM119</f>
        <v>1002106.2525013726</v>
      </c>
      <c r="AN121" s="214">
        <f>AN91*(1+PARAMETROS!$C$103)*(1+PARAMETROS!$D$103)*(1+PARAMETROS!$E$103)*(1+PARAMETROS!$F$103)*(1+PARAMETROS!$G$103)*(1+PARAMETROS!$H$103)^AN119</f>
        <v>1032169.440076414</v>
      </c>
      <c r="AO121" s="214">
        <f>AO91*(1+PARAMETROS!$C$103)*(1+PARAMETROS!$D$103)*(1+PARAMETROS!$E$103)*(1+PARAMETROS!$F$103)*(1+PARAMETROS!$G$103)*(1+PARAMETROS!$H$103)^AO119</f>
        <v>1063134.5232787065</v>
      </c>
      <c r="AP121" s="214">
        <f>AP91*(1+PARAMETROS!$C$103)*(1+PARAMETROS!$D$103)*(1+PARAMETROS!$E$103)*(1+PARAMETROS!$F$103)*(1+PARAMETROS!$G$103)*(1+PARAMETROS!$H$103)^AP119</f>
        <v>1095028.5589770675</v>
      </c>
      <c r="AQ121" s="214">
        <f>AQ91*(1+PARAMETROS!$C$103)*(1+PARAMETROS!$D$103)*(1+PARAMETROS!$E$103)*(1+PARAMETROS!$F$103)*(1+PARAMETROS!$G$103)*(1+PARAMETROS!$H$103)^AQ119</f>
        <v>1127879.4157463794</v>
      </c>
      <c r="AR121" s="214">
        <f>AR91*(1+PARAMETROS!$C$103)*(1+PARAMETROS!$D$103)*(1+PARAMETROS!$E$103)*(1+PARAMETROS!$F$103)*(1+PARAMETROS!$G$103)*(1+PARAMETROS!$H$103)^AR119</f>
        <v>1161715.7982187709</v>
      </c>
    </row>
    <row r="122" spans="2:44" x14ac:dyDescent="0.2">
      <c r="B122" s="792" t="s">
        <v>429</v>
      </c>
      <c r="C122" s="770" t="s">
        <v>317</v>
      </c>
      <c r="D122" s="791">
        <f>(D100+D101)*(1+PARAMETROS!$C$88)*(1+PARAMETROS!$D$88)*(1+PARAMETROS!$E$88)*(1+PARAMETROS!$F$88)</f>
        <v>525275.1146031114</v>
      </c>
      <c r="E122" s="791">
        <f>(E100+E101)*(1+PARAMETROS!$C$88)*(1+PARAMETROS!$D$88)*(1+PARAMETROS!$E$88)*(1+PARAMETROS!$F$88)*(1+PARAMETROS!$G$88)</f>
        <v>538406.9924681891</v>
      </c>
      <c r="F122" s="791">
        <f>(F100+F101)*(1+PARAMETROS!$C$88)*(1+PARAMETROS!$D$88)*(1+PARAMETROS!$E$88)*(1+PARAMETROS!$F$88)*(1+PARAMETROS!$G$88)*(1+PARAMETROS!$H$88)^F119</f>
        <v>549175.13231755293</v>
      </c>
      <c r="G122" s="214">
        <f>(G100+G101)*(1+PARAMETROS!$C$88)*(1+PARAMETROS!$D$88)*(1+PARAMETROS!$E$88)*(1+PARAMETROS!$F$88)*(1+PARAMETROS!$G$88)*(1+PARAMETROS!$H$88)^G119</f>
        <v>560158.63496390393</v>
      </c>
      <c r="H122" s="214">
        <f>(H100+H101)*(1+PARAMETROS!$C$88)*(1+PARAMETROS!$D$88)*(1+PARAMETROS!$E$88)*(1+PARAMETROS!$F$88)*(1+PARAMETROS!$G$88)*(1+PARAMETROS!$H$88)^H119</f>
        <v>571361.80766318203</v>
      </c>
      <c r="I122" s="214">
        <f>(I100+I101)*(1+PARAMETROS!$C$88)*(1+PARAMETROS!$D$88)*(1+PARAMETROS!$E$88)*(1+PARAMETROS!$F$88)*(1+PARAMETROS!$G$88)*(1+PARAMETROS!$H$88)^I119</f>
        <v>582789.04381644563</v>
      </c>
      <c r="J122" s="214">
        <f>(J100+J101)*(1+PARAMETROS!$C$88)*(1+PARAMETROS!$D$88)*(1+PARAMETROS!$E$88)*(1+PARAMETROS!$F$88)*(1+PARAMETROS!$G$88)*(1+PARAMETROS!$H$88)^J119</f>
        <v>594444.82469277456</v>
      </c>
      <c r="K122" s="214">
        <f>(K100+K101)*(1+PARAMETROS!$C$88)*(1+PARAMETROS!$D$88)*(1+PARAMETROS!$E$88)*(1+PARAMETROS!$F$88)*(1+PARAMETROS!$G$88)*(1+PARAMETROS!$H$88)^K119</f>
        <v>606333.72118663008</v>
      </c>
      <c r="L122" s="214">
        <f>(L100+L101)*(1+PARAMETROS!$C$88)*(1+PARAMETROS!$D$88)*(1+PARAMETROS!$E$88)*(1+PARAMETROS!$F$88)*(1+PARAMETROS!$G$88)*(1+PARAMETROS!$H$88)^L119</f>
        <v>618460.39561036252</v>
      </c>
      <c r="M122" s="214">
        <f>(M100+M101)*(1+PARAMETROS!$C$88)*(1+PARAMETROS!$D$88)*(1+PARAMETROS!$E$88)*(1+PARAMETROS!$F$88)*(1+PARAMETROS!$G$88)*(1+PARAMETROS!$H$88)^M119</f>
        <v>630829.60352256987</v>
      </c>
      <c r="N122" s="214">
        <f>(N100+N101)*(1+PARAMETROS!$C$88)*(1+PARAMETROS!$D$88)*(1+PARAMETROS!$E$88)*(1+PARAMETROS!$F$88)*(1+PARAMETROS!$G$88)*(1+PARAMETROS!$H$88)^N119</f>
        <v>643446.19559302123</v>
      </c>
      <c r="O122" s="214">
        <f>(O100+O101)*(1+PARAMETROS!$C$88)*(1+PARAMETROS!$D$88)*(1+PARAMETROS!$E$88)*(1+PARAMETROS!$F$88)*(1+PARAMETROS!$G$88)*(1+PARAMETROS!$H$88)^O119</f>
        <v>656315.11950488167</v>
      </c>
      <c r="P122" s="214">
        <f>(P100+P101)*(1+PARAMETROS!$C$88)*(1+PARAMETROS!$D$88)*(1+PARAMETROS!$E$88)*(1+PARAMETROS!$F$88)*(1+PARAMETROS!$G$88)*(1+PARAMETROS!$H$88)^P119</f>
        <v>669441.4218949792</v>
      </c>
      <c r="Q122" s="214">
        <f>(Q100+Q101)*(1+PARAMETROS!$C$88)*(1+PARAMETROS!$D$88)*(1+PARAMETROS!$E$88)*(1+PARAMETROS!$F$88)*(1+PARAMETROS!$G$88)*(1+PARAMETROS!$H$88)^Q119</f>
        <v>682830.2503328789</v>
      </c>
      <c r="R122" s="214">
        <f>(R100+R101)*(1+PARAMETROS!$C$88)*(1+PARAMETROS!$D$88)*(1+PARAMETROS!$E$88)*(1+PARAMETROS!$F$88)*(1+PARAMETROS!$G$88)*(1+PARAMETROS!$H$88)^R119</f>
        <v>696486.85533953644</v>
      </c>
      <c r="S122" s="214">
        <f>(S100+S101)*(1+PARAMETROS!$C$88)*(1+PARAMETROS!$D$88)*(1+PARAMETROS!$E$88)*(1+PARAMETROS!$F$88)*(1+PARAMETROS!$G$88)*(1+PARAMETROS!$H$88)^S119</f>
        <v>710416.59244632733</v>
      </c>
      <c r="T122" s="214">
        <f>(T100+T101)*(1+PARAMETROS!$C$88)*(1+PARAMETROS!$D$88)*(1+PARAMETROS!$E$88)*(1+PARAMETROS!$F$88)*(1+PARAMETROS!$G$88)*(1+PARAMETROS!$H$88)^T119</f>
        <v>724624.92429525359</v>
      </c>
      <c r="U122" s="214">
        <f>(U100+U101)*(1+PARAMETROS!$C$88)*(1+PARAMETROS!$D$88)*(1+PARAMETROS!$E$88)*(1+PARAMETROS!$F$88)*(1+PARAMETROS!$G$88)*(1+PARAMETROS!$H$88)^U119</f>
        <v>739117.42278115882</v>
      </c>
      <c r="V122" s="214">
        <f>(V100+V101)*(1+PARAMETROS!$C$88)*(1+PARAMETROS!$D$88)*(1+PARAMETROS!$E$88)*(1+PARAMETROS!$F$88)*(1+PARAMETROS!$G$88)*(1+PARAMETROS!$H$88)^V119</f>
        <v>753899.77123678208</v>
      </c>
      <c r="W122" s="214">
        <f>(W100+W101)*(1+PARAMETROS!$C$88)*(1+PARAMETROS!$D$88)*(1+PARAMETROS!$E$88)*(1+PARAMETROS!$F$88)*(1+PARAMETROS!$G$88)*(1+PARAMETROS!$H$88)^W119</f>
        <v>768977.76666151755</v>
      </c>
      <c r="X122" s="214">
        <f>(X100+X101)*(1+PARAMETROS!$C$88)*(1+PARAMETROS!$D$88)*(1+PARAMETROS!$E$88)*(1+PARAMETROS!$F$88)*(1+PARAMETROS!$G$88)*(1+PARAMETROS!$H$88)^X119</f>
        <v>784357.32199474797</v>
      </c>
      <c r="Y122" s="214">
        <f>(Y100+Y101)*(1+PARAMETROS!$C$88)*(1+PARAMETROS!$D$88)*(1+PARAMETROS!$E$88)*(1+PARAMETROS!$F$88)*(1+PARAMETROS!$G$88)*(1+PARAMETROS!$H$88)^Y119</f>
        <v>800044.468434643</v>
      </c>
      <c r="Z122" s="214">
        <f>(Z100+Z101)*(1+PARAMETROS!$C$88)*(1+PARAMETROS!$D$88)*(1+PARAMETROS!$E$88)*(1+PARAMETROS!$F$88)*(1+PARAMETROS!$G$88)*(1+PARAMETROS!$H$88)^Z119</f>
        <v>816045.35780333576</v>
      </c>
      <c r="AA122" s="214">
        <f>(AA100+AA101)*(1+PARAMETROS!$C$88)*(1+PARAMETROS!$D$88)*(1+PARAMETROS!$E$88)*(1+PARAMETROS!$F$88)*(1+PARAMETROS!$G$88)*(1+PARAMETROS!$H$88)^AA119</f>
        <v>832366.2649594025</v>
      </c>
      <c r="AB122" s="214">
        <f>(AB100+AB101)*(1+PARAMETROS!$C$88)*(1+PARAMETROS!$D$88)*(1+PARAMETROS!$E$88)*(1+PARAMETROS!$F$88)*(1+PARAMETROS!$G$88)*(1+PARAMETROS!$H$88)^AB119</f>
        <v>849013.59025859041</v>
      </c>
      <c r="AC122" s="214">
        <f>(AC100+AC101)*(1+PARAMETROS!$C$88)*(1+PARAMETROS!$D$88)*(1+PARAMETROS!$E$88)*(1+PARAMETROS!$F$88)*(1+PARAMETROS!$G$88)*(1+PARAMETROS!$H$88)^AC119</f>
        <v>865993.86206376227</v>
      </c>
      <c r="AD122" s="214">
        <f>(AD100+AD101)*(1+PARAMETROS!$C$88)*(1+PARAMETROS!$D$88)*(1+PARAMETROS!$E$88)*(1+PARAMETROS!$F$88)*(1+PARAMETROS!$G$88)*(1+PARAMETROS!$H$88)^AD119</f>
        <v>883313.73930503754</v>
      </c>
      <c r="AE122" s="214">
        <f>(AE100+AE101)*(1+PARAMETROS!$C$88)*(1+PARAMETROS!$D$88)*(1+PARAMETROS!$E$88)*(1+PARAMETROS!$F$88)*(1+PARAMETROS!$G$88)*(1+PARAMETROS!$H$88)^AE119</f>
        <v>900980.01409113838</v>
      </c>
      <c r="AF122" s="214">
        <f>(AF100+AF101)*(1+PARAMETROS!$C$88)*(1+PARAMETROS!$D$88)*(1+PARAMETROS!$E$88)*(1+PARAMETROS!$F$88)*(1+PARAMETROS!$G$88)*(1+PARAMETROS!$H$88)^AF119</f>
        <v>918999.61437296099</v>
      </c>
      <c r="AG122" s="214">
        <f>(AG100+AG101)*(1+PARAMETROS!$C$88)*(1+PARAMETROS!$D$88)*(1+PARAMETROS!$E$88)*(1+PARAMETROS!$F$88)*(1+PARAMETROS!$G$88)*(1+PARAMETROS!$H$88)^AG119</f>
        <v>937379.60666042042</v>
      </c>
      <c r="AH122" s="214">
        <f>(AH100+AH101)*(1+PARAMETROS!$C$88)*(1+PARAMETROS!$D$88)*(1+PARAMETROS!$E$88)*(1+PARAMETROS!$F$88)*(1+PARAMETROS!$G$88)*(1+PARAMETROS!$H$88)^AH119</f>
        <v>956127.1987936286</v>
      </c>
      <c r="AI122" s="214">
        <f>(AI100+AI101)*(1+PARAMETROS!$C$88)*(1+PARAMETROS!$D$88)*(1+PARAMETROS!$E$88)*(1+PARAMETROS!$F$88)*(1+PARAMETROS!$G$88)*(1+PARAMETROS!$H$88)^AI119</f>
        <v>975249.74276950129</v>
      </c>
      <c r="AJ122" s="214">
        <f>(AJ100+AJ101)*(1+PARAMETROS!$C$88)*(1+PARAMETROS!$D$88)*(1+PARAMETROS!$E$88)*(1+PARAMETROS!$F$88)*(1+PARAMETROS!$G$88)*(1+PARAMETROS!$H$88)^AJ119</f>
        <v>994754.7376248911</v>
      </c>
      <c r="AK122" s="214">
        <f>(AK100+AK101)*(1+PARAMETROS!$C$88)*(1+PARAMETROS!$D$88)*(1+PARAMETROS!$E$88)*(1+PARAMETROS!$F$88)*(1+PARAMETROS!$G$88)*(1+PARAMETROS!$H$88)^AK119</f>
        <v>1014649.8323773891</v>
      </c>
      <c r="AL122" s="214">
        <f>(AL100+AL101)*(1+PARAMETROS!$C$88)*(1+PARAMETROS!$D$88)*(1+PARAMETROS!$E$88)*(1+PARAMETROS!$F$88)*(1+PARAMETROS!$G$88)*(1+PARAMETROS!$H$88)^AL119</f>
        <v>1034942.829024937</v>
      </c>
      <c r="AM122" s="214">
        <f>(AM100+AM101)*(1+PARAMETROS!$C$88)*(1+PARAMETROS!$D$88)*(1+PARAMETROS!$E$88)*(1+PARAMETROS!$F$88)*(1+PARAMETROS!$G$88)*(1+PARAMETROS!$H$88)^AM119</f>
        <v>1055641.6856054356</v>
      </c>
      <c r="AN122" s="214">
        <f>(AN100+AN101)*(1+PARAMETROS!$C$88)*(1+PARAMETROS!$D$88)*(1+PARAMETROS!$E$88)*(1+PARAMETROS!$F$88)*(1+PARAMETROS!$G$88)*(1+PARAMETROS!$H$88)^AN119</f>
        <v>1076754.5193175443</v>
      </c>
      <c r="AO122" s="214">
        <f>(AO100+AO101)*(1+PARAMETROS!$C$88)*(1+PARAMETROS!$D$88)*(1+PARAMETROS!$E$88)*(1+PARAMETROS!$F$88)*(1+PARAMETROS!$G$88)*(1+PARAMETROS!$H$88)^AO119</f>
        <v>1098289.6097038952</v>
      </c>
      <c r="AP122" s="214">
        <f>(AP100+AP101)*(1+PARAMETROS!$C$88)*(1+PARAMETROS!$D$88)*(1+PARAMETROS!$E$88)*(1+PARAMETROS!$F$88)*(1+PARAMETROS!$G$88)*(1+PARAMETROS!$H$88)^AP119</f>
        <v>1120255.4018979731</v>
      </c>
      <c r="AQ122" s="214">
        <f>(AQ100+AQ101)*(1+PARAMETROS!$C$88)*(1+PARAMETROS!$D$88)*(1+PARAMETROS!$E$88)*(1+PARAMETROS!$F$88)*(1+PARAMETROS!$G$88)*(1+PARAMETROS!$H$88)^AQ119</f>
        <v>1142660.5099359327</v>
      </c>
      <c r="AR122" s="214">
        <f>(AR100+AR101)*(1+PARAMETROS!$C$88)*(1+PARAMETROS!$D$88)*(1+PARAMETROS!$E$88)*(1+PARAMETROS!$F$88)*(1+PARAMETROS!$G$88)*(1+PARAMETROS!$H$88)^AR119</f>
        <v>1165513.7201346511</v>
      </c>
    </row>
    <row r="123" spans="2:44" x14ac:dyDescent="0.2">
      <c r="B123" s="792" t="s">
        <v>430</v>
      </c>
      <c r="C123" s="770" t="s">
        <v>318</v>
      </c>
      <c r="D123" s="791">
        <f>(D95+D96+D104)*(1+PARAMETROS!$C$93)*(1+PARAMETROS!$D$93)*(1+PARAMETROS!$E$93)*(1+PARAMETROS!$F$93)</f>
        <v>493495.16853592882</v>
      </c>
      <c r="E123" s="791">
        <f>(E$32+E$33+E$41)*(1+PARAMETROS!$C$93)*(1+PARAMETROS!$D$93)*(1+PARAMETROS!$E$93)*(1+PARAMETROS!$F$93)*(1+PARAMETROS!$G$93)</f>
        <v>725790.39429676963</v>
      </c>
      <c r="F123" s="791">
        <f>(F95+F96+F104)*(1+PARAMETROS!$C$93)*(1+PARAMETROS!$D$93)*(1+PARAMETROS!$E$93)*(1+PARAMETROS!$F$93)*(1+PARAMETROS!$G$93)*(1+PARAMETROS!$H$93)^F119</f>
        <v>510414.65038918308</v>
      </c>
      <c r="G123" s="214">
        <f>(G95+G96+G104)*(1+PARAMETROS!$C$93)*(1+PARAMETROS!$D$93)*(1+PARAMETROS!$E$93)*(1+PARAMETROS!$F$93)*(1+PARAMETROS!$G$93)*(1+PARAMETROS!$H$93)^G119</f>
        <v>520112.52874657756</v>
      </c>
      <c r="H123" s="214">
        <f>(H95+H96+H104)*(1+PARAMETROS!$C$93)*(1+PARAMETROS!$D$93)*(1+PARAMETROS!$E$93)*(1+PARAMETROS!$F$93)*(1+PARAMETROS!$G$93)*(1+PARAMETROS!$H$93)^H119</f>
        <v>4271133.4912122628</v>
      </c>
      <c r="I123" s="214">
        <f>(I95+I96+I104)*(1+PARAMETROS!$C$93)*(1+PARAMETROS!$D$93)*(1+PARAMETROS!$E$93)*(1+PARAMETROS!$F$93)*(1+PARAMETROS!$G$93)*(1+PARAMETROS!$H$93)^I119</f>
        <v>540064.565461825</v>
      </c>
      <c r="J123" s="214">
        <f>(J95+J96+J104)*(1+PARAMETROS!$C$93)*(1+PARAMETROS!$D$93)*(1+PARAMETROS!$E$93)*(1+PARAMETROS!$F$93)*(1+PARAMETROS!$G$93)*(1+PARAMETROS!$H$93)^J119</f>
        <v>550325.7922055996</v>
      </c>
      <c r="K123" s="214">
        <f>(K95+K96+K104)*(1+PARAMETROS!$C$93)*(1+PARAMETROS!$D$93)*(1+PARAMETROS!$E$93)*(1+PARAMETROS!$F$93)*(1+PARAMETROS!$G$93)*(1+PARAMETROS!$H$93)^K119</f>
        <v>560781.982257506</v>
      </c>
      <c r="L123" s="214">
        <f>(L95+L96+L104)*(1+PARAMETROS!$C$93)*(1+PARAMETROS!$D$93)*(1+PARAMETROS!$E$93)*(1+PARAMETROS!$F$93)*(1+PARAMETROS!$G$93)*(1+PARAMETROS!$H$93)^L119</f>
        <v>571436.83992039866</v>
      </c>
      <c r="M123" s="214">
        <f>(M95+M96+M104)*(1+PARAMETROS!$C$93)*(1+PARAMETROS!$D$93)*(1+PARAMETROS!$E$93)*(1+PARAMETROS!$F$93)*(1+PARAMETROS!$G$93)*(1+PARAMETROS!$H$93)^M119</f>
        <v>4692605.7154945536</v>
      </c>
      <c r="N123" s="214">
        <f>(N95+N96+N104)*(1+PARAMETROS!$C$93)*(1+PARAMETROS!$D$93)*(1+PARAMETROS!$E$93)*(1+PARAMETROS!$F$93)*(1+PARAMETROS!$G$93)*(1+PARAMETROS!$H$93)^N119</f>
        <v>593357.72853658488</v>
      </c>
      <c r="O123" s="214">
        <f>(O95+O96+O104)*(1+PARAMETROS!$C$93)*(1+PARAMETROS!$D$93)*(1+PARAMETROS!$E$93)*(1+PARAMETROS!$F$93)*(1+PARAMETROS!$G$93)*(1+PARAMETROS!$H$93)^O119</f>
        <v>604631.52537877997</v>
      </c>
      <c r="P123" s="214">
        <f>(P95+P96+P104)*(1+PARAMETROS!$C$93)*(1+PARAMETROS!$D$93)*(1+PARAMETROS!$E$93)*(1+PARAMETROS!$F$93)*(1+PARAMETROS!$G$93)*(1+PARAMETROS!$H$93)^P119</f>
        <v>616119.52436097688</v>
      </c>
      <c r="Q123" s="214">
        <f>(Q95+Q96+Q104)*(1+PARAMETROS!$C$93)*(1+PARAMETROS!$D$93)*(1+PARAMETROS!$E$93)*(1+PARAMETROS!$F$93)*(1+PARAMETROS!$G$93)*(1+PARAMETROS!$H$93)^Q119</f>
        <v>627825.79532383534</v>
      </c>
      <c r="R123" s="214">
        <f>(R95+R96+R104)*(1+PARAMETROS!$C$93)*(1+PARAMETROS!$D$93)*(1+PARAMETROS!$E$93)*(1+PARAMETROS!$F$93)*(1+PARAMETROS!$G$93)*(1+PARAMETROS!$H$93)^R119</f>
        <v>5155668.5002701981</v>
      </c>
      <c r="S123" s="214">
        <f>(S95+S96+S104)*(1+PARAMETROS!$C$93)*(1+PARAMETROS!$D$93)*(1+PARAMETROS!$E$93)*(1+PARAMETROS!$F$93)*(1+PARAMETROS!$G$93)*(1+PARAMETROS!$H$93)^S119</f>
        <v>651909.82065825304</v>
      </c>
      <c r="T123" s="214">
        <f>(T95+T96+T104)*(1+PARAMETROS!$C$93)*(1+PARAMETROS!$D$93)*(1+PARAMETROS!$E$93)*(1+PARAMETROS!$F$93)*(1+PARAMETROS!$G$93)*(1+PARAMETROS!$H$93)^T119</f>
        <v>664296.10725075973</v>
      </c>
      <c r="U123" s="214">
        <f>(U95+U96+U104)*(1+PARAMETROS!$C$93)*(1+PARAMETROS!$D$93)*(1+PARAMETROS!$E$93)*(1+PARAMETROS!$F$93)*(1+PARAMETROS!$G$93)*(1+PARAMETROS!$H$93)^U119</f>
        <v>676917.73328852409</v>
      </c>
      <c r="V123" s="214">
        <f>(V95+V96+V104)*(1+PARAMETROS!$C$93)*(1+PARAMETROS!$D$93)*(1+PARAMETROS!$E$93)*(1+PARAMETROS!$F$93)*(1+PARAMETROS!$G$93)*(1+PARAMETROS!$H$93)^V119</f>
        <v>689779.17022100603</v>
      </c>
      <c r="W123" s="214">
        <f>(W95+W96+W104)*(1+PARAMETROS!$C$93)*(1+PARAMETROS!$D$93)*(1+PARAMETROS!$E$93)*(1+PARAMETROS!$F$93)*(1+PARAMETROS!$G$93)*(1+PARAMETROS!$H$93)^W119</f>
        <v>5664425.9706095941</v>
      </c>
      <c r="X123" s="214">
        <f>(X95+X96+X104)*(1+PARAMETROS!$C$93)*(1+PARAMETROS!$D$93)*(1+PARAMETROS!$E$93)*(1+PARAMETROS!$F$93)*(1+PARAMETROS!$G$93)*(1+PARAMETROS!$H$93)^X119</f>
        <v>716239.78896985401</v>
      </c>
      <c r="Y123" s="214">
        <f>(Y95+Y96+Y104)*(1+PARAMETROS!$C$93)*(1+PARAMETROS!$D$93)*(1+PARAMETROS!$E$93)*(1+PARAMETROS!$F$93)*(1+PARAMETROS!$G$93)*(1+PARAMETROS!$H$93)^Y119</f>
        <v>729848.34496028116</v>
      </c>
      <c r="Z123" s="214">
        <f>(Z95+Z96+Z104)*(1+PARAMETROS!$C$93)*(1+PARAMETROS!$D$93)*(1+PARAMETROS!$E$93)*(1+PARAMETROS!$F$93)*(1+PARAMETROS!$G$93)*(1+PARAMETROS!$H$93)^Z119</f>
        <v>743715.46351452649</v>
      </c>
      <c r="AA123" s="214">
        <f>(AA95+AA96+AA104)*(1+PARAMETROS!$C$93)*(1+PARAMETROS!$D$93)*(1+PARAMETROS!$E$93)*(1+PARAMETROS!$F$93)*(1+PARAMETROS!$G$93)*(1+PARAMETROS!$H$93)^AA119</f>
        <v>757846.05732130259</v>
      </c>
      <c r="AB123" s="214">
        <f>(AB95+AB96+AB104)*(1+PARAMETROS!$C$93)*(1+PARAMETROS!$D$93)*(1+PARAMETROS!$E$93)*(1+PARAMETROS!$F$93)*(1+PARAMETROS!$G$93)*(1+PARAMETROS!$H$93)^AB119</f>
        <v>6223387.2435426936</v>
      </c>
      <c r="AC123" s="214">
        <f>(AC95+AC96+AC104)*(1+PARAMETROS!$C$93)*(1+PARAMETROS!$D$93)*(1+PARAMETROS!$E$93)*(1+PARAMETROS!$F$93)*(1+PARAMETROS!$G$93)*(1+PARAMETROS!$H$93)^AC119</f>
        <v>786917.78992620495</v>
      </c>
      <c r="AD123" s="214">
        <f>(AD95+AD96+AD104)*(1+PARAMETROS!$C$93)*(1+PARAMETROS!$D$93)*(1+PARAMETROS!$E$93)*(1+PARAMETROS!$F$93)*(1+PARAMETROS!$G$93)*(1+PARAMETROS!$H$93)^AD119</f>
        <v>801869.22793480277</v>
      </c>
      <c r="AE123" s="214">
        <f>(AE95+AE96+AE104)*(1+PARAMETROS!$C$93)*(1+PARAMETROS!$D$93)*(1+PARAMETROS!$E$93)*(1+PARAMETROS!$F$93)*(1+PARAMETROS!$G$93)*(1+PARAMETROS!$H$93)^AE119</f>
        <v>817104.74326556397</v>
      </c>
      <c r="AF123" s="214">
        <f>(AF95+AF96+AF104)*(1+PARAMETROS!$C$93)*(1+PARAMETROS!$D$93)*(1+PARAMETROS!$E$93)*(1+PARAMETROS!$F$93)*(1+PARAMETROS!$G$93)*(1+PARAMETROS!$H$93)^AF119</f>
        <v>832629.73338760971</v>
      </c>
      <c r="AG123" s="214">
        <f>(AG95+AG96+AG104)*(1+PARAMETROS!$C$93)*(1+PARAMETROS!$D$93)*(1+PARAMETROS!$E$93)*(1+PARAMETROS!$F$93)*(1+PARAMETROS!$G$93)*(1+PARAMETROS!$H$93)^AG119</f>
        <v>6837506.3923594393</v>
      </c>
      <c r="AH123" s="214">
        <f>(AH95+AH96+AH104)*(1+PARAMETROS!$C$93)*(1+PARAMETROS!$D$93)*(1+PARAMETROS!$E$93)*(1+PARAMETROS!$F$93)*(1+PARAMETROS!$G$93)*(1+PARAMETROS!$H$93)^AH119</f>
        <v>864570.24259009154</v>
      </c>
      <c r="AI123" s="214">
        <f>(AI95+AI96+AI104)*(1+PARAMETROS!$C$93)*(1+PARAMETROS!$D$93)*(1+PARAMETROS!$E$93)*(1+PARAMETROS!$F$93)*(1+PARAMETROS!$G$93)*(1+PARAMETROS!$H$93)^AI119</f>
        <v>880997.07719930355</v>
      </c>
      <c r="AJ123" s="214">
        <f>(AJ95+AJ96+AJ104)*(1+PARAMETROS!$C$93)*(1+PARAMETROS!$D$93)*(1+PARAMETROS!$E$93)*(1+PARAMETROS!$F$93)*(1+PARAMETROS!$G$93)*(1+PARAMETROS!$H$93)^AJ119</f>
        <v>897736.02166609024</v>
      </c>
      <c r="AK123" s="214">
        <f>(AK95+AK96+AK104)*(1+PARAMETROS!$C$93)*(1+PARAMETROS!$D$93)*(1+PARAMETROS!$E$93)*(1+PARAMETROS!$F$93)*(1+PARAMETROS!$G$93)*(1+PARAMETROS!$H$93)^AK119</f>
        <v>914793.00607774581</v>
      </c>
      <c r="AL123" s="214">
        <f>(AL95+AL96+AL104)*(1+PARAMETROS!$C$93)*(1+PARAMETROS!$D$93)*(1+PARAMETROS!$E$93)*(1+PARAMETROS!$F$93)*(1+PARAMETROS!$G$93)*(1+PARAMETROS!$H$93)^AL119</f>
        <v>7512226.3545571491</v>
      </c>
      <c r="AM123" s="214">
        <f>(AM95+AM96+AM104)*(1+PARAMETROS!$C$93)*(1+PARAMETROS!$D$93)*(1+PARAMETROS!$E$93)*(1+PARAMETROS!$F$93)*(1+PARAMETROS!$G$93)*(1+PARAMETROS!$H$93)^AM119</f>
        <v>949885.38058389409</v>
      </c>
      <c r="AN123" s="214">
        <f>(AN95+AN96+AN104)*(1+PARAMETROS!$C$93)*(1+PARAMETROS!$D$93)*(1+PARAMETROS!$E$93)*(1+PARAMETROS!$F$93)*(1+PARAMETROS!$G$93)*(1+PARAMETROS!$H$93)^AN119</f>
        <v>967933.20281498809</v>
      </c>
      <c r="AO123" s="214">
        <f>(AO95+AO96+AO104)*(1+PARAMETROS!$C$93)*(1+PARAMETROS!$D$93)*(1+PARAMETROS!$E$93)*(1+PARAMETROS!$F$93)*(1+PARAMETROS!$G$93)*(1+PARAMETROS!$H$93)^AO119</f>
        <v>986323.93366847292</v>
      </c>
      <c r="AP123" s="214">
        <f>(AP95+AP96+AP104)*(1+PARAMETROS!$C$93)*(1+PARAMETROS!$D$93)*(1+PARAMETROS!$E$93)*(1+PARAMETROS!$F$93)*(1+PARAMETROS!$G$93)*(1+PARAMETROS!$H$93)^AP119</f>
        <v>1005064.0884081735</v>
      </c>
      <c r="AQ123" s="214">
        <f>(AQ95+AQ96+AQ104)*(1+PARAMETROS!$C$93)*(1+PARAMETROS!$D$93)*(1+PARAMETROS!$E$93)*(1+PARAMETROS!$F$93)*(1+PARAMETROS!$G$93)*(1+PARAMETROS!$H$93)^AQ119</f>
        <v>8253527.172590958</v>
      </c>
      <c r="AR123" s="214">
        <f>(AR95+AR96+AR104)*(1+PARAMETROS!$C$93)*(1+PARAMETROS!$D$93)*(1+PARAMETROS!$E$93)*(1+PARAMETROS!$F$93)*(1+PARAMETROS!$G$93)*(1+PARAMETROS!$H$93)^AR119</f>
        <v>1043619.3519035998</v>
      </c>
    </row>
    <row r="124" spans="2:44" x14ac:dyDescent="0.2">
      <c r="B124" s="792" t="s">
        <v>426</v>
      </c>
      <c r="C124" s="770" t="s">
        <v>317</v>
      </c>
      <c r="D124" s="791">
        <f>D109*(1+PARAMETROS!$C$98)*(1+PARAMETROS!$D$98)*(1+PARAMETROS!$E$98)*(1+PARAMETROS!$F$98)</f>
        <v>644711.1665284097</v>
      </c>
      <c r="E124" s="791">
        <f>(E109)*(1+PARAMETROS!$C$98)*(1+PARAMETROS!$D$98)*(1+PARAMETROS!$E$98)*(1+PARAMETROS!$F$98)*(1+PARAMETROS!$G$98)</f>
        <v>664052.50152426201</v>
      </c>
      <c r="F124" s="791">
        <f>(F109)*(1+PARAMETROS!$C$98)*(1+PARAMETROS!$D$98)*(1+PARAMETROS!$E$98)*(1+PARAMETROS!$F$98)*(1+PARAMETROS!$G$98)*(1+PARAMETROS!$H$98)^F119</f>
        <v>680653.81406236847</v>
      </c>
      <c r="G124" s="214">
        <f>(G109)*(1+PARAMETROS!$C$98)*(1+PARAMETROS!$D$98)*(1+PARAMETROS!$E$98)*(1+PARAMETROS!$F$98)*(1+PARAMETROS!$G$98)*(1+PARAMETROS!$H$98)^G119</f>
        <v>697670.1594139277</v>
      </c>
      <c r="H124" s="214">
        <f>(H109)*(1+PARAMETROS!$C$98)*(1+PARAMETROS!$D$98)*(1+PARAMETROS!$E$98)*(1+PARAMETROS!$F$98)*(1+PARAMETROS!$G$98)*(1+PARAMETROS!$H$98)^H119</f>
        <v>715111.91339927586</v>
      </c>
      <c r="I124" s="214">
        <f>(I109)*(1+PARAMETROS!$C$98)*(1+PARAMETROS!$D$98)*(1+PARAMETROS!$E$98)*(1+PARAMETROS!$F$98)*(1+PARAMETROS!$G$98)*(1+PARAMETROS!$H$98)^I119</f>
        <v>732989.71123425767</v>
      </c>
      <c r="J124" s="214">
        <f>(J109)*(1+PARAMETROS!$C$98)*(1+PARAMETROS!$D$98)*(1+PARAMETROS!$E$98)*(1+PARAMETROS!$F$98)*(1+PARAMETROS!$G$98)*(1+PARAMETROS!$H$98)^J119</f>
        <v>751314.45401511411</v>
      </c>
      <c r="K124" s="214">
        <f>(K109)*(1+PARAMETROS!$C$98)*(1+PARAMETROS!$D$98)*(1+PARAMETROS!$E$98)*(1+PARAMETROS!$F$98)*(1+PARAMETROS!$G$98)*(1+PARAMETROS!$H$98)^K119</f>
        <v>770097.3153654919</v>
      </c>
      <c r="L124" s="214">
        <f>(L109)*(1+PARAMETROS!$C$98)*(1+PARAMETROS!$D$98)*(1+PARAMETROS!$E$98)*(1+PARAMETROS!$F$98)*(1+PARAMETROS!$G$98)*(1+PARAMETROS!$H$98)^L119</f>
        <v>789349.74824962916</v>
      </c>
      <c r="M124" s="214">
        <f>(M109)*(1+PARAMETROS!$C$98)*(1+PARAMETROS!$D$98)*(1+PARAMETROS!$E$98)*(1+PARAMETROS!$F$98)*(1+PARAMETROS!$G$98)*(1+PARAMETROS!$H$98)^M119</f>
        <v>809083.49195586983</v>
      </c>
      <c r="N124" s="214">
        <f>(N109)*(1+PARAMETROS!$C$98)*(1+PARAMETROS!$D$98)*(1+PARAMETROS!$E$98)*(1+PARAMETROS!$F$98)*(1+PARAMETROS!$G$98)*(1+PARAMETROS!$H$98)^N119</f>
        <v>829310.57925476646</v>
      </c>
      <c r="O124" s="214">
        <f>(O109)*(1+PARAMETROS!$C$98)*(1+PARAMETROS!$D$98)*(1+PARAMETROS!$E$98)*(1+PARAMETROS!$F$98)*(1+PARAMETROS!$G$98)*(1+PARAMETROS!$H$98)^O119</f>
        <v>850043.34373613563</v>
      </c>
      <c r="P124" s="214">
        <f>(P109)*(1+PARAMETROS!$C$98)*(1+PARAMETROS!$D$98)*(1+PARAMETROS!$E$98)*(1+PARAMETROS!$F$98)*(1+PARAMETROS!$G$98)*(1+PARAMETROS!$H$98)^P119</f>
        <v>871294.42732953909</v>
      </c>
      <c r="Q124" s="214">
        <f>(Q109)*(1+PARAMETROS!$C$98)*(1+PARAMETROS!$D$98)*(1+PARAMETROS!$E$98)*(1+PARAMETROS!$F$98)*(1+PARAMETROS!$G$98)*(1+PARAMETROS!$H$98)^Q119</f>
        <v>893076.78801277746</v>
      </c>
      <c r="R124" s="214">
        <f>(R109)*(1+PARAMETROS!$C$98)*(1+PARAMETROS!$D$98)*(1+PARAMETROS!$E$98)*(1+PARAMETROS!$F$98)*(1+PARAMETROS!$G$98)*(1+PARAMETROS!$H$98)^R119</f>
        <v>915403.70771309687</v>
      </c>
      <c r="S124" s="214">
        <f>(S109)*(1+PARAMETROS!$C$98)*(1+PARAMETROS!$D$98)*(1+PARAMETROS!$E$98)*(1+PARAMETROS!$F$98)*(1+PARAMETROS!$G$98)*(1+PARAMETROS!$H$98)^S119</f>
        <v>938288.80040592409</v>
      </c>
      <c r="T124" s="214">
        <f>(T109)*(1+PARAMETROS!$C$98)*(1+PARAMETROS!$D$98)*(1+PARAMETROS!$E$98)*(1+PARAMETROS!$F$98)*(1+PARAMETROS!$G$98)*(1+PARAMETROS!$H$98)^T119</f>
        <v>961746.02041607245</v>
      </c>
      <c r="U124" s="214">
        <f>(U109)*(1+PARAMETROS!$C$98)*(1+PARAMETROS!$D$98)*(1+PARAMETROS!$E$98)*(1+PARAMETROS!$F$98)*(1+PARAMETROS!$G$98)*(1+PARAMETROS!$H$98)^U119</f>
        <v>985789.67092647415</v>
      </c>
      <c r="V124" s="214">
        <f>(V109)*(1+PARAMETROS!$C$98)*(1+PARAMETROS!$D$98)*(1+PARAMETROS!$E$98)*(1+PARAMETROS!$F$98)*(1+PARAMETROS!$G$98)*(1+PARAMETROS!$H$98)^V119</f>
        <v>1010434.4126996358</v>
      </c>
      <c r="W124" s="214">
        <f>(W109)*(1+PARAMETROS!$C$98)*(1+PARAMETROS!$D$98)*(1+PARAMETROS!$E$98)*(1+PARAMETROS!$F$98)*(1+PARAMETROS!$G$98)*(1+PARAMETROS!$H$98)^W119</f>
        <v>1035695.2730171268</v>
      </c>
      <c r="X124" s="214">
        <f>(X109)*(1+PARAMETROS!$C$98)*(1+PARAMETROS!$D$98)*(1+PARAMETROS!$E$98)*(1+PARAMETROS!$F$98)*(1+PARAMETROS!$G$98)*(1+PARAMETROS!$H$98)^X119</f>
        <v>1061587.6548425551</v>
      </c>
      <c r="Y124" s="214">
        <f>(Y109)*(1+PARAMETROS!$C$98)*(1+PARAMETROS!$D$98)*(1+PARAMETROS!$E$98)*(1+PARAMETROS!$F$98)*(1+PARAMETROS!$G$98)*(1+PARAMETROS!$H$98)^Y119</f>
        <v>1088127.3462136188</v>
      </c>
      <c r="Z124" s="214">
        <f>(Z109)*(1+PARAMETROS!$C$98)*(1+PARAMETROS!$D$98)*(1+PARAMETROS!$E$98)*(1+PARAMETROS!$F$98)*(1+PARAMETROS!$G$98)*(1+PARAMETROS!$H$98)^Z119</f>
        <v>1115330.529868959</v>
      </c>
      <c r="AA124" s="214">
        <f>(AA109)*(1+PARAMETROS!$C$98)*(1+PARAMETROS!$D$98)*(1+PARAMETROS!$E$98)*(1+PARAMETROS!$F$98)*(1+PARAMETROS!$G$98)*(1+PARAMETROS!$H$98)^AA119</f>
        <v>1143213.7931156829</v>
      </c>
      <c r="AB124" s="214">
        <f>(AB109)*(1+PARAMETROS!$C$98)*(1+PARAMETROS!$D$98)*(1+PARAMETROS!$E$98)*(1+PARAMETROS!$F$98)*(1+PARAMETROS!$G$98)*(1+PARAMETROS!$H$98)^AB119</f>
        <v>1171794.1379435752</v>
      </c>
      <c r="AC124" s="214">
        <f>(AC109)*(1+PARAMETROS!$C$98)*(1+PARAMETROS!$D$98)*(1+PARAMETROS!$E$98)*(1+PARAMETROS!$F$98)*(1+PARAMETROS!$G$98)*(1+PARAMETROS!$H$98)^AC119</f>
        <v>1201088.9913921645</v>
      </c>
      <c r="AD124" s="214">
        <f>(AD109)*(1+PARAMETROS!$C$98)*(1+PARAMETROS!$D$98)*(1+PARAMETROS!$E$98)*(1+PARAMETROS!$F$98)*(1+PARAMETROS!$G$98)*(1+PARAMETROS!$H$98)^AD119</f>
        <v>1231116.2161769683</v>
      </c>
      <c r="AE124" s="214">
        <f>(AE109)*(1+PARAMETROS!$C$98)*(1+PARAMETROS!$D$98)*(1+PARAMETROS!$E$98)*(1+PARAMETROS!$F$98)*(1+PARAMETROS!$G$98)*(1+PARAMETROS!$H$98)^AE119</f>
        <v>1261894.1215813924</v>
      </c>
      <c r="AF124" s="214">
        <f>(AF109)*(1+PARAMETROS!$C$98)*(1+PARAMETROS!$D$98)*(1+PARAMETROS!$E$98)*(1+PARAMETROS!$F$98)*(1+PARAMETROS!$G$98)*(1+PARAMETROS!$H$98)^AF119</f>
        <v>1293441.4746209271</v>
      </c>
      <c r="AG124" s="214">
        <f>(AG109)*(1+PARAMETROS!$C$98)*(1+PARAMETROS!$D$98)*(1+PARAMETROS!$E$98)*(1+PARAMETROS!$F$98)*(1+PARAMETROS!$G$98)*(1+PARAMETROS!$H$98)^AG119</f>
        <v>1325777.5114864502</v>
      </c>
      <c r="AH124" s="214">
        <f>(AH109)*(1+PARAMETROS!$C$98)*(1+PARAMETROS!$D$98)*(1+PARAMETROS!$E$98)*(1+PARAMETROS!$F$98)*(1+PARAMETROS!$G$98)*(1+PARAMETROS!$H$98)^AH119</f>
        <v>1358921.9492736117</v>
      </c>
      <c r="AI124" s="214">
        <f>(AI109)*(1+PARAMETROS!$C$98)*(1+PARAMETROS!$D$98)*(1+PARAMETROS!$E$98)*(1+PARAMETROS!$F$98)*(1+PARAMETROS!$G$98)*(1+PARAMETROS!$H$98)^AI119</f>
        <v>1392894.9980054516</v>
      </c>
      <c r="AJ124" s="214">
        <f>(AJ109)*(1+PARAMETROS!$C$98)*(1+PARAMETROS!$D$98)*(1+PARAMETROS!$E$98)*(1+PARAMETROS!$F$98)*(1+PARAMETROS!$G$98)*(1+PARAMETROS!$H$98)^AJ119</f>
        <v>1427717.3729555884</v>
      </c>
      <c r="AK124" s="214">
        <f>(AK109)*(1+PARAMETROS!$C$98)*(1+PARAMETROS!$D$98)*(1+PARAMETROS!$E$98)*(1+PARAMETROS!$F$98)*(1+PARAMETROS!$G$98)*(1+PARAMETROS!$H$98)^AK119</f>
        <v>1463410.3072794776</v>
      </c>
      <c r="AL124" s="214">
        <f>(AL109)*(1+PARAMETROS!$C$98)*(1+PARAMETROS!$D$98)*(1+PARAMETROS!$E$98)*(1+PARAMETROS!$F$98)*(1+PARAMETROS!$G$98)*(1+PARAMETROS!$H$98)^AL119</f>
        <v>1499995.5649614646</v>
      </c>
      <c r="AM124" s="214">
        <f>(AM109)*(1+PARAMETROS!$C$98)*(1+PARAMETROS!$D$98)*(1+PARAMETROS!$E$98)*(1+PARAMETROS!$F$98)*(1+PARAMETROS!$G$98)*(1+PARAMETROS!$H$98)^AM119</f>
        <v>1537495.4540855011</v>
      </c>
      <c r="AN124" s="214">
        <f>(AN109)*(1+PARAMETROS!$C$98)*(1+PARAMETROS!$D$98)*(1+PARAMETROS!$E$98)*(1+PARAMETROS!$F$98)*(1+PARAMETROS!$G$98)*(1+PARAMETROS!$H$98)^AN119</f>
        <v>1575932.8404376386</v>
      </c>
      <c r="AO124" s="214">
        <f>(AO109)*(1+PARAMETROS!$C$98)*(1+PARAMETROS!$D$98)*(1+PARAMETROS!$E$98)*(1+PARAMETROS!$F$98)*(1+PARAMETROS!$G$98)*(1+PARAMETROS!$H$98)^AO119</f>
        <v>1615331.1614485795</v>
      </c>
      <c r="AP124" s="214">
        <f>(AP109)*(1+PARAMETROS!$C$98)*(1+PARAMETROS!$D$98)*(1+PARAMETROS!$E$98)*(1+PARAMETROS!$F$98)*(1+PARAMETROS!$G$98)*(1+PARAMETROS!$H$98)^AP119</f>
        <v>1655714.4404847939</v>
      </c>
      <c r="AQ124" s="214">
        <f>(AQ109)*(1+PARAMETROS!$C$98)*(1+PARAMETROS!$D$98)*(1+PARAMETROS!$E$98)*(1+PARAMETROS!$F$98)*(1+PARAMETROS!$G$98)*(1+PARAMETROS!$H$98)^AQ119</f>
        <v>1697107.3014969134</v>
      </c>
      <c r="AR124" s="214">
        <f>(AR109)*(1+PARAMETROS!$C$98)*(1+PARAMETROS!$D$98)*(1+PARAMETROS!$E$98)*(1+PARAMETROS!$F$98)*(1+PARAMETROS!$G$98)*(1+PARAMETROS!$H$98)^AR119</f>
        <v>1739534.9840343364</v>
      </c>
    </row>
    <row r="125" spans="2:44" x14ac:dyDescent="0.2">
      <c r="B125" s="792" t="s">
        <v>431</v>
      </c>
      <c r="C125" s="770" t="s">
        <v>317</v>
      </c>
      <c r="D125" s="791">
        <f>D111*(1+PARAMETROS!$C$88)*(1+PARAMETROS!$D$88)*(1+PARAMETROS!$E$88)*(1+PARAMETROS!$F$88)</f>
        <v>47328.066880052858</v>
      </c>
      <c r="E125" s="791">
        <f>(E111)*(1+PARAMETROS!$C$88)*(1+PARAMETROS!$D$88)*(1+PARAMETROS!$E$88)*(1+PARAMETROS!$F$88)*(1+PARAMETROS!$G$88)</f>
        <v>48511.268552054178</v>
      </c>
      <c r="F125" s="791">
        <f>(F111)*(1+PARAMETROS!$C$88)*(1+PARAMETROS!$D$88)*(1+PARAMETROS!$E$88)*(1+PARAMETROS!$F$88)*(1+PARAMETROS!$G$88)*(1+PARAMETROS!$H$88)^F119</f>
        <v>49481.493923095266</v>
      </c>
      <c r="G125" s="214">
        <f>(G111)*(1+PARAMETROS!$C$88)*(1+PARAMETROS!$D$88)*(1+PARAMETROS!$E$88)*(1+PARAMETROS!$F$88)*(1+PARAMETROS!$G$88)*(1+PARAMETROS!$H$88)^G119</f>
        <v>50471.123801557165</v>
      </c>
      <c r="H125" s="214">
        <f>(H111)*(1+PARAMETROS!$C$88)*(1+PARAMETROS!$D$88)*(1+PARAMETROS!$E$88)*(1+PARAMETROS!$F$88)*(1+PARAMETROS!$G$88)*(1+PARAMETROS!$H$88)^H119</f>
        <v>100923.79600620984</v>
      </c>
      <c r="I125" s="214">
        <f>(I111)*(1+PARAMETROS!$C$88)*(1+PARAMETROS!$D$88)*(1+PARAMETROS!$E$88)*(1+PARAMETROS!$F$88)*(1+PARAMETROS!$G$88)*(1+PARAMETROS!$H$88)^I119</f>
        <v>52510.157203140072</v>
      </c>
      <c r="J125" s="214">
        <f>(J111)*(1+PARAMETROS!$C$88)*(1+PARAMETROS!$D$88)*(1+PARAMETROS!$E$88)*(1+PARAMETROS!$F$88)*(1+PARAMETROS!$G$88)*(1+PARAMETROS!$H$88)^J119</f>
        <v>53560.360347202877</v>
      </c>
      <c r="K125" s="214">
        <f>(K111)*(1+PARAMETROS!$C$88)*(1+PARAMETROS!$D$88)*(1+PARAMETROS!$E$88)*(1+PARAMETROS!$F$88)*(1+PARAMETROS!$G$88)*(1+PARAMETROS!$H$88)^K119</f>
        <v>54631.567554146939</v>
      </c>
      <c r="L125" s="214">
        <f>(L111)*(1+PARAMETROS!$C$88)*(1+PARAMETROS!$D$88)*(1+PARAMETROS!$E$88)*(1+PARAMETROS!$F$88)*(1+PARAMETROS!$G$88)*(1+PARAMETROS!$H$88)^L119</f>
        <v>55724.198905229867</v>
      </c>
      <c r="M125" s="214">
        <f>(M111)*(1+PARAMETROS!$C$88)*(1+PARAMETROS!$D$88)*(1+PARAMETROS!$E$88)*(1+PARAMETROS!$F$88)*(1+PARAMETROS!$G$88)*(1+PARAMETROS!$H$88)^M119</f>
        <v>111428.02575652912</v>
      </c>
      <c r="N125" s="214">
        <f>(N111)*(1+PARAMETROS!$C$88)*(1+PARAMETROS!$D$88)*(1+PARAMETROS!$E$88)*(1+PARAMETROS!$F$88)*(1+PARAMETROS!$G$88)*(1+PARAMETROS!$H$88)^N119</f>
        <v>57975.456541001156</v>
      </c>
      <c r="O125" s="214">
        <f>(O111)*(1+PARAMETROS!$C$88)*(1+PARAMETROS!$D$88)*(1+PARAMETROS!$E$88)*(1+PARAMETROS!$F$88)*(1+PARAMETROS!$G$88)*(1+PARAMETROS!$H$88)^O119</f>
        <v>59134.965671821185</v>
      </c>
      <c r="P125" s="214">
        <f>(P111)*(1+PARAMETROS!$C$88)*(1+PARAMETROS!$D$88)*(1+PARAMETROS!$E$88)*(1+PARAMETROS!$F$88)*(1+PARAMETROS!$G$88)*(1+PARAMETROS!$H$88)^P119</f>
        <v>60317.664985257594</v>
      </c>
      <c r="Q125" s="214">
        <f>(Q111)*(1+PARAMETROS!$C$88)*(1+PARAMETROS!$D$88)*(1+PARAMETROS!$E$88)*(1+PARAMETROS!$F$88)*(1+PARAMETROS!$G$88)*(1+PARAMETROS!$H$88)^Q119</f>
        <v>61524.01828496276</v>
      </c>
      <c r="R125" s="214">
        <f>(R111)*(1+PARAMETROS!$C$88)*(1+PARAMETROS!$D$88)*(1+PARAMETROS!$E$88)*(1+PARAMETROS!$F$88)*(1+PARAMETROS!$G$88)*(1+PARAMETROS!$H$88)^R119</f>
        <v>123025.54417625896</v>
      </c>
      <c r="S125" s="214">
        <f>(S111)*(1+PARAMETROS!$C$88)*(1+PARAMETROS!$D$88)*(1+PARAMETROS!$E$88)*(1+PARAMETROS!$F$88)*(1+PARAMETROS!$G$88)*(1+PARAMETROS!$H$88)^S119</f>
        <v>64009.588623675256</v>
      </c>
      <c r="T125" s="214">
        <f>(T111)*(1+PARAMETROS!$C$88)*(1+PARAMETROS!$D$88)*(1+PARAMETROS!$E$88)*(1+PARAMETROS!$F$88)*(1+PARAMETROS!$G$88)*(1+PARAMETROS!$H$88)^T119</f>
        <v>65289.780396148744</v>
      </c>
      <c r="U125" s="214">
        <f>(U111)*(1+PARAMETROS!$C$88)*(1+PARAMETROS!$D$88)*(1+PARAMETROS!$E$88)*(1+PARAMETROS!$F$88)*(1+PARAMETROS!$G$88)*(1+PARAMETROS!$H$88)^U119</f>
        <v>66595.576004071729</v>
      </c>
      <c r="V125" s="214">
        <f>(V111)*(1+PARAMETROS!$C$88)*(1+PARAMETROS!$D$88)*(1+PARAMETROS!$E$88)*(1+PARAMETROS!$F$88)*(1+PARAMETROS!$G$88)*(1+PARAMETROS!$H$88)^V119</f>
        <v>67927.48752415317</v>
      </c>
      <c r="W125" s="214">
        <f>(W111)*(1+PARAMETROS!$C$88)*(1+PARAMETROS!$D$88)*(1+PARAMETROS!$E$88)*(1+PARAMETROS!$F$88)*(1+PARAMETROS!$G$88)*(1+PARAMETROS!$H$88)^W119</f>
        <v>135830.14162824108</v>
      </c>
      <c r="X125" s="214">
        <f>(X111)*(1+PARAMETROS!$C$88)*(1+PARAMETROS!$D$88)*(1+PARAMETROS!$E$88)*(1+PARAMETROS!$F$88)*(1+PARAMETROS!$G$88)*(1+PARAMETROS!$H$88)^X119</f>
        <v>70671.758020128953</v>
      </c>
      <c r="Y125" s="214">
        <f>(Y111)*(1+PARAMETROS!$C$88)*(1+PARAMETROS!$D$88)*(1+PARAMETROS!$E$88)*(1+PARAMETROS!$F$88)*(1+PARAMETROS!$G$88)*(1+PARAMETROS!$H$88)^Y119</f>
        <v>72085.19318053154</v>
      </c>
      <c r="Z125" s="214">
        <f>(Z111)*(1+PARAMETROS!$C$88)*(1+PARAMETROS!$D$88)*(1+PARAMETROS!$E$88)*(1+PARAMETROS!$F$88)*(1+PARAMETROS!$G$88)*(1+PARAMETROS!$H$88)^Z119</f>
        <v>73526.897044142155</v>
      </c>
      <c r="AA125" s="214">
        <f>(AA111)*(1+PARAMETROS!$C$88)*(1+PARAMETROS!$D$88)*(1+PARAMETROS!$E$88)*(1+PARAMETROS!$F$88)*(1+PARAMETROS!$G$88)*(1+PARAMETROS!$H$88)^AA119</f>
        <v>74997.434985025</v>
      </c>
      <c r="AB125" s="214">
        <f>(AB111)*(1+PARAMETROS!$C$88)*(1+PARAMETROS!$D$88)*(1+PARAMETROS!$E$88)*(1+PARAMETROS!$F$88)*(1+PARAMETROS!$G$88)*(1+PARAMETROS!$H$88)^AB119</f>
        <v>149967.45186767814</v>
      </c>
      <c r="AC125" s="214">
        <f>(AC111)*(1+PARAMETROS!$C$88)*(1+PARAMETROS!$D$88)*(1+PARAMETROS!$E$88)*(1+PARAMETROS!$F$88)*(1+PARAMETROS!$G$88)*(1+PARAMETROS!$H$88)^AC119</f>
        <v>78027.331358420008</v>
      </c>
      <c r="AD125" s="214">
        <f>(AD111)*(1+PARAMETROS!$C$88)*(1+PARAMETROS!$D$88)*(1+PARAMETROS!$E$88)*(1+PARAMETROS!$F$88)*(1+PARAMETROS!$G$88)*(1+PARAMETROS!$H$88)^AD119</f>
        <v>79587.877985588406</v>
      </c>
      <c r="AE125" s="214">
        <f>(AE111)*(1+PARAMETROS!$C$88)*(1+PARAMETROS!$D$88)*(1+PARAMETROS!$E$88)*(1+PARAMETROS!$F$88)*(1+PARAMETROS!$G$88)*(1+PARAMETROS!$H$88)^AE119</f>
        <v>81179.635545300189</v>
      </c>
      <c r="AF125" s="214">
        <f>(AF111)*(1+PARAMETROS!$C$88)*(1+PARAMETROS!$D$88)*(1+PARAMETROS!$E$88)*(1+PARAMETROS!$F$88)*(1+PARAMETROS!$G$88)*(1+PARAMETROS!$H$88)^AF119</f>
        <v>82803.228256206174</v>
      </c>
      <c r="AG125" s="214">
        <f>(AG111)*(1+PARAMETROS!$C$88)*(1+PARAMETROS!$D$88)*(1+PARAMETROS!$E$88)*(1+PARAMETROS!$F$88)*(1+PARAMETROS!$G$88)*(1+PARAMETROS!$H$88)^AG119</f>
        <v>165576.18471192344</v>
      </c>
      <c r="AH125" s="214">
        <f>(AH111)*(1+PARAMETROS!$C$88)*(1+PARAMETROS!$D$88)*(1+PARAMETROS!$E$88)*(1+PARAMETROS!$F$88)*(1+PARAMETROS!$G$88)*(1+PARAMETROS!$H$88)^AH119</f>
        <v>86148.47867775691</v>
      </c>
      <c r="AI125" s="214">
        <f>(AI111)*(1+PARAMETROS!$C$88)*(1+PARAMETROS!$D$88)*(1+PARAMETROS!$E$88)*(1+PARAMETROS!$F$88)*(1+PARAMETROS!$G$88)*(1+PARAMETROS!$H$88)^AI119</f>
        <v>87871.448251312046</v>
      </c>
      <c r="AJ125" s="214">
        <f>(AJ111)*(1+PARAMETROS!$C$88)*(1+PARAMETROS!$D$88)*(1+PARAMETROS!$E$88)*(1+PARAMETROS!$F$88)*(1+PARAMETROS!$G$88)*(1+PARAMETROS!$H$88)^AJ119</f>
        <v>89628.877216338267</v>
      </c>
      <c r="AK125" s="214">
        <f>(AK111)*(1+PARAMETROS!$C$88)*(1+PARAMETROS!$D$88)*(1+PARAMETROS!$E$88)*(1+PARAMETROS!$F$88)*(1+PARAMETROS!$G$88)*(1+PARAMETROS!$H$88)^AK119</f>
        <v>91421.454760665059</v>
      </c>
      <c r="AL125" s="214">
        <f>(AL111)*(1+PARAMETROS!$C$88)*(1+PARAMETROS!$D$88)*(1+PARAMETROS!$E$88)*(1+PARAMETROS!$F$88)*(1+PARAMETROS!$G$88)*(1+PARAMETROS!$H$88)^AL119</f>
        <v>182809.48700753198</v>
      </c>
      <c r="AM125" s="214">
        <f>(AM111)*(1+PARAMETROS!$C$88)*(1+PARAMETROS!$D$88)*(1+PARAMETROS!$E$88)*(1+PARAMETROS!$F$88)*(1+PARAMETROS!$G$88)*(1+PARAMETROS!$H$88)^AM119</f>
        <v>95114.881532995918</v>
      </c>
      <c r="AN125" s="214">
        <f>(AN111)*(1+PARAMETROS!$C$88)*(1+PARAMETROS!$D$88)*(1+PARAMETROS!$E$88)*(1+PARAMETROS!$F$88)*(1+PARAMETROS!$G$88)*(1+PARAMETROS!$H$88)^AN119</f>
        <v>97017.179163655834</v>
      </c>
      <c r="AO125" s="214">
        <f>(AO111)*(1+PARAMETROS!$C$88)*(1+PARAMETROS!$D$88)*(1+PARAMETROS!$E$88)*(1+PARAMETROS!$F$88)*(1+PARAMETROS!$G$88)*(1+PARAMETROS!$H$88)^AO119</f>
        <v>98957.522746928953</v>
      </c>
      <c r="AP125" s="214">
        <f>(AP111)*(1+PARAMETROS!$C$88)*(1+PARAMETROS!$D$88)*(1+PARAMETROS!$E$88)*(1+PARAMETROS!$F$88)*(1+PARAMETROS!$G$88)*(1+PARAMETROS!$H$88)^AP119</f>
        <v>100936.67320186754</v>
      </c>
      <c r="AQ125" s="214">
        <f>(AQ111)*(1+PARAMETROS!$C$88)*(1+PARAMETROS!$D$88)*(1+PARAMETROS!$E$88)*(1+PARAMETROS!$F$88)*(1+PARAMETROS!$G$88)*(1+PARAMETROS!$H$88)^AQ119</f>
        <v>201836.44524785591</v>
      </c>
      <c r="AR125" s="214">
        <f>(AR111)*(1+PARAMETROS!$C$88)*(1+PARAMETROS!$D$88)*(1+PARAMETROS!$E$88)*(1+PARAMETROS!$F$88)*(1+PARAMETROS!$G$88)*(1+PARAMETROS!$H$88)^AR119</f>
        <v>105014.51479922296</v>
      </c>
    </row>
    <row r="126" spans="2:44" x14ac:dyDescent="0.2">
      <c r="B126" s="795"/>
      <c r="C126" s="796"/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</row>
    <row r="127" spans="2:44" x14ac:dyDescent="0.2">
      <c r="B127" s="794" t="s">
        <v>177</v>
      </c>
      <c r="C127" s="793"/>
      <c r="D127" s="793">
        <f>SUM(D120:D125)</f>
        <v>2791546.919500811</v>
      </c>
      <c r="E127" s="793">
        <f t="shared" ref="E127" si="404">SUM(E120:E125)</f>
        <v>3091692.739287667</v>
      </c>
      <c r="F127" s="793">
        <f t="shared" ref="F127" si="405">SUM(F120:F125)</f>
        <v>2934364.0421133931</v>
      </c>
      <c r="G127" s="793">
        <f t="shared" ref="G127" si="406">SUM(G120:G125)</f>
        <v>3003556.4739287407</v>
      </c>
      <c r="H127" s="793">
        <f t="shared" ref="H127" si="407">SUM(H120:H125)</f>
        <v>6864999.4108087067</v>
      </c>
      <c r="I127" s="793">
        <f t="shared" ref="I127" si="408">SUM(I120:I125)</f>
        <v>3146987.7384020691</v>
      </c>
      <c r="J127" s="793">
        <f t="shared" ref="J127" si="409">SUM(J120:J125)</f>
        <v>3221309.8210025458</v>
      </c>
      <c r="K127" s="793">
        <f t="shared" ref="K127" si="410">SUM(K120:K125)</f>
        <v>3297426.7865636172</v>
      </c>
      <c r="L127" s="793">
        <f t="shared" ref="L127" si="411">SUM(L120:L125)</f>
        <v>3375382.9246263341</v>
      </c>
      <c r="M127" s="793">
        <f t="shared" ref="M127" si="412">SUM(M120:M125)</f>
        <v>7620124.5585567057</v>
      </c>
      <c r="N127" s="793">
        <f t="shared" ref="N127" si="413">SUM(N120:N125)</f>
        <v>3536995.481726327</v>
      </c>
      <c r="O127" s="793">
        <f t="shared" ref="O127" si="414">SUM(O120:O125)</f>
        <v>3620746.1717735282</v>
      </c>
      <c r="P127" s="793">
        <f t="shared" ref="P127" si="415">SUM(P120:P125)</f>
        <v>3706524.6358547215</v>
      </c>
      <c r="Q127" s="793">
        <f t="shared" ref="Q127" si="416">SUM(Q120:Q125)</f>
        <v>3794381.0340164835</v>
      </c>
      <c r="R127" s="793">
        <f t="shared" ref="R127" si="417">SUM(R120:R125)</f>
        <v>8460551.8528040089</v>
      </c>
      <c r="S127" s="793">
        <f t="shared" ref="S127" si="418">SUM(S120:S125)</f>
        <v>3976534.6360238022</v>
      </c>
      <c r="T127" s="793">
        <f t="shared" ref="T127" si="419">SUM(T120:T125)</f>
        <v>4070938.621770741</v>
      </c>
      <c r="U127" s="793">
        <f t="shared" ref="U127" si="420">SUM(U120:U125)</f>
        <v>4167634.1731139594</v>
      </c>
      <c r="V127" s="793">
        <f t="shared" ref="V127" si="421">SUM(V120:V125)</f>
        <v>4266678.1150930393</v>
      </c>
      <c r="W127" s="793">
        <f t="shared" ref="W127" si="422">SUM(W120:W125)</f>
        <v>9396213.810979465</v>
      </c>
      <c r="X127" s="793">
        <f t="shared" ref="X127" si="423">SUM(X120:X125)</f>
        <v>4472045.6967975702</v>
      </c>
      <c r="Y127" s="793">
        <f t="shared" ref="Y127" si="424">SUM(Y120:Y125)</f>
        <v>4578490.3244372597</v>
      </c>
      <c r="Z127" s="793">
        <f t="shared" ref="Z127" si="425">SUM(Z120:Z125)</f>
        <v>4687525.3956046067</v>
      </c>
      <c r="AA127" s="793">
        <f t="shared" ref="AA127" si="426">SUM(AA120:AA125)</f>
        <v>4799215.3044166798</v>
      </c>
      <c r="AB127" s="793">
        <f t="shared" ref="AB127" si="427">SUM(AB120:AB125)</f>
        <v>10438238.257315286</v>
      </c>
      <c r="AC127" s="793">
        <f t="shared" ref="AC127" si="428">SUM(AC120:AC125)</f>
        <v>5030825.4186769668</v>
      </c>
      <c r="AD127" s="793">
        <f t="shared" ref="AD127" si="429">SUM(AD120:AD125)</f>
        <v>5150882.7472600536</v>
      </c>
      <c r="AE127" s="793">
        <f t="shared" ref="AE127" si="430">SUM(AE120:AE125)</f>
        <v>5273869.24748501</v>
      </c>
      <c r="AF127" s="793">
        <f t="shared" ref="AF127" si="431">SUM(AF120:AF125)</f>
        <v>5399857.9116118001</v>
      </c>
      <c r="AG127" s="793">
        <f t="shared" ref="AG127" si="432">SUM(AG120:AG125)</f>
        <v>11599097.173153548</v>
      </c>
      <c r="AH127" s="793">
        <f t="shared" ref="AH127" si="433">SUM(AH120:AH125)</f>
        <v>5661143.0252687559</v>
      </c>
      <c r="AI127" s="793">
        <f t="shared" ref="AI127" si="434">SUM(AI120:AI125)</f>
        <v>5796594.9293390466</v>
      </c>
      <c r="AJ127" s="793">
        <f t="shared" ref="AJ127" si="435">SUM(AJ120:AJ125)</f>
        <v>5935360.0062841373</v>
      </c>
      <c r="AK127" s="793">
        <f t="shared" ref="AK127" si="436">SUM(AK120:AK125)</f>
        <v>6077521.0181308491</v>
      </c>
      <c r="AL127" s="793">
        <f t="shared" ref="AL127" si="437">SUM(AL120:AL125)</f>
        <v>12892774.71989817</v>
      </c>
      <c r="AM127" s="793">
        <f t="shared" ref="AM127" si="438">SUM(AM120:AM125)</f>
        <v>6372372.4917223342</v>
      </c>
      <c r="AN127" s="793">
        <f t="shared" ref="AN127" si="439">SUM(AN120:AN125)</f>
        <v>6525239.2401587041</v>
      </c>
      <c r="AO127" s="793">
        <f t="shared" ref="AO127" si="440">SUM(AO120:AO125)</f>
        <v>6681854.610653758</v>
      </c>
      <c r="AP127" s="793">
        <f t="shared" ref="AP127" si="441">SUM(AP120:AP125)</f>
        <v>6842312.4692722289</v>
      </c>
      <c r="AQ127" s="793">
        <f t="shared" ref="AQ127" si="442">SUM(AQ120:AQ125)</f>
        <v>14334956.983977951</v>
      </c>
      <c r="AR127" s="793">
        <f t="shared" ref="AR127" si="443">SUM(AR120:AR125)</f>
        <v>7175143.1615244914</v>
      </c>
    </row>
    <row r="128" spans="2:44" x14ac:dyDescent="0.2">
      <c r="C128" s="752"/>
    </row>
    <row r="129" spans="2:44" x14ac:dyDescent="0.2">
      <c r="B129" s="743" t="s">
        <v>414</v>
      </c>
      <c r="C129" s="744"/>
      <c r="D129" s="745"/>
      <c r="E129" s="746"/>
      <c r="F129" s="746"/>
      <c r="G129" s="746"/>
      <c r="H129" s="747"/>
      <c r="I129" s="748"/>
      <c r="J129" s="731"/>
      <c r="K129" s="731"/>
      <c r="L129" s="731"/>
      <c r="M129" s="731"/>
      <c r="N129" s="731"/>
      <c r="O129" s="731"/>
      <c r="P129" s="731"/>
      <c r="Q129" s="731"/>
      <c r="R129" s="731"/>
      <c r="S129" s="731"/>
      <c r="T129" s="731"/>
      <c r="U129" s="731"/>
      <c r="V129" s="731"/>
      <c r="W129" s="731"/>
      <c r="X129" s="731"/>
      <c r="Y129" s="731"/>
      <c r="Z129" s="731"/>
      <c r="AA129" s="731"/>
      <c r="AB129" s="731"/>
      <c r="AC129" s="731"/>
      <c r="AD129" s="731"/>
      <c r="AE129" s="731"/>
      <c r="AF129" s="731"/>
      <c r="AG129" s="731"/>
      <c r="AH129" s="731"/>
      <c r="AI129" s="731"/>
      <c r="AJ129" s="731"/>
      <c r="AK129" s="731"/>
      <c r="AL129" s="731"/>
      <c r="AM129" s="731"/>
      <c r="AN129" s="731"/>
      <c r="AO129" s="749"/>
      <c r="AP129" s="749"/>
      <c r="AQ129" s="749"/>
      <c r="AR129" s="749"/>
    </row>
    <row r="130" spans="2:44" x14ac:dyDescent="0.2">
      <c r="C130" s="752"/>
    </row>
    <row r="131" spans="2:44" x14ac:dyDescent="0.2">
      <c r="C131" s="752"/>
      <c r="D131" s="754">
        <f>D80</f>
        <v>2019</v>
      </c>
      <c r="E131" s="754">
        <f t="shared" ref="E131:AR131" si="444">E80</f>
        <v>2020</v>
      </c>
      <c r="F131" s="754">
        <f t="shared" si="444"/>
        <v>2021</v>
      </c>
      <c r="G131" s="754">
        <f t="shared" si="444"/>
        <v>2022</v>
      </c>
      <c r="H131" s="754">
        <f t="shared" si="444"/>
        <v>2023</v>
      </c>
      <c r="I131" s="754">
        <f t="shared" si="444"/>
        <v>2024</v>
      </c>
      <c r="J131" s="754">
        <f t="shared" si="444"/>
        <v>2025</v>
      </c>
      <c r="K131" s="754">
        <f t="shared" si="444"/>
        <v>2026</v>
      </c>
      <c r="L131" s="754">
        <f t="shared" si="444"/>
        <v>2027</v>
      </c>
      <c r="M131" s="754">
        <f t="shared" si="444"/>
        <v>2028</v>
      </c>
      <c r="N131" s="754">
        <f t="shared" si="444"/>
        <v>2029</v>
      </c>
      <c r="O131" s="754">
        <f t="shared" si="444"/>
        <v>2030</v>
      </c>
      <c r="P131" s="754">
        <f t="shared" si="444"/>
        <v>2031</v>
      </c>
      <c r="Q131" s="754">
        <f t="shared" si="444"/>
        <v>2032</v>
      </c>
      <c r="R131" s="754">
        <f t="shared" si="444"/>
        <v>2033</v>
      </c>
      <c r="S131" s="754">
        <f t="shared" si="444"/>
        <v>2034</v>
      </c>
      <c r="T131" s="754">
        <f t="shared" si="444"/>
        <v>2035</v>
      </c>
      <c r="U131" s="754">
        <f t="shared" si="444"/>
        <v>2036</v>
      </c>
      <c r="V131" s="754">
        <f t="shared" si="444"/>
        <v>2037</v>
      </c>
      <c r="W131" s="754">
        <f t="shared" si="444"/>
        <v>2038</v>
      </c>
      <c r="X131" s="754">
        <f t="shared" si="444"/>
        <v>2039</v>
      </c>
      <c r="Y131" s="754">
        <f t="shared" si="444"/>
        <v>2040</v>
      </c>
      <c r="Z131" s="754">
        <f t="shared" si="444"/>
        <v>2041</v>
      </c>
      <c r="AA131" s="754">
        <f t="shared" si="444"/>
        <v>2042</v>
      </c>
      <c r="AB131" s="754">
        <f t="shared" si="444"/>
        <v>2043</v>
      </c>
      <c r="AC131" s="754">
        <f t="shared" si="444"/>
        <v>2044</v>
      </c>
      <c r="AD131" s="754">
        <f t="shared" si="444"/>
        <v>2045</v>
      </c>
      <c r="AE131" s="754">
        <f t="shared" si="444"/>
        <v>2046</v>
      </c>
      <c r="AF131" s="754">
        <f t="shared" si="444"/>
        <v>2047</v>
      </c>
      <c r="AG131" s="754">
        <f t="shared" si="444"/>
        <v>2048</v>
      </c>
      <c r="AH131" s="754">
        <f t="shared" si="444"/>
        <v>2049</v>
      </c>
      <c r="AI131" s="754">
        <f t="shared" si="444"/>
        <v>2050</v>
      </c>
      <c r="AJ131" s="754">
        <f t="shared" si="444"/>
        <v>2051</v>
      </c>
      <c r="AK131" s="754">
        <f t="shared" si="444"/>
        <v>2052</v>
      </c>
      <c r="AL131" s="754">
        <f t="shared" si="444"/>
        <v>2053</v>
      </c>
      <c r="AM131" s="754">
        <f t="shared" si="444"/>
        <v>2054</v>
      </c>
      <c r="AN131" s="754">
        <f t="shared" si="444"/>
        <v>2055</v>
      </c>
      <c r="AO131" s="754">
        <f t="shared" si="444"/>
        <v>2056</v>
      </c>
      <c r="AP131" s="754">
        <f t="shared" si="444"/>
        <v>2057</v>
      </c>
      <c r="AQ131" s="754">
        <f t="shared" si="444"/>
        <v>2058</v>
      </c>
      <c r="AR131" s="754">
        <f t="shared" si="444"/>
        <v>2059</v>
      </c>
    </row>
    <row r="132" spans="2:44" x14ac:dyDescent="0.2">
      <c r="C132" s="752"/>
      <c r="F132" s="755">
        <v>1</v>
      </c>
      <c r="G132" s="756">
        <v>2</v>
      </c>
      <c r="H132" s="755">
        <v>3</v>
      </c>
      <c r="I132" s="755">
        <v>4</v>
      </c>
      <c r="J132" s="756">
        <v>5</v>
      </c>
      <c r="K132" s="755">
        <v>6</v>
      </c>
      <c r="L132" s="755">
        <v>7</v>
      </c>
      <c r="M132" s="756">
        <v>8</v>
      </c>
      <c r="N132" s="755">
        <v>9</v>
      </c>
      <c r="O132" s="755">
        <v>10</v>
      </c>
      <c r="P132" s="756">
        <v>11</v>
      </c>
      <c r="Q132" s="755">
        <v>12</v>
      </c>
      <c r="R132" s="755">
        <v>13</v>
      </c>
      <c r="S132" s="756">
        <v>14</v>
      </c>
      <c r="T132" s="755">
        <v>15</v>
      </c>
      <c r="U132" s="755">
        <v>16</v>
      </c>
      <c r="V132" s="756">
        <v>17</v>
      </c>
      <c r="W132" s="755">
        <v>18</v>
      </c>
      <c r="X132" s="755">
        <v>19</v>
      </c>
      <c r="Y132" s="756">
        <v>20</v>
      </c>
      <c r="Z132" s="755">
        <v>21</v>
      </c>
      <c r="AA132" s="755">
        <v>22</v>
      </c>
      <c r="AB132" s="756">
        <v>23</v>
      </c>
      <c r="AC132" s="755">
        <v>24</v>
      </c>
      <c r="AD132" s="755">
        <v>25</v>
      </c>
      <c r="AE132" s="756">
        <v>26</v>
      </c>
      <c r="AF132" s="755">
        <v>27</v>
      </c>
      <c r="AG132" s="755">
        <v>28</v>
      </c>
      <c r="AH132" s="756">
        <v>29</v>
      </c>
      <c r="AI132" s="755">
        <v>30</v>
      </c>
      <c r="AJ132" s="755">
        <v>31</v>
      </c>
      <c r="AK132" s="756">
        <v>32</v>
      </c>
      <c r="AL132" s="755">
        <v>33</v>
      </c>
      <c r="AM132" s="755">
        <v>34</v>
      </c>
      <c r="AN132" s="756">
        <v>35</v>
      </c>
      <c r="AO132" s="755">
        <v>36</v>
      </c>
      <c r="AP132" s="755">
        <v>37</v>
      </c>
      <c r="AQ132" s="756">
        <v>38</v>
      </c>
      <c r="AR132" s="755">
        <v>39</v>
      </c>
    </row>
    <row r="133" spans="2:44" x14ac:dyDescent="0.2">
      <c r="B133" s="792" t="s">
        <v>427</v>
      </c>
      <c r="C133" s="770" t="s">
        <v>317</v>
      </c>
      <c r="D133" s="791">
        <f>SUM(D85:D89)*(1+PARAMETROS!$C$99)*(1+PARAMETROS!$D$99)*(1+PARAMETROS!$E$99)*(1+PARAMETROS!$F$99)</f>
        <v>769463.04568341305</v>
      </c>
      <c r="E133" s="791">
        <f>SUM(E85:E89)*(1+PARAMETROS!$C$99)*(1+PARAMETROS!$D$99)*(1+PARAMETROS!$E$99)*(1+PARAMETROS!$F$99)*(1+PARAMETROS!$G$99)</f>
        <v>807936.19796758378</v>
      </c>
      <c r="F133" s="791">
        <f>SUM(F85:F89)*(1+PARAMETROS!$C$99)*(1+PARAMETROS!$D$99)*(1+PARAMETROS!$E$99)*(1+PARAMETROS!$F$99)*(1+PARAMETROS!$G$99)*(1+PARAMETROS!$H$99)^F132</f>
        <v>844293.32687612495</v>
      </c>
      <c r="G133" s="214">
        <f>SUM(G85:G89)*(1+PARAMETROS!$C$99)*(1+PARAMETROS!$D$99)*(1+PARAMETROS!$E$99)*(1+PARAMETROS!$F$99)*(1+PARAMETROS!$G$99)*(1+PARAMETROS!$H$99)^G132</f>
        <v>882286.52658555051</v>
      </c>
      <c r="H133" s="214">
        <f>SUM(H85:H89)*(1+PARAMETROS!$C$99)*(1+PARAMETROS!$D$99)*(1+PARAMETROS!$E$99)*(1+PARAMETROS!$F$99)*(1+PARAMETROS!$G$99)*(1+PARAMETROS!$H$99)^H132</f>
        <v>921989.42028190033</v>
      </c>
      <c r="I133" s="214">
        <f>SUM(I85:I89)*(1+PARAMETROS!$C$99)*(1+PARAMETROS!$D$99)*(1+PARAMETROS!$E$99)*(1+PARAMETROS!$F$99)*(1+PARAMETROS!$G$99)*(1+PARAMETROS!$H$99)^I132</f>
        <v>963478.94419458555</v>
      </c>
      <c r="J133" s="214">
        <f>SUM(J85:J89)*(1+PARAMETROS!$C$99)*(1+PARAMETROS!$D$99)*(1+PARAMETROS!$E$99)*(1+PARAMETROS!$F$99)*(1+PARAMETROS!$G$99)*(1+PARAMETROS!$H$99)^J132</f>
        <v>1006835.4966833419</v>
      </c>
      <c r="K133" s="214">
        <f>SUM(K85:K89)*(1+PARAMETROS!$C$99)*(1+PARAMETROS!$D$99)*(1+PARAMETROS!$E$99)*(1+PARAMETROS!$F$99)*(1+PARAMETROS!$G$99)*(1+PARAMETROS!$H$99)^K132</f>
        <v>1052143.094034092</v>
      </c>
      <c r="L133" s="214">
        <f>SUM(L85:L89)*(1+PARAMETROS!$C$99)*(1+PARAMETROS!$D$99)*(1+PARAMETROS!$E$99)*(1+PARAMETROS!$F$99)*(1+PARAMETROS!$G$99)*(1+PARAMETROS!$H$99)^L132</f>
        <v>1099489.5332656263</v>
      </c>
      <c r="M133" s="214">
        <f>SUM(M85:M89)*(1+PARAMETROS!$C$99)*(1+PARAMETROS!$D$99)*(1+PARAMETROS!$E$99)*(1+PARAMETROS!$F$99)*(1+PARAMETROS!$G$99)*(1+PARAMETROS!$H$99)^M132</f>
        <v>1148966.5622625791</v>
      </c>
      <c r="N133" s="214">
        <f>SUM(N85:N89)*(1+PARAMETROS!$C$99)*(1+PARAMETROS!$D$99)*(1+PARAMETROS!$E$99)*(1+PARAMETROS!$F$99)*(1+PARAMETROS!$G$99)*(1+PARAMETROS!$H$99)^N132</f>
        <v>1200670.057564395</v>
      </c>
      <c r="O133" s="214">
        <f>SUM(O85:O89)*(1+PARAMETROS!$C$99)*(1+PARAMETROS!$D$99)*(1+PARAMETROS!$E$99)*(1+PARAMETROS!$F$99)*(1+PARAMETROS!$G$99)*(1+PARAMETROS!$H$99)^O132</f>
        <v>1254700.2101547925</v>
      </c>
      <c r="P133" s="214">
        <f>SUM(P85:P89)*(1+PARAMETROS!$C$99)*(1+PARAMETROS!$D$99)*(1+PARAMETROS!$E$99)*(1+PARAMETROS!$F$99)*(1+PARAMETROS!$G$99)*(1+PARAMETROS!$H$99)^P132</f>
        <v>1311161.7196117584</v>
      </c>
      <c r="Q133" s="214">
        <f>SUM(Q85:Q89)*(1+PARAMETROS!$C$99)*(1+PARAMETROS!$D$99)*(1+PARAMETROS!$E$99)*(1+PARAMETROS!$F$99)*(1+PARAMETROS!$G$99)*(1+PARAMETROS!$H$99)^Q132</f>
        <v>1370163.996994287</v>
      </c>
      <c r="R133" s="214">
        <f>SUM(R85:R89)*(1+PARAMETROS!$C$99)*(1+PARAMETROS!$D$99)*(1+PARAMETROS!$E$99)*(1+PARAMETROS!$F$99)*(1+PARAMETROS!$G$99)*(1+PARAMETROS!$H$99)^R132</f>
        <v>1431821.3768590302</v>
      </c>
      <c r="S133" s="214">
        <f>SUM(S85:S89)*(1+PARAMETROS!$C$99)*(1+PARAMETROS!$D$99)*(1+PARAMETROS!$E$99)*(1+PARAMETROS!$F$99)*(1+PARAMETROS!$G$99)*(1+PARAMETROS!$H$99)^S132</f>
        <v>1496253.3388176861</v>
      </c>
      <c r="T133" s="214">
        <f>SUM(T85:T89)*(1+PARAMETROS!$C$99)*(1+PARAMETROS!$D$99)*(1+PARAMETROS!$E$99)*(1+PARAMETROS!$F$99)*(1+PARAMETROS!$G$99)*(1+PARAMETROS!$H$99)^T132</f>
        <v>1563584.739064482</v>
      </c>
      <c r="U133" s="214">
        <f>SUM(U85:U89)*(1+PARAMETROS!$C$99)*(1+PARAMETROS!$D$99)*(1+PARAMETROS!$E$99)*(1+PARAMETROS!$F$99)*(1+PARAMETROS!$G$99)*(1+PARAMETROS!$H$99)^U132</f>
        <v>1633946.052322383</v>
      </c>
      <c r="V133" s="214">
        <f>SUM(V85:V89)*(1+PARAMETROS!$C$99)*(1+PARAMETROS!$D$99)*(1+PARAMETROS!$E$99)*(1+PARAMETROS!$F$99)*(1+PARAMETROS!$G$99)*(1+PARAMETROS!$H$99)^V132</f>
        <v>1707473.6246768904</v>
      </c>
      <c r="W133" s="214">
        <f>SUM(W85:W89)*(1+PARAMETROS!$C$99)*(1+PARAMETROS!$D$99)*(1+PARAMETROS!$E$99)*(1+PARAMETROS!$F$99)*(1+PARAMETROS!$G$99)*(1+PARAMETROS!$H$99)^W132</f>
        <v>1784309.93778735</v>
      </c>
      <c r="X133" s="214">
        <f>SUM(X85:X89)*(1+PARAMETROS!$C$99)*(1+PARAMETROS!$D$99)*(1+PARAMETROS!$E$99)*(1+PARAMETROS!$F$99)*(1+PARAMETROS!$G$99)*(1+PARAMETROS!$H$99)^X132</f>
        <v>1864603.8849877808</v>
      </c>
      <c r="Y133" s="214">
        <f>SUM(Y85:Y89)*(1+PARAMETROS!$C$99)*(1+PARAMETROS!$D$99)*(1+PARAMETROS!$E$99)*(1+PARAMETROS!$F$99)*(1+PARAMETROS!$G$99)*(1+PARAMETROS!$H$99)^Y132</f>
        <v>1948511.0598122305</v>
      </c>
      <c r="Z133" s="214">
        <f>SUM(Z85:Z89)*(1+PARAMETROS!$C$99)*(1+PARAMETROS!$D$99)*(1+PARAMETROS!$E$99)*(1+PARAMETROS!$F$99)*(1+PARAMETROS!$G$99)*(1+PARAMETROS!$H$99)^Z132</f>
        <v>2036194.057503781</v>
      </c>
      <c r="AA133" s="214">
        <f>SUM(AA85:AA89)*(1+PARAMETROS!$C$99)*(1+PARAMETROS!$D$99)*(1+PARAMETROS!$E$99)*(1+PARAMETROS!$F$99)*(1+PARAMETROS!$G$99)*(1+PARAMETROS!$H$99)^AA132</f>
        <v>2127822.7900914503</v>
      </c>
      <c r="AB133" s="214">
        <f>SUM(AB85:AB89)*(1+PARAMETROS!$C$99)*(1+PARAMETROS!$D$99)*(1+PARAMETROS!$E$99)*(1+PARAMETROS!$F$99)*(1+PARAMETROS!$G$99)*(1+PARAMETROS!$H$99)^AB132</f>
        <v>2223574.8156455657</v>
      </c>
      <c r="AC133" s="214">
        <f>SUM(AC85:AC89)*(1+PARAMETROS!$C$99)*(1+PARAMETROS!$D$99)*(1+PARAMETROS!$E$99)*(1+PARAMETROS!$F$99)*(1+PARAMETROS!$G$99)*(1+PARAMETROS!$H$99)^AC132</f>
        <v>2323635.6823496157</v>
      </c>
      <c r="AD133" s="214">
        <f>SUM(AD85:AD89)*(1+PARAMETROS!$C$99)*(1+PARAMETROS!$D$99)*(1+PARAMETROS!$E$99)*(1+PARAMETROS!$F$99)*(1+PARAMETROS!$G$99)*(1+PARAMETROS!$H$99)^AD132</f>
        <v>2428199.2880553482</v>
      </c>
      <c r="AE133" s="214">
        <f>SUM(AE85:AE89)*(1+PARAMETROS!$C$99)*(1+PARAMETROS!$D$99)*(1+PARAMETROS!$E$99)*(1+PARAMETROS!$F$99)*(1+PARAMETROS!$G$99)*(1+PARAMETROS!$H$99)^AE132</f>
        <v>2537468.2560178381</v>
      </c>
      <c r="AF133" s="214">
        <f>SUM(AF85:AF89)*(1+PARAMETROS!$C$99)*(1+PARAMETROS!$D$99)*(1+PARAMETROS!$E$99)*(1+PARAMETROS!$F$99)*(1+PARAMETROS!$G$99)*(1+PARAMETROS!$H$99)^AF132</f>
        <v>2651654.3275386412</v>
      </c>
      <c r="AG133" s="214">
        <f>SUM(AG85:AG89)*(1+PARAMETROS!$C$99)*(1+PARAMETROS!$D$99)*(1+PARAMETROS!$E$99)*(1+PARAMETROS!$F$99)*(1+PARAMETROS!$G$99)*(1+PARAMETROS!$H$99)^AG132</f>
        <v>2770978.7722778791</v>
      </c>
      <c r="AH133" s="214">
        <f>SUM(AH85:AH89)*(1+PARAMETROS!$C$99)*(1+PARAMETROS!$D$99)*(1+PARAMETROS!$E$99)*(1+PARAMETROS!$F$99)*(1+PARAMETROS!$G$99)*(1+PARAMETROS!$H$99)^AH132</f>
        <v>2895672.8170303842</v>
      </c>
      <c r="AI133" s="214">
        <f>SUM(AI85:AI89)*(1+PARAMETROS!$C$99)*(1+PARAMETROS!$D$99)*(1+PARAMETROS!$E$99)*(1+PARAMETROS!$F$99)*(1+PARAMETROS!$G$99)*(1+PARAMETROS!$H$99)^AI132</f>
        <v>3025978.0937967505</v>
      </c>
      <c r="AJ133" s="214">
        <f>SUM(AJ85:AJ89)*(1+PARAMETROS!$C$99)*(1+PARAMETROS!$D$99)*(1+PARAMETROS!$E$99)*(1+PARAMETROS!$F$99)*(1+PARAMETROS!$G$99)*(1+PARAMETROS!$H$99)^AJ132</f>
        <v>3162147.1080176048</v>
      </c>
      <c r="AK133" s="214">
        <f>SUM(AK85:AK89)*(1+PARAMETROS!$C$99)*(1+PARAMETROS!$D$99)*(1+PARAMETROS!$E$99)*(1+PARAMETROS!$F$99)*(1+PARAMETROS!$G$99)*(1+PARAMETROS!$H$99)^AK132</f>
        <v>3304443.7278783955</v>
      </c>
      <c r="AL133" s="214">
        <f>SUM(AL85:AL89)*(1+PARAMETROS!$C$99)*(1+PARAMETROS!$D$99)*(1+PARAMETROS!$E$99)*(1+PARAMETROS!$F$99)*(1+PARAMETROS!$G$99)*(1+PARAMETROS!$H$99)^AL132</f>
        <v>3453143.6956329225</v>
      </c>
      <c r="AM133" s="214">
        <f>SUM(AM85:AM89)*(1+PARAMETROS!$C$99)*(1+PARAMETROS!$D$99)*(1+PARAMETROS!$E$99)*(1+PARAMETROS!$F$99)*(1+PARAMETROS!$G$99)*(1+PARAMETROS!$H$99)^AM132</f>
        <v>3608535.1619364037</v>
      </c>
      <c r="AN133" s="214">
        <f>SUM(AN85:AN89)*(1+PARAMETROS!$C$99)*(1+PARAMETROS!$D$99)*(1+PARAMETROS!$E$99)*(1+PARAMETROS!$F$99)*(1+PARAMETROS!$G$99)*(1+PARAMETROS!$H$99)^AN132</f>
        <v>3770919.244223542</v>
      </c>
      <c r="AO133" s="214">
        <f>SUM(AO85:AO89)*(1+PARAMETROS!$C$99)*(1+PARAMETROS!$D$99)*(1+PARAMETROS!$E$99)*(1+PARAMETROS!$F$99)*(1+PARAMETROS!$G$99)*(1+PARAMETROS!$H$99)^AO132</f>
        <v>3940610.6102136006</v>
      </c>
      <c r="AP133" s="214">
        <f>SUM(AP85:AP89)*(1+PARAMETROS!$C$99)*(1+PARAMETROS!$D$99)*(1+PARAMETROS!$E$99)*(1+PARAMETROS!$F$99)*(1+PARAMETROS!$G$99)*(1+PARAMETROS!$H$99)^AP132</f>
        <v>4117938.0876732124</v>
      </c>
      <c r="AQ133" s="214">
        <f>SUM(AQ85:AQ89)*(1+PARAMETROS!$C$99)*(1+PARAMETROS!$D$99)*(1+PARAMETROS!$E$99)*(1+PARAMETROS!$F$99)*(1+PARAMETROS!$G$99)*(1+PARAMETROS!$H$99)^AQ132</f>
        <v>4303245.3016185062</v>
      </c>
      <c r="AR133" s="214">
        <f>SUM(AR85:AR89)*(1+PARAMETROS!$C$99)*(1+PARAMETROS!$D$99)*(1+PARAMETROS!$E$99)*(1+PARAMETROS!$F$99)*(1+PARAMETROS!$G$99)*(1+PARAMETROS!$H$99)^AR132</f>
        <v>4496891.3401913391</v>
      </c>
    </row>
    <row r="134" spans="2:44" x14ac:dyDescent="0.2">
      <c r="B134" s="792" t="s">
        <v>428</v>
      </c>
      <c r="C134" s="770" t="s">
        <v>317</v>
      </c>
      <c r="D134" s="791">
        <f>D91*(1+PARAMETROS!$C$104)*(1+PARAMETROS!$D$104)*(1+PARAMETROS!$E$104)*(1+PARAMETROS!$F$104)</f>
        <v>375356.64755491872</v>
      </c>
      <c r="E134" s="791">
        <f>E91*(1+PARAMETROS!$C$104)*(1+PARAMETROS!$D$104)*(1+PARAMETROS!$E$104)*(1+PARAMETROS!$F$104)*(1+PARAMETROS!$G$104)</f>
        <v>396001.26317043923</v>
      </c>
      <c r="F134" s="791">
        <f>F91*(1+PARAMETROS!$C$104)*(1+PARAMETROS!$D$104)*(1+PARAMETROS!$E$104)*(1+PARAMETROS!$F$104)*(1+PARAMETROS!$G$104)*(1+PARAMETROS!$H$104)^F132</f>
        <v>415801.32632896118</v>
      </c>
      <c r="G134" s="214">
        <f>G91*(1+PARAMETROS!$C$104)*(1+PARAMETROS!$D$104)*(1+PARAMETROS!$E$104)*(1+PARAMETROS!$F$104)*(1+PARAMETROS!$G$104)*(1+PARAMETROS!$H$104)^G132</f>
        <v>436591.39264540927</v>
      </c>
      <c r="H134" s="214">
        <f>H91*(1+PARAMETROS!$C$104)*(1+PARAMETROS!$D$104)*(1+PARAMETROS!$E$104)*(1+PARAMETROS!$F$104)*(1+PARAMETROS!$G$104)*(1+PARAMETROS!$H$104)^H132</f>
        <v>458420.96227767976</v>
      </c>
      <c r="I134" s="214">
        <f>I91*(1+PARAMETROS!$C$104)*(1+PARAMETROS!$D$104)*(1+PARAMETROS!$E$104)*(1+PARAMETROS!$F$104)*(1+PARAMETROS!$G$104)*(1+PARAMETROS!$H$104)^I132</f>
        <v>481342.0103915637</v>
      </c>
      <c r="J134" s="214">
        <f>J91*(1+PARAMETROS!$C$104)*(1+PARAMETROS!$D$104)*(1+PARAMETROS!$E$104)*(1+PARAMETROS!$F$104)*(1+PARAMETROS!$G$104)*(1+PARAMETROS!$H$104)^J132</f>
        <v>505409.11091114191</v>
      </c>
      <c r="K134" s="214">
        <f>K91*(1+PARAMETROS!$C$104)*(1+PARAMETROS!$D$104)*(1+PARAMETROS!$E$104)*(1+PARAMETROS!$F$104)*(1+PARAMETROS!$G$104)*(1+PARAMETROS!$H$104)^K132</f>
        <v>530679.56645669893</v>
      </c>
      <c r="L134" s="214">
        <f>L91*(1+PARAMETROS!$C$104)*(1+PARAMETROS!$D$104)*(1+PARAMETROS!$E$104)*(1+PARAMETROS!$F$104)*(1+PARAMETROS!$G$104)*(1+PARAMETROS!$H$104)^L132</f>
        <v>557213.54477953399</v>
      </c>
      <c r="M134" s="214">
        <f>M91*(1+PARAMETROS!$C$104)*(1+PARAMETROS!$D$104)*(1+PARAMETROS!$E$104)*(1+PARAMETROS!$F$104)*(1+PARAMETROS!$G$104)*(1+PARAMETROS!$H$104)^M132</f>
        <v>585074.22201851069</v>
      </c>
      <c r="N134" s="214">
        <f>N91*(1+PARAMETROS!$C$104)*(1+PARAMETROS!$D$104)*(1+PARAMETROS!$E$104)*(1+PARAMETROS!$F$104)*(1+PARAMETROS!$G$104)*(1+PARAMETROS!$H$104)^N132</f>
        <v>614327.93311943626</v>
      </c>
      <c r="O134" s="214">
        <f>O91*(1+PARAMETROS!$C$104)*(1+PARAMETROS!$D$104)*(1+PARAMETROS!$E$104)*(1+PARAMETROS!$F$104)*(1+PARAMETROS!$G$104)*(1+PARAMETROS!$H$104)^O132</f>
        <v>645044.32977540803</v>
      </c>
      <c r="P134" s="214">
        <f>P91*(1+PARAMETROS!$C$104)*(1+PARAMETROS!$D$104)*(1+PARAMETROS!$E$104)*(1+PARAMETROS!$F$104)*(1+PARAMETROS!$G$104)*(1+PARAMETROS!$H$104)^P132</f>
        <v>677296.54626417847</v>
      </c>
      <c r="Q134" s="214">
        <f>Q91*(1+PARAMETROS!$C$104)*(1+PARAMETROS!$D$104)*(1+PARAMETROS!$E$104)*(1+PARAMETROS!$F$104)*(1+PARAMETROS!$G$104)*(1+PARAMETROS!$H$104)^Q132</f>
        <v>711161.3735773873</v>
      </c>
      <c r="R134" s="214">
        <f>R91*(1+PARAMETROS!$C$104)*(1+PARAMETROS!$D$104)*(1+PARAMETROS!$E$104)*(1+PARAMETROS!$F$104)*(1+PARAMETROS!$G$104)*(1+PARAMETROS!$H$104)^R132</f>
        <v>746719.44225625682</v>
      </c>
      <c r="S134" s="214">
        <f>S91*(1+PARAMETROS!$C$104)*(1+PARAMETROS!$D$104)*(1+PARAMETROS!$E$104)*(1+PARAMETROS!$F$104)*(1+PARAMETROS!$G$104)*(1+PARAMETROS!$H$104)^S132</f>
        <v>784055.41436906951</v>
      </c>
      <c r="T134" s="214">
        <f>T91*(1+PARAMETROS!$C$104)*(1+PARAMETROS!$D$104)*(1+PARAMETROS!$E$104)*(1+PARAMETROS!$F$104)*(1+PARAMETROS!$G$104)*(1+PARAMETROS!$H$104)^T132</f>
        <v>823258.18508752319</v>
      </c>
      <c r="U134" s="214">
        <f>U91*(1+PARAMETROS!$C$104)*(1+PARAMETROS!$D$104)*(1+PARAMETROS!$E$104)*(1+PARAMETROS!$F$104)*(1+PARAMETROS!$G$104)*(1+PARAMETROS!$H$104)^U132</f>
        <v>864421.09434189927</v>
      </c>
      <c r="V134" s="214">
        <f>V91*(1+PARAMETROS!$C$104)*(1+PARAMETROS!$D$104)*(1+PARAMETROS!$E$104)*(1+PARAMETROS!$F$104)*(1+PARAMETROS!$G$104)*(1+PARAMETROS!$H$104)^V132</f>
        <v>907642.14905899437</v>
      </c>
      <c r="W134" s="214">
        <f>W91*(1+PARAMETROS!$C$104)*(1+PARAMETROS!$D$104)*(1+PARAMETROS!$E$104)*(1+PARAMETROS!$F$104)*(1+PARAMETROS!$G$104)*(1+PARAMETROS!$H$104)^W132</f>
        <v>953024.256511944</v>
      </c>
      <c r="X134" s="214">
        <f>X91*(1+PARAMETROS!$C$104)*(1+PARAMETROS!$D$104)*(1+PARAMETROS!$E$104)*(1+PARAMETROS!$F$104)*(1+PARAMETROS!$G$104)*(1+PARAMETROS!$H$104)^X132</f>
        <v>1000675.4693375413</v>
      </c>
      <c r="Y134" s="214">
        <f>Y91*(1+PARAMETROS!$C$104)*(1+PARAMETROS!$D$104)*(1+PARAMETROS!$E$104)*(1+PARAMETROS!$F$104)*(1+PARAMETROS!$G$104)*(1+PARAMETROS!$H$104)^Y132</f>
        <v>1050709.2428044183</v>
      </c>
      <c r="Z134" s="214">
        <f>Z91*(1+PARAMETROS!$C$104)*(1+PARAMETROS!$D$104)*(1+PARAMETROS!$E$104)*(1+PARAMETROS!$F$104)*(1+PARAMETROS!$G$104)*(1+PARAMETROS!$H$104)^Z132</f>
        <v>1103244.7049446392</v>
      </c>
      <c r="AA134" s="214">
        <f>AA91*(1+PARAMETROS!$C$104)*(1+PARAMETROS!$D$104)*(1+PARAMETROS!$E$104)*(1+PARAMETROS!$F$104)*(1+PARAMETROS!$G$104)*(1+PARAMETROS!$H$104)^AA132</f>
        <v>1158406.940191871</v>
      </c>
      <c r="AB134" s="214">
        <f>AB91*(1+PARAMETROS!$C$104)*(1+PARAMETROS!$D$104)*(1+PARAMETROS!$E$104)*(1+PARAMETROS!$F$104)*(1+PARAMETROS!$G$104)*(1+PARAMETROS!$H$104)^AB132</f>
        <v>1216327.2872014649</v>
      </c>
      <c r="AC134" s="214">
        <f>AC91*(1+PARAMETROS!$C$104)*(1+PARAMETROS!$D$104)*(1+PARAMETROS!$E$104)*(1+PARAMETROS!$F$104)*(1+PARAMETROS!$G$104)*(1+PARAMETROS!$H$104)^AC132</f>
        <v>1277143.651561538</v>
      </c>
      <c r="AD134" s="214">
        <f>AD91*(1+PARAMETROS!$C$104)*(1+PARAMETROS!$D$104)*(1+PARAMETROS!$E$104)*(1+PARAMETROS!$F$104)*(1+PARAMETROS!$G$104)*(1+PARAMETROS!$H$104)^AD132</f>
        <v>1341000.8341396148</v>
      </c>
      <c r="AE134" s="214">
        <f>AE91*(1+PARAMETROS!$C$104)*(1+PARAMETROS!$D$104)*(1+PARAMETROS!$E$104)*(1+PARAMETROS!$F$104)*(1+PARAMETROS!$G$104)*(1+PARAMETROS!$H$104)^AE132</f>
        <v>1408050.8758465957</v>
      </c>
      <c r="AF134" s="214">
        <f>AF91*(1+PARAMETROS!$C$104)*(1+PARAMETROS!$D$104)*(1+PARAMETROS!$E$104)*(1+PARAMETROS!$F$104)*(1+PARAMETROS!$G$104)*(1+PARAMETROS!$H$104)^AF132</f>
        <v>1478453.4196389255</v>
      </c>
      <c r="AG134" s="214">
        <f>AG91*(1+PARAMETROS!$C$104)*(1+PARAMETROS!$D$104)*(1+PARAMETROS!$E$104)*(1+PARAMETROS!$F$104)*(1+PARAMETROS!$G$104)*(1+PARAMETROS!$H$104)^AG132</f>
        <v>1552376.0906208716</v>
      </c>
      <c r="AH134" s="214">
        <f>AH91*(1+PARAMETROS!$C$104)*(1+PARAMETROS!$D$104)*(1+PARAMETROS!$E$104)*(1+PARAMETROS!$F$104)*(1+PARAMETROS!$G$104)*(1+PARAMETROS!$H$104)^AH132</f>
        <v>1629994.8951519155</v>
      </c>
      <c r="AI134" s="214">
        <f>AI91*(1+PARAMETROS!$C$104)*(1+PARAMETROS!$D$104)*(1+PARAMETROS!$E$104)*(1+PARAMETROS!$F$104)*(1+PARAMETROS!$G$104)*(1+PARAMETROS!$H$104)^AI132</f>
        <v>1711494.6399095107</v>
      </c>
      <c r="AJ134" s="214">
        <f>AJ91*(1+PARAMETROS!$C$104)*(1+PARAMETROS!$D$104)*(1+PARAMETROS!$E$104)*(1+PARAMETROS!$F$104)*(1+PARAMETROS!$G$104)*(1+PARAMETROS!$H$104)^AJ132</f>
        <v>1797069.3719049869</v>
      </c>
      <c r="AK134" s="214">
        <f>AK91*(1+PARAMETROS!$C$104)*(1+PARAMETROS!$D$104)*(1+PARAMETROS!$E$104)*(1+PARAMETROS!$F$104)*(1+PARAMETROS!$G$104)*(1+PARAMETROS!$H$104)^AK132</f>
        <v>1886922.840500236</v>
      </c>
      <c r="AL134" s="214">
        <f>AL91*(1+PARAMETROS!$C$104)*(1+PARAMETROS!$D$104)*(1+PARAMETROS!$E$104)*(1+PARAMETROS!$F$104)*(1+PARAMETROS!$G$104)*(1+PARAMETROS!$H$104)^AL132</f>
        <v>1981268.9825252481</v>
      </c>
      <c r="AM134" s="214">
        <f>AM91*(1+PARAMETROS!$C$104)*(1+PARAMETROS!$D$104)*(1+PARAMETROS!$E$104)*(1+PARAMETROS!$F$104)*(1+PARAMETROS!$G$104)*(1+PARAMETROS!$H$104)^AM132</f>
        <v>2080332.4316515103</v>
      </c>
      <c r="AN134" s="214">
        <f>AN91*(1+PARAMETROS!$C$104)*(1+PARAMETROS!$D$104)*(1+PARAMETROS!$E$104)*(1+PARAMETROS!$F$104)*(1+PARAMETROS!$G$104)*(1+PARAMETROS!$H$104)^AN132</f>
        <v>2184349.0532340859</v>
      </c>
      <c r="AO134" s="214">
        <f>AO91*(1+PARAMETROS!$C$104)*(1+PARAMETROS!$D$104)*(1+PARAMETROS!$E$104)*(1+PARAMETROS!$F$104)*(1+PARAMETROS!$G$104)*(1+PARAMETROS!$H$104)^AO132</f>
        <v>2293566.5058957902</v>
      </c>
      <c r="AP134" s="214">
        <f>AP91*(1+PARAMETROS!$C$104)*(1+PARAMETROS!$D$104)*(1+PARAMETROS!$E$104)*(1+PARAMETROS!$F$104)*(1+PARAMETROS!$G$104)*(1+PARAMETROS!$H$104)^AP132</f>
        <v>2408244.83119058</v>
      </c>
      <c r="AQ134" s="214">
        <f>AQ91*(1+PARAMETROS!$C$104)*(1+PARAMETROS!$D$104)*(1+PARAMETROS!$E$104)*(1+PARAMETROS!$F$104)*(1+PARAMETROS!$G$104)*(1+PARAMETROS!$H$104)^AQ132</f>
        <v>2528657.0727501083</v>
      </c>
      <c r="AR134" s="214">
        <f>AR91*(1+PARAMETROS!$C$104)*(1+PARAMETROS!$D$104)*(1+PARAMETROS!$E$104)*(1+PARAMETROS!$F$104)*(1+PARAMETROS!$G$104)*(1+PARAMETROS!$H$104)^AR132</f>
        <v>2655089.9263876146</v>
      </c>
    </row>
    <row r="135" spans="2:44" x14ac:dyDescent="0.2">
      <c r="B135" s="792" t="s">
        <v>429</v>
      </c>
      <c r="C135" s="770" t="s">
        <v>317</v>
      </c>
      <c r="D135" s="791">
        <f>(D100+D101)*(1+PARAMETROS!$C$89)*(1+PARAMETROS!$D$89)*(1+PARAMETROS!$E$89)*(1+PARAMETROS!$F$89)</f>
        <v>556626.78565018007</v>
      </c>
      <c r="E135" s="791">
        <f>(E100+E101)*(1+PARAMETROS!$C$89)*(1+PARAMETROS!$D$89)*(1+PARAMETROS!$E$89)*(1+PARAMETROS!$F$89)*(1+PARAMETROS!$G$89)</f>
        <v>581674.99100443814</v>
      </c>
      <c r="F135" s="791">
        <f>(F100+F101)*(1+PARAMETROS!$C$89)*(1+PARAMETROS!$D$89)*(1+PARAMETROS!$E$89)*(1+PARAMETROS!$F$89)*(1+PARAMETROS!$G$89)*(1+PARAMETROS!$H$89)^F132</f>
        <v>604941.99064461573</v>
      </c>
      <c r="G135" s="214">
        <f>(G100+G101)*(1+PARAMETROS!$C$89)*(1+PARAMETROS!$D$89)*(1+PARAMETROS!$E$89)*(1+PARAMETROS!$F$89)*(1+PARAMETROS!$G$89)*(1+PARAMETROS!$H$89)^G132</f>
        <v>629139.67027040035</v>
      </c>
      <c r="H135" s="214">
        <f>(H100+H101)*(1+PARAMETROS!$C$89)*(1+PARAMETROS!$D$89)*(1+PARAMETROS!$E$89)*(1+PARAMETROS!$F$89)*(1+PARAMETROS!$G$89)*(1+PARAMETROS!$H$89)^H132</f>
        <v>654305.25708121632</v>
      </c>
      <c r="I135" s="214">
        <f>(I100+I101)*(1+PARAMETROS!$C$89)*(1+PARAMETROS!$D$89)*(1+PARAMETROS!$E$89)*(1+PARAMETROS!$F$89)*(1+PARAMETROS!$G$89)*(1+PARAMETROS!$H$89)^I132</f>
        <v>680477.46736446512</v>
      </c>
      <c r="J135" s="214">
        <f>(J100+J101)*(1+PARAMETROS!$C$89)*(1+PARAMETROS!$D$89)*(1+PARAMETROS!$E$89)*(1+PARAMETROS!$F$89)*(1+PARAMETROS!$G$89)*(1+PARAMETROS!$H$89)^J132</f>
        <v>707696.56605904375</v>
      </c>
      <c r="K135" s="214">
        <f>(K100+K101)*(1+PARAMETROS!$C$89)*(1+PARAMETROS!$D$89)*(1+PARAMETROS!$E$89)*(1+PARAMETROS!$F$89)*(1+PARAMETROS!$G$89)*(1+PARAMETROS!$H$89)^K132</f>
        <v>736004.42870140553</v>
      </c>
      <c r="L135" s="214">
        <f>(L100+L101)*(1+PARAMETROS!$C$89)*(1+PARAMETROS!$D$89)*(1+PARAMETROS!$E$89)*(1+PARAMETROS!$F$89)*(1+PARAMETROS!$G$89)*(1+PARAMETROS!$H$89)^L132</f>
        <v>765444.60584946163</v>
      </c>
      <c r="M135" s="214">
        <f>(M100+M101)*(1+PARAMETROS!$C$89)*(1+PARAMETROS!$D$89)*(1+PARAMETROS!$E$89)*(1+PARAMETROS!$F$89)*(1+PARAMETROS!$G$89)*(1+PARAMETROS!$H$89)^M132</f>
        <v>796062.39008344023</v>
      </c>
      <c r="N135" s="214">
        <f>(N100+N101)*(1+PARAMETROS!$C$89)*(1+PARAMETROS!$D$89)*(1+PARAMETROS!$E$89)*(1+PARAMETROS!$F$89)*(1+PARAMETROS!$G$89)*(1+PARAMETROS!$H$89)^N132</f>
        <v>827904.885686778</v>
      </c>
      <c r="O135" s="214">
        <f>(O100+O101)*(1+PARAMETROS!$C$89)*(1+PARAMETROS!$D$89)*(1+PARAMETROS!$E$89)*(1+PARAMETROS!$F$89)*(1+PARAMETROS!$G$89)*(1+PARAMETROS!$H$89)^O132</f>
        <v>861021.08111424907</v>
      </c>
      <c r="P135" s="214">
        <f>(P100+P101)*(1+PARAMETROS!$C$89)*(1+PARAMETROS!$D$89)*(1+PARAMETROS!$E$89)*(1+PARAMETROS!$F$89)*(1+PARAMETROS!$G$89)*(1+PARAMETROS!$H$89)^P132</f>
        <v>895461.92435881891</v>
      </c>
      <c r="Q135" s="214">
        <f>(Q100+Q101)*(1+PARAMETROS!$C$89)*(1+PARAMETROS!$D$89)*(1+PARAMETROS!$E$89)*(1+PARAMETROS!$F$89)*(1+PARAMETROS!$G$89)*(1+PARAMETROS!$H$89)^Q132</f>
        <v>931280.40133317187</v>
      </c>
      <c r="R135" s="214">
        <f>(R100+R101)*(1+PARAMETROS!$C$89)*(1+PARAMETROS!$D$89)*(1+PARAMETROS!$E$89)*(1+PARAMETROS!$F$89)*(1+PARAMETROS!$G$89)*(1+PARAMETROS!$H$89)^R132</f>
        <v>968531.61738649884</v>
      </c>
      <c r="S135" s="214">
        <f>(S100+S101)*(1+PARAMETROS!$C$89)*(1+PARAMETROS!$D$89)*(1+PARAMETROS!$E$89)*(1+PARAMETROS!$F$89)*(1+PARAMETROS!$G$89)*(1+PARAMETROS!$H$89)^S132</f>
        <v>1007272.8820819587</v>
      </c>
      <c r="T135" s="214">
        <f>(T100+T101)*(1+PARAMETROS!$C$89)*(1+PARAMETROS!$D$89)*(1+PARAMETROS!$E$89)*(1+PARAMETROS!$F$89)*(1+PARAMETROS!$G$89)*(1+PARAMETROS!$H$89)^T132</f>
        <v>1047563.797365237</v>
      </c>
      <c r="U135" s="214">
        <f>(U100+U101)*(1+PARAMETROS!$C$89)*(1+PARAMETROS!$D$89)*(1+PARAMETROS!$E$89)*(1+PARAMETROS!$F$89)*(1+PARAMETROS!$G$89)*(1+PARAMETROS!$H$89)^U132</f>
        <v>1089466.3492598468</v>
      </c>
      <c r="V135" s="214">
        <f>(V100+V101)*(1+PARAMETROS!$C$89)*(1+PARAMETROS!$D$89)*(1+PARAMETROS!$E$89)*(1+PARAMETROS!$F$89)*(1+PARAMETROS!$G$89)*(1+PARAMETROS!$H$89)^V132</f>
        <v>1133045.0032302407</v>
      </c>
      <c r="W135" s="214">
        <f>(W100+W101)*(1+PARAMETROS!$C$89)*(1+PARAMETROS!$D$89)*(1+PARAMETROS!$E$89)*(1+PARAMETROS!$F$89)*(1+PARAMETROS!$G$89)*(1+PARAMETROS!$H$89)^W132</f>
        <v>1178366.8033594503</v>
      </c>
      <c r="X135" s="214">
        <f>(X100+X101)*(1+PARAMETROS!$C$89)*(1+PARAMETROS!$D$89)*(1+PARAMETROS!$E$89)*(1+PARAMETROS!$F$89)*(1+PARAMETROS!$G$89)*(1+PARAMETROS!$H$89)^X132</f>
        <v>1225501.4754938283</v>
      </c>
      <c r="Y135" s="214">
        <f>(Y100+Y101)*(1+PARAMETROS!$C$89)*(1+PARAMETROS!$D$89)*(1+PARAMETROS!$E$89)*(1+PARAMETROS!$F$89)*(1+PARAMETROS!$G$89)*(1+PARAMETROS!$H$89)^Y132</f>
        <v>1274521.5345135815</v>
      </c>
      <c r="Z135" s="214">
        <f>(Z100+Z101)*(1+PARAMETROS!$C$89)*(1+PARAMETROS!$D$89)*(1+PARAMETROS!$E$89)*(1+PARAMETROS!$F$89)*(1+PARAMETROS!$G$89)*(1+PARAMETROS!$H$89)^Z132</f>
        <v>1325502.3958941251</v>
      </c>
      <c r="AA135" s="214">
        <f>(AA100+AA101)*(1+PARAMETROS!$C$89)*(1+PARAMETROS!$D$89)*(1+PARAMETROS!$E$89)*(1+PARAMETROS!$F$89)*(1+PARAMETROS!$G$89)*(1+PARAMETROS!$H$89)^AA132</f>
        <v>1378522.49172989</v>
      </c>
      <c r="AB135" s="214">
        <f>(AB100+AB101)*(1+PARAMETROS!$C$89)*(1+PARAMETROS!$D$89)*(1+PARAMETROS!$E$89)*(1+PARAMETROS!$F$89)*(1+PARAMETROS!$G$89)*(1+PARAMETROS!$H$89)^AB132</f>
        <v>1433663.3913990855</v>
      </c>
      <c r="AC135" s="214">
        <f>(AC100+AC101)*(1+PARAMETROS!$C$89)*(1+PARAMETROS!$D$89)*(1+PARAMETROS!$E$89)*(1+PARAMETROS!$F$89)*(1+PARAMETROS!$G$89)*(1+PARAMETROS!$H$89)^AC132</f>
        <v>1491009.927055049</v>
      </c>
      <c r="AD135" s="214">
        <f>(AD100+AD101)*(1+PARAMETROS!$C$89)*(1+PARAMETROS!$D$89)*(1+PARAMETROS!$E$89)*(1+PARAMETROS!$F$89)*(1+PARAMETROS!$G$89)*(1+PARAMETROS!$H$89)^AD132</f>
        <v>1550650.3241372514</v>
      </c>
      <c r="AE135" s="214">
        <f>(AE100+AE101)*(1+PARAMETROS!$C$89)*(1+PARAMETROS!$D$89)*(1+PARAMETROS!$E$89)*(1+PARAMETROS!$F$89)*(1+PARAMETROS!$G$89)*(1+PARAMETROS!$H$89)^AE132</f>
        <v>1612676.3371027412</v>
      </c>
      <c r="AF135" s="214">
        <f>(AF100+AF101)*(1+PARAMETROS!$C$89)*(1+PARAMETROS!$D$89)*(1+PARAMETROS!$E$89)*(1+PARAMETROS!$F$89)*(1+PARAMETROS!$G$89)*(1+PARAMETROS!$H$89)^AF132</f>
        <v>1677183.3905868509</v>
      </c>
      <c r="AG135" s="214">
        <f>(AG100+AG101)*(1+PARAMETROS!$C$89)*(1+PARAMETROS!$D$89)*(1+PARAMETROS!$E$89)*(1+PARAMETROS!$F$89)*(1+PARAMETROS!$G$89)*(1+PARAMETROS!$H$89)^AG132</f>
        <v>1744270.7262103253</v>
      </c>
      <c r="AH135" s="214">
        <f>(AH100+AH101)*(1+PARAMETROS!$C$89)*(1+PARAMETROS!$D$89)*(1+PARAMETROS!$E$89)*(1+PARAMETROS!$F$89)*(1+PARAMETROS!$G$89)*(1+PARAMETROS!$H$89)^AH132</f>
        <v>1814041.5552587383</v>
      </c>
      <c r="AI135" s="214">
        <f>(AI100+AI101)*(1+PARAMETROS!$C$89)*(1+PARAMETROS!$D$89)*(1+PARAMETROS!$E$89)*(1+PARAMETROS!$F$89)*(1+PARAMETROS!$G$89)*(1+PARAMETROS!$H$89)^AI132</f>
        <v>1886603.2174690878</v>
      </c>
      <c r="AJ135" s="214">
        <f>(AJ100+AJ101)*(1+PARAMETROS!$C$89)*(1+PARAMETROS!$D$89)*(1+PARAMETROS!$E$89)*(1+PARAMETROS!$F$89)*(1+PARAMETROS!$G$89)*(1+PARAMETROS!$H$89)^AJ132</f>
        <v>1962067.3461678512</v>
      </c>
      <c r="AK135" s="214">
        <f>(AK100+AK101)*(1+PARAMETROS!$C$89)*(1+PARAMETROS!$D$89)*(1+PARAMETROS!$E$89)*(1+PARAMETROS!$F$89)*(1+PARAMETROS!$G$89)*(1+PARAMETROS!$H$89)^AK132</f>
        <v>2040550.0400145655</v>
      </c>
      <c r="AL135" s="214">
        <f>(AL100+AL101)*(1+PARAMETROS!$C$89)*(1+PARAMETROS!$D$89)*(1+PARAMETROS!$E$89)*(1+PARAMETROS!$F$89)*(1+PARAMETROS!$G$89)*(1+PARAMETROS!$H$89)^AL132</f>
        <v>2122172.0416151481</v>
      </c>
      <c r="AM135" s="214">
        <f>(AM100+AM101)*(1+PARAMETROS!$C$89)*(1+PARAMETROS!$D$89)*(1+PARAMETROS!$E$89)*(1+PARAMETROS!$F$89)*(1+PARAMETROS!$G$89)*(1+PARAMETROS!$H$89)^AM132</f>
        <v>2207058.9232797544</v>
      </c>
      <c r="AN135" s="214">
        <f>(AN100+AN101)*(1+PARAMETROS!$C$89)*(1+PARAMETROS!$D$89)*(1+PARAMETROS!$E$89)*(1+PARAMETROS!$F$89)*(1+PARAMETROS!$G$89)*(1+PARAMETROS!$H$89)^AN132</f>
        <v>2295341.2802109444</v>
      </c>
      <c r="AO135" s="214">
        <f>(AO100+AO101)*(1+PARAMETROS!$C$89)*(1+PARAMETROS!$D$89)*(1+PARAMETROS!$E$89)*(1+PARAMETROS!$F$89)*(1+PARAMETROS!$G$89)*(1+PARAMETROS!$H$89)^AO132</f>
        <v>2387154.9314193823</v>
      </c>
      <c r="AP135" s="214">
        <f>(AP100+AP101)*(1+PARAMETROS!$C$89)*(1+PARAMETROS!$D$89)*(1+PARAMETROS!$E$89)*(1+PARAMETROS!$F$89)*(1+PARAMETROS!$G$89)*(1+PARAMETROS!$H$89)^AP132</f>
        <v>2482641.1286761584</v>
      </c>
      <c r="AQ135" s="214">
        <f>(AQ100+AQ101)*(1+PARAMETROS!$C$89)*(1+PARAMETROS!$D$89)*(1+PARAMETROS!$E$89)*(1+PARAMETROS!$F$89)*(1+PARAMETROS!$G$89)*(1+PARAMETROS!$H$89)^AQ132</f>
        <v>2581946.773823204</v>
      </c>
      <c r="AR135" s="214">
        <f>(AR100+AR101)*(1+PARAMETROS!$C$89)*(1+PARAMETROS!$D$89)*(1+PARAMETROS!$E$89)*(1+PARAMETROS!$F$89)*(1+PARAMETROS!$G$89)*(1+PARAMETROS!$H$89)^AR132</f>
        <v>2685224.644776132</v>
      </c>
    </row>
    <row r="136" spans="2:44" x14ac:dyDescent="0.2">
      <c r="B136" s="792" t="s">
        <v>430</v>
      </c>
      <c r="C136" s="770" t="s">
        <v>318</v>
      </c>
      <c r="D136" s="791">
        <f>(D95+D96+D104)*(1+PARAMETROS!$C$93)*(1+PARAMETROS!$D$93)*(1+PARAMETROS!$E$93)*(1+PARAMETROS!$F$93)</f>
        <v>493495.16853592882</v>
      </c>
      <c r="E136" s="791">
        <f>(E95+E96+E104)*(1+PARAMETROS!$C$93)*(1+PARAMETROS!$D$93)*(1+PARAMETROS!$E$93)*(1+PARAMETROS!$F$93)*(1+PARAMETROS!$G$93)</f>
        <v>500897.59606396774</v>
      </c>
      <c r="F136" s="791">
        <f>(F95+F96+F104)*(1+PARAMETROS!$C$93)*(1+PARAMETROS!$D$93)*(1+PARAMETROS!$E$93)*(1+PARAMETROS!$F$93)*(1+PARAMETROS!$G$93)*(1+PARAMETROS!$H$93)^F132</f>
        <v>510414.65038918308</v>
      </c>
      <c r="G136" s="214">
        <f>(G95+G96+G104)*(1+PARAMETROS!$C$93)*(1+PARAMETROS!$D$93)*(1+PARAMETROS!$E$93)*(1+PARAMETROS!$F$93)*(1+PARAMETROS!$G$93)*(1+PARAMETROS!$H$93)^G132</f>
        <v>520112.52874657756</v>
      </c>
      <c r="H136" s="214">
        <f>(H95+H96+H104)*(1+PARAMETROS!$C$93)*(1+PARAMETROS!$D$93)*(1+PARAMETROS!$E$93)*(1+PARAMETROS!$F$93)*(1+PARAMETROS!$G$93)*(1+PARAMETROS!$H$93)^H132</f>
        <v>4271133.4912122628</v>
      </c>
      <c r="I136" s="214">
        <f>(I95+I96+I104)*(1+PARAMETROS!$C$93)*(1+PARAMETROS!$D$93)*(1+PARAMETROS!$E$93)*(1+PARAMETROS!$F$93)*(1+PARAMETROS!$G$93)*(1+PARAMETROS!$H$93)^I132</f>
        <v>540064.565461825</v>
      </c>
      <c r="J136" s="214">
        <f>(J95+J96+J104)*(1+PARAMETROS!$C$93)*(1+PARAMETROS!$D$93)*(1+PARAMETROS!$E$93)*(1+PARAMETROS!$F$93)*(1+PARAMETROS!$G$93)*(1+PARAMETROS!$H$93)^J132</f>
        <v>550325.7922055996</v>
      </c>
      <c r="K136" s="214">
        <f>(K95+K96+K104)*(1+PARAMETROS!$C$93)*(1+PARAMETROS!$D$93)*(1+PARAMETROS!$E$93)*(1+PARAMETROS!$F$93)*(1+PARAMETROS!$G$93)*(1+PARAMETROS!$H$93)^K132</f>
        <v>560781.982257506</v>
      </c>
      <c r="L136" s="214">
        <f>(L95+L96+L104)*(1+PARAMETROS!$C$93)*(1+PARAMETROS!$D$93)*(1+PARAMETROS!$E$93)*(1+PARAMETROS!$F$93)*(1+PARAMETROS!$G$93)*(1+PARAMETROS!$H$93)^L132</f>
        <v>571436.83992039866</v>
      </c>
      <c r="M136" s="214">
        <f>(M95+M96+M104)*(1+PARAMETROS!$C$93)*(1+PARAMETROS!$D$93)*(1+PARAMETROS!$E$93)*(1+PARAMETROS!$F$93)*(1+PARAMETROS!$G$93)*(1+PARAMETROS!$H$93)^M132</f>
        <v>4692605.7154945536</v>
      </c>
      <c r="N136" s="214">
        <f>(N95+N96+N104)*(1+PARAMETROS!$C$93)*(1+PARAMETROS!$D$93)*(1+PARAMETROS!$E$93)*(1+PARAMETROS!$F$93)*(1+PARAMETROS!$G$93)*(1+PARAMETROS!$H$93)^N132</f>
        <v>593357.72853658488</v>
      </c>
      <c r="O136" s="214">
        <f>(O95+O96+O104)*(1+PARAMETROS!$C$93)*(1+PARAMETROS!$D$93)*(1+PARAMETROS!$E$93)*(1+PARAMETROS!$F$93)*(1+PARAMETROS!$G$93)*(1+PARAMETROS!$H$93)^O132</f>
        <v>604631.52537877997</v>
      </c>
      <c r="P136" s="214">
        <f>(P95+P96+P104)*(1+PARAMETROS!$C$93)*(1+PARAMETROS!$D$93)*(1+PARAMETROS!$E$93)*(1+PARAMETROS!$F$93)*(1+PARAMETROS!$G$93)*(1+PARAMETROS!$H$93)^P132</f>
        <v>616119.52436097688</v>
      </c>
      <c r="Q136" s="214">
        <f>(Q95+Q96+Q104)*(1+PARAMETROS!$C$93)*(1+PARAMETROS!$D$93)*(1+PARAMETROS!$E$93)*(1+PARAMETROS!$F$93)*(1+PARAMETROS!$G$93)*(1+PARAMETROS!$H$93)^Q132</f>
        <v>627825.79532383534</v>
      </c>
      <c r="R136" s="214">
        <f>(R95+R96+R104)*(1+PARAMETROS!$C$93)*(1+PARAMETROS!$D$93)*(1+PARAMETROS!$E$93)*(1+PARAMETROS!$F$93)*(1+PARAMETROS!$G$93)*(1+PARAMETROS!$H$93)^R132</f>
        <v>5155668.5002701981</v>
      </c>
      <c r="S136" s="214">
        <f>(S95+S96+S104)*(1+PARAMETROS!$C$93)*(1+PARAMETROS!$D$93)*(1+PARAMETROS!$E$93)*(1+PARAMETROS!$F$93)*(1+PARAMETROS!$G$93)*(1+PARAMETROS!$H$93)^S132</f>
        <v>651909.82065825304</v>
      </c>
      <c r="T136" s="214">
        <f>(T95+T96+T104)*(1+PARAMETROS!$C$93)*(1+PARAMETROS!$D$93)*(1+PARAMETROS!$E$93)*(1+PARAMETROS!$F$93)*(1+PARAMETROS!$G$93)*(1+PARAMETROS!$H$93)^T132</f>
        <v>664296.10725075973</v>
      </c>
      <c r="U136" s="214">
        <f>(U95+U96+U104)*(1+PARAMETROS!$C$93)*(1+PARAMETROS!$D$93)*(1+PARAMETROS!$E$93)*(1+PARAMETROS!$F$93)*(1+PARAMETROS!$G$93)*(1+PARAMETROS!$H$93)^U132</f>
        <v>676917.73328852409</v>
      </c>
      <c r="V136" s="214">
        <f>(V95+V96+V104)*(1+PARAMETROS!$C$93)*(1+PARAMETROS!$D$93)*(1+PARAMETROS!$E$93)*(1+PARAMETROS!$F$93)*(1+PARAMETROS!$G$93)*(1+PARAMETROS!$H$93)^V132</f>
        <v>689779.17022100603</v>
      </c>
      <c r="W136" s="214">
        <f>(W95+W96+W104)*(1+PARAMETROS!$C$93)*(1+PARAMETROS!$D$93)*(1+PARAMETROS!$E$93)*(1+PARAMETROS!$F$93)*(1+PARAMETROS!$G$93)*(1+PARAMETROS!$H$93)^W132</f>
        <v>5664425.9706095941</v>
      </c>
      <c r="X136" s="214">
        <f>(X95+X96+X104)*(1+PARAMETROS!$C$93)*(1+PARAMETROS!$D$93)*(1+PARAMETROS!$E$93)*(1+PARAMETROS!$F$93)*(1+PARAMETROS!$G$93)*(1+PARAMETROS!$H$93)^X132</f>
        <v>716239.78896985401</v>
      </c>
      <c r="Y136" s="214">
        <f>(Y95+Y96+Y104)*(1+PARAMETROS!$C$93)*(1+PARAMETROS!$D$93)*(1+PARAMETROS!$E$93)*(1+PARAMETROS!$F$93)*(1+PARAMETROS!$G$93)*(1+PARAMETROS!$H$93)^Y132</f>
        <v>729848.34496028116</v>
      </c>
      <c r="Z136" s="214">
        <f>(Z95+Z96+Z104)*(1+PARAMETROS!$C$93)*(1+PARAMETROS!$D$93)*(1+PARAMETROS!$E$93)*(1+PARAMETROS!$F$93)*(1+PARAMETROS!$G$93)*(1+PARAMETROS!$H$93)^Z132</f>
        <v>743715.46351452649</v>
      </c>
      <c r="AA136" s="214">
        <f>(AA95+AA96+AA104)*(1+PARAMETROS!$C$93)*(1+PARAMETROS!$D$93)*(1+PARAMETROS!$E$93)*(1+PARAMETROS!$F$93)*(1+PARAMETROS!$G$93)*(1+PARAMETROS!$H$93)^AA132</f>
        <v>757846.05732130259</v>
      </c>
      <c r="AB136" s="214">
        <f>(AB95+AB96+AB104)*(1+PARAMETROS!$C$93)*(1+PARAMETROS!$D$93)*(1+PARAMETROS!$E$93)*(1+PARAMETROS!$F$93)*(1+PARAMETROS!$G$93)*(1+PARAMETROS!$H$93)^AB132</f>
        <v>6223387.2435426936</v>
      </c>
      <c r="AC136" s="214">
        <f>(AC95+AC96+AC104)*(1+PARAMETROS!$C$93)*(1+PARAMETROS!$D$93)*(1+PARAMETROS!$E$93)*(1+PARAMETROS!$F$93)*(1+PARAMETROS!$G$93)*(1+PARAMETROS!$H$93)^AC132</f>
        <v>786917.78992620495</v>
      </c>
      <c r="AD136" s="214">
        <f>(AD95+AD96+AD104)*(1+PARAMETROS!$C$93)*(1+PARAMETROS!$D$93)*(1+PARAMETROS!$E$93)*(1+PARAMETROS!$F$93)*(1+PARAMETROS!$G$93)*(1+PARAMETROS!$H$93)^AD132</f>
        <v>801869.22793480277</v>
      </c>
      <c r="AE136" s="214">
        <f>(AE95+AE96+AE104)*(1+PARAMETROS!$C$93)*(1+PARAMETROS!$D$93)*(1+PARAMETROS!$E$93)*(1+PARAMETROS!$F$93)*(1+PARAMETROS!$G$93)*(1+PARAMETROS!$H$93)^AE132</f>
        <v>817104.74326556397</v>
      </c>
      <c r="AF136" s="214">
        <f>(AF95+AF96+AF104)*(1+PARAMETROS!$C$93)*(1+PARAMETROS!$D$93)*(1+PARAMETROS!$E$93)*(1+PARAMETROS!$F$93)*(1+PARAMETROS!$G$93)*(1+PARAMETROS!$H$93)^AF132</f>
        <v>832629.73338760971</v>
      </c>
      <c r="AG136" s="214">
        <f>(AG95+AG96+AG104)*(1+PARAMETROS!$C$93)*(1+PARAMETROS!$D$93)*(1+PARAMETROS!$E$93)*(1+PARAMETROS!$F$93)*(1+PARAMETROS!$G$93)*(1+PARAMETROS!$H$93)^AG132</f>
        <v>6837506.3923594393</v>
      </c>
      <c r="AH136" s="214">
        <f>(AH95+AH96+AH104)*(1+PARAMETROS!$C$93)*(1+PARAMETROS!$D$93)*(1+PARAMETROS!$E$93)*(1+PARAMETROS!$F$93)*(1+PARAMETROS!$G$93)*(1+PARAMETROS!$H$93)^AH132</f>
        <v>864570.24259009154</v>
      </c>
      <c r="AI136" s="214">
        <f>(AI95+AI96+AI104)*(1+PARAMETROS!$C$93)*(1+PARAMETROS!$D$93)*(1+PARAMETROS!$E$93)*(1+PARAMETROS!$F$93)*(1+PARAMETROS!$G$93)*(1+PARAMETROS!$H$93)^AI132</f>
        <v>880997.07719930355</v>
      </c>
      <c r="AJ136" s="214">
        <f>(AJ95+AJ96+AJ104)*(1+PARAMETROS!$C$93)*(1+PARAMETROS!$D$93)*(1+PARAMETROS!$E$93)*(1+PARAMETROS!$F$93)*(1+PARAMETROS!$G$93)*(1+PARAMETROS!$H$93)^AJ132</f>
        <v>897736.02166609024</v>
      </c>
      <c r="AK136" s="214">
        <f>(AK95+AK96+AK104)*(1+PARAMETROS!$C$93)*(1+PARAMETROS!$D$93)*(1+PARAMETROS!$E$93)*(1+PARAMETROS!$F$93)*(1+PARAMETROS!$G$93)*(1+PARAMETROS!$H$93)^AK132</f>
        <v>914793.00607774581</v>
      </c>
      <c r="AL136" s="214">
        <f>(AL95+AL96+AL104)*(1+PARAMETROS!$C$93)*(1+PARAMETROS!$D$93)*(1+PARAMETROS!$E$93)*(1+PARAMETROS!$F$93)*(1+PARAMETROS!$G$93)*(1+PARAMETROS!$H$93)^AL132</f>
        <v>7512226.3545571491</v>
      </c>
      <c r="AM136" s="214">
        <f>(AM95+AM96+AM104)*(1+PARAMETROS!$C$93)*(1+PARAMETROS!$D$93)*(1+PARAMETROS!$E$93)*(1+PARAMETROS!$F$93)*(1+PARAMETROS!$G$93)*(1+PARAMETROS!$H$93)^AM132</f>
        <v>949885.38058389409</v>
      </c>
      <c r="AN136" s="214">
        <f>(AN95+AN96+AN104)*(1+PARAMETROS!$C$93)*(1+PARAMETROS!$D$93)*(1+PARAMETROS!$E$93)*(1+PARAMETROS!$F$93)*(1+PARAMETROS!$G$93)*(1+PARAMETROS!$H$93)^AN132</f>
        <v>967933.20281498809</v>
      </c>
      <c r="AO136" s="214">
        <f>(AO95+AO96+AO104)*(1+PARAMETROS!$C$93)*(1+PARAMETROS!$D$93)*(1+PARAMETROS!$E$93)*(1+PARAMETROS!$F$93)*(1+PARAMETROS!$G$93)*(1+PARAMETROS!$H$93)^AO132</f>
        <v>986323.93366847292</v>
      </c>
      <c r="AP136" s="214">
        <f>(AP95+AP96+AP104)*(1+PARAMETROS!$C$93)*(1+PARAMETROS!$D$93)*(1+PARAMETROS!$E$93)*(1+PARAMETROS!$F$93)*(1+PARAMETROS!$G$93)*(1+PARAMETROS!$H$93)^AP132</f>
        <v>1005064.0884081735</v>
      </c>
      <c r="AQ136" s="214">
        <f>(AQ95+AQ96+AQ104)*(1+PARAMETROS!$C$93)*(1+PARAMETROS!$D$93)*(1+PARAMETROS!$E$93)*(1+PARAMETROS!$F$93)*(1+PARAMETROS!$G$93)*(1+PARAMETROS!$H$93)^AQ132</f>
        <v>8253527.172590958</v>
      </c>
      <c r="AR136" s="214">
        <f>(AR95+AR96+AR104)*(1+PARAMETROS!$C$93)*(1+PARAMETROS!$D$93)*(1+PARAMETROS!$E$93)*(1+PARAMETROS!$F$93)*(1+PARAMETROS!$G$93)*(1+PARAMETROS!$H$93)^AR132</f>
        <v>1043619.3519035998</v>
      </c>
    </row>
    <row r="137" spans="2:44" x14ac:dyDescent="0.2">
      <c r="B137" s="792" t="s">
        <v>426</v>
      </c>
      <c r="C137" s="770" t="s">
        <v>317</v>
      </c>
      <c r="D137" s="791">
        <f>D109*(1+PARAMETROS!$C$99)*(1+PARAMETROS!$D$99)*(1+PARAMETROS!$E$99)*(1+PARAMETROS!$F$99)</f>
        <v>683001.11935776309</v>
      </c>
      <c r="E137" s="791">
        <f>(E109)*(1+PARAMETROS!$C$99)*(1+PARAMETROS!$D$99)*(1+PARAMETROS!$E$99)*(1+PARAMETROS!$F$99)*(1+PARAMETROS!$G$99)</f>
        <v>717151.1753256513</v>
      </c>
      <c r="F137" s="791">
        <f>(F109)*(1+PARAMETROS!$C$99)*(1+PARAMETROS!$D$99)*(1+PARAMETROS!$E$99)*(1+PARAMETROS!$F$99)*(1+PARAMETROS!$G$99)*(1+PARAMETROS!$H$99)^F132</f>
        <v>749422.9782153056</v>
      </c>
      <c r="G137" s="214">
        <f>(G109)*(1+PARAMETROS!$C$99)*(1+PARAMETROS!$D$99)*(1+PARAMETROS!$E$99)*(1+PARAMETROS!$F$99)*(1+PARAMETROS!$G$99)*(1+PARAMETROS!$H$99)^G132</f>
        <v>783147.01223499421</v>
      </c>
      <c r="H137" s="214">
        <f>(H109)*(1+PARAMETROS!$C$99)*(1+PARAMETROS!$D$99)*(1+PARAMETROS!$E$99)*(1+PARAMETROS!$F$99)*(1+PARAMETROS!$G$99)*(1+PARAMETROS!$H$99)^H132</f>
        <v>818388.62778556894</v>
      </c>
      <c r="I137" s="214">
        <f>(I109)*(1+PARAMETROS!$C$99)*(1+PARAMETROS!$D$99)*(1+PARAMETROS!$E$99)*(1+PARAMETROS!$F$99)*(1+PARAMETROS!$G$99)*(1+PARAMETROS!$H$99)^I132</f>
        <v>855216.1160359194</v>
      </c>
      <c r="J137" s="214">
        <f>(J109)*(1+PARAMETROS!$C$99)*(1+PARAMETROS!$D$99)*(1+PARAMETROS!$E$99)*(1+PARAMETROS!$F$99)*(1+PARAMETROS!$G$99)*(1+PARAMETROS!$H$99)^J132</f>
        <v>893700.84125753574</v>
      </c>
      <c r="K137" s="214">
        <f>(K109)*(1+PARAMETROS!$C$99)*(1+PARAMETROS!$D$99)*(1+PARAMETROS!$E$99)*(1+PARAMETROS!$F$99)*(1+PARAMETROS!$G$99)*(1+PARAMETROS!$H$99)^K132</f>
        <v>933917.37911412457</v>
      </c>
      <c r="L137" s="214">
        <f>(L109)*(1+PARAMETROS!$C$99)*(1+PARAMETROS!$D$99)*(1+PARAMETROS!$E$99)*(1+PARAMETROS!$F$99)*(1+PARAMETROS!$G$99)*(1+PARAMETROS!$H$99)^L132</f>
        <v>975943.66117426031</v>
      </c>
      <c r="M137" s="214">
        <f>(M109)*(1+PARAMETROS!$C$99)*(1+PARAMETROS!$D$99)*(1+PARAMETROS!$E$99)*(1+PARAMETROS!$F$99)*(1+PARAMETROS!$G$99)*(1+PARAMETROS!$H$99)^M132</f>
        <v>1019861.1259271017</v>
      </c>
      <c r="N137" s="214">
        <f>(N109)*(1+PARAMETROS!$C$99)*(1+PARAMETROS!$D$99)*(1+PARAMETROS!$E$99)*(1+PARAMETROS!$F$99)*(1+PARAMETROS!$G$99)*(1+PARAMETROS!$H$99)^N132</f>
        <v>1065754.8765938212</v>
      </c>
      <c r="O137" s="214">
        <f>(O109)*(1+PARAMETROS!$C$99)*(1+PARAMETROS!$D$99)*(1+PARAMETROS!$E$99)*(1+PARAMETROS!$F$99)*(1+PARAMETROS!$G$99)*(1+PARAMETROS!$H$99)^O132</f>
        <v>1113713.8460405429</v>
      </c>
      <c r="P137" s="214">
        <f>(P109)*(1+PARAMETROS!$C$99)*(1+PARAMETROS!$D$99)*(1+PARAMETROS!$E$99)*(1+PARAMETROS!$F$99)*(1+PARAMETROS!$G$99)*(1+PARAMETROS!$H$99)^P132</f>
        <v>1163830.9691123674</v>
      </c>
      <c r="Q137" s="214">
        <f>(Q109)*(1+PARAMETROS!$C$99)*(1+PARAMETROS!$D$99)*(1+PARAMETROS!$E$99)*(1+PARAMETROS!$F$99)*(1+PARAMETROS!$G$99)*(1+PARAMETROS!$H$99)^Q132</f>
        <v>1216203.3627224236</v>
      </c>
      <c r="R137" s="214">
        <f>(R109)*(1+PARAMETROS!$C$99)*(1+PARAMETROS!$D$99)*(1+PARAMETROS!$E$99)*(1+PARAMETROS!$F$99)*(1+PARAMETROS!$G$99)*(1+PARAMETROS!$H$99)^R132</f>
        <v>1270932.5140449328</v>
      </c>
      <c r="S137" s="214">
        <f>(S109)*(1+PARAMETROS!$C$99)*(1+PARAMETROS!$D$99)*(1+PARAMETROS!$E$99)*(1+PARAMETROS!$F$99)*(1+PARAMETROS!$G$99)*(1+PARAMETROS!$H$99)^S132</f>
        <v>1328124.4771769545</v>
      </c>
      <c r="T137" s="214">
        <f>(T109)*(1+PARAMETROS!$C$99)*(1+PARAMETROS!$D$99)*(1+PARAMETROS!$E$99)*(1+PARAMETROS!$F$99)*(1+PARAMETROS!$G$99)*(1+PARAMETROS!$H$99)^T132</f>
        <v>1387890.0786499174</v>
      </c>
      <c r="U137" s="214">
        <f>(U109)*(1+PARAMETROS!$C$99)*(1+PARAMETROS!$D$99)*(1+PARAMETROS!$E$99)*(1+PARAMETROS!$F$99)*(1+PARAMETROS!$G$99)*(1+PARAMETROS!$H$99)^U132</f>
        <v>1450345.1321891632</v>
      </c>
      <c r="V137" s="214">
        <f>(V109)*(1+PARAMETROS!$C$99)*(1+PARAMETROS!$D$99)*(1+PARAMETROS!$E$99)*(1+PARAMETROS!$F$99)*(1+PARAMETROS!$G$99)*(1+PARAMETROS!$H$99)^V132</f>
        <v>1515610.6631376755</v>
      </c>
      <c r="W137" s="214">
        <f>(W109)*(1+PARAMETROS!$C$99)*(1+PARAMETROS!$D$99)*(1+PARAMETROS!$E$99)*(1+PARAMETROS!$F$99)*(1+PARAMETROS!$G$99)*(1+PARAMETROS!$H$99)^W132</f>
        <v>1583813.1429788705</v>
      </c>
      <c r="X137" s="214">
        <f>(X109)*(1+PARAMETROS!$C$99)*(1+PARAMETROS!$D$99)*(1+PARAMETROS!$E$99)*(1+PARAMETROS!$F$99)*(1+PARAMETROS!$G$99)*(1+PARAMETROS!$H$99)^X132</f>
        <v>1655084.7344129197</v>
      </c>
      <c r="Y137" s="214">
        <f>(Y109)*(1+PARAMETROS!$C$99)*(1+PARAMETROS!$D$99)*(1+PARAMETROS!$E$99)*(1+PARAMETROS!$F$99)*(1+PARAMETROS!$G$99)*(1+PARAMETROS!$H$99)^Y132</f>
        <v>1729563.5474615006</v>
      </c>
      <c r="Z137" s="214">
        <f>(Z109)*(1+PARAMETROS!$C$99)*(1+PARAMETROS!$D$99)*(1+PARAMETROS!$E$99)*(1+PARAMETROS!$F$99)*(1+PARAMETROS!$G$99)*(1+PARAMETROS!$H$99)^Z132</f>
        <v>1807393.9070972684</v>
      </c>
      <c r="AA137" s="214">
        <f>(AA109)*(1+PARAMETROS!$C$99)*(1+PARAMETROS!$D$99)*(1+PARAMETROS!$E$99)*(1+PARAMETROS!$F$99)*(1+PARAMETROS!$G$99)*(1+PARAMETROS!$H$99)^AA132</f>
        <v>1888726.6329166449</v>
      </c>
      <c r="AB137" s="214">
        <f>(AB109)*(1+PARAMETROS!$C$99)*(1+PARAMETROS!$D$99)*(1+PARAMETROS!$E$99)*(1+PARAMETROS!$F$99)*(1+PARAMETROS!$G$99)*(1+PARAMETROS!$H$99)^AB132</f>
        <v>1973719.3313978938</v>
      </c>
      <c r="AC137" s="214">
        <f>(AC109)*(1+PARAMETROS!$C$99)*(1+PARAMETROS!$D$99)*(1+PARAMETROS!$E$99)*(1+PARAMETROS!$F$99)*(1+PARAMETROS!$G$99)*(1+PARAMETROS!$H$99)^AC132</f>
        <v>2062536.7013107988</v>
      </c>
      <c r="AD137" s="214">
        <f>(AD109)*(1+PARAMETROS!$C$99)*(1+PARAMETROS!$D$99)*(1+PARAMETROS!$E$99)*(1+PARAMETROS!$F$99)*(1+PARAMETROS!$G$99)*(1+PARAMETROS!$H$99)^AD132</f>
        <v>2155350.8528697845</v>
      </c>
      <c r="AE137" s="214">
        <f>(AE109)*(1+PARAMETROS!$C$99)*(1+PARAMETROS!$D$99)*(1+PARAMETROS!$E$99)*(1+PARAMETROS!$F$99)*(1+PARAMETROS!$G$99)*(1+PARAMETROS!$H$99)^AE132</f>
        <v>2252341.6412489242</v>
      </c>
      <c r="AF137" s="214">
        <f>(AF109)*(1+PARAMETROS!$C$99)*(1+PARAMETROS!$D$99)*(1+PARAMETROS!$E$99)*(1+PARAMETROS!$F$99)*(1+PARAMETROS!$G$99)*(1+PARAMETROS!$H$99)^AF132</f>
        <v>2353697.015105126</v>
      </c>
      <c r="AG137" s="214">
        <f>(AG109)*(1+PARAMETROS!$C$99)*(1+PARAMETROS!$D$99)*(1+PARAMETROS!$E$99)*(1+PARAMETROS!$F$99)*(1+PARAMETROS!$G$99)*(1+PARAMETROS!$H$99)^AG132</f>
        <v>2459613.3807848562</v>
      </c>
      <c r="AH137" s="214">
        <f>(AH109)*(1+PARAMETROS!$C$99)*(1+PARAMETROS!$D$99)*(1+PARAMETROS!$E$99)*(1+PARAMETROS!$F$99)*(1+PARAMETROS!$G$99)*(1+PARAMETROS!$H$99)^AH132</f>
        <v>2570295.982920175</v>
      </c>
      <c r="AI137" s="214">
        <f>(AI109)*(1+PARAMETROS!$C$99)*(1+PARAMETROS!$D$99)*(1+PARAMETROS!$E$99)*(1+PARAMETROS!$F$99)*(1+PARAMETROS!$G$99)*(1+PARAMETROS!$H$99)^AI132</f>
        <v>2685959.3021515817</v>
      </c>
      <c r="AJ137" s="214">
        <f>(AJ109)*(1+PARAMETROS!$C$99)*(1+PARAMETROS!$D$99)*(1+PARAMETROS!$E$99)*(1+PARAMETROS!$F$99)*(1+PARAMETROS!$G$99)*(1+PARAMETROS!$H$99)^AJ132</f>
        <v>2806827.4707484036</v>
      </c>
      <c r="AK137" s="214">
        <f>(AK109)*(1+PARAMETROS!$C$99)*(1+PARAMETROS!$D$99)*(1+PARAMETROS!$E$99)*(1+PARAMETROS!$F$99)*(1+PARAMETROS!$G$99)*(1+PARAMETROS!$H$99)^AK132</f>
        <v>2933134.70693208</v>
      </c>
      <c r="AL137" s="214">
        <f>(AL109)*(1+PARAMETROS!$C$99)*(1+PARAMETROS!$D$99)*(1+PARAMETROS!$E$99)*(1+PARAMETROS!$F$99)*(1+PARAMETROS!$G$99)*(1+PARAMETROS!$H$99)^AL132</f>
        <v>3065125.7687440231</v>
      </c>
      <c r="AM137" s="214">
        <f>(AM109)*(1+PARAMETROS!$C$99)*(1+PARAMETROS!$D$99)*(1+PARAMETROS!$E$99)*(1+PARAMETROS!$F$99)*(1+PARAMETROS!$G$99)*(1+PARAMETROS!$H$99)^AM132</f>
        <v>3203056.4283375042</v>
      </c>
      <c r="AN137" s="214">
        <f>(AN109)*(1+PARAMETROS!$C$99)*(1+PARAMETROS!$D$99)*(1+PARAMETROS!$E$99)*(1+PARAMETROS!$F$99)*(1+PARAMETROS!$G$99)*(1+PARAMETROS!$H$99)^AN132</f>
        <v>3347193.9676126917</v>
      </c>
      <c r="AO137" s="214">
        <f>(AO109)*(1+PARAMETROS!$C$99)*(1+PARAMETROS!$D$99)*(1+PARAMETROS!$E$99)*(1+PARAMETROS!$F$99)*(1+PARAMETROS!$G$99)*(1+PARAMETROS!$H$99)^AO132</f>
        <v>3497817.6961552622</v>
      </c>
      <c r="AP137" s="214">
        <f>(AP109)*(1+PARAMETROS!$C$99)*(1+PARAMETROS!$D$99)*(1+PARAMETROS!$E$99)*(1+PARAMETROS!$F$99)*(1+PARAMETROS!$G$99)*(1+PARAMETROS!$H$99)^AP132</f>
        <v>3655219.4924822487</v>
      </c>
      <c r="AQ137" s="214">
        <f>(AQ109)*(1+PARAMETROS!$C$99)*(1+PARAMETROS!$D$99)*(1+PARAMETROS!$E$99)*(1+PARAMETROS!$F$99)*(1+PARAMETROS!$G$99)*(1+PARAMETROS!$H$99)^AQ132</f>
        <v>3819704.3696439494</v>
      </c>
      <c r="AR137" s="214">
        <f>(AR109)*(1+PARAMETROS!$C$99)*(1+PARAMETROS!$D$99)*(1+PARAMETROS!$E$99)*(1+PARAMETROS!$F$99)*(1+PARAMETROS!$G$99)*(1+PARAMETROS!$H$99)^AR132</f>
        <v>3991591.0662779268</v>
      </c>
    </row>
    <row r="138" spans="2:44" x14ac:dyDescent="0.2">
      <c r="B138" s="792" t="s">
        <v>431</v>
      </c>
      <c r="C138" s="770" t="s">
        <v>317</v>
      </c>
      <c r="D138" s="791">
        <f>D111*(1+PARAMETROS!$C$89)*(1+PARAMETROS!$D$89)*(1+PARAMETROS!$E$89)*(1+PARAMETROS!$F$89)</f>
        <v>50152.898940178595</v>
      </c>
      <c r="E138" s="791">
        <f>(E111)*(1+PARAMETROS!$C$89)*(1+PARAMETROS!$D$89)*(1+PARAMETROS!$E$89)*(1+PARAMETROS!$F$89)*(1+PARAMETROS!$G$89)</f>
        <v>52409.779392486627</v>
      </c>
      <c r="F138" s="791">
        <f>(F111)*(1+PARAMETROS!$C$89)*(1+PARAMETROS!$D$89)*(1+PARAMETROS!$E$89)*(1+PARAMETROS!$F$89)*(1+PARAMETROS!$G$89)*(1+PARAMETROS!$H$89)^F132</f>
        <v>54506.170568186091</v>
      </c>
      <c r="G138" s="214">
        <f>(G111)*(1+PARAMETROS!$C$89)*(1+PARAMETROS!$D$89)*(1+PARAMETROS!$E$89)*(1+PARAMETROS!$F$89)*(1+PARAMETROS!$G$89)*(1+PARAMETROS!$H$89)^G132</f>
        <v>56686.417390913542</v>
      </c>
      <c r="H138" s="214">
        <f>(H111)*(1+PARAMETROS!$C$89)*(1+PARAMETROS!$D$89)*(1+PARAMETROS!$E$89)*(1+PARAMETROS!$F$89)*(1+PARAMETROS!$G$89)*(1+PARAMETROS!$H$89)^H132</f>
        <v>115574.70136397885</v>
      </c>
      <c r="I138" s="214">
        <f>(I111)*(1+PARAMETROS!$C$89)*(1+PARAMETROS!$D$89)*(1+PARAMETROS!$E$89)*(1+PARAMETROS!$F$89)*(1+PARAMETROS!$G$89)*(1+PARAMETROS!$H$89)^I132</f>
        <v>61312.02905001209</v>
      </c>
      <c r="J138" s="214">
        <f>(J111)*(1+PARAMETROS!$C$89)*(1+PARAMETROS!$D$89)*(1+PARAMETROS!$E$89)*(1+PARAMETROS!$F$89)*(1+PARAMETROS!$G$89)*(1+PARAMETROS!$H$89)^J132</f>
        <v>63764.510212012581</v>
      </c>
      <c r="K138" s="214">
        <f>(K111)*(1+PARAMETROS!$C$89)*(1+PARAMETROS!$D$89)*(1+PARAMETROS!$E$89)*(1+PARAMETROS!$F$89)*(1+PARAMETROS!$G$89)*(1+PARAMETROS!$H$89)^K132</f>
        <v>66315.09062049308</v>
      </c>
      <c r="L138" s="214">
        <f>(L111)*(1+PARAMETROS!$C$89)*(1+PARAMETROS!$D$89)*(1+PARAMETROS!$E$89)*(1+PARAMETROS!$F$89)*(1+PARAMETROS!$G$89)*(1+PARAMETROS!$H$89)^L132</f>
        <v>68967.694245312799</v>
      </c>
      <c r="M138" s="214">
        <f>(M111)*(1+PARAMETROS!$C$89)*(1+PARAMETROS!$D$89)*(1+PARAMETROS!$E$89)*(1+PARAMETROS!$F$89)*(1+PARAMETROS!$G$89)*(1+PARAMETROS!$H$89)^M132</f>
        <v>140614.29585849817</v>
      </c>
      <c r="N138" s="214">
        <f>(N111)*(1+PARAMETROS!$C$89)*(1+PARAMETROS!$D$89)*(1+PARAMETROS!$E$89)*(1+PARAMETROS!$F$89)*(1+PARAMETROS!$G$89)*(1+PARAMETROS!$H$89)^N132</f>
        <v>74595.458095730341</v>
      </c>
      <c r="O138" s="214">
        <f>(O111)*(1+PARAMETROS!$C$89)*(1+PARAMETROS!$D$89)*(1+PARAMETROS!$E$89)*(1+PARAMETROS!$F$89)*(1+PARAMETROS!$G$89)*(1+PARAMETROS!$H$89)^O132</f>
        <v>77579.276419559566</v>
      </c>
      <c r="P138" s="214">
        <f>(P111)*(1+PARAMETROS!$C$89)*(1+PARAMETROS!$D$89)*(1+PARAMETROS!$E$89)*(1+PARAMETROS!$F$89)*(1+PARAMETROS!$G$89)*(1+PARAMETROS!$H$89)^P132</f>
        <v>80682.447476341942</v>
      </c>
      <c r="Q138" s="214">
        <f>(Q111)*(1+PARAMETROS!$C$89)*(1+PARAMETROS!$D$89)*(1+PARAMETROS!$E$89)*(1+PARAMETROS!$F$89)*(1+PARAMETROS!$G$89)*(1+PARAMETROS!$H$89)^Q132</f>
        <v>83909.745375395636</v>
      </c>
      <c r="R138" s="214">
        <f>(R111)*(1+PARAMETROS!$C$89)*(1+PARAMETROS!$D$89)*(1+PARAMETROS!$E$89)*(1+PARAMETROS!$F$89)*(1+PARAMETROS!$G$89)*(1+PARAMETROS!$H$89)^R132</f>
        <v>171078.79117517412</v>
      </c>
      <c r="S138" s="214">
        <f>(S111)*(1+PARAMETROS!$C$89)*(1+PARAMETROS!$D$89)*(1+PARAMETROS!$E$89)*(1+PARAMETROS!$F$89)*(1+PARAMETROS!$G$89)*(1+PARAMETROS!$H$89)^S132</f>
        <v>90756.780598027923</v>
      </c>
      <c r="T138" s="214">
        <f>(T111)*(1+PARAMETROS!$C$89)*(1+PARAMETROS!$D$89)*(1+PARAMETROS!$E$89)*(1+PARAMETROS!$F$89)*(1+PARAMETROS!$G$89)*(1+PARAMETROS!$H$89)^T132</f>
        <v>94387.051821949033</v>
      </c>
      <c r="U138" s="214">
        <f>(U111)*(1+PARAMETROS!$C$89)*(1+PARAMETROS!$D$89)*(1+PARAMETROS!$E$89)*(1+PARAMETROS!$F$89)*(1+PARAMETROS!$G$89)*(1+PARAMETROS!$H$89)^U132</f>
        <v>98162.533894827007</v>
      </c>
      <c r="V138" s="214">
        <f>(V111)*(1+PARAMETROS!$C$89)*(1+PARAMETROS!$D$89)*(1+PARAMETROS!$E$89)*(1+PARAMETROS!$F$89)*(1+PARAMETROS!$G$89)*(1+PARAMETROS!$H$89)^V132</f>
        <v>102089.03525062009</v>
      </c>
      <c r="W138" s="214">
        <f>(W111)*(1+PARAMETROS!$C$89)*(1+PARAMETROS!$D$89)*(1+PARAMETROS!$E$89)*(1+PARAMETROS!$F$89)*(1+PARAMETROS!$G$89)*(1+PARAMETROS!$H$89)^W132</f>
        <v>208143.50782235916</v>
      </c>
      <c r="X138" s="214">
        <f>(X111)*(1+PARAMETROS!$C$89)*(1+PARAMETROS!$D$89)*(1+PARAMETROS!$E$89)*(1+PARAMETROS!$F$89)*(1+PARAMETROS!$G$89)*(1+PARAMETROS!$H$89)^X132</f>
        <v>110419.5005270707</v>
      </c>
      <c r="Y138" s="214">
        <f>(Y111)*(1+PARAMETROS!$C$89)*(1+PARAMETROS!$D$89)*(1+PARAMETROS!$E$89)*(1+PARAMETROS!$F$89)*(1+PARAMETROS!$G$89)*(1+PARAMETROS!$H$89)^Y132</f>
        <v>114836.28054815353</v>
      </c>
      <c r="Z138" s="214">
        <f>(Z111)*(1+PARAMETROS!$C$89)*(1+PARAMETROS!$D$89)*(1+PARAMETROS!$E$89)*(1+PARAMETROS!$F$89)*(1+PARAMETROS!$G$89)*(1+PARAMETROS!$H$89)^Z132</f>
        <v>119429.7317700797</v>
      </c>
      <c r="AA138" s="214">
        <f>(AA111)*(1+PARAMETROS!$C$89)*(1+PARAMETROS!$D$89)*(1+PARAMETROS!$E$89)*(1+PARAMETROS!$F$89)*(1+PARAMETROS!$G$89)*(1+PARAMETROS!$H$89)^AA132</f>
        <v>124206.92104088288</v>
      </c>
      <c r="AB138" s="214">
        <f>(AB111)*(1+PARAMETROS!$C$89)*(1+PARAMETROS!$D$89)*(1+PARAMETROS!$E$89)*(1+PARAMETROS!$F$89)*(1+PARAMETROS!$G$89)*(1+PARAMETROS!$H$89)^AB132</f>
        <v>253238.40290779038</v>
      </c>
      <c r="AC138" s="214">
        <f>(AC111)*(1+PARAMETROS!$C$89)*(1+PARAMETROS!$D$89)*(1+PARAMETROS!$E$89)*(1+PARAMETROS!$F$89)*(1+PARAMETROS!$G$89)*(1+PARAMETROS!$H$89)^AC132</f>
        <v>134342.20579781893</v>
      </c>
      <c r="AD138" s="214">
        <f>(AD111)*(1+PARAMETROS!$C$89)*(1+PARAMETROS!$D$89)*(1+PARAMETROS!$E$89)*(1+PARAMETROS!$F$89)*(1+PARAMETROS!$G$89)*(1+PARAMETROS!$H$89)^AD132</f>
        <v>139715.89402973172</v>
      </c>
      <c r="AE138" s="214">
        <f>(AE111)*(1+PARAMETROS!$C$89)*(1+PARAMETROS!$D$89)*(1+PARAMETROS!$E$89)*(1+PARAMETROS!$F$89)*(1+PARAMETROS!$G$89)*(1+PARAMETROS!$H$89)^AE132</f>
        <v>145304.52979092096</v>
      </c>
      <c r="AF138" s="214">
        <f>(AF111)*(1+PARAMETROS!$C$89)*(1+PARAMETROS!$D$89)*(1+PARAMETROS!$E$89)*(1+PARAMETROS!$F$89)*(1+PARAMETROS!$G$89)*(1+PARAMETROS!$H$89)^AF132</f>
        <v>151116.71098255779</v>
      </c>
      <c r="AG138" s="214">
        <f>(AG111)*(1+PARAMETROS!$C$89)*(1+PARAMETROS!$D$89)*(1+PARAMETROS!$E$89)*(1+PARAMETROS!$F$89)*(1+PARAMETROS!$G$89)*(1+PARAMETROS!$H$89)^AG132</f>
        <v>308103.23789690394</v>
      </c>
      <c r="AH138" s="214">
        <f>(AH111)*(1+PARAMETROS!$C$89)*(1+PARAMETROS!$D$89)*(1+PARAMETROS!$E$89)*(1+PARAMETROS!$F$89)*(1+PARAMETROS!$G$89)*(1+PARAMETROS!$H$89)^AH132</f>
        <v>163447.83459873457</v>
      </c>
      <c r="AI138" s="214">
        <f>(AI111)*(1+PARAMETROS!$C$89)*(1+PARAMETROS!$D$89)*(1+PARAMETROS!$E$89)*(1+PARAMETROS!$F$89)*(1+PARAMETROS!$G$89)*(1+PARAMETROS!$H$89)^AI132</f>
        <v>169985.74798268391</v>
      </c>
      <c r="AJ138" s="214">
        <f>(AJ111)*(1+PARAMETROS!$C$89)*(1+PARAMETROS!$D$89)*(1+PARAMETROS!$E$89)*(1+PARAMETROS!$F$89)*(1+PARAMETROS!$G$89)*(1+PARAMETROS!$H$89)^AJ132</f>
        <v>176785.17790199129</v>
      </c>
      <c r="AK138" s="214">
        <f>(AK111)*(1+PARAMETROS!$C$89)*(1+PARAMETROS!$D$89)*(1+PARAMETROS!$E$89)*(1+PARAMETROS!$F$89)*(1+PARAMETROS!$G$89)*(1+PARAMETROS!$H$89)^AK132</f>
        <v>183856.58501807097</v>
      </c>
      <c r="AL138" s="214">
        <f>(AL111)*(1+PARAMETROS!$C$89)*(1+PARAMETROS!$D$89)*(1+PARAMETROS!$E$89)*(1+PARAMETROS!$F$89)*(1+PARAMETROS!$G$89)*(1+PARAMETROS!$H$89)^AL132</f>
        <v>374854.69862610585</v>
      </c>
      <c r="AM138" s="214">
        <f>(AM111)*(1+PARAMETROS!$C$89)*(1+PARAMETROS!$D$89)*(1+PARAMETROS!$E$89)*(1+PARAMETROS!$F$89)*(1+PARAMETROS!$G$89)*(1+PARAMETROS!$H$89)^AM132</f>
        <v>198859.28235554555</v>
      </c>
      <c r="AN138" s="214">
        <f>(AN111)*(1+PARAMETROS!$C$89)*(1+PARAMETROS!$D$89)*(1+PARAMETROS!$E$89)*(1+PARAMETROS!$F$89)*(1+PARAMETROS!$G$89)*(1+PARAMETROS!$H$89)^AN132</f>
        <v>206813.6536497674</v>
      </c>
      <c r="AO138" s="214">
        <f>(AO111)*(1+PARAMETROS!$C$89)*(1+PARAMETROS!$D$89)*(1+PARAMETROS!$E$89)*(1+PARAMETROS!$F$89)*(1+PARAMETROS!$G$89)*(1+PARAMETROS!$H$89)^AO132</f>
        <v>215086.19979575809</v>
      </c>
      <c r="AP138" s="214">
        <f>(AP111)*(1+PARAMETROS!$C$89)*(1+PARAMETROS!$D$89)*(1+PARAMETROS!$E$89)*(1+PARAMETROS!$F$89)*(1+PARAMETROS!$G$89)*(1+PARAMETROS!$H$89)^AP132</f>
        <v>223689.64778758847</v>
      </c>
      <c r="AQ138" s="214">
        <f>(AQ111)*(1+PARAMETROS!$C$89)*(1+PARAMETROS!$D$89)*(1+PARAMETROS!$E$89)*(1+PARAMETROS!$F$89)*(1+PARAMETROS!$G$89)*(1+PARAMETROS!$H$89)^AQ132</f>
        <v>456068.05706172908</v>
      </c>
      <c r="AR138" s="214">
        <f>(AR111)*(1+PARAMETROS!$C$89)*(1+PARAMETROS!$D$89)*(1+PARAMETROS!$E$89)*(1+PARAMETROS!$F$89)*(1+PARAMETROS!$G$89)*(1+PARAMETROS!$H$89)^AR132</f>
        <v>241942.72304705562</v>
      </c>
    </row>
    <row r="139" spans="2:44" x14ac:dyDescent="0.2">
      <c r="B139" s="795"/>
      <c r="C139" s="796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</row>
    <row r="140" spans="2:44" x14ac:dyDescent="0.2">
      <c r="B140" s="794" t="s">
        <v>177</v>
      </c>
      <c r="C140" s="793"/>
      <c r="D140" s="793">
        <f>SUM(D133:D138)</f>
        <v>2928095.6657223823</v>
      </c>
      <c r="E140" s="793">
        <f t="shared" ref="E140" si="445">SUM(E133:E138)</f>
        <v>3056071.0029245666</v>
      </c>
      <c r="F140" s="793">
        <f t="shared" ref="F140" si="446">SUM(F133:F138)</f>
        <v>3179380.4430223769</v>
      </c>
      <c r="G140" s="793">
        <f t="shared" ref="G140" si="447">SUM(G133:G138)</f>
        <v>3307963.5478738458</v>
      </c>
      <c r="H140" s="793">
        <f t="shared" ref="H140" si="448">SUM(H133:H138)</f>
        <v>7239812.4600026067</v>
      </c>
      <c r="I140" s="793">
        <f t="shared" ref="I140" si="449">SUM(I133:I138)</f>
        <v>3581891.1324983705</v>
      </c>
      <c r="J140" s="793">
        <f t="shared" ref="J140" si="450">SUM(J133:J138)</f>
        <v>3727732.3173286757</v>
      </c>
      <c r="K140" s="793">
        <f t="shared" ref="K140" si="451">SUM(K133:K138)</f>
        <v>3879841.5411843196</v>
      </c>
      <c r="L140" s="793">
        <f t="shared" ref="L140" si="452">SUM(L133:L138)</f>
        <v>4038495.8792345938</v>
      </c>
      <c r="M140" s="793">
        <f t="shared" ref="M140" si="453">SUM(M133:M138)</f>
        <v>8383184.3116446836</v>
      </c>
      <c r="N140" s="793">
        <f t="shared" ref="N140" si="454">SUM(N133:N138)</f>
        <v>4376610.9395967452</v>
      </c>
      <c r="O140" s="793">
        <f t="shared" ref="O140" si="455">SUM(O133:O138)</f>
        <v>4556690.2688833317</v>
      </c>
      <c r="P140" s="793">
        <f t="shared" ref="P140" si="456">SUM(P133:P138)</f>
        <v>4744553.1311844429</v>
      </c>
      <c r="Q140" s="793">
        <f t="shared" ref="Q140" si="457">SUM(Q133:Q138)</f>
        <v>4940544.675326501</v>
      </c>
      <c r="R140" s="793">
        <f t="shared" ref="R140" si="458">SUM(R133:R138)</f>
        <v>9744752.2419920899</v>
      </c>
      <c r="S140" s="793">
        <f t="shared" ref="S140" si="459">SUM(S133:S138)</f>
        <v>5358372.7137019495</v>
      </c>
      <c r="T140" s="793">
        <f t="shared" ref="T140" si="460">SUM(T133:T138)</f>
        <v>5580979.9592398684</v>
      </c>
      <c r="U140" s="793">
        <f t="shared" ref="U140" si="461">SUM(U133:U138)</f>
        <v>5813258.8952966426</v>
      </c>
      <c r="V140" s="793">
        <f t="shared" ref="V140" si="462">SUM(V133:V138)</f>
        <v>6055639.6455754265</v>
      </c>
      <c r="W140" s="793">
        <f t="shared" ref="W140" si="463">SUM(W133:W138)</f>
        <v>11372083.619069569</v>
      </c>
      <c r="X140" s="793">
        <f t="shared" ref="X140" si="464">SUM(X133:X138)</f>
        <v>6572524.8537289947</v>
      </c>
      <c r="Y140" s="793">
        <f t="shared" ref="Y140" si="465">SUM(Y133:Y138)</f>
        <v>6847990.0101001654</v>
      </c>
      <c r="Z140" s="793">
        <f t="shared" ref="Z140" si="466">SUM(Z133:Z138)</f>
        <v>7135480.2607244197</v>
      </c>
      <c r="AA140" s="793">
        <f t="shared" ref="AA140" si="467">SUM(AA133:AA138)</f>
        <v>7435531.8332920419</v>
      </c>
      <c r="AB140" s="793">
        <f t="shared" ref="AB140" si="468">SUM(AB133:AB138)</f>
        <v>13323910.472094493</v>
      </c>
      <c r="AC140" s="793">
        <f t="shared" ref="AC140" si="469">SUM(AC133:AC138)</f>
        <v>8075585.9580010241</v>
      </c>
      <c r="AD140" s="793">
        <f t="shared" ref="AD140" si="470">SUM(AD133:AD138)</f>
        <v>8416786.4211665336</v>
      </c>
      <c r="AE140" s="793">
        <f t="shared" ref="AE140" si="471">SUM(AE133:AE138)</f>
        <v>8772946.3832725845</v>
      </c>
      <c r="AF140" s="793">
        <f t="shared" ref="AF140" si="472">SUM(AF133:AF138)</f>
        <v>9144734.5972397104</v>
      </c>
      <c r="AG140" s="793">
        <f t="shared" ref="AG140" si="473">SUM(AG133:AG138)</f>
        <v>15672848.600150274</v>
      </c>
      <c r="AH140" s="793">
        <f t="shared" ref="AH140" si="474">SUM(AH133:AH138)</f>
        <v>9938023.3275500387</v>
      </c>
      <c r="AI140" s="793">
        <f t="shared" ref="AI140" si="475">SUM(AI133:AI138)</f>
        <v>10361018.078508919</v>
      </c>
      <c r="AJ140" s="793">
        <f t="shared" ref="AJ140" si="476">SUM(AJ133:AJ138)</f>
        <v>10802632.496406928</v>
      </c>
      <c r="AK140" s="793">
        <f t="shared" ref="AK140" si="477">SUM(AK133:AK138)</f>
        <v>11263700.906421093</v>
      </c>
      <c r="AL140" s="793">
        <f t="shared" ref="AL140" si="478">SUM(AL133:AL138)</f>
        <v>18508791.541700594</v>
      </c>
      <c r="AM140" s="793">
        <f t="shared" ref="AM140" si="479">SUM(AM133:AM138)</f>
        <v>12247727.608144613</v>
      </c>
      <c r="AN140" s="793">
        <f t="shared" ref="AN140" si="480">SUM(AN133:AN138)</f>
        <v>12772550.40174602</v>
      </c>
      <c r="AO140" s="793">
        <f t="shared" ref="AO140" si="481">SUM(AO133:AO138)</f>
        <v>13320559.877148269</v>
      </c>
      <c r="AP140" s="793">
        <f t="shared" ref="AP140" si="482">SUM(AP133:AP138)</f>
        <v>13892797.27621796</v>
      </c>
      <c r="AQ140" s="793">
        <f t="shared" ref="AQ140" si="483">SUM(AQ133:AQ138)</f>
        <v>21943148.747488454</v>
      </c>
      <c r="AR140" s="793">
        <f t="shared" ref="AR140" si="484">SUM(AR133:AR138)</f>
        <v>15114359.052583668</v>
      </c>
    </row>
    <row r="141" spans="2:44" x14ac:dyDescent="0.2">
      <c r="C141" s="752"/>
    </row>
    <row r="142" spans="2:44" x14ac:dyDescent="0.2">
      <c r="C142" s="752"/>
    </row>
    <row r="143" spans="2:44" x14ac:dyDescent="0.2">
      <c r="C143" s="752"/>
    </row>
  </sheetData>
  <sheetProtection algorithmName="SHA-512" hashValue="u3j+fIp8qEH669CnxJXReTLd8xluj2dvJjAoit3AMV7oUYCLQhCPLCvdbGnvbC/h3xNkyrg9UY9OIpQc9A+s2w==" saltValue="lDtZgMPiiUdiPNyyKO1AHw==" spinCount="100000" sheet="1" objects="1" scenarios="1"/>
  <mergeCells count="1">
    <mergeCell ref="B2:B5"/>
  </mergeCells>
  <dataValidations count="1">
    <dataValidation type="list" allowBlank="1" showInputMessage="1" showErrorMessage="1" sqref="C18:C48 C81:C111 C57:C63 C70:C76 C120:C126 C133:C139">
      <formula1>Suministro</formula1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rgb="FF00B0F0"/>
  </sheetPr>
  <dimension ref="A1:BN441"/>
  <sheetViews>
    <sheetView zoomScale="98" zoomScaleNormal="98" workbookViewId="0">
      <selection activeCell="B120" sqref="B120"/>
    </sheetView>
  </sheetViews>
  <sheetFormatPr baseColWidth="10" defaultRowHeight="13.2" x14ac:dyDescent="0.25"/>
  <cols>
    <col min="2" max="2" width="56.88671875" bestFit="1" customWidth="1"/>
    <col min="3" max="3" width="20.44140625" bestFit="1" customWidth="1"/>
    <col min="4" max="7" width="16" bestFit="1" customWidth="1"/>
    <col min="8" max="46" width="12.6640625" bestFit="1" customWidth="1"/>
  </cols>
  <sheetData>
    <row r="1" spans="1:43" s="898" customFormat="1" ht="13.8" thickBot="1" x14ac:dyDescent="0.3"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899"/>
      <c r="U1" s="899"/>
      <c r="V1" s="899"/>
      <c r="W1" s="899"/>
      <c r="X1" s="899"/>
      <c r="Y1" s="899"/>
      <c r="Z1" s="899"/>
      <c r="AA1" s="899"/>
      <c r="AB1" s="899"/>
      <c r="AC1" s="899"/>
      <c r="AD1" s="899"/>
      <c r="AE1" s="899"/>
      <c r="AF1" s="899"/>
      <c r="AG1" s="899"/>
      <c r="AH1" s="899"/>
      <c r="AI1" s="899"/>
      <c r="AJ1" s="899"/>
      <c r="AK1" s="899"/>
      <c r="AL1" s="899"/>
      <c r="AM1" s="899"/>
      <c r="AN1" s="899"/>
      <c r="AO1" s="899"/>
      <c r="AP1" s="899"/>
      <c r="AQ1" s="900"/>
    </row>
    <row r="2" spans="1:43" s="808" customFormat="1" ht="21" x14ac:dyDescent="0.4">
      <c r="A2" s="885"/>
      <c r="B2" s="897" t="s">
        <v>561</v>
      </c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5"/>
      <c r="Y2" s="895"/>
      <c r="Z2" s="895"/>
      <c r="AA2" s="895"/>
      <c r="AB2" s="895"/>
      <c r="AC2" s="895"/>
      <c r="AD2" s="895"/>
      <c r="AE2" s="895"/>
      <c r="AF2" s="895"/>
      <c r="AG2" s="895"/>
      <c r="AH2" s="895"/>
      <c r="AI2" s="895"/>
      <c r="AJ2" s="895"/>
      <c r="AK2" s="895"/>
      <c r="AL2" s="895"/>
      <c r="AM2" s="895"/>
      <c r="AN2" s="895"/>
      <c r="AO2" s="895"/>
      <c r="AP2" s="895"/>
      <c r="AQ2" s="896"/>
    </row>
    <row r="3" spans="1:43" x14ac:dyDescent="0.25">
      <c r="A3" s="13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6"/>
    </row>
    <row r="4" spans="1:43" ht="14.4" x14ac:dyDescent="0.25">
      <c r="A4" s="13"/>
      <c r="B4" s="1078" t="s">
        <v>260</v>
      </c>
      <c r="C4" s="366" t="s">
        <v>312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6"/>
    </row>
    <row r="5" spans="1:43" ht="14.4" x14ac:dyDescent="0.25">
      <c r="A5" s="13"/>
      <c r="B5" s="1079"/>
      <c r="C5" s="498" t="s">
        <v>325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6"/>
    </row>
    <row r="6" spans="1:43" ht="14.4" x14ac:dyDescent="0.25">
      <c r="A6" s="13"/>
      <c r="B6" s="1079"/>
      <c r="C6" s="499" t="s">
        <v>324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6"/>
    </row>
    <row r="7" spans="1:43" ht="14.4" x14ac:dyDescent="0.25">
      <c r="A7" s="13"/>
      <c r="B7" s="1080"/>
      <c r="C7" s="367" t="s">
        <v>261</v>
      </c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6"/>
    </row>
    <row r="8" spans="1:43" x14ac:dyDescent="0.25">
      <c r="A8" s="13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6"/>
    </row>
    <row r="9" spans="1:43" ht="13.8" thickBot="1" x14ac:dyDescent="0.3">
      <c r="A9" s="13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6"/>
    </row>
    <row r="10" spans="1:43" ht="15" thickBot="1" x14ac:dyDescent="0.35">
      <c r="A10" s="13"/>
      <c r="B10" s="805" t="s">
        <v>402</v>
      </c>
      <c r="C10" s="806"/>
      <c r="D10" s="179"/>
      <c r="E10" s="177"/>
      <c r="F10" s="177"/>
      <c r="G10" s="177"/>
      <c r="H10" s="177"/>
      <c r="I10" s="177"/>
      <c r="J10" s="177"/>
      <c r="K10" s="177"/>
      <c r="L10" s="177"/>
      <c r="M10" s="177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6"/>
    </row>
    <row r="11" spans="1:43" x14ac:dyDescent="0.25">
      <c r="A11" s="13"/>
      <c r="B11" s="905" t="s">
        <v>484</v>
      </c>
      <c r="C11" s="969">
        <f>CHIFFRAGE_TC!L204</f>
        <v>122967890.77572113</v>
      </c>
      <c r="D11" s="804"/>
      <c r="E11" s="177"/>
      <c r="F11" s="177"/>
      <c r="H11" s="177"/>
      <c r="I11" s="178"/>
      <c r="J11" s="271"/>
      <c r="K11" s="177"/>
      <c r="L11" s="177"/>
      <c r="M11" s="177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6"/>
    </row>
    <row r="12" spans="1:43" x14ac:dyDescent="0.25">
      <c r="A12" s="13"/>
      <c r="B12" s="901" t="s">
        <v>485</v>
      </c>
      <c r="C12" s="902">
        <f>-F122</f>
        <v>127282791.60419181</v>
      </c>
      <c r="D12" s="804"/>
      <c r="E12" s="177"/>
      <c r="F12" s="177"/>
      <c r="H12" s="177"/>
      <c r="I12" s="178"/>
      <c r="J12" s="271"/>
      <c r="K12" s="177"/>
      <c r="L12" s="177"/>
      <c r="M12" s="177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6"/>
    </row>
    <row r="13" spans="1:43" x14ac:dyDescent="0.25">
      <c r="A13" s="13"/>
      <c r="B13" s="901" t="s">
        <v>486</v>
      </c>
      <c r="C13" s="902">
        <f>C12-C11</f>
        <v>4314900.8284706771</v>
      </c>
      <c r="D13" s="804"/>
      <c r="E13" s="177"/>
      <c r="F13" s="177"/>
      <c r="H13" s="177"/>
      <c r="I13" s="178"/>
      <c r="J13" s="271"/>
      <c r="K13" s="177"/>
      <c r="L13" s="177"/>
      <c r="M13" s="177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6"/>
    </row>
    <row r="14" spans="1:43" x14ac:dyDescent="0.25">
      <c r="A14" s="13"/>
      <c r="B14" s="213" t="s">
        <v>380</v>
      </c>
      <c r="C14" s="802">
        <f>CHIFFRAGE_TC!G202</f>
        <v>1750</v>
      </c>
      <c r="D14" s="177"/>
      <c r="E14" s="177"/>
      <c r="F14" s="177"/>
      <c r="H14" s="177"/>
      <c r="I14" s="268"/>
      <c r="J14" s="260"/>
      <c r="K14" s="260"/>
      <c r="L14" s="177"/>
      <c r="M14" s="177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6"/>
    </row>
    <row r="15" spans="1:43" x14ac:dyDescent="0.25">
      <c r="A15" s="13"/>
      <c r="B15" s="938" t="s">
        <v>381</v>
      </c>
      <c r="C15" s="939">
        <v>20</v>
      </c>
      <c r="D15" s="177"/>
      <c r="E15" s="177"/>
      <c r="F15" s="177"/>
      <c r="H15" s="177"/>
      <c r="I15" s="268"/>
      <c r="J15" s="260"/>
      <c r="K15" s="260"/>
      <c r="L15" s="177"/>
      <c r="M15" s="177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6"/>
    </row>
    <row r="16" spans="1:43" x14ac:dyDescent="0.25">
      <c r="A16" s="13"/>
      <c r="B16" s="213" t="s">
        <v>382</v>
      </c>
      <c r="C16" s="942"/>
      <c r="D16" s="177"/>
      <c r="E16" s="177"/>
      <c r="F16" s="177"/>
      <c r="H16" s="177"/>
      <c r="I16" s="260"/>
      <c r="J16" s="260"/>
      <c r="K16" s="260"/>
      <c r="L16" s="177"/>
      <c r="M16" s="177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6"/>
    </row>
    <row r="17" spans="1:45" s="91" customFormat="1" x14ac:dyDescent="0.25">
      <c r="A17" s="94"/>
      <c r="B17" s="935" t="s">
        <v>507</v>
      </c>
      <c r="C17" s="946">
        <f>CHIFFRAGE_TC!L218</f>
        <v>0.22551315381680292</v>
      </c>
      <c r="D17" s="940" t="s">
        <v>513</v>
      </c>
      <c r="E17" s="910"/>
      <c r="F17" s="910"/>
      <c r="H17" s="910"/>
      <c r="I17" s="936"/>
      <c r="J17" s="936"/>
      <c r="K17" s="936"/>
      <c r="L17" s="910"/>
      <c r="M17" s="910"/>
      <c r="N17" s="937"/>
      <c r="O17" s="937"/>
      <c r="P17" s="937"/>
      <c r="Q17" s="937"/>
      <c r="R17" s="937"/>
      <c r="S17" s="937"/>
      <c r="T17" s="937"/>
      <c r="U17" s="937"/>
      <c r="V17" s="937"/>
      <c r="W17" s="937"/>
      <c r="X17" s="937"/>
      <c r="Y17" s="937"/>
      <c r="Z17" s="937"/>
      <c r="AA17" s="937"/>
      <c r="AB17" s="937"/>
      <c r="AC17" s="937"/>
      <c r="AD17" s="937"/>
      <c r="AE17" s="937"/>
      <c r="AF17" s="937"/>
      <c r="AG17" s="937"/>
      <c r="AH17" s="937"/>
      <c r="AI17" s="937"/>
      <c r="AJ17" s="937"/>
      <c r="AK17" s="937"/>
      <c r="AL17" s="937"/>
      <c r="AM17" s="937"/>
      <c r="AN17" s="937"/>
      <c r="AO17" s="937"/>
      <c r="AP17" s="937"/>
    </row>
    <row r="18" spans="1:45" x14ac:dyDescent="0.25">
      <c r="A18" s="13"/>
      <c r="B18" s="935" t="s">
        <v>508</v>
      </c>
      <c r="C18" s="946">
        <f>CHIFFRAGE_TC!L219</f>
        <v>0.26969054957295224</v>
      </c>
      <c r="D18" s="940" t="s">
        <v>513</v>
      </c>
      <c r="E18" s="177"/>
      <c r="F18" s="177"/>
      <c r="H18" s="177"/>
      <c r="I18" s="260"/>
      <c r="J18" s="260"/>
      <c r="K18" s="260"/>
      <c r="L18" s="177"/>
      <c r="M18" s="177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6"/>
    </row>
    <row r="19" spans="1:45" x14ac:dyDescent="0.25">
      <c r="A19" s="13"/>
      <c r="B19" s="935" t="s">
        <v>509</v>
      </c>
      <c r="C19" s="946">
        <f>CHIFFRAGE_TC!L220</f>
        <v>0.45341241088588236</v>
      </c>
      <c r="D19" s="940" t="s">
        <v>513</v>
      </c>
      <c r="E19" s="177"/>
      <c r="F19" s="177"/>
      <c r="H19" s="177"/>
      <c r="I19" s="260"/>
      <c r="J19" s="260"/>
      <c r="K19" s="260"/>
      <c r="L19" s="177"/>
      <c r="M19" s="177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6"/>
    </row>
    <row r="20" spans="1:45" x14ac:dyDescent="0.25">
      <c r="A20" s="13"/>
      <c r="B20" s="935" t="s">
        <v>510</v>
      </c>
      <c r="C20" s="946">
        <f>CHIFFRAGE_TC!L221</f>
        <v>9.9706418151122897E-2</v>
      </c>
      <c r="D20" s="940" t="s">
        <v>513</v>
      </c>
      <c r="E20" s="177"/>
      <c r="F20" s="177"/>
      <c r="H20" s="177"/>
      <c r="I20" s="260"/>
      <c r="J20" s="260"/>
      <c r="K20" s="260"/>
      <c r="L20" s="177"/>
      <c r="M20" s="177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6"/>
    </row>
    <row r="21" spans="1:45" x14ac:dyDescent="0.25">
      <c r="A21" s="13"/>
      <c r="B21" s="935" t="s">
        <v>511</v>
      </c>
      <c r="C21" s="946">
        <f>CHIFFRAGE_TC!L222</f>
        <v>3.7954017771190229E-2</v>
      </c>
      <c r="D21" s="940" t="s">
        <v>513</v>
      </c>
      <c r="E21" s="177"/>
      <c r="F21" s="177"/>
      <c r="H21" s="177"/>
      <c r="I21" s="260"/>
      <c r="J21" s="260"/>
      <c r="K21" s="260"/>
      <c r="L21" s="177"/>
      <c r="M21" s="177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6"/>
    </row>
    <row r="22" spans="1:45" x14ac:dyDescent="0.25">
      <c r="A22" s="13"/>
      <c r="B22" s="945" t="s">
        <v>512</v>
      </c>
      <c r="C22" s="946">
        <f>CHIFFRAGE_TC!L223</f>
        <v>8.0279870318331111E-3</v>
      </c>
      <c r="D22" s="940" t="s">
        <v>513</v>
      </c>
      <c r="E22" s="177"/>
      <c r="F22" s="177"/>
      <c r="H22" s="177"/>
      <c r="I22" s="260"/>
      <c r="J22" s="260"/>
      <c r="K22" s="260"/>
      <c r="L22" s="177"/>
      <c r="M22" s="177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6"/>
    </row>
    <row r="23" spans="1:45" x14ac:dyDescent="0.25">
      <c r="A23" s="13"/>
      <c r="B23" s="213" t="s">
        <v>432</v>
      </c>
      <c r="C23" s="803">
        <v>0</v>
      </c>
      <c r="D23" s="804" t="s">
        <v>433</v>
      </c>
      <c r="E23" s="177"/>
      <c r="F23" s="177"/>
      <c r="H23" s="177"/>
      <c r="I23" s="260"/>
      <c r="J23" s="260"/>
      <c r="K23" s="269"/>
      <c r="L23" s="175"/>
      <c r="M23" s="177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6"/>
    </row>
    <row r="24" spans="1:45" x14ac:dyDescent="0.25">
      <c r="A24" s="13"/>
      <c r="B24" s="213" t="s">
        <v>399</v>
      </c>
      <c r="C24" s="803">
        <v>0.35</v>
      </c>
      <c r="D24" s="177" t="s">
        <v>227</v>
      </c>
      <c r="E24" s="177"/>
      <c r="F24" s="177"/>
      <c r="H24" s="177"/>
      <c r="I24" s="260"/>
      <c r="J24" s="260"/>
      <c r="K24" s="269"/>
      <c r="L24" s="175"/>
      <c r="M24" s="177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6"/>
    </row>
    <row r="25" spans="1:45" x14ac:dyDescent="0.25">
      <c r="A25" s="13"/>
      <c r="B25" s="213" t="s">
        <v>452</v>
      </c>
      <c r="C25" s="803">
        <v>0.02</v>
      </c>
      <c r="D25" s="177"/>
      <c r="E25" s="177"/>
      <c r="F25" s="177"/>
      <c r="H25" s="177"/>
      <c r="I25" s="177"/>
      <c r="J25" s="177"/>
      <c r="K25" s="175"/>
      <c r="L25" s="175"/>
      <c r="M25" s="177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6"/>
    </row>
    <row r="26" spans="1:45" ht="13.8" thickBot="1" x14ac:dyDescent="0.3">
      <c r="A26" s="13"/>
      <c r="B26" s="903" t="s">
        <v>398</v>
      </c>
      <c r="C26" s="904">
        <v>0.13</v>
      </c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6"/>
    </row>
    <row r="27" spans="1:45" x14ac:dyDescent="0.25">
      <c r="A27" s="13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K27" s="1"/>
      <c r="AL27" s="1"/>
      <c r="AM27" s="1"/>
      <c r="AN27" s="1"/>
      <c r="AO27" s="1"/>
      <c r="AP27" s="1"/>
      <c r="AQ27" s="1"/>
      <c r="AR27" s="1"/>
      <c r="AS27" s="1"/>
    </row>
    <row r="28" spans="1:45" ht="13.8" thickBot="1" x14ac:dyDescent="0.3">
      <c r="A28" s="13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K28" s="1"/>
      <c r="AL28" s="1"/>
      <c r="AM28" s="1"/>
      <c r="AN28" s="1"/>
      <c r="AO28" s="1"/>
      <c r="AP28" s="1"/>
      <c r="AQ28" s="1"/>
      <c r="AR28" s="1"/>
      <c r="AS28" s="1"/>
    </row>
    <row r="29" spans="1:45" x14ac:dyDescent="0.25">
      <c r="A29" s="13"/>
      <c r="B29" s="804"/>
      <c r="C29" s="1118" t="s">
        <v>453</v>
      </c>
      <c r="D29" s="1119"/>
      <c r="E29" s="1119"/>
      <c r="F29" s="1119"/>
      <c r="G29" s="1120"/>
      <c r="H29" s="177"/>
      <c r="I29" s="177"/>
      <c r="J29" s="177"/>
      <c r="K29" s="177"/>
      <c r="L29" s="177"/>
      <c r="M29" s="177"/>
      <c r="N29" s="177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K29" s="1"/>
      <c r="AL29" s="1"/>
      <c r="AM29" s="1"/>
      <c r="AN29" s="1"/>
      <c r="AO29" s="1"/>
      <c r="AP29" s="1"/>
      <c r="AQ29" s="1"/>
      <c r="AR29" s="1"/>
      <c r="AS29" s="1"/>
    </row>
    <row r="30" spans="1:45" ht="13.8" thickBot="1" x14ac:dyDescent="0.3">
      <c r="A30" s="13"/>
      <c r="B30" s="804"/>
      <c r="C30" s="914" t="s">
        <v>568</v>
      </c>
      <c r="D30" s="915">
        <v>0.75</v>
      </c>
      <c r="E30" s="915">
        <v>1</v>
      </c>
      <c r="F30" s="915">
        <v>1.25</v>
      </c>
      <c r="G30" s="916">
        <v>1.45</v>
      </c>
      <c r="H30" s="177"/>
      <c r="I30" s="177"/>
      <c r="J30" s="177"/>
      <c r="K30" s="177"/>
      <c r="L30" s="177"/>
      <c r="M30" s="177"/>
      <c r="N30" s="177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K30" s="1"/>
      <c r="AL30" s="1"/>
      <c r="AM30" s="1"/>
      <c r="AN30" s="1"/>
      <c r="AO30" s="1"/>
      <c r="AP30" s="1"/>
      <c r="AQ30" s="1"/>
      <c r="AR30" s="1"/>
      <c r="AS30" s="1"/>
    </row>
    <row r="31" spans="1:45" x14ac:dyDescent="0.25">
      <c r="A31" s="13"/>
      <c r="B31" s="917" t="s">
        <v>400</v>
      </c>
      <c r="C31" s="918">
        <f>AJ125</f>
        <v>-4.1561383606596558E-2</v>
      </c>
      <c r="D31" s="918">
        <f>AJ201</f>
        <v>-2.2413382902720325E-2</v>
      </c>
      <c r="E31" s="918">
        <f>AJ277</f>
        <v>-2.0109298470197823E-3</v>
      </c>
      <c r="F31" s="918">
        <f>AJ353</f>
        <v>1.5180992865243548E-2</v>
      </c>
      <c r="G31" s="919">
        <f>AJ429</f>
        <v>3.0000871050799294E-2</v>
      </c>
      <c r="H31" s="177"/>
      <c r="I31" s="177"/>
      <c r="J31" s="177"/>
      <c r="K31" s="177"/>
      <c r="L31" s="177"/>
      <c r="M31" s="177"/>
      <c r="N31" s="177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K31" s="1"/>
      <c r="AL31" s="1"/>
      <c r="AM31" s="1"/>
      <c r="AN31" s="1"/>
      <c r="AO31" s="1"/>
      <c r="AP31" s="1"/>
      <c r="AQ31" s="1"/>
      <c r="AR31" s="1"/>
      <c r="AS31" s="1"/>
    </row>
    <row r="32" spans="1:45" ht="13.8" thickBot="1" x14ac:dyDescent="0.3">
      <c r="A32" s="13"/>
      <c r="B32" s="920" t="s">
        <v>487</v>
      </c>
      <c r="C32" s="921">
        <f>AJ137</f>
        <v>-103351556.3498601</v>
      </c>
      <c r="D32" s="921">
        <f>AJ213</f>
        <v>-97283530.623532623</v>
      </c>
      <c r="E32" s="921">
        <f>AJ289</f>
        <v>-88845551.993025139</v>
      </c>
      <c r="F32" s="921">
        <f>AJ365</f>
        <v>-81313574.028458476</v>
      </c>
      <c r="G32" s="922">
        <f>AJ441</f>
        <v>-73989036.474960417</v>
      </c>
      <c r="H32" s="177"/>
      <c r="I32" s="177"/>
      <c r="J32" s="177"/>
      <c r="K32" s="177"/>
      <c r="L32" s="177"/>
      <c r="M32" s="177"/>
      <c r="N32" s="177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K32" s="1"/>
      <c r="AL32" s="1"/>
      <c r="AM32" s="1"/>
      <c r="AN32" s="1"/>
      <c r="AO32" s="1"/>
      <c r="AP32" s="1"/>
      <c r="AQ32" s="1"/>
      <c r="AR32" s="1"/>
      <c r="AS32" s="1"/>
    </row>
    <row r="33" spans="1:45" x14ac:dyDescent="0.25">
      <c r="A33" s="13"/>
      <c r="B33" s="917" t="s">
        <v>401</v>
      </c>
      <c r="C33" s="918">
        <f>AT128</f>
        <v>-4.9736411979047879E-2</v>
      </c>
      <c r="D33" s="923">
        <f>AT204</f>
        <v>-2.2911351209283004E-2</v>
      </c>
      <c r="E33" s="918">
        <f>AT280</f>
        <v>1.5957916948787787E-3</v>
      </c>
      <c r="F33" s="918">
        <f>AT356</f>
        <v>2.0595920230711551E-2</v>
      </c>
      <c r="G33" s="919">
        <f>AT432</f>
        <v>3.5857586848242251E-2</v>
      </c>
      <c r="H33" s="177"/>
      <c r="I33" s="177"/>
      <c r="J33" s="177"/>
      <c r="K33" s="177"/>
      <c r="L33" s="177"/>
      <c r="M33" s="177"/>
      <c r="N33" s="177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K33" s="1"/>
      <c r="AL33" s="1"/>
      <c r="AM33" s="1"/>
      <c r="AN33" s="1"/>
      <c r="AO33" s="1"/>
      <c r="AP33" s="1"/>
      <c r="AQ33" s="1"/>
      <c r="AR33" s="1"/>
      <c r="AS33" s="1"/>
    </row>
    <row r="34" spans="1:45" ht="13.8" thickBot="1" x14ac:dyDescent="0.3">
      <c r="A34" s="13"/>
      <c r="B34" s="920" t="s">
        <v>488</v>
      </c>
      <c r="C34" s="921">
        <f>AT137</f>
        <v>-103454756.51736873</v>
      </c>
      <c r="D34" s="921">
        <f>AT213</f>
        <v>-97198256.92275618</v>
      </c>
      <c r="E34" s="921">
        <f>AT289</f>
        <v>-88531675.244890615</v>
      </c>
      <c r="F34" s="921">
        <f>AT365</f>
        <v>-80753312.704547554</v>
      </c>
      <c r="G34" s="922">
        <f>AT441</f>
        <v>-73188061.745299309</v>
      </c>
      <c r="H34" s="177"/>
      <c r="I34" s="177"/>
      <c r="J34" s="177"/>
      <c r="K34" s="177"/>
      <c r="L34" s="177"/>
      <c r="M34" s="177"/>
      <c r="N34" s="177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K34" s="1"/>
      <c r="AL34" s="1"/>
      <c r="AM34" s="1"/>
      <c r="AN34" s="1"/>
      <c r="AO34" s="1"/>
      <c r="AP34" s="1"/>
      <c r="AQ34" s="1"/>
      <c r="AR34" s="1"/>
      <c r="AS34" s="1"/>
    </row>
    <row r="35" spans="1:45" x14ac:dyDescent="0.25">
      <c r="A35" s="13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K35" s="1"/>
      <c r="AL35" s="1"/>
      <c r="AM35" s="1"/>
      <c r="AN35" s="1"/>
      <c r="AO35" s="1"/>
      <c r="AP35" s="1"/>
      <c r="AQ35" s="1"/>
      <c r="AR35" s="1"/>
      <c r="AS35" s="1"/>
    </row>
    <row r="36" spans="1:45" x14ac:dyDescent="0.25">
      <c r="A36" s="13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K36" s="1"/>
      <c r="AL36" s="1"/>
      <c r="AM36" s="1"/>
      <c r="AN36" s="1"/>
      <c r="AO36" s="1"/>
      <c r="AP36" s="1"/>
      <c r="AQ36" s="1"/>
      <c r="AR36" s="1"/>
      <c r="AS36" s="1"/>
    </row>
    <row r="37" spans="1:45" x14ac:dyDescent="0.25">
      <c r="A37" s="13"/>
      <c r="B37" s="804"/>
      <c r="C37" s="1117" t="s">
        <v>570</v>
      </c>
      <c r="D37" s="1117"/>
      <c r="E37" s="1117"/>
      <c r="F37" s="1117"/>
      <c r="G37" s="1117"/>
      <c r="H37" s="1117"/>
      <c r="I37" s="1117"/>
      <c r="J37" s="177"/>
      <c r="K37" s="177"/>
      <c r="L37" s="177"/>
      <c r="M37" s="177"/>
      <c r="N37" s="177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K37" s="1"/>
      <c r="AL37" s="1"/>
      <c r="AM37" s="1"/>
      <c r="AN37" s="1"/>
      <c r="AO37" s="1"/>
      <c r="AP37" s="1"/>
      <c r="AQ37" s="1"/>
      <c r="AR37" s="1"/>
      <c r="AS37" s="1"/>
    </row>
    <row r="38" spans="1:45" x14ac:dyDescent="0.25">
      <c r="A38" s="13"/>
      <c r="B38" s="804"/>
      <c r="C38" s="911">
        <v>2020</v>
      </c>
      <c r="D38" s="911">
        <v>2025</v>
      </c>
      <c r="E38" s="911">
        <v>2030</v>
      </c>
      <c r="F38" s="911">
        <v>2035</v>
      </c>
      <c r="G38" s="911">
        <v>2040</v>
      </c>
      <c r="H38" s="911">
        <v>2045</v>
      </c>
      <c r="I38" s="911">
        <v>2050</v>
      </c>
      <c r="J38" s="177"/>
      <c r="K38" s="177"/>
      <c r="L38" s="177"/>
      <c r="M38" s="177"/>
      <c r="N38" s="177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K38" s="1"/>
      <c r="AL38" s="1"/>
      <c r="AM38" s="1"/>
      <c r="AN38" s="1"/>
      <c r="AO38" s="1"/>
      <c r="AP38" s="1"/>
      <c r="AQ38" s="1"/>
      <c r="AR38" s="1"/>
      <c r="AS38" s="1"/>
    </row>
    <row r="39" spans="1:45" x14ac:dyDescent="0.25">
      <c r="A39" s="13"/>
      <c r="B39" s="913" t="s">
        <v>491</v>
      </c>
      <c r="C39" s="912">
        <f>H133</f>
        <v>1.2766854450682461</v>
      </c>
      <c r="D39" s="912">
        <f>M133</f>
        <v>1.3467844893083754</v>
      </c>
      <c r="E39" s="912">
        <f>R133</f>
        <v>1.3181095231145301</v>
      </c>
      <c r="F39" s="912">
        <f>W133</f>
        <v>1.3427299691331014</v>
      </c>
      <c r="G39" s="912">
        <f>AB133</f>
        <v>1.3442016054117696</v>
      </c>
      <c r="H39" s="912">
        <f>AG133</f>
        <v>1.3439291091699768</v>
      </c>
      <c r="I39" s="912">
        <f>AL133</f>
        <v>1.2952895535941462</v>
      </c>
      <c r="J39" s="177"/>
      <c r="K39" s="177"/>
      <c r="L39" s="177"/>
      <c r="M39" s="177"/>
      <c r="N39" s="177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K39" s="1"/>
      <c r="AL39" s="1"/>
      <c r="AM39" s="1"/>
      <c r="AN39" s="1"/>
      <c r="AO39" s="1"/>
      <c r="AP39" s="1"/>
      <c r="AQ39" s="1"/>
      <c r="AR39" s="1"/>
      <c r="AS39" s="1"/>
    </row>
    <row r="40" spans="1:45" x14ac:dyDescent="0.25">
      <c r="A40" s="13"/>
      <c r="B40" s="913" t="s">
        <v>490</v>
      </c>
      <c r="C40" s="912">
        <f>H134</f>
        <v>0.27668544506824611</v>
      </c>
      <c r="D40" s="912">
        <f>M134</f>
        <v>0.34678448930837535</v>
      </c>
      <c r="E40" s="912">
        <f>R134</f>
        <v>0.31810952311453011</v>
      </c>
      <c r="F40" s="912">
        <f>W134</f>
        <v>0.34272996913310139</v>
      </c>
      <c r="G40" s="912">
        <f>AB134</f>
        <v>0.34420160541176958</v>
      </c>
      <c r="H40" s="912">
        <f>AG134</f>
        <v>0.34392910916997677</v>
      </c>
      <c r="I40" s="912">
        <f>AL134</f>
        <v>0.29528955359414621</v>
      </c>
      <c r="J40" s="177"/>
      <c r="K40" s="177"/>
      <c r="L40" s="177"/>
      <c r="M40" s="177"/>
      <c r="N40" s="177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K40" s="1"/>
      <c r="AL40" s="1"/>
      <c r="AM40" s="1"/>
      <c r="AN40" s="1"/>
      <c r="AO40" s="1"/>
      <c r="AP40" s="1"/>
      <c r="AQ40" s="1"/>
      <c r="AR40" s="1"/>
      <c r="AS40" s="1"/>
    </row>
    <row r="41" spans="1:45" x14ac:dyDescent="0.25">
      <c r="A41" s="13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K41" s="1"/>
      <c r="AL41" s="1"/>
      <c r="AM41" s="1"/>
      <c r="AN41" s="1"/>
      <c r="AO41" s="1"/>
      <c r="AP41" s="1"/>
      <c r="AQ41" s="1"/>
      <c r="AR41" s="1"/>
      <c r="AS41" s="1"/>
    </row>
    <row r="42" spans="1:45" x14ac:dyDescent="0.25">
      <c r="A42" s="13"/>
      <c r="B42" s="804"/>
      <c r="C42" s="1117" t="s">
        <v>492</v>
      </c>
      <c r="D42" s="1117"/>
      <c r="E42" s="1117"/>
      <c r="F42" s="1117"/>
      <c r="G42" s="1117"/>
      <c r="H42" s="1117"/>
      <c r="I42" s="1117"/>
      <c r="J42" s="177"/>
      <c r="K42" s="177"/>
      <c r="L42" s="177"/>
      <c r="M42" s="177"/>
      <c r="N42" s="177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K42" s="1"/>
      <c r="AL42" s="1"/>
      <c r="AM42" s="1"/>
      <c r="AN42" s="1"/>
      <c r="AO42" s="1"/>
      <c r="AP42" s="1"/>
      <c r="AQ42" s="1"/>
      <c r="AR42" s="1"/>
      <c r="AS42" s="1"/>
    </row>
    <row r="43" spans="1:45" x14ac:dyDescent="0.25">
      <c r="A43" s="13"/>
      <c r="B43" s="804"/>
      <c r="C43" s="911">
        <v>2020</v>
      </c>
      <c r="D43" s="911">
        <v>2025</v>
      </c>
      <c r="E43" s="911">
        <v>2030</v>
      </c>
      <c r="F43" s="911">
        <v>2035</v>
      </c>
      <c r="G43" s="911">
        <v>2040</v>
      </c>
      <c r="H43" s="911">
        <v>2045</v>
      </c>
      <c r="I43" s="911">
        <v>2050</v>
      </c>
      <c r="J43" s="177"/>
      <c r="K43" s="177"/>
      <c r="L43" s="177"/>
      <c r="M43" s="177"/>
      <c r="N43" s="177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K43" s="1"/>
      <c r="AL43" s="1"/>
      <c r="AM43" s="1"/>
      <c r="AN43" s="1"/>
      <c r="AO43" s="1"/>
      <c r="AP43" s="1"/>
      <c r="AQ43" s="1"/>
      <c r="AR43" s="1"/>
      <c r="AS43" s="1"/>
    </row>
    <row r="44" spans="1:45" x14ac:dyDescent="0.25">
      <c r="A44" s="13"/>
      <c r="B44" s="913" t="s">
        <v>491</v>
      </c>
      <c r="C44" s="912">
        <f>H209</f>
        <v>1.5531702162064824</v>
      </c>
      <c r="D44" s="912">
        <f>M209</f>
        <v>1.6428720978933893</v>
      </c>
      <c r="E44" s="912">
        <f>R209</f>
        <v>1.6268699690441495</v>
      </c>
      <c r="F44" s="912">
        <f>W209</f>
        <v>1.637274871867815</v>
      </c>
      <c r="G44" s="912">
        <f>AB209</f>
        <v>1.6346765169399498</v>
      </c>
      <c r="H44" s="912">
        <f>AG209</f>
        <v>1.6348230516274156</v>
      </c>
      <c r="I44" s="912">
        <f>AL209</f>
        <v>1.5751948274525112</v>
      </c>
      <c r="J44" s="177"/>
      <c r="K44" s="177"/>
      <c r="L44" s="177"/>
      <c r="M44" s="177"/>
      <c r="N44" s="177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K44" s="1"/>
      <c r="AL44" s="1"/>
      <c r="AM44" s="1"/>
      <c r="AN44" s="1"/>
      <c r="AO44" s="1"/>
      <c r="AP44" s="1"/>
      <c r="AQ44" s="1"/>
      <c r="AR44" s="1"/>
      <c r="AS44" s="1"/>
    </row>
    <row r="45" spans="1:45" x14ac:dyDescent="0.25">
      <c r="A45" s="13"/>
      <c r="B45" s="913" t="s">
        <v>490</v>
      </c>
      <c r="C45" s="912">
        <f>H210</f>
        <v>0.55317021620648243</v>
      </c>
      <c r="D45" s="912">
        <f>M210</f>
        <v>0.64287209789338928</v>
      </c>
      <c r="E45" s="912">
        <f>R210</f>
        <v>0.62686996904414949</v>
      </c>
      <c r="F45" s="912">
        <f>W210</f>
        <v>0.63727487186781495</v>
      </c>
      <c r="G45" s="912">
        <f>AB210</f>
        <v>0.63467651693994975</v>
      </c>
      <c r="H45" s="912">
        <f>AG210</f>
        <v>0.63482305162741559</v>
      </c>
      <c r="I45" s="912">
        <f>AL210</f>
        <v>0.57519482745251116</v>
      </c>
      <c r="J45" s="177"/>
      <c r="K45" s="177"/>
      <c r="L45" s="177"/>
      <c r="M45" s="177"/>
      <c r="N45" s="177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K45" s="1"/>
      <c r="AL45" s="1"/>
      <c r="AM45" s="1"/>
      <c r="AN45" s="1"/>
      <c r="AO45" s="1"/>
      <c r="AP45" s="1"/>
      <c r="AQ45" s="1"/>
      <c r="AR45" s="1"/>
      <c r="AS45" s="1"/>
    </row>
    <row r="46" spans="1:45" x14ac:dyDescent="0.25">
      <c r="A46" s="13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K46" s="1"/>
      <c r="AL46" s="1"/>
      <c r="AM46" s="1"/>
      <c r="AN46" s="1"/>
      <c r="AO46" s="1"/>
      <c r="AP46" s="1"/>
      <c r="AQ46" s="1"/>
      <c r="AR46" s="1"/>
      <c r="AS46" s="1"/>
    </row>
    <row r="47" spans="1:45" x14ac:dyDescent="0.25">
      <c r="A47" s="13"/>
      <c r="B47" s="804"/>
      <c r="C47" s="1117" t="s">
        <v>493</v>
      </c>
      <c r="D47" s="1117"/>
      <c r="E47" s="1117"/>
      <c r="F47" s="1117"/>
      <c r="G47" s="1117"/>
      <c r="H47" s="1117"/>
      <c r="I47" s="1117"/>
      <c r="J47" s="177"/>
      <c r="K47" s="177"/>
      <c r="L47" s="177"/>
      <c r="M47" s="177"/>
      <c r="N47" s="177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K47" s="1"/>
      <c r="AL47" s="1"/>
      <c r="AM47" s="1"/>
      <c r="AN47" s="1"/>
      <c r="AO47" s="1"/>
      <c r="AP47" s="1"/>
      <c r="AQ47" s="1"/>
      <c r="AR47" s="1"/>
      <c r="AS47" s="1"/>
    </row>
    <row r="48" spans="1:45" x14ac:dyDescent="0.25">
      <c r="A48" s="13"/>
      <c r="B48" s="804"/>
      <c r="C48" s="911">
        <v>2020</v>
      </c>
      <c r="D48" s="911">
        <v>2025</v>
      </c>
      <c r="E48" s="911">
        <v>2030</v>
      </c>
      <c r="F48" s="911">
        <v>2035</v>
      </c>
      <c r="G48" s="911">
        <v>2040</v>
      </c>
      <c r="H48" s="911">
        <v>2045</v>
      </c>
      <c r="I48" s="911">
        <v>2050</v>
      </c>
      <c r="J48" s="177"/>
      <c r="K48" s="177"/>
      <c r="L48" s="177"/>
      <c r="M48" s="177"/>
      <c r="N48" s="177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K48" s="1"/>
      <c r="AL48" s="1"/>
      <c r="AM48" s="1"/>
      <c r="AN48" s="1"/>
      <c r="AO48" s="1"/>
      <c r="AP48" s="1"/>
      <c r="AQ48" s="1"/>
      <c r="AR48" s="1"/>
      <c r="AS48" s="1"/>
    </row>
    <row r="49" spans="1:47" x14ac:dyDescent="0.25">
      <c r="A49" s="13"/>
      <c r="B49" s="913" t="s">
        <v>491</v>
      </c>
      <c r="C49" s="912">
        <f>H285</f>
        <v>2.0061434841900381</v>
      </c>
      <c r="D49" s="912">
        <f>M285</f>
        <v>2.1192657909763968</v>
      </c>
      <c r="E49" s="912">
        <f>R285</f>
        <v>2.0923134741504836</v>
      </c>
      <c r="F49" s="912">
        <f>W285</f>
        <v>2.0970452656824454</v>
      </c>
      <c r="G49" s="912">
        <f>AB285</f>
        <v>2.0922261636799235</v>
      </c>
      <c r="H49" s="912">
        <f>AG285</f>
        <v>2.0930327466057976</v>
      </c>
      <c r="I49" s="912">
        <f>AL285</f>
        <v>2.0160954150480976</v>
      </c>
      <c r="J49" s="177"/>
      <c r="K49" s="177"/>
      <c r="L49" s="177"/>
      <c r="M49" s="177"/>
      <c r="N49" s="177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K49" s="1"/>
      <c r="AL49" s="1"/>
      <c r="AM49" s="1"/>
      <c r="AN49" s="1"/>
      <c r="AO49" s="1"/>
      <c r="AP49" s="1"/>
      <c r="AQ49" s="1"/>
      <c r="AR49" s="1"/>
      <c r="AS49" s="1"/>
    </row>
    <row r="50" spans="1:47" x14ac:dyDescent="0.25">
      <c r="A50" s="13"/>
      <c r="B50" s="913" t="s">
        <v>490</v>
      </c>
      <c r="C50" s="912">
        <f>H286</f>
        <v>1.0061434841900381</v>
      </c>
      <c r="D50" s="912">
        <f>M286</f>
        <v>1.1192657909763968</v>
      </c>
      <c r="E50" s="912">
        <f>R286</f>
        <v>1.0923134741504836</v>
      </c>
      <c r="F50" s="912">
        <f>W286</f>
        <v>1.0970452656824454</v>
      </c>
      <c r="G50" s="912">
        <f>AB286</f>
        <v>1.0922261636799235</v>
      </c>
      <c r="H50" s="912">
        <f>AG286</f>
        <v>1.0930327466057976</v>
      </c>
      <c r="I50" s="912">
        <f>AL286</f>
        <v>1.0160954150480976</v>
      </c>
      <c r="J50" s="177"/>
      <c r="K50" s="177"/>
      <c r="L50" s="177"/>
      <c r="M50" s="177"/>
      <c r="N50" s="177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K50" s="1"/>
      <c r="AL50" s="1"/>
      <c r="AM50" s="1"/>
      <c r="AN50" s="1"/>
      <c r="AO50" s="1"/>
      <c r="AP50" s="1"/>
      <c r="AQ50" s="1"/>
      <c r="AR50" s="1"/>
      <c r="AS50" s="1"/>
    </row>
    <row r="51" spans="1:47" x14ac:dyDescent="0.25">
      <c r="A51" s="13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K51" s="1"/>
      <c r="AL51" s="1"/>
      <c r="AM51" s="1"/>
      <c r="AN51" s="1"/>
      <c r="AO51" s="1"/>
      <c r="AP51" s="1"/>
      <c r="AQ51" s="1"/>
      <c r="AR51" s="1"/>
      <c r="AS51" s="1"/>
    </row>
    <row r="52" spans="1:47" x14ac:dyDescent="0.25">
      <c r="A52" s="13"/>
      <c r="B52" s="804"/>
      <c r="C52" s="1117" t="s">
        <v>494</v>
      </c>
      <c r="D52" s="1117"/>
      <c r="E52" s="1117"/>
      <c r="F52" s="1117"/>
      <c r="G52" s="1117"/>
      <c r="H52" s="1117"/>
      <c r="I52" s="1117"/>
      <c r="J52" s="177"/>
      <c r="K52" s="177"/>
      <c r="L52" s="177"/>
      <c r="M52" s="177"/>
      <c r="N52" s="177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K52" s="1"/>
      <c r="AL52" s="1"/>
      <c r="AM52" s="1"/>
      <c r="AN52" s="1"/>
      <c r="AO52" s="1"/>
      <c r="AP52" s="1"/>
      <c r="AQ52" s="1"/>
      <c r="AR52" s="1"/>
      <c r="AS52" s="1"/>
    </row>
    <row r="53" spans="1:47" x14ac:dyDescent="0.25">
      <c r="A53" s="13"/>
      <c r="B53" s="804"/>
      <c r="C53" s="911">
        <v>2020</v>
      </c>
      <c r="D53" s="911">
        <v>2025</v>
      </c>
      <c r="E53" s="911">
        <v>2030</v>
      </c>
      <c r="F53" s="911">
        <v>2035</v>
      </c>
      <c r="G53" s="911">
        <v>2040</v>
      </c>
      <c r="H53" s="911">
        <v>2045</v>
      </c>
      <c r="I53" s="911">
        <v>2050</v>
      </c>
      <c r="J53" s="177"/>
      <c r="K53" s="177"/>
      <c r="L53" s="177"/>
      <c r="M53" s="177"/>
      <c r="N53" s="177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K53" s="1"/>
      <c r="AL53" s="1"/>
      <c r="AM53" s="1"/>
      <c r="AN53" s="1"/>
      <c r="AO53" s="1"/>
      <c r="AP53" s="1"/>
      <c r="AQ53" s="1"/>
      <c r="AR53" s="1"/>
      <c r="AS53" s="1"/>
    </row>
    <row r="54" spans="1:47" x14ac:dyDescent="0.25">
      <c r="A54" s="13"/>
      <c r="B54" s="913" t="s">
        <v>491</v>
      </c>
      <c r="C54" s="912">
        <f>H361</f>
        <v>2.4774792925958717</v>
      </c>
      <c r="D54" s="912">
        <f>M361</f>
        <v>2.6193912731982256</v>
      </c>
      <c r="E54" s="912">
        <f>R361</f>
        <v>2.5862112406511648</v>
      </c>
      <c r="F54" s="912">
        <f>W361</f>
        <v>2.5926372974919309</v>
      </c>
      <c r="G54" s="912">
        <f>AB361</f>
        <v>2.5871253772502141</v>
      </c>
      <c r="H54" s="912">
        <f>AG361</f>
        <v>2.5886458878480552</v>
      </c>
      <c r="I54" s="912">
        <f>AL361</f>
        <v>2.4929865144477192</v>
      </c>
      <c r="J54" s="177"/>
      <c r="K54" s="177"/>
      <c r="L54" s="177"/>
      <c r="M54" s="177"/>
      <c r="N54" s="177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K54" s="1"/>
      <c r="AL54" s="1"/>
      <c r="AM54" s="1"/>
      <c r="AN54" s="1"/>
      <c r="AO54" s="1"/>
      <c r="AP54" s="1"/>
      <c r="AQ54" s="1"/>
      <c r="AR54" s="1"/>
      <c r="AS54" s="1"/>
    </row>
    <row r="55" spans="1:47" x14ac:dyDescent="0.25">
      <c r="A55" s="13"/>
      <c r="B55" s="913" t="s">
        <v>490</v>
      </c>
      <c r="C55" s="912">
        <f>H362</f>
        <v>1.4774792925958717</v>
      </c>
      <c r="D55" s="912">
        <f>M362</f>
        <v>1.6193912731982256</v>
      </c>
      <c r="E55" s="912">
        <f>R362</f>
        <v>1.5862112406511648</v>
      </c>
      <c r="F55" s="912">
        <f>W362</f>
        <v>1.5926372974919309</v>
      </c>
      <c r="G55" s="912">
        <f>AB362</f>
        <v>1.5871253772502141</v>
      </c>
      <c r="H55" s="912">
        <f>AG362</f>
        <v>1.5886458878480552</v>
      </c>
      <c r="I55" s="912">
        <f>AL362</f>
        <v>1.4929865144477192</v>
      </c>
      <c r="J55" s="177"/>
      <c r="K55" s="177"/>
      <c r="L55" s="177"/>
      <c r="M55" s="177"/>
      <c r="N55" s="177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K55" s="1"/>
      <c r="AL55" s="1"/>
      <c r="AM55" s="1"/>
      <c r="AN55" s="1"/>
      <c r="AO55" s="1"/>
      <c r="AP55" s="1"/>
      <c r="AQ55" s="1"/>
      <c r="AR55" s="1"/>
      <c r="AS55" s="1"/>
    </row>
    <row r="56" spans="1:47" x14ac:dyDescent="0.25">
      <c r="A56" s="13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K56" s="1"/>
      <c r="AL56" s="1"/>
      <c r="AM56" s="1"/>
      <c r="AN56" s="1"/>
      <c r="AO56" s="1"/>
      <c r="AP56" s="1"/>
      <c r="AQ56" s="1"/>
      <c r="AR56" s="1"/>
      <c r="AS56" s="1"/>
    </row>
    <row r="57" spans="1:47" x14ac:dyDescent="0.25">
      <c r="A57" s="13"/>
      <c r="B57" s="804"/>
      <c r="C57" s="1117" t="s">
        <v>495</v>
      </c>
      <c r="D57" s="1117"/>
      <c r="E57" s="1117"/>
      <c r="F57" s="1117"/>
      <c r="G57" s="1117"/>
      <c r="H57" s="1117"/>
      <c r="I57" s="1117"/>
      <c r="J57" s="177"/>
      <c r="K57" s="177"/>
      <c r="L57" s="177"/>
      <c r="M57" s="177"/>
      <c r="N57" s="177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K57" s="1"/>
      <c r="AL57" s="1"/>
      <c r="AM57" s="1"/>
      <c r="AN57" s="1"/>
      <c r="AO57" s="1"/>
      <c r="AP57" s="1"/>
      <c r="AQ57" s="1"/>
      <c r="AR57" s="1"/>
      <c r="AS57" s="1"/>
    </row>
    <row r="58" spans="1:47" x14ac:dyDescent="0.25">
      <c r="A58" s="13"/>
      <c r="B58" s="804"/>
      <c r="C58" s="911">
        <v>2020</v>
      </c>
      <c r="D58" s="911">
        <v>2025</v>
      </c>
      <c r="E58" s="911">
        <v>2030</v>
      </c>
      <c r="F58" s="911">
        <v>2035</v>
      </c>
      <c r="G58" s="911">
        <v>2040</v>
      </c>
      <c r="H58" s="911">
        <v>2045</v>
      </c>
      <c r="I58" s="911">
        <v>2050</v>
      </c>
      <c r="J58" s="177"/>
      <c r="K58" s="177"/>
      <c r="L58" s="177"/>
      <c r="M58" s="177"/>
      <c r="N58" s="177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K58" s="1"/>
      <c r="AL58" s="1"/>
      <c r="AM58" s="1"/>
      <c r="AN58" s="1"/>
      <c r="AO58" s="1"/>
      <c r="AP58" s="1"/>
      <c r="AQ58" s="1"/>
      <c r="AR58" s="1"/>
      <c r="AS58" s="1"/>
    </row>
    <row r="59" spans="1:47" x14ac:dyDescent="0.25">
      <c r="A59" s="13"/>
      <c r="B59" s="913" t="s">
        <v>491</v>
      </c>
      <c r="C59" s="912">
        <f>H437</f>
        <v>2.9488151010017045</v>
      </c>
      <c r="D59" s="912">
        <f>M437</f>
        <v>3.1195167554200545</v>
      </c>
      <c r="E59" s="912">
        <f>R437</f>
        <v>3.0801090071518451</v>
      </c>
      <c r="F59" s="912">
        <f>W437</f>
        <v>3.0882293293014165</v>
      </c>
      <c r="G59" s="912">
        <f>AB437</f>
        <v>3.0820245908205033</v>
      </c>
      <c r="H59" s="912">
        <f>AG437</f>
        <v>3.0842590290903118</v>
      </c>
      <c r="I59" s="912">
        <f>AL437</f>
        <v>2.9698776138473404</v>
      </c>
      <c r="J59" s="177"/>
      <c r="K59" s="177"/>
      <c r="L59" s="177"/>
      <c r="M59" s="177"/>
      <c r="N59" s="177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K59" s="1"/>
      <c r="AL59" s="1"/>
      <c r="AM59" s="1"/>
      <c r="AN59" s="1"/>
      <c r="AO59" s="1"/>
      <c r="AP59" s="1"/>
      <c r="AQ59" s="1"/>
      <c r="AR59" s="1"/>
      <c r="AS59" s="1"/>
    </row>
    <row r="60" spans="1:47" x14ac:dyDescent="0.25">
      <c r="A60" s="13"/>
      <c r="B60" s="913" t="s">
        <v>490</v>
      </c>
      <c r="C60" s="912">
        <f>H438</f>
        <v>1.9488151010017045</v>
      </c>
      <c r="D60" s="912">
        <f>M438</f>
        <v>2.1195167554200545</v>
      </c>
      <c r="E60" s="912">
        <f>R438</f>
        <v>2.0801090071518451</v>
      </c>
      <c r="F60" s="912">
        <f>W438</f>
        <v>2.0882293293014165</v>
      </c>
      <c r="G60" s="912">
        <f>AB438</f>
        <v>2.0820245908205033</v>
      </c>
      <c r="H60" s="912">
        <f>AG438</f>
        <v>2.0842590290903118</v>
      </c>
      <c r="I60" s="912">
        <f>AL438</f>
        <v>1.9698776138473404</v>
      </c>
      <c r="J60" s="177"/>
      <c r="K60" s="177"/>
      <c r="L60" s="177"/>
      <c r="M60" s="177"/>
      <c r="N60" s="177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K60" s="1"/>
      <c r="AL60" s="1"/>
      <c r="AM60" s="1"/>
      <c r="AN60" s="1"/>
      <c r="AO60" s="1"/>
      <c r="AP60" s="1"/>
      <c r="AQ60" s="1"/>
      <c r="AR60" s="1"/>
      <c r="AS60" s="1"/>
    </row>
    <row r="61" spans="1:47" x14ac:dyDescent="0.25">
      <c r="A61" s="13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K61" s="1"/>
      <c r="AL61" s="1"/>
      <c r="AM61" s="1"/>
      <c r="AN61" s="1"/>
      <c r="AO61" s="1"/>
      <c r="AP61" s="1"/>
      <c r="AQ61" s="1"/>
      <c r="AR61" s="1"/>
      <c r="AS61" s="1"/>
    </row>
    <row r="62" spans="1:47" x14ac:dyDescent="0.25">
      <c r="A62" s="13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K62" s="1"/>
      <c r="AL62" s="1"/>
      <c r="AM62" s="1"/>
      <c r="AN62" s="1"/>
      <c r="AO62" s="1"/>
      <c r="AP62" s="1"/>
      <c r="AQ62" s="1"/>
      <c r="AR62" s="1"/>
      <c r="AS62" s="1"/>
    </row>
    <row r="63" spans="1:47" x14ac:dyDescent="0.25">
      <c r="A63" s="13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K63" s="1"/>
      <c r="AL63" s="1"/>
      <c r="AM63" s="1"/>
      <c r="AN63" s="1"/>
      <c r="AO63" s="1"/>
      <c r="AP63" s="1"/>
      <c r="AQ63" s="1"/>
      <c r="AR63" s="1"/>
      <c r="AS63" s="1"/>
    </row>
    <row r="64" spans="1:47" s="304" customFormat="1" ht="14.4" x14ac:dyDescent="0.3">
      <c r="A64" s="306"/>
      <c r="B64" s="759" t="s">
        <v>569</v>
      </c>
      <c r="C64" s="759"/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59"/>
      <c r="AE64" s="759"/>
      <c r="AF64" s="759"/>
      <c r="AG64" s="759"/>
      <c r="AH64" s="759"/>
      <c r="AI64" s="759"/>
      <c r="AJ64" s="759"/>
      <c r="AK64" s="759"/>
      <c r="AL64" s="759"/>
      <c r="AM64" s="759"/>
      <c r="AN64" s="759"/>
      <c r="AO64" s="759"/>
      <c r="AP64" s="759"/>
      <c r="AQ64" s="759"/>
      <c r="AR64" s="759"/>
      <c r="AS64" s="759"/>
      <c r="AT64" s="814"/>
      <c r="AU64" s="306"/>
    </row>
    <row r="65" spans="1:47" x14ac:dyDescent="0.25">
      <c r="A65" s="13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3"/>
      <c r="AK65" s="38"/>
      <c r="AL65" s="38"/>
      <c r="AM65" s="38"/>
      <c r="AN65" s="38"/>
      <c r="AO65" s="38"/>
      <c r="AP65" s="38"/>
      <c r="AQ65" s="38"/>
      <c r="AR65" s="38"/>
      <c r="AS65" s="38"/>
      <c r="AT65" s="13"/>
      <c r="AU65" s="13"/>
    </row>
    <row r="66" spans="1:47" ht="14.4" x14ac:dyDescent="0.3">
      <c r="B66" s="813" t="s">
        <v>378</v>
      </c>
      <c r="C66" s="179">
        <v>2015</v>
      </c>
      <c r="D66" s="179">
        <v>2016</v>
      </c>
      <c r="E66" s="179">
        <v>2017</v>
      </c>
      <c r="F66" s="179">
        <v>2018</v>
      </c>
      <c r="G66" s="179">
        <v>2019</v>
      </c>
      <c r="H66" s="179">
        <v>2020</v>
      </c>
      <c r="I66" s="179">
        <v>2021</v>
      </c>
      <c r="J66" s="179">
        <v>2022</v>
      </c>
      <c r="K66" s="179">
        <v>2023</v>
      </c>
      <c r="L66" s="179">
        <v>2024</v>
      </c>
      <c r="M66" s="179">
        <v>2025</v>
      </c>
      <c r="N66" s="179">
        <v>2026</v>
      </c>
      <c r="O66" s="179">
        <v>2027</v>
      </c>
      <c r="P66" s="179">
        <v>2028</v>
      </c>
      <c r="Q66" s="179">
        <v>2029</v>
      </c>
      <c r="R66" s="179">
        <v>2030</v>
      </c>
      <c r="S66" s="179">
        <v>2031</v>
      </c>
      <c r="T66" s="179">
        <v>2032</v>
      </c>
      <c r="U66" s="179">
        <v>2033</v>
      </c>
      <c r="V66" s="179">
        <v>2034</v>
      </c>
      <c r="W66" s="179">
        <v>2035</v>
      </c>
      <c r="X66" s="179">
        <v>2036</v>
      </c>
      <c r="Y66" s="179">
        <v>2037</v>
      </c>
      <c r="Z66" s="179">
        <v>2038</v>
      </c>
      <c r="AA66" s="179">
        <v>2039</v>
      </c>
      <c r="AB66" s="179">
        <v>2040</v>
      </c>
      <c r="AC66" s="179">
        <v>2041</v>
      </c>
      <c r="AD66" s="179">
        <v>2042</v>
      </c>
      <c r="AE66" s="179">
        <v>2043</v>
      </c>
      <c r="AF66" s="179">
        <v>2044</v>
      </c>
      <c r="AG66" s="179">
        <v>2045</v>
      </c>
      <c r="AH66" s="179">
        <v>2046</v>
      </c>
      <c r="AI66" s="179">
        <v>2047</v>
      </c>
      <c r="AJ66" s="179">
        <v>2048</v>
      </c>
      <c r="AK66" s="179">
        <v>2049</v>
      </c>
      <c r="AL66" s="179">
        <v>2050</v>
      </c>
      <c r="AM66" s="179">
        <v>2051</v>
      </c>
      <c r="AN66" s="179">
        <v>2052</v>
      </c>
      <c r="AO66" s="179">
        <v>2053</v>
      </c>
      <c r="AP66" s="179">
        <v>2054</v>
      </c>
      <c r="AQ66" s="179">
        <v>2055</v>
      </c>
      <c r="AR66" s="179">
        <v>2056</v>
      </c>
      <c r="AS66" s="179">
        <v>2057</v>
      </c>
      <c r="AT66" s="179">
        <v>2058</v>
      </c>
      <c r="AU66" s="13"/>
    </row>
    <row r="67" spans="1:47" ht="14.4" x14ac:dyDescent="0.3">
      <c r="B67" s="813"/>
      <c r="C67" s="816" t="s">
        <v>134</v>
      </c>
      <c r="D67" s="816" t="s">
        <v>135</v>
      </c>
      <c r="E67" s="816" t="s">
        <v>136</v>
      </c>
      <c r="F67" s="816" t="s">
        <v>137</v>
      </c>
      <c r="G67" s="816" t="s">
        <v>138</v>
      </c>
      <c r="H67" s="816" t="s">
        <v>139</v>
      </c>
      <c r="I67" s="816" t="s">
        <v>140</v>
      </c>
      <c r="J67" s="816" t="s">
        <v>141</v>
      </c>
      <c r="K67" s="816" t="s">
        <v>142</v>
      </c>
      <c r="L67" s="816" t="s">
        <v>143</v>
      </c>
      <c r="M67" s="816" t="s">
        <v>144</v>
      </c>
      <c r="N67" s="816" t="s">
        <v>145</v>
      </c>
      <c r="O67" s="816" t="s">
        <v>146</v>
      </c>
      <c r="P67" s="816" t="s">
        <v>147</v>
      </c>
      <c r="Q67" s="816" t="s">
        <v>148</v>
      </c>
      <c r="R67" s="816" t="s">
        <v>149</v>
      </c>
      <c r="S67" s="816" t="s">
        <v>150</v>
      </c>
      <c r="T67" s="816" t="s">
        <v>151</v>
      </c>
      <c r="U67" s="816" t="s">
        <v>152</v>
      </c>
      <c r="V67" s="816" t="s">
        <v>153</v>
      </c>
      <c r="W67" s="816" t="s">
        <v>154</v>
      </c>
      <c r="X67" s="816" t="s">
        <v>155</v>
      </c>
      <c r="Y67" s="816" t="s">
        <v>156</v>
      </c>
      <c r="Z67" s="816" t="s">
        <v>157</v>
      </c>
      <c r="AA67" s="816" t="s">
        <v>158</v>
      </c>
      <c r="AB67" s="816" t="s">
        <v>159</v>
      </c>
      <c r="AC67" s="816" t="s">
        <v>160</v>
      </c>
      <c r="AD67" s="816" t="s">
        <v>161</v>
      </c>
      <c r="AE67" s="816" t="s">
        <v>162</v>
      </c>
      <c r="AF67" s="816" t="s">
        <v>163</v>
      </c>
      <c r="AG67" s="816" t="s">
        <v>164</v>
      </c>
      <c r="AH67" s="816" t="s">
        <v>165</v>
      </c>
      <c r="AI67" s="816" t="s">
        <v>166</v>
      </c>
      <c r="AJ67" s="816" t="s">
        <v>167</v>
      </c>
      <c r="AK67" s="816" t="s">
        <v>168</v>
      </c>
      <c r="AL67" s="816" t="s">
        <v>169</v>
      </c>
      <c r="AM67" s="816" t="s">
        <v>170</v>
      </c>
      <c r="AN67" s="816" t="s">
        <v>171</v>
      </c>
      <c r="AO67" s="816" t="s">
        <v>172</v>
      </c>
      <c r="AP67" s="816" t="s">
        <v>173</v>
      </c>
      <c r="AQ67" s="816" t="s">
        <v>174</v>
      </c>
      <c r="AR67" s="816" t="s">
        <v>224</v>
      </c>
      <c r="AS67" s="816" t="s">
        <v>225</v>
      </c>
      <c r="AT67" s="816" t="s">
        <v>226</v>
      </c>
      <c r="AU67" s="13"/>
    </row>
    <row r="68" spans="1:47" ht="14.4" x14ac:dyDescent="0.3">
      <c r="B68" s="813"/>
      <c r="C68" s="816">
        <v>0</v>
      </c>
      <c r="D68" s="816">
        <v>1</v>
      </c>
      <c r="E68" s="816">
        <v>2</v>
      </c>
      <c r="F68" s="816">
        <v>3</v>
      </c>
      <c r="G68" s="816">
        <v>4</v>
      </c>
      <c r="H68" s="816">
        <v>5</v>
      </c>
      <c r="I68" s="816">
        <v>6</v>
      </c>
      <c r="J68" s="816">
        <v>7</v>
      </c>
      <c r="K68" s="816">
        <v>8</v>
      </c>
      <c r="L68" s="816">
        <v>9</v>
      </c>
      <c r="M68" s="816">
        <v>10</v>
      </c>
      <c r="N68" s="816">
        <v>11</v>
      </c>
      <c r="O68" s="816">
        <v>12</v>
      </c>
      <c r="P68" s="816">
        <v>13</v>
      </c>
      <c r="Q68" s="816">
        <v>14</v>
      </c>
      <c r="R68" s="816">
        <v>15</v>
      </c>
      <c r="S68" s="816">
        <v>16</v>
      </c>
      <c r="T68" s="816">
        <v>17</v>
      </c>
      <c r="U68" s="816">
        <v>18</v>
      </c>
      <c r="V68" s="816">
        <v>19</v>
      </c>
      <c r="W68" s="816">
        <v>20</v>
      </c>
      <c r="X68" s="816">
        <v>21</v>
      </c>
      <c r="Y68" s="816">
        <v>22</v>
      </c>
      <c r="Z68" s="816">
        <v>23</v>
      </c>
      <c r="AA68" s="816">
        <v>24</v>
      </c>
      <c r="AB68" s="816">
        <v>25</v>
      </c>
      <c r="AC68" s="816">
        <v>26</v>
      </c>
      <c r="AD68" s="816">
        <v>27</v>
      </c>
      <c r="AE68" s="816">
        <v>28</v>
      </c>
      <c r="AF68" s="816">
        <v>29</v>
      </c>
      <c r="AG68" s="816">
        <v>30</v>
      </c>
      <c r="AH68" s="816">
        <v>31</v>
      </c>
      <c r="AI68" s="816">
        <v>32</v>
      </c>
      <c r="AJ68" s="816">
        <v>33</v>
      </c>
      <c r="AK68" s="816">
        <v>34</v>
      </c>
      <c r="AL68" s="816">
        <v>35</v>
      </c>
      <c r="AM68" s="816">
        <v>36</v>
      </c>
      <c r="AN68" s="816">
        <v>37</v>
      </c>
      <c r="AO68" s="816">
        <v>38</v>
      </c>
      <c r="AP68" s="816">
        <v>39</v>
      </c>
      <c r="AQ68" s="816">
        <v>40</v>
      </c>
      <c r="AR68" s="816">
        <v>41</v>
      </c>
      <c r="AS68" s="816">
        <v>42</v>
      </c>
      <c r="AT68" s="816">
        <v>43</v>
      </c>
      <c r="AU68" s="13"/>
    </row>
    <row r="69" spans="1:47" ht="14.4" x14ac:dyDescent="0.3">
      <c r="B69" s="813"/>
      <c r="C69" s="816">
        <v>0</v>
      </c>
      <c r="D69" s="816">
        <v>0</v>
      </c>
      <c r="E69" s="816">
        <v>0</v>
      </c>
      <c r="F69" s="816">
        <v>0</v>
      </c>
      <c r="G69" s="816">
        <v>1</v>
      </c>
      <c r="H69" s="816">
        <v>2</v>
      </c>
      <c r="I69" s="816">
        <v>3</v>
      </c>
      <c r="J69" s="816">
        <v>4</v>
      </c>
      <c r="K69" s="816">
        <v>5</v>
      </c>
      <c r="L69" s="816">
        <v>6</v>
      </c>
      <c r="M69" s="816">
        <v>7</v>
      </c>
      <c r="N69" s="816">
        <v>8</v>
      </c>
      <c r="O69" s="816">
        <v>9</v>
      </c>
      <c r="P69" s="816">
        <v>10</v>
      </c>
      <c r="Q69" s="816">
        <v>11</v>
      </c>
      <c r="R69" s="816">
        <v>12</v>
      </c>
      <c r="S69" s="816">
        <v>13</v>
      </c>
      <c r="T69" s="816">
        <v>14</v>
      </c>
      <c r="U69" s="816">
        <v>15</v>
      </c>
      <c r="V69" s="816">
        <v>16</v>
      </c>
      <c r="W69" s="816">
        <v>17</v>
      </c>
      <c r="X69" s="816">
        <v>18</v>
      </c>
      <c r="Y69" s="816">
        <v>19</v>
      </c>
      <c r="Z69" s="816">
        <v>20</v>
      </c>
      <c r="AA69" s="816">
        <v>21</v>
      </c>
      <c r="AB69" s="816">
        <v>22</v>
      </c>
      <c r="AC69" s="816">
        <v>23</v>
      </c>
      <c r="AD69" s="816">
        <v>24</v>
      </c>
      <c r="AE69" s="816">
        <v>25</v>
      </c>
      <c r="AF69" s="816">
        <v>26</v>
      </c>
      <c r="AG69" s="816">
        <v>27</v>
      </c>
      <c r="AH69" s="816">
        <v>28</v>
      </c>
      <c r="AI69" s="816">
        <v>29</v>
      </c>
      <c r="AJ69" s="816">
        <v>30</v>
      </c>
      <c r="AK69" s="816">
        <v>31</v>
      </c>
      <c r="AL69" s="816">
        <v>32</v>
      </c>
      <c r="AM69" s="816">
        <v>33</v>
      </c>
      <c r="AN69" s="816">
        <v>34</v>
      </c>
      <c r="AO69" s="816">
        <v>35</v>
      </c>
      <c r="AP69" s="816">
        <v>36</v>
      </c>
      <c r="AQ69" s="816">
        <v>37</v>
      </c>
      <c r="AR69" s="816">
        <v>38</v>
      </c>
      <c r="AS69" s="816">
        <v>39</v>
      </c>
      <c r="AT69" s="816">
        <v>40</v>
      </c>
      <c r="AU69" s="13"/>
    </row>
    <row r="70" spans="1:47" ht="14.4" x14ac:dyDescent="0.3">
      <c r="B70" s="813"/>
      <c r="C70" s="798"/>
      <c r="D70" s="798"/>
      <c r="E70" s="798"/>
      <c r="F70" s="798"/>
      <c r="G70" s="798"/>
      <c r="H70" s="798"/>
      <c r="I70" s="798"/>
      <c r="J70" s="798"/>
      <c r="K70" s="798"/>
      <c r="L70" s="798"/>
      <c r="M70" s="798"/>
      <c r="N70" s="798"/>
      <c r="O70" s="798"/>
      <c r="P70" s="798"/>
      <c r="Q70" s="798"/>
      <c r="R70" s="798"/>
      <c r="S70" s="798"/>
      <c r="T70" s="798"/>
      <c r="U70" s="798"/>
      <c r="V70" s="798"/>
      <c r="W70" s="798"/>
      <c r="X70" s="798"/>
      <c r="Y70" s="798"/>
      <c r="Z70" s="798"/>
      <c r="AA70" s="798"/>
      <c r="AB70" s="798"/>
      <c r="AC70" s="798"/>
      <c r="AD70" s="798"/>
      <c r="AE70" s="798"/>
      <c r="AF70" s="798"/>
      <c r="AG70" s="798"/>
      <c r="AH70" s="798"/>
      <c r="AI70" s="798"/>
      <c r="AJ70" s="798"/>
      <c r="AK70" s="798"/>
      <c r="AL70" s="798"/>
      <c r="AM70" s="798"/>
      <c r="AN70" s="798"/>
      <c r="AO70" s="798"/>
      <c r="AP70" s="798"/>
      <c r="AQ70" s="798"/>
      <c r="AR70" s="798"/>
      <c r="AS70" s="798"/>
      <c r="AT70" s="798"/>
      <c r="AU70" s="13"/>
    </row>
    <row r="71" spans="1:47" s="166" customFormat="1" ht="14.4" x14ac:dyDescent="0.25">
      <c r="B71" s="830" t="s">
        <v>434</v>
      </c>
      <c r="C71" s="807"/>
      <c r="D71" s="807"/>
      <c r="E71" s="807"/>
      <c r="F71" s="807"/>
      <c r="G71" s="807"/>
      <c r="H71" s="807"/>
      <c r="I71" s="807"/>
      <c r="J71" s="807"/>
      <c r="K71" s="807"/>
      <c r="L71" s="807"/>
      <c r="M71" s="807"/>
      <c r="N71" s="807"/>
      <c r="O71" s="807"/>
      <c r="P71" s="807"/>
      <c r="Q71" s="807"/>
      <c r="R71" s="807"/>
      <c r="S71" s="807"/>
      <c r="T71" s="807"/>
      <c r="U71" s="807"/>
      <c r="V71" s="807"/>
      <c r="W71" s="807"/>
      <c r="X71" s="807"/>
      <c r="Y71" s="807"/>
      <c r="Z71" s="807"/>
      <c r="AA71" s="807"/>
      <c r="AB71" s="807"/>
      <c r="AC71" s="807"/>
      <c r="AD71" s="807"/>
      <c r="AE71" s="807"/>
      <c r="AF71" s="807"/>
      <c r="AG71" s="807"/>
      <c r="AH71" s="807"/>
      <c r="AI71" s="807"/>
      <c r="AJ71" s="807"/>
      <c r="AK71" s="807"/>
      <c r="AL71" s="807"/>
      <c r="AM71" s="807"/>
      <c r="AN71" s="807"/>
      <c r="AO71" s="807"/>
      <c r="AP71" s="807"/>
      <c r="AQ71" s="807"/>
      <c r="AR71" s="807"/>
      <c r="AS71" s="807"/>
      <c r="AT71" s="807"/>
      <c r="AU71" s="103"/>
    </row>
    <row r="72" spans="1:47" x14ac:dyDescent="0.25">
      <c r="B72" s="831" t="s">
        <v>449</v>
      </c>
      <c r="C72" s="178">
        <v>0</v>
      </c>
      <c r="D72" s="178">
        <v>0</v>
      </c>
      <c r="E72" s="178">
        <v>0</v>
      </c>
      <c r="F72" s="178">
        <v>0</v>
      </c>
      <c r="G72" s="758">
        <f>OPERACION_ANUALIZADA_TC!D64*(1+PARAMETROS!$C$70)</f>
        <v>3454589.5691445097</v>
      </c>
      <c r="H72" s="758">
        <f>OPERACION_ANUALIZADA_TC!E64*(1+PARAMETROS!$C$70)</f>
        <v>3546350.2599561452</v>
      </c>
      <c r="I72" s="758">
        <f>OPERACION_ANUALIZADA_TC!F64*(1+PARAMETROS!$C$70)</f>
        <v>3629500.1452487805</v>
      </c>
      <c r="J72" s="758">
        <f>OPERACION_ANUALIZADA_TC!G64*(1+PARAMETROS!$C$70)</f>
        <v>3714649.5304283733</v>
      </c>
      <c r="K72" s="758">
        <f>OPERACION_ANUALIZADA_TC!H64*(1+PARAMETROS!$C$70)</f>
        <v>9294323.7646731809</v>
      </c>
      <c r="L72" s="758">
        <f>OPERACION_ANUALIZADA_TC!I64*(1+PARAMETROS!$C$70)</f>
        <v>3891145.174125297</v>
      </c>
      <c r="M72" s="758">
        <f>OPERACION_ANUALIZADA_TC!J64*(1+PARAMETROS!$C$70)</f>
        <v>3982593.760180179</v>
      </c>
      <c r="N72" s="758">
        <f>OPERACION_ANUALIZADA_TC!K64*(1+PARAMETROS!$C$70)</f>
        <v>4076246.5661634705</v>
      </c>
      <c r="O72" s="758">
        <f>OPERACION_ANUALIZADA_TC!L64*(1+PARAMETROS!$C$70)</f>
        <v>4172158.0442154035</v>
      </c>
      <c r="P72" s="758">
        <f>OPERACION_ANUALIZADA_TC!M64*(1+PARAMETROS!$C$70)</f>
        <v>10305240.456239779</v>
      </c>
      <c r="Q72" s="758">
        <f>OPERACION_ANUALIZADA_TC!N64*(1+PARAMETROS!$C$70)</f>
        <v>4370981.7449138239</v>
      </c>
      <c r="R72" s="758">
        <f>OPERACION_ANUALIZADA_TC!O64*(1+PARAMETROS!$C$70)</f>
        <v>4474009.8993217153</v>
      </c>
      <c r="S72" s="758">
        <f>OPERACION_ANUALIZADA_TC!P64*(1+PARAMETROS!$C$70)</f>
        <v>4579528.6633017063</v>
      </c>
      <c r="T72" s="758">
        <f>OPERACION_ANUALIZADA_TC!Q64*(1+PARAMETROS!$C$70)</f>
        <v>4687599.7384678498</v>
      </c>
      <c r="U72" s="758">
        <f>OPERACION_ANUALIZADA_TC!R64*(1+PARAMETROS!$C$70)</f>
        <v>11429085.151702685</v>
      </c>
      <c r="V72" s="758">
        <f>OPERACION_ANUALIZADA_TC!S64*(1+PARAMETROS!$C$70)</f>
        <v>4911653.4910183838</v>
      </c>
      <c r="W72" s="758">
        <f>OPERACION_ANUALIZADA_TC!T64*(1+PARAMETROS!$C$70)</f>
        <v>5027767.5564522296</v>
      </c>
      <c r="X72" s="758">
        <f>OPERACION_ANUALIZADA_TC!U64*(1+PARAMETROS!$C$70)</f>
        <v>5146696.7934412798</v>
      </c>
      <c r="Y72" s="758">
        <f>OPERACION_ANUALIZADA_TC!V64*(1+PARAMETROS!$C$70)</f>
        <v>5268511.1412896216</v>
      </c>
      <c r="Z72" s="758">
        <f>OPERACION_ANUALIZADA_TC!W64*(1+PARAMETROS!$C$70)</f>
        <v>12678875.013862662</v>
      </c>
      <c r="AA72" s="758">
        <f>OPERACION_ANUALIZADA_TC!X64*(1+PARAMETROS!$C$70)</f>
        <v>5521083.8624752844</v>
      </c>
      <c r="AB72" s="758">
        <f>OPERACION_ANUALIZADA_TC!Y64*(1+PARAMETROS!$C$70)</f>
        <v>5651991.1898182109</v>
      </c>
      <c r="AC72" s="758">
        <f>OPERACION_ANUALIZADA_TC!Z64*(1+PARAMETROS!$C$70)</f>
        <v>5786081.6320499461</v>
      </c>
      <c r="AD72" s="758">
        <f>OPERACION_ANUALIZADA_TC!AA64*(1+PARAMETROS!$C$70)</f>
        <v>5923434.4919935949</v>
      </c>
      <c r="AE72" s="758">
        <f>OPERACION_ANUALIZADA_TC!AB64*(1+PARAMETROS!$C$70)</f>
        <v>14069181.394370388</v>
      </c>
      <c r="AF72" s="758">
        <f>OPERACION_ANUALIZADA_TC!AC64*(1+PARAMETROS!$C$70)</f>
        <v>6208254.835203521</v>
      </c>
      <c r="AG72" s="758">
        <f>OPERACION_ANUALIZADA_TC!AD64*(1+PARAMETROS!$C$70)</f>
        <v>6355891.2422239808</v>
      </c>
      <c r="AH72" s="758">
        <f>OPERACION_ANUALIZADA_TC!AE64*(1+PARAMETROS!$C$70)</f>
        <v>6507128.0239001652</v>
      </c>
      <c r="AI72" s="758">
        <f>OPERACION_ANUALIZADA_TC!AF64*(1+PARAMETROS!$C$70)</f>
        <v>6662055.1295457529</v>
      </c>
      <c r="AJ72" s="758">
        <f>OPERACION_ANUALIZADA_TC!AG64*(1+PARAMETROS!$C$70)</f>
        <v>15616322.452012271</v>
      </c>
      <c r="AK72" s="758">
        <f>OPERACION_ANUALIZADA_TC!AH64*(1+PARAMETROS!$C$70)</f>
        <v>6983351.6630770871</v>
      </c>
      <c r="AL72" s="758">
        <f>OPERACION_ANUALIZADA_TC!AI64*(1+PARAMETROS!$C$70)</f>
        <v>7149912.7241678927</v>
      </c>
      <c r="AM72" s="758">
        <f>OPERACION_ANUALIZADA_TC!AJ64*(1+PARAMETROS!$C$70)</f>
        <v>7320547.5004008031</v>
      </c>
      <c r="AN72" s="758">
        <f>OPERACION_ANUALIZADA_TC!AK64*(1+PARAMETROS!$C$70)</f>
        <v>7495358.0500422539</v>
      </c>
      <c r="AO72" s="758">
        <f>OPERACION_ANUALIZADA_TC!AL64*(1+PARAMETROS!$C$70)</f>
        <v>17338580.552335452</v>
      </c>
      <c r="AP72" s="758">
        <f>OPERACION_ANUALIZADA_TC!AM64*(1+PARAMETROS!$C$70)</f>
        <v>7857927.8452074975</v>
      </c>
      <c r="AQ72" s="758">
        <f>OPERACION_ANUALIZADA_TC!AN64*(1+PARAMETROS!$C$70)</f>
        <v>8045904.5568202641</v>
      </c>
      <c r="AR72" s="758">
        <f>OPERACION_ANUALIZADA_TC!AO64*(1+PARAMETROS!$C$70)</f>
        <v>8238492.1162956236</v>
      </c>
      <c r="AS72" s="758">
        <f>OPERACION_ANUALIZADA_TC!AP64*(1+PARAMETROS!$C$70)</f>
        <v>8435806.3583844062</v>
      </c>
      <c r="AT72" s="758">
        <f>OPERACION_ANUALIZADA_TC!AQ64*(1+PARAMETROS!$C$70)</f>
        <v>19256447.751688365</v>
      </c>
      <c r="AU72" s="13"/>
    </row>
    <row r="73" spans="1:47" x14ac:dyDescent="0.25">
      <c r="B73" s="832" t="s">
        <v>379</v>
      </c>
      <c r="C73" s="178">
        <v>0</v>
      </c>
      <c r="D73" s="178">
        <v>0</v>
      </c>
      <c r="E73" s="178">
        <v>0</v>
      </c>
      <c r="F73" s="178">
        <v>0</v>
      </c>
      <c r="G73" s="758">
        <f>DEMANDA!C47*PARAMETROS!$C$67</f>
        <v>6294800.0000000009</v>
      </c>
      <c r="H73" s="758">
        <f>DEMANDA!D47*PARAMETROS!$C$67</f>
        <v>8393066.6666666698</v>
      </c>
      <c r="I73" s="758">
        <f>DEMANDA!E47*PARAMETROS!$C$67</f>
        <v>8484160.0000000019</v>
      </c>
      <c r="J73" s="758">
        <f>DEMANDA!F47*PARAMETROS!$C$67</f>
        <v>8575253.333333334</v>
      </c>
      <c r="K73" s="758">
        <f>DEMANDA!G47*PARAMETROS!$C$67</f>
        <v>8666346.6666666679</v>
      </c>
      <c r="L73" s="758">
        <f>DEMANDA!H47*PARAMETROS!$C$67</f>
        <v>8757440</v>
      </c>
      <c r="M73" s="758">
        <f>DEMANDA!I47*PARAMETROS!$C$67</f>
        <v>8848533.333333334</v>
      </c>
      <c r="N73" s="758">
        <f>DEMANDA!J47*PARAMETROS!$C$67</f>
        <v>8875664.3192092087</v>
      </c>
      <c r="O73" s="758">
        <f>DEMANDA!K47*PARAMETROS!$C$67</f>
        <v>8902795.3050850853</v>
      </c>
      <c r="P73" s="758">
        <f>DEMANDA!L47*PARAMETROS!$C$67</f>
        <v>8929926.290960962</v>
      </c>
      <c r="Q73" s="758">
        <f>DEMANDA!M47*PARAMETROS!$C$67</f>
        <v>8957057.2768368386</v>
      </c>
      <c r="R73" s="758">
        <f>DEMANDA!N47*PARAMETROS!$C$67</f>
        <v>8984188.2627127171</v>
      </c>
      <c r="S73" s="758">
        <f>DEMANDA!O47*PARAMETROS!$C$67</f>
        <v>9020171.9816427212</v>
      </c>
      <c r="T73" s="758">
        <f>DEMANDA!P47*PARAMETROS!$C$67</f>
        <v>9056155.7005727217</v>
      </c>
      <c r="U73" s="758">
        <f>DEMANDA!Q47*PARAMETROS!$C$67</f>
        <v>9092139.4195027258</v>
      </c>
      <c r="V73" s="758">
        <f>DEMANDA!R47*PARAMETROS!$C$67</f>
        <v>9128123.1384327281</v>
      </c>
      <c r="W73" s="758">
        <f>DEMANDA!S47*PARAMETROS!$C$67</f>
        <v>9164106.8573627267</v>
      </c>
      <c r="X73" s="758">
        <f>DEMANDA!T47*PARAMETROS!$C$67</f>
        <v>9240209.3124076389</v>
      </c>
      <c r="Y73" s="758">
        <f>DEMANDA!U47*PARAMETROS!$C$67</f>
        <v>9316311.7674525492</v>
      </c>
      <c r="Z73" s="758">
        <f>DEMANDA!V47*PARAMETROS!$C$67</f>
        <v>9392414.2224974595</v>
      </c>
      <c r="AA73" s="758">
        <f>DEMANDA!W47*PARAMETROS!$C$67</f>
        <v>9468516.6775423717</v>
      </c>
      <c r="AB73" s="758">
        <f>DEMANDA!X47*PARAMETROS!$C$67</f>
        <v>9544619.132587282</v>
      </c>
      <c r="AC73" s="758">
        <f>DEMANDA!Y47*PARAMETROS!$C$67</f>
        <v>9544619.132587282</v>
      </c>
      <c r="AD73" s="758">
        <f>DEMANDA!Z47*PARAMETROS!$C$67</f>
        <v>9544619.132587282</v>
      </c>
      <c r="AE73" s="758">
        <f>DEMANDA!AA47*PARAMETROS!$C$67</f>
        <v>9544619.132587282</v>
      </c>
      <c r="AF73" s="758">
        <f>DEMANDA!AB47*PARAMETROS!$C$67</f>
        <v>9544619.132587282</v>
      </c>
      <c r="AG73" s="758">
        <f>DEMANDA!AC47*PARAMETROS!$C$67</f>
        <v>9544619.132587282</v>
      </c>
      <c r="AH73" s="758">
        <f>DEMANDA!AD47*PARAMETROS!$C$67</f>
        <v>9544619.132587282</v>
      </c>
      <c r="AI73" s="758">
        <f>DEMANDA!AE47*PARAMETROS!$C$67</f>
        <v>9544619.132587282</v>
      </c>
      <c r="AJ73" s="758">
        <f>DEMANDA!AF47*PARAMETROS!$C$67</f>
        <v>9544619.132587282</v>
      </c>
      <c r="AK73" s="758">
        <f>DEMANDA!AG47*PARAMETROS!$C$67</f>
        <v>9544619.132587282</v>
      </c>
      <c r="AL73" s="758">
        <f>DEMANDA!AH47*PARAMETROS!$C$67</f>
        <v>9544619.132587282</v>
      </c>
      <c r="AM73" s="758">
        <f>DEMANDA!AI47*PARAMETROS!$C$67</f>
        <v>9544619.132587282</v>
      </c>
      <c r="AN73" s="758">
        <f>DEMANDA!AJ47*PARAMETROS!$C$67</f>
        <v>9544619.132587282</v>
      </c>
      <c r="AO73" s="758">
        <f>DEMANDA!AK47*PARAMETROS!$C$67</f>
        <v>9544619.132587282</v>
      </c>
      <c r="AP73" s="758">
        <f>DEMANDA!AL47*PARAMETROS!$C$67</f>
        <v>9544619.132587282</v>
      </c>
      <c r="AQ73" s="758">
        <f>DEMANDA!AM47*PARAMETROS!$C$67</f>
        <v>9544619.132587282</v>
      </c>
      <c r="AR73" s="758">
        <f>DEMANDA!AN47*PARAMETROS!$C$67</f>
        <v>9544619.132587282</v>
      </c>
      <c r="AS73" s="758">
        <f>DEMANDA!AO47*PARAMETROS!$C$67</f>
        <v>9544619.132587282</v>
      </c>
      <c r="AT73" s="758">
        <f>DEMANDA!AP47*PARAMETROS!$C$67</f>
        <v>9544619.132587282</v>
      </c>
      <c r="AU73" s="13"/>
    </row>
    <row r="74" spans="1:47" x14ac:dyDescent="0.25">
      <c r="B74" s="832" t="s">
        <v>395</v>
      </c>
      <c r="C74" s="178">
        <v>0</v>
      </c>
      <c r="D74" s="178">
        <v>0</v>
      </c>
      <c r="E74" s="178">
        <v>0</v>
      </c>
      <c r="F74" s="178">
        <v>0</v>
      </c>
      <c r="G74" s="758">
        <f>'INGRESOS de pasajeros'!C55*PARAMETROS!$C$67</f>
        <v>3074380.3200000003</v>
      </c>
      <c r="H74" s="758">
        <f>'INGRESOS de pasajeros'!D55*PARAMETROS!$C$67</f>
        <v>4099173.7600000012</v>
      </c>
      <c r="I74" s="758">
        <f>'INGRESOS de pasajeros'!E55*PARAMETROS!$C$67</f>
        <v>4332200.444352</v>
      </c>
      <c r="J74" s="758">
        <f>'INGRESOS de pasajeros'!F55*PARAMETROS!$C$67</f>
        <v>4378714.7226240011</v>
      </c>
      <c r="K74" s="758">
        <f>'INGRESOS de pasajeros'!G55*PARAMETROS!$C$67</f>
        <v>4604008.2525321981</v>
      </c>
      <c r="L74" s="758">
        <f>'INGRESOS de pasajeros'!H55*PARAMETROS!$C$67</f>
        <v>4652401.7076463867</v>
      </c>
      <c r="M74" s="758">
        <f>'INGRESOS de pasajeros'!I55*PARAMETROS!$C$67</f>
        <v>4890707.2873361045</v>
      </c>
      <c r="N74" s="758">
        <f>'INGRESOS de pasajeros'!J55*PARAMETROS!$C$67</f>
        <v>4905702.9601032389</v>
      </c>
      <c r="O74" s="758">
        <f>'INGRESOS de pasajeros'!K55*PARAMETROS!$C$67</f>
        <v>5119494.8576383376</v>
      </c>
      <c r="P74" s="758">
        <f>'INGRESOS de pasajeros'!L55*PARAMETROS!$C$67</f>
        <v>5135096.3555852659</v>
      </c>
      <c r="Q74" s="758">
        <f>'INGRESOS de pasajeros'!M55*PARAMETROS!$C$67</f>
        <v>5358786.0468148934</v>
      </c>
      <c r="R74" s="758">
        <f>'INGRESOS de pasajeros'!N55*PARAMETROS!$C$67</f>
        <v>5375017.8452788796</v>
      </c>
      <c r="S74" s="758">
        <f>'INGRESOS de pasajeros'!O55*PARAMETROS!$C$67</f>
        <v>5614566.4741984764</v>
      </c>
      <c r="T74" s="758">
        <f>'INGRESOS de pasajeros'!P55*PARAMETROS!$C$67</f>
        <v>5636964.3821688052</v>
      </c>
      <c r="U74" s="758">
        <f>'INGRESOS de pasajeros'!Q55*PARAMETROS!$C$67</f>
        <v>5888000.5266607543</v>
      </c>
      <c r="V74" s="758">
        <f>'INGRESOS de pasajeros'!R55*PARAMETROS!$C$67</f>
        <v>5911303.3101130854</v>
      </c>
      <c r="W74" s="758">
        <f>'INGRESOS de pasajeros'!S55*PARAMETROS!$C$67</f>
        <v>6174364.1797454543</v>
      </c>
      <c r="X74" s="758">
        <f>'INGRESOS de pasajeros'!T55*PARAMETROS!$C$67</f>
        <v>6225638.6006719712</v>
      </c>
      <c r="Y74" s="758">
        <f>'INGRESOS de pasajeros'!U55*PARAMETROS!$C$67</f>
        <v>6530500.3076710682</v>
      </c>
      <c r="Z74" s="758">
        <f>'INGRESOS de pasajeros'!V55*PARAMETROS!$C$67</f>
        <v>6583846.2152030133</v>
      </c>
      <c r="AA74" s="758">
        <f>'INGRESOS de pasajeros'!W55*PARAMETROS!$C$67</f>
        <v>6905334.6844934523</v>
      </c>
      <c r="AB74" s="758">
        <f>'INGRESOS de pasajeros'!X55*PARAMETROS!$C$67</f>
        <v>6960835.7666896898</v>
      </c>
      <c r="AC74" s="758">
        <f>'INGRESOS de pasajeros'!Y55*PARAMETROS!$C$67</f>
        <v>7242053.5316639543</v>
      </c>
      <c r="AD74" s="758">
        <f>'INGRESOS de pasajeros'!Z55*PARAMETROS!$C$67</f>
        <v>7242053.5316639543</v>
      </c>
      <c r="AE74" s="758">
        <f>'INGRESOS de pasajeros'!AA55*PARAMETROS!$C$67</f>
        <v>7534632.4943431765</v>
      </c>
      <c r="AF74" s="758">
        <f>'INGRESOS de pasajeros'!AB55*PARAMETROS!$C$67</f>
        <v>7534632.4943431765</v>
      </c>
      <c r="AG74" s="758">
        <f>'INGRESOS de pasajeros'!AC55*PARAMETROS!$C$67</f>
        <v>7839031.647114641</v>
      </c>
      <c r="AH74" s="758">
        <f>'INGRESOS de pasajeros'!AD55*PARAMETROS!$C$67</f>
        <v>7839031.647114641</v>
      </c>
      <c r="AI74" s="758">
        <f>'INGRESOS de pasajeros'!AE55*PARAMETROS!$C$67</f>
        <v>8155728.5256580729</v>
      </c>
      <c r="AJ74" s="758">
        <f>'INGRESOS de pasajeros'!AF55*PARAMETROS!$C$67</f>
        <v>8155728.5256580729</v>
      </c>
      <c r="AK74" s="758">
        <f>'INGRESOS de pasajeros'!AG55*PARAMETROS!$C$67</f>
        <v>8485219.9580946583</v>
      </c>
      <c r="AL74" s="758">
        <f>'INGRESOS de pasajeros'!AH55*PARAMETROS!$C$67</f>
        <v>8485219.9580946583</v>
      </c>
      <c r="AM74" s="758">
        <f>'INGRESOS de pasajeros'!AI55*PARAMETROS!$C$67</f>
        <v>8828022.8444016818</v>
      </c>
      <c r="AN74" s="758">
        <f>'INGRESOS de pasajeros'!AJ55*PARAMETROS!$C$67</f>
        <v>8828022.8444016818</v>
      </c>
      <c r="AO74" s="758">
        <f>'INGRESOS de pasajeros'!AK55*PARAMETROS!$C$67</f>
        <v>9184674.9673155118</v>
      </c>
      <c r="AP74" s="758">
        <f>'INGRESOS de pasajeros'!AL55*PARAMETROS!$C$67</f>
        <v>9184674.9673155118</v>
      </c>
      <c r="AQ74" s="758">
        <f>'INGRESOS de pasajeros'!AM55*PARAMETROS!$C$67</f>
        <v>9555735.8359950576</v>
      </c>
      <c r="AR74" s="758">
        <f>'INGRESOS de pasajeros'!AN55*PARAMETROS!$C$67</f>
        <v>9555735.8359950576</v>
      </c>
      <c r="AS74" s="758">
        <f>'INGRESOS de pasajeros'!AO55*PARAMETROS!$C$67</f>
        <v>9941787.5637692586</v>
      </c>
      <c r="AT74" s="758">
        <f>'INGRESOS de pasajeros'!AP55*PARAMETROS!$C$67</f>
        <v>9941787.5637692586</v>
      </c>
      <c r="AU74" s="13"/>
    </row>
    <row r="75" spans="1:47" x14ac:dyDescent="0.25">
      <c r="B75" s="832" t="s">
        <v>396</v>
      </c>
      <c r="C75" s="178">
        <v>0</v>
      </c>
      <c r="D75" s="178">
        <v>0</v>
      </c>
      <c r="E75" s="178">
        <v>0</v>
      </c>
      <c r="F75" s="178">
        <v>0</v>
      </c>
      <c r="G75" s="178">
        <f>$C$14*$C$15*12</f>
        <v>420000</v>
      </c>
      <c r="H75" s="178">
        <f t="shared" ref="H75:AT75" si="0">$G$75*((1+$C$25)^G69)</f>
        <v>428400</v>
      </c>
      <c r="I75" s="178">
        <f t="shared" si="0"/>
        <v>436968</v>
      </c>
      <c r="J75" s="178">
        <f t="shared" si="0"/>
        <v>445707.36</v>
      </c>
      <c r="K75" s="178">
        <f t="shared" si="0"/>
        <v>454621.50719999999</v>
      </c>
      <c r="L75" s="178">
        <f t="shared" si="0"/>
        <v>463713.93734400003</v>
      </c>
      <c r="M75" s="178">
        <f t="shared" si="0"/>
        <v>472988.21609088004</v>
      </c>
      <c r="N75" s="178">
        <f t="shared" si="0"/>
        <v>482447.98041269754</v>
      </c>
      <c r="O75" s="178">
        <f t="shared" si="0"/>
        <v>492096.9400209515</v>
      </c>
      <c r="P75" s="178">
        <f t="shared" si="0"/>
        <v>501938.87882137054</v>
      </c>
      <c r="Q75" s="178">
        <f t="shared" si="0"/>
        <v>511977.65639779798</v>
      </c>
      <c r="R75" s="178">
        <f t="shared" si="0"/>
        <v>522217.20952575386</v>
      </c>
      <c r="S75" s="178">
        <f t="shared" si="0"/>
        <v>532661.55371626897</v>
      </c>
      <c r="T75" s="178">
        <f t="shared" si="0"/>
        <v>543314.78479059436</v>
      </c>
      <c r="U75" s="178">
        <f t="shared" si="0"/>
        <v>554181.08048640634</v>
      </c>
      <c r="V75" s="178">
        <f t="shared" si="0"/>
        <v>565264.70209613431</v>
      </c>
      <c r="W75" s="178">
        <f t="shared" si="0"/>
        <v>576569.99613805709</v>
      </c>
      <c r="X75" s="178">
        <f t="shared" si="0"/>
        <v>588101.39606081822</v>
      </c>
      <c r="Y75" s="178">
        <f t="shared" si="0"/>
        <v>599863.42398203455</v>
      </c>
      <c r="Z75" s="178">
        <f t="shared" si="0"/>
        <v>611860.69246167527</v>
      </c>
      <c r="AA75" s="178">
        <f t="shared" si="0"/>
        <v>624097.90631090873</v>
      </c>
      <c r="AB75" s="178">
        <f t="shared" si="0"/>
        <v>636579.8644371269</v>
      </c>
      <c r="AC75" s="178">
        <f t="shared" si="0"/>
        <v>649311.46172586945</v>
      </c>
      <c r="AD75" s="178">
        <f t="shared" si="0"/>
        <v>662297.69096038677</v>
      </c>
      <c r="AE75" s="178">
        <f t="shared" si="0"/>
        <v>675543.6447795945</v>
      </c>
      <c r="AF75" s="178">
        <f t="shared" si="0"/>
        <v>689054.51767518639</v>
      </c>
      <c r="AG75" s="178">
        <f t="shared" si="0"/>
        <v>702835.60802869021</v>
      </c>
      <c r="AH75" s="178">
        <f t="shared" si="0"/>
        <v>716892.3201892639</v>
      </c>
      <c r="AI75" s="178">
        <f t="shared" si="0"/>
        <v>731230.1665930493</v>
      </c>
      <c r="AJ75" s="178">
        <f t="shared" si="0"/>
        <v>745854.76992491016</v>
      </c>
      <c r="AK75" s="178">
        <f t="shared" si="0"/>
        <v>760771.86532340851</v>
      </c>
      <c r="AL75" s="178">
        <f t="shared" si="0"/>
        <v>775987.30262987642</v>
      </c>
      <c r="AM75" s="178">
        <f t="shared" si="0"/>
        <v>791507.04868247418</v>
      </c>
      <c r="AN75" s="178">
        <f t="shared" si="0"/>
        <v>807337.18965612364</v>
      </c>
      <c r="AO75" s="178">
        <f t="shared" si="0"/>
        <v>823483.93344924611</v>
      </c>
      <c r="AP75" s="178">
        <f t="shared" si="0"/>
        <v>839953.61211823102</v>
      </c>
      <c r="AQ75" s="178">
        <f t="shared" si="0"/>
        <v>856752.68436059554</v>
      </c>
      <c r="AR75" s="178">
        <f t="shared" si="0"/>
        <v>873887.73804780759</v>
      </c>
      <c r="AS75" s="178">
        <f t="shared" si="0"/>
        <v>891365.49280876387</v>
      </c>
      <c r="AT75" s="178">
        <f t="shared" si="0"/>
        <v>909192.80266493873</v>
      </c>
      <c r="AU75" s="13"/>
    </row>
    <row r="76" spans="1:47" x14ac:dyDescent="0.25">
      <c r="B76" s="832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3"/>
    </row>
    <row r="77" spans="1:47" x14ac:dyDescent="0.25">
      <c r="B77" s="831" t="s">
        <v>516</v>
      </c>
      <c r="C77" s="268">
        <v>0</v>
      </c>
      <c r="D77" s="268">
        <v>0</v>
      </c>
      <c r="E77" s="268">
        <v>0</v>
      </c>
      <c r="F77" s="268">
        <v>0</v>
      </c>
      <c r="G77" s="268">
        <f>SUM($C$117:$F$117)*$C$18/50</f>
        <v>-686539.32037828083</v>
      </c>
      <c r="H77" s="268">
        <f t="shared" ref="H77:AT77" si="1">SUM($C$117:$F$117)*$C$18/50</f>
        <v>-686539.32037828083</v>
      </c>
      <c r="I77" s="268">
        <f t="shared" si="1"/>
        <v>-686539.32037828083</v>
      </c>
      <c r="J77" s="268">
        <f t="shared" si="1"/>
        <v>-686539.32037828083</v>
      </c>
      <c r="K77" s="268">
        <f t="shared" si="1"/>
        <v>-686539.32037828083</v>
      </c>
      <c r="L77" s="268">
        <f t="shared" si="1"/>
        <v>-686539.32037828083</v>
      </c>
      <c r="M77" s="268">
        <f t="shared" si="1"/>
        <v>-686539.32037828083</v>
      </c>
      <c r="N77" s="268">
        <f t="shared" si="1"/>
        <v>-686539.32037828083</v>
      </c>
      <c r="O77" s="268">
        <f t="shared" si="1"/>
        <v>-686539.32037828083</v>
      </c>
      <c r="P77" s="268">
        <f t="shared" si="1"/>
        <v>-686539.32037828083</v>
      </c>
      <c r="Q77" s="268">
        <f t="shared" si="1"/>
        <v>-686539.32037828083</v>
      </c>
      <c r="R77" s="268">
        <f t="shared" si="1"/>
        <v>-686539.32037828083</v>
      </c>
      <c r="S77" s="268">
        <f t="shared" si="1"/>
        <v>-686539.32037828083</v>
      </c>
      <c r="T77" s="268">
        <f t="shared" si="1"/>
        <v>-686539.32037828083</v>
      </c>
      <c r="U77" s="268">
        <f t="shared" si="1"/>
        <v>-686539.32037828083</v>
      </c>
      <c r="V77" s="268">
        <f t="shared" si="1"/>
        <v>-686539.32037828083</v>
      </c>
      <c r="W77" s="268">
        <f t="shared" si="1"/>
        <v>-686539.32037828083</v>
      </c>
      <c r="X77" s="268">
        <f t="shared" si="1"/>
        <v>-686539.32037828083</v>
      </c>
      <c r="Y77" s="268">
        <f t="shared" si="1"/>
        <v>-686539.32037828083</v>
      </c>
      <c r="Z77" s="268">
        <f t="shared" si="1"/>
        <v>-686539.32037828083</v>
      </c>
      <c r="AA77" s="268">
        <f t="shared" si="1"/>
        <v>-686539.32037828083</v>
      </c>
      <c r="AB77" s="268">
        <f t="shared" si="1"/>
        <v>-686539.32037828083</v>
      </c>
      <c r="AC77" s="268">
        <f t="shared" si="1"/>
        <v>-686539.32037828083</v>
      </c>
      <c r="AD77" s="268">
        <f t="shared" si="1"/>
        <v>-686539.32037828083</v>
      </c>
      <c r="AE77" s="268">
        <f t="shared" si="1"/>
        <v>-686539.32037828083</v>
      </c>
      <c r="AF77" s="268">
        <f t="shared" si="1"/>
        <v>-686539.32037828083</v>
      </c>
      <c r="AG77" s="268">
        <f t="shared" si="1"/>
        <v>-686539.32037828083</v>
      </c>
      <c r="AH77" s="268">
        <f t="shared" si="1"/>
        <v>-686539.32037828083</v>
      </c>
      <c r="AI77" s="268">
        <f t="shared" si="1"/>
        <v>-686539.32037828083</v>
      </c>
      <c r="AJ77" s="268">
        <f t="shared" si="1"/>
        <v>-686539.32037828083</v>
      </c>
      <c r="AK77" s="268">
        <f t="shared" si="1"/>
        <v>-686539.32037828083</v>
      </c>
      <c r="AL77" s="268">
        <f t="shared" si="1"/>
        <v>-686539.32037828083</v>
      </c>
      <c r="AM77" s="268">
        <f t="shared" si="1"/>
        <v>-686539.32037828083</v>
      </c>
      <c r="AN77" s="268">
        <f t="shared" si="1"/>
        <v>-686539.32037828083</v>
      </c>
      <c r="AO77" s="268">
        <f t="shared" si="1"/>
        <v>-686539.32037828083</v>
      </c>
      <c r="AP77" s="268">
        <f t="shared" si="1"/>
        <v>-686539.32037828083</v>
      </c>
      <c r="AQ77" s="268">
        <f t="shared" si="1"/>
        <v>-686539.32037828083</v>
      </c>
      <c r="AR77" s="268">
        <f t="shared" si="1"/>
        <v>-686539.32037828083</v>
      </c>
      <c r="AS77" s="268">
        <f t="shared" si="1"/>
        <v>-686539.32037828083</v>
      </c>
      <c r="AT77" s="268">
        <f t="shared" si="1"/>
        <v>-686539.32037828083</v>
      </c>
      <c r="AU77" s="13"/>
    </row>
    <row r="78" spans="1:47" x14ac:dyDescent="0.25">
      <c r="B78" s="831" t="s">
        <v>517</v>
      </c>
      <c r="C78" s="268">
        <v>0</v>
      </c>
      <c r="D78" s="268">
        <v>0</v>
      </c>
      <c r="E78" s="268">
        <v>0</v>
      </c>
      <c r="F78" s="268">
        <v>0</v>
      </c>
      <c r="G78" s="268">
        <f>SUM($C$117:$F$117)*$C$19/40</f>
        <v>-1442789.935138549</v>
      </c>
      <c r="H78" s="268">
        <f t="shared" ref="H78:AT78" si="2">SUM($C$117:$F$117)*$C$19/40</f>
        <v>-1442789.935138549</v>
      </c>
      <c r="I78" s="268">
        <f t="shared" si="2"/>
        <v>-1442789.935138549</v>
      </c>
      <c r="J78" s="268">
        <f t="shared" si="2"/>
        <v>-1442789.935138549</v>
      </c>
      <c r="K78" s="268">
        <f t="shared" si="2"/>
        <v>-1442789.935138549</v>
      </c>
      <c r="L78" s="268">
        <f t="shared" si="2"/>
        <v>-1442789.935138549</v>
      </c>
      <c r="M78" s="268">
        <f t="shared" si="2"/>
        <v>-1442789.935138549</v>
      </c>
      <c r="N78" s="268">
        <f t="shared" si="2"/>
        <v>-1442789.935138549</v>
      </c>
      <c r="O78" s="268">
        <f t="shared" si="2"/>
        <v>-1442789.935138549</v>
      </c>
      <c r="P78" s="268">
        <f t="shared" si="2"/>
        <v>-1442789.935138549</v>
      </c>
      <c r="Q78" s="268">
        <f t="shared" si="2"/>
        <v>-1442789.935138549</v>
      </c>
      <c r="R78" s="268">
        <f t="shared" si="2"/>
        <v>-1442789.935138549</v>
      </c>
      <c r="S78" s="268">
        <f t="shared" si="2"/>
        <v>-1442789.935138549</v>
      </c>
      <c r="T78" s="268">
        <f t="shared" si="2"/>
        <v>-1442789.935138549</v>
      </c>
      <c r="U78" s="268">
        <f t="shared" si="2"/>
        <v>-1442789.935138549</v>
      </c>
      <c r="V78" s="268">
        <f t="shared" si="2"/>
        <v>-1442789.935138549</v>
      </c>
      <c r="W78" s="268">
        <f t="shared" si="2"/>
        <v>-1442789.935138549</v>
      </c>
      <c r="X78" s="268">
        <f t="shared" si="2"/>
        <v>-1442789.935138549</v>
      </c>
      <c r="Y78" s="268">
        <f t="shared" si="2"/>
        <v>-1442789.935138549</v>
      </c>
      <c r="Z78" s="268">
        <f t="shared" si="2"/>
        <v>-1442789.935138549</v>
      </c>
      <c r="AA78" s="268">
        <f t="shared" si="2"/>
        <v>-1442789.935138549</v>
      </c>
      <c r="AB78" s="268">
        <f t="shared" si="2"/>
        <v>-1442789.935138549</v>
      </c>
      <c r="AC78" s="268">
        <f t="shared" si="2"/>
        <v>-1442789.935138549</v>
      </c>
      <c r="AD78" s="268">
        <f t="shared" si="2"/>
        <v>-1442789.935138549</v>
      </c>
      <c r="AE78" s="268">
        <f t="shared" si="2"/>
        <v>-1442789.935138549</v>
      </c>
      <c r="AF78" s="268">
        <f t="shared" si="2"/>
        <v>-1442789.935138549</v>
      </c>
      <c r="AG78" s="268">
        <f t="shared" si="2"/>
        <v>-1442789.935138549</v>
      </c>
      <c r="AH78" s="268">
        <f t="shared" si="2"/>
        <v>-1442789.935138549</v>
      </c>
      <c r="AI78" s="268">
        <f t="shared" si="2"/>
        <v>-1442789.935138549</v>
      </c>
      <c r="AJ78" s="268">
        <f t="shared" si="2"/>
        <v>-1442789.935138549</v>
      </c>
      <c r="AK78" s="268">
        <f t="shared" si="2"/>
        <v>-1442789.935138549</v>
      </c>
      <c r="AL78" s="268">
        <f t="shared" si="2"/>
        <v>-1442789.935138549</v>
      </c>
      <c r="AM78" s="268">
        <f t="shared" si="2"/>
        <v>-1442789.935138549</v>
      </c>
      <c r="AN78" s="268">
        <f t="shared" si="2"/>
        <v>-1442789.935138549</v>
      </c>
      <c r="AO78" s="268">
        <f t="shared" si="2"/>
        <v>-1442789.935138549</v>
      </c>
      <c r="AP78" s="268">
        <f t="shared" si="2"/>
        <v>-1442789.935138549</v>
      </c>
      <c r="AQ78" s="268">
        <f t="shared" si="2"/>
        <v>-1442789.935138549</v>
      </c>
      <c r="AR78" s="268">
        <f t="shared" si="2"/>
        <v>-1442789.935138549</v>
      </c>
      <c r="AS78" s="268">
        <f t="shared" si="2"/>
        <v>-1442789.935138549</v>
      </c>
      <c r="AT78" s="268">
        <f t="shared" si="2"/>
        <v>-1442789.935138549</v>
      </c>
      <c r="AU78" s="13"/>
    </row>
    <row r="79" spans="1:47" x14ac:dyDescent="0.25">
      <c r="B79" s="831" t="s">
        <v>518</v>
      </c>
      <c r="C79" s="268">
        <v>0</v>
      </c>
      <c r="D79" s="268">
        <v>0</v>
      </c>
      <c r="E79" s="268">
        <v>0</v>
      </c>
      <c r="F79" s="268">
        <v>0</v>
      </c>
      <c r="G79" s="268">
        <f>SUM($C$117:$F$117)*$C$20/15</f>
        <v>-846060.74954198557</v>
      </c>
      <c r="H79" s="268">
        <f t="shared" ref="H79:U79" si="3">SUM($C$117:$F$117)*$C$20/15</f>
        <v>-846060.74954198557</v>
      </c>
      <c r="I79" s="268">
        <f t="shared" si="3"/>
        <v>-846060.74954198557</v>
      </c>
      <c r="J79" s="268">
        <f t="shared" si="3"/>
        <v>-846060.74954198557</v>
      </c>
      <c r="K79" s="268">
        <f t="shared" si="3"/>
        <v>-846060.74954198557</v>
      </c>
      <c r="L79" s="268">
        <f t="shared" si="3"/>
        <v>-846060.74954198557</v>
      </c>
      <c r="M79" s="268">
        <f t="shared" si="3"/>
        <v>-846060.74954198557</v>
      </c>
      <c r="N79" s="268">
        <f t="shared" si="3"/>
        <v>-846060.74954198557</v>
      </c>
      <c r="O79" s="268">
        <f t="shared" si="3"/>
        <v>-846060.74954198557</v>
      </c>
      <c r="P79" s="268">
        <f t="shared" si="3"/>
        <v>-846060.74954198557</v>
      </c>
      <c r="Q79" s="268">
        <f t="shared" si="3"/>
        <v>-846060.74954198557</v>
      </c>
      <c r="R79" s="268">
        <f t="shared" si="3"/>
        <v>-846060.74954198557</v>
      </c>
      <c r="S79" s="268">
        <f t="shared" si="3"/>
        <v>-846060.74954198557</v>
      </c>
      <c r="T79" s="268">
        <f t="shared" si="3"/>
        <v>-846060.74954198557</v>
      </c>
      <c r="U79" s="268">
        <f t="shared" si="3"/>
        <v>-846060.74954198557</v>
      </c>
      <c r="V79" s="268">
        <v>0</v>
      </c>
      <c r="W79" s="268">
        <v>0</v>
      </c>
      <c r="X79" s="268">
        <v>0</v>
      </c>
      <c r="Y79" s="268">
        <v>0</v>
      </c>
      <c r="Z79" s="268">
        <v>0</v>
      </c>
      <c r="AA79" s="268">
        <v>0</v>
      </c>
      <c r="AB79" s="268">
        <v>0</v>
      </c>
      <c r="AC79" s="268">
        <v>0</v>
      </c>
      <c r="AD79" s="268">
        <v>0</v>
      </c>
      <c r="AE79" s="268">
        <v>0</v>
      </c>
      <c r="AF79" s="268">
        <v>0</v>
      </c>
      <c r="AG79" s="268">
        <v>0</v>
      </c>
      <c r="AH79" s="268">
        <v>0</v>
      </c>
      <c r="AI79" s="268">
        <v>0</v>
      </c>
      <c r="AJ79" s="268">
        <v>0</v>
      </c>
      <c r="AK79" s="268">
        <v>0</v>
      </c>
      <c r="AL79" s="268">
        <v>0</v>
      </c>
      <c r="AM79" s="268">
        <v>0</v>
      </c>
      <c r="AN79" s="268">
        <v>0</v>
      </c>
      <c r="AO79" s="268">
        <v>0</v>
      </c>
      <c r="AP79" s="268">
        <v>0</v>
      </c>
      <c r="AQ79" s="268">
        <v>0</v>
      </c>
      <c r="AR79" s="268">
        <v>0</v>
      </c>
      <c r="AS79" s="268">
        <v>0</v>
      </c>
      <c r="AT79" s="268">
        <v>0</v>
      </c>
      <c r="AU79" s="13"/>
    </row>
    <row r="80" spans="1:47" x14ac:dyDescent="0.25">
      <c r="B80" s="831" t="s">
        <v>519</v>
      </c>
      <c r="C80" s="268">
        <v>0</v>
      </c>
      <c r="D80" s="268">
        <v>0</v>
      </c>
      <c r="E80" s="268">
        <v>0</v>
      </c>
      <c r="F80" s="268">
        <v>0</v>
      </c>
      <c r="G80" s="268">
        <f>SUM($C$117:$F$117)*$C$21/10</f>
        <v>-483089.33345121983</v>
      </c>
      <c r="H80" s="268">
        <f t="shared" ref="H80:P80" si="4">SUM($C$117:$F$117)*$C$21/10</f>
        <v>-483089.33345121983</v>
      </c>
      <c r="I80" s="268">
        <f t="shared" si="4"/>
        <v>-483089.33345121983</v>
      </c>
      <c r="J80" s="268">
        <f t="shared" si="4"/>
        <v>-483089.33345121983</v>
      </c>
      <c r="K80" s="268">
        <f t="shared" si="4"/>
        <v>-483089.33345121983</v>
      </c>
      <c r="L80" s="268">
        <f t="shared" si="4"/>
        <v>-483089.33345121983</v>
      </c>
      <c r="M80" s="268">
        <f t="shared" si="4"/>
        <v>-483089.33345121983</v>
      </c>
      <c r="N80" s="268">
        <f t="shared" si="4"/>
        <v>-483089.33345121983</v>
      </c>
      <c r="O80" s="268">
        <f t="shared" si="4"/>
        <v>-483089.33345121983</v>
      </c>
      <c r="P80" s="268">
        <f t="shared" si="4"/>
        <v>-483089.33345121983</v>
      </c>
      <c r="Q80" s="268">
        <v>0</v>
      </c>
      <c r="R80" s="268">
        <v>0</v>
      </c>
      <c r="S80" s="268">
        <v>0</v>
      </c>
      <c r="T80" s="268">
        <v>0</v>
      </c>
      <c r="U80" s="268">
        <v>0</v>
      </c>
      <c r="V80" s="268">
        <v>0</v>
      </c>
      <c r="W80" s="268">
        <v>0</v>
      </c>
      <c r="X80" s="268">
        <v>0</v>
      </c>
      <c r="Y80" s="268">
        <v>0</v>
      </c>
      <c r="Z80" s="268">
        <v>0</v>
      </c>
      <c r="AA80" s="268">
        <v>0</v>
      </c>
      <c r="AB80" s="268">
        <v>0</v>
      </c>
      <c r="AC80" s="268">
        <v>0</v>
      </c>
      <c r="AD80" s="268">
        <v>0</v>
      </c>
      <c r="AE80" s="268">
        <v>0</v>
      </c>
      <c r="AF80" s="268">
        <v>0</v>
      </c>
      <c r="AG80" s="268">
        <v>0</v>
      </c>
      <c r="AH80" s="268">
        <v>0</v>
      </c>
      <c r="AI80" s="268">
        <v>0</v>
      </c>
      <c r="AJ80" s="268">
        <v>0</v>
      </c>
      <c r="AK80" s="268">
        <v>0</v>
      </c>
      <c r="AL80" s="268">
        <v>0</v>
      </c>
      <c r="AM80" s="268">
        <v>0</v>
      </c>
      <c r="AN80" s="268">
        <v>0</v>
      </c>
      <c r="AO80" s="268">
        <v>0</v>
      </c>
      <c r="AP80" s="268">
        <v>0</v>
      </c>
      <c r="AQ80" s="268">
        <v>0</v>
      </c>
      <c r="AR80" s="268">
        <v>0</v>
      </c>
      <c r="AS80" s="268">
        <v>0</v>
      </c>
      <c r="AT80" s="268">
        <v>0</v>
      </c>
      <c r="AU80" s="13"/>
    </row>
    <row r="81" spans="2:66" x14ac:dyDescent="0.25">
      <c r="B81" s="831" t="s">
        <v>520</v>
      </c>
      <c r="C81" s="268">
        <v>0</v>
      </c>
      <c r="D81" s="268">
        <v>0</v>
      </c>
      <c r="E81" s="268">
        <v>0</v>
      </c>
      <c r="F81" s="268">
        <v>0</v>
      </c>
      <c r="G81" s="268">
        <f>SUM($C$117:$F$117)*$C$22/5</f>
        <v>-204364.92007479366</v>
      </c>
      <c r="H81" s="268">
        <f t="shared" ref="H81:K81" si="5">SUM($C$117:$F$117)*$C$22/5</f>
        <v>-204364.92007479366</v>
      </c>
      <c r="I81" s="268">
        <f t="shared" si="5"/>
        <v>-204364.92007479366</v>
      </c>
      <c r="J81" s="268">
        <f t="shared" si="5"/>
        <v>-204364.92007479366</v>
      </c>
      <c r="K81" s="268">
        <f t="shared" si="5"/>
        <v>-204364.92007479366</v>
      </c>
      <c r="L81" s="965">
        <v>0</v>
      </c>
      <c r="M81" s="965">
        <v>0</v>
      </c>
      <c r="N81" s="965">
        <v>0</v>
      </c>
      <c r="O81" s="965">
        <v>0</v>
      </c>
      <c r="P81" s="965">
        <v>0</v>
      </c>
      <c r="Q81" s="965">
        <v>0</v>
      </c>
      <c r="R81" s="965">
        <v>0</v>
      </c>
      <c r="S81" s="965">
        <v>0</v>
      </c>
      <c r="T81" s="965">
        <v>0</v>
      </c>
      <c r="U81" s="965">
        <v>0</v>
      </c>
      <c r="V81" s="965">
        <v>0</v>
      </c>
      <c r="W81" s="965">
        <v>0</v>
      </c>
      <c r="X81" s="965">
        <v>0</v>
      </c>
      <c r="Y81" s="965">
        <v>0</v>
      </c>
      <c r="Z81" s="965">
        <v>0</v>
      </c>
      <c r="AA81" s="965">
        <v>0</v>
      </c>
      <c r="AB81" s="965">
        <v>0</v>
      </c>
      <c r="AC81" s="965">
        <v>0</v>
      </c>
      <c r="AD81" s="965">
        <v>0</v>
      </c>
      <c r="AE81" s="965">
        <v>0</v>
      </c>
      <c r="AF81" s="965">
        <v>0</v>
      </c>
      <c r="AG81" s="965">
        <v>0</v>
      </c>
      <c r="AH81" s="965">
        <v>0</v>
      </c>
      <c r="AI81" s="965">
        <v>0</v>
      </c>
      <c r="AJ81" s="965">
        <v>0</v>
      </c>
      <c r="AK81" s="965">
        <v>0</v>
      </c>
      <c r="AL81" s="965">
        <v>0</v>
      </c>
      <c r="AM81" s="965">
        <v>0</v>
      </c>
      <c r="AN81" s="965">
        <v>0</v>
      </c>
      <c r="AO81" s="965">
        <v>0</v>
      </c>
      <c r="AP81" s="965">
        <v>0</v>
      </c>
      <c r="AQ81" s="965">
        <v>0</v>
      </c>
      <c r="AR81" s="965">
        <v>0</v>
      </c>
      <c r="AS81" s="965">
        <v>0</v>
      </c>
      <c r="AT81" s="965">
        <v>0</v>
      </c>
      <c r="AU81" s="13"/>
    </row>
    <row r="82" spans="2:66" x14ac:dyDescent="0.25">
      <c r="B82" s="845" t="s">
        <v>529</v>
      </c>
      <c r="C82" s="824">
        <v>0</v>
      </c>
      <c r="D82" s="824">
        <v>0</v>
      </c>
      <c r="E82" s="824">
        <v>0</v>
      </c>
      <c r="F82" s="824">
        <v>0</v>
      </c>
      <c r="G82" s="824">
        <f>-(SUM(C117:F117))+SUM(G77:G81)</f>
        <v>123619947.34560698</v>
      </c>
      <c r="H82" s="824">
        <f>G82+SUM(H77:H81)</f>
        <v>119957103.08702216</v>
      </c>
      <c r="I82" s="824">
        <f t="shared" ref="I82:AT82" si="6">H82+SUM(I77:I81)</f>
        <v>116294258.82843733</v>
      </c>
      <c r="J82" s="824">
        <f t="shared" si="6"/>
        <v>112631414.5698525</v>
      </c>
      <c r="K82" s="824">
        <f t="shared" si="6"/>
        <v>108968570.31126767</v>
      </c>
      <c r="L82" s="824">
        <f t="shared" si="6"/>
        <v>105510090.97275764</v>
      </c>
      <c r="M82" s="824">
        <f t="shared" si="6"/>
        <v>102051611.6342476</v>
      </c>
      <c r="N82" s="824">
        <f t="shared" si="6"/>
        <v>98593132.295737565</v>
      </c>
      <c r="O82" s="824">
        <f t="shared" si="6"/>
        <v>95134652.957227528</v>
      </c>
      <c r="P82" s="824">
        <f t="shared" si="6"/>
        <v>91676173.618717492</v>
      </c>
      <c r="Q82" s="824">
        <f t="shared" si="6"/>
        <v>88700783.613658682</v>
      </c>
      <c r="R82" s="824">
        <f t="shared" si="6"/>
        <v>85725393.608599871</v>
      </c>
      <c r="S82" s="824">
        <f t="shared" si="6"/>
        <v>82750003.603541061</v>
      </c>
      <c r="T82" s="824">
        <f t="shared" si="6"/>
        <v>79774613.598482251</v>
      </c>
      <c r="U82" s="824">
        <f t="shared" si="6"/>
        <v>76799223.593423441</v>
      </c>
      <c r="V82" s="824">
        <f t="shared" si="6"/>
        <v>74669894.337906614</v>
      </c>
      <c r="W82" s="824">
        <f t="shared" si="6"/>
        <v>72540565.082389787</v>
      </c>
      <c r="X82" s="824">
        <f t="shared" si="6"/>
        <v>70411235.82687296</v>
      </c>
      <c r="Y82" s="824">
        <f t="shared" si="6"/>
        <v>68281906.571356133</v>
      </c>
      <c r="Z82" s="824">
        <f t="shared" si="6"/>
        <v>66152577.315839306</v>
      </c>
      <c r="AA82" s="824">
        <f t="shared" si="6"/>
        <v>64023248.060322478</v>
      </c>
      <c r="AB82" s="824">
        <f t="shared" si="6"/>
        <v>61893918.804805651</v>
      </c>
      <c r="AC82" s="824">
        <f t="shared" si="6"/>
        <v>59764589.549288824</v>
      </c>
      <c r="AD82" s="824">
        <f t="shared" si="6"/>
        <v>57635260.293771997</v>
      </c>
      <c r="AE82" s="824">
        <f t="shared" si="6"/>
        <v>55505931.03825517</v>
      </c>
      <c r="AF82" s="824">
        <f t="shared" si="6"/>
        <v>53376601.782738343</v>
      </c>
      <c r="AG82" s="824">
        <f t="shared" si="6"/>
        <v>51247272.527221516</v>
      </c>
      <c r="AH82" s="824">
        <f t="shared" si="6"/>
        <v>49117943.271704689</v>
      </c>
      <c r="AI82" s="824">
        <f t="shared" si="6"/>
        <v>46988614.016187862</v>
      </c>
      <c r="AJ82" s="824">
        <f t="shared" si="6"/>
        <v>44859284.760671034</v>
      </c>
      <c r="AK82" s="824">
        <f t="shared" si="6"/>
        <v>42729955.505154207</v>
      </c>
      <c r="AL82" s="824">
        <f t="shared" si="6"/>
        <v>40600626.24963738</v>
      </c>
      <c r="AM82" s="824">
        <f t="shared" si="6"/>
        <v>38471296.994120553</v>
      </c>
      <c r="AN82" s="824">
        <f t="shared" si="6"/>
        <v>36341967.738603726</v>
      </c>
      <c r="AO82" s="824">
        <f t="shared" si="6"/>
        <v>34212638.483086899</v>
      </c>
      <c r="AP82" s="824">
        <f t="shared" si="6"/>
        <v>32083309.227570068</v>
      </c>
      <c r="AQ82" s="824">
        <f t="shared" si="6"/>
        <v>29953979.972053237</v>
      </c>
      <c r="AR82" s="824">
        <f t="shared" si="6"/>
        <v>27824650.716536406</v>
      </c>
      <c r="AS82" s="824">
        <f t="shared" si="6"/>
        <v>25695321.461019576</v>
      </c>
      <c r="AT82" s="824">
        <f t="shared" si="6"/>
        <v>23565992.205502745</v>
      </c>
      <c r="AU82" s="13"/>
    </row>
    <row r="83" spans="2:66" x14ac:dyDescent="0.25">
      <c r="B83" s="831" t="s">
        <v>521</v>
      </c>
      <c r="C83" s="268">
        <v>0</v>
      </c>
      <c r="D83" s="268">
        <v>0</v>
      </c>
      <c r="E83" s="268">
        <v>0</v>
      </c>
      <c r="F83" s="268">
        <v>0</v>
      </c>
      <c r="G83" s="268">
        <v>0</v>
      </c>
      <c r="H83" s="268">
        <v>0</v>
      </c>
      <c r="I83" s="268">
        <v>0</v>
      </c>
      <c r="J83" s="268">
        <v>0</v>
      </c>
      <c r="K83" s="268">
        <v>0</v>
      </c>
      <c r="L83" s="268">
        <v>0</v>
      </c>
      <c r="M83" s="268">
        <v>0</v>
      </c>
      <c r="N83" s="268">
        <v>0</v>
      </c>
      <c r="O83" s="268">
        <v>0</v>
      </c>
      <c r="P83" s="268">
        <v>0</v>
      </c>
      <c r="Q83" s="268">
        <v>0</v>
      </c>
      <c r="R83" s="268">
        <f>SUM($P$118:$Q$118)/10</f>
        <v>-618548.40493797127</v>
      </c>
      <c r="S83" s="268">
        <f t="shared" ref="S83:AB83" si="7">SUM($P$118:$Q$118)/10</f>
        <v>-618548.40493797127</v>
      </c>
      <c r="T83" s="268">
        <f t="shared" si="7"/>
        <v>-618548.40493797127</v>
      </c>
      <c r="U83" s="268">
        <f t="shared" si="7"/>
        <v>-618548.40493797127</v>
      </c>
      <c r="V83" s="268">
        <f t="shared" si="7"/>
        <v>-618548.40493797127</v>
      </c>
      <c r="W83" s="268">
        <f t="shared" si="7"/>
        <v>-618548.40493797127</v>
      </c>
      <c r="X83" s="268">
        <f t="shared" si="7"/>
        <v>-618548.40493797127</v>
      </c>
      <c r="Y83" s="268">
        <f t="shared" si="7"/>
        <v>-618548.40493797127</v>
      </c>
      <c r="Z83" s="268">
        <f t="shared" si="7"/>
        <v>-618548.40493797127</v>
      </c>
      <c r="AA83" s="268">
        <f t="shared" si="7"/>
        <v>-618548.40493797127</v>
      </c>
      <c r="AB83" s="268">
        <f t="shared" si="7"/>
        <v>-618548.40493797127</v>
      </c>
      <c r="AC83" s="268">
        <v>0</v>
      </c>
      <c r="AD83" s="268">
        <v>0</v>
      </c>
      <c r="AE83" s="268">
        <v>0</v>
      </c>
      <c r="AF83" s="268">
        <v>0</v>
      </c>
      <c r="AG83" s="268">
        <v>0</v>
      </c>
      <c r="AH83" s="268">
        <v>0</v>
      </c>
      <c r="AI83" s="268">
        <v>0</v>
      </c>
      <c r="AJ83" s="268">
        <v>0</v>
      </c>
      <c r="AK83" s="268">
        <v>0</v>
      </c>
      <c r="AL83" s="268">
        <v>0</v>
      </c>
      <c r="AM83" s="268">
        <v>0</v>
      </c>
      <c r="AN83" s="268">
        <v>0</v>
      </c>
      <c r="AO83" s="268">
        <v>0</v>
      </c>
      <c r="AP83" s="268">
        <v>0</v>
      </c>
      <c r="AQ83" s="268">
        <v>0</v>
      </c>
      <c r="AR83" s="268">
        <v>0</v>
      </c>
      <c r="AS83" s="268">
        <v>0</v>
      </c>
      <c r="AT83" s="268">
        <v>0</v>
      </c>
      <c r="AU83" s="13"/>
    </row>
    <row r="84" spans="2:66" s="42" customFormat="1" x14ac:dyDescent="0.25">
      <c r="B84" s="845" t="s">
        <v>522</v>
      </c>
      <c r="C84" s="824">
        <v>0</v>
      </c>
      <c r="D84" s="824">
        <v>0</v>
      </c>
      <c r="E84" s="824">
        <v>0</v>
      </c>
      <c r="F84" s="824">
        <v>0</v>
      </c>
      <c r="G84" s="824">
        <v>0</v>
      </c>
      <c r="H84" s="824">
        <v>0</v>
      </c>
      <c r="I84" s="824">
        <v>0</v>
      </c>
      <c r="J84" s="824">
        <v>0</v>
      </c>
      <c r="K84" s="824">
        <v>0</v>
      </c>
      <c r="L84" s="824">
        <v>0</v>
      </c>
      <c r="M84" s="824">
        <v>0</v>
      </c>
      <c r="N84" s="824">
        <v>0</v>
      </c>
      <c r="O84" s="824">
        <v>0</v>
      </c>
      <c r="P84" s="824">
        <v>0</v>
      </c>
      <c r="Q84" s="824">
        <v>0</v>
      </c>
      <c r="R84" s="824">
        <f>-SUM(P118:Q118)</f>
        <v>6185484.0493797129</v>
      </c>
      <c r="S84" s="824">
        <f>R84+S83</f>
        <v>5566935.6444417415</v>
      </c>
      <c r="T84" s="824">
        <f t="shared" ref="T84:AB84" si="8">S84+T83</f>
        <v>4948387.2395037701</v>
      </c>
      <c r="U84" s="824">
        <f t="shared" si="8"/>
        <v>4329838.8345657988</v>
      </c>
      <c r="V84" s="824">
        <f t="shared" si="8"/>
        <v>3711290.4296278274</v>
      </c>
      <c r="W84" s="824">
        <f t="shared" si="8"/>
        <v>3092742.024689856</v>
      </c>
      <c r="X84" s="824">
        <f t="shared" si="8"/>
        <v>2474193.6197518846</v>
      </c>
      <c r="Y84" s="824">
        <f t="shared" si="8"/>
        <v>1855645.2148139132</v>
      </c>
      <c r="Z84" s="824">
        <f t="shared" si="8"/>
        <v>1237096.8098759418</v>
      </c>
      <c r="AA84" s="824">
        <f t="shared" si="8"/>
        <v>618548.40493797057</v>
      </c>
      <c r="AB84" s="824">
        <f t="shared" si="8"/>
        <v>0</v>
      </c>
      <c r="AC84" s="824">
        <v>0</v>
      </c>
      <c r="AD84" s="824">
        <v>0</v>
      </c>
      <c r="AE84" s="824">
        <v>0</v>
      </c>
      <c r="AF84" s="824">
        <v>0</v>
      </c>
      <c r="AG84" s="824">
        <v>0</v>
      </c>
      <c r="AH84" s="824">
        <v>0</v>
      </c>
      <c r="AI84" s="824">
        <v>0</v>
      </c>
      <c r="AJ84" s="824">
        <v>0</v>
      </c>
      <c r="AK84" s="824">
        <v>0</v>
      </c>
      <c r="AL84" s="824">
        <v>0</v>
      </c>
      <c r="AM84" s="824">
        <v>0</v>
      </c>
      <c r="AN84" s="824">
        <v>0</v>
      </c>
      <c r="AO84" s="824">
        <v>0</v>
      </c>
      <c r="AP84" s="824">
        <v>0</v>
      </c>
      <c r="AQ84" s="824">
        <v>0</v>
      </c>
      <c r="AR84" s="824">
        <v>0</v>
      </c>
      <c r="AS84" s="824">
        <v>0</v>
      </c>
      <c r="AT84" s="824">
        <v>0</v>
      </c>
      <c r="AU84" s="815"/>
    </row>
    <row r="85" spans="2:66" x14ac:dyDescent="0.25">
      <c r="B85" s="831" t="s">
        <v>527</v>
      </c>
      <c r="C85" s="268">
        <v>0</v>
      </c>
      <c r="D85" s="268">
        <v>0</v>
      </c>
      <c r="E85" s="268">
        <v>0</v>
      </c>
      <c r="F85" s="268">
        <v>0</v>
      </c>
      <c r="G85" s="268">
        <v>0</v>
      </c>
      <c r="H85" s="268">
        <v>0</v>
      </c>
      <c r="I85" s="268">
        <v>0</v>
      </c>
      <c r="J85" s="268">
        <v>0</v>
      </c>
      <c r="K85" s="268">
        <v>0</v>
      </c>
      <c r="L85" s="268">
        <v>0</v>
      </c>
      <c r="M85" s="268">
        <v>0</v>
      </c>
      <c r="N85" s="268">
        <v>0</v>
      </c>
      <c r="O85" s="268">
        <v>0</v>
      </c>
      <c r="P85" s="268">
        <v>0</v>
      </c>
      <c r="Q85" s="268">
        <v>0</v>
      </c>
      <c r="R85" s="268">
        <v>0</v>
      </c>
      <c r="S85" s="268">
        <v>0</v>
      </c>
      <c r="T85" s="268">
        <v>0</v>
      </c>
      <c r="U85" s="268">
        <v>0</v>
      </c>
      <c r="V85" s="268">
        <v>0</v>
      </c>
      <c r="W85" s="268">
        <v>0</v>
      </c>
      <c r="X85" s="268">
        <f t="shared" ref="X85:AL85" si="9">SUM($U$118:$W$118)/15</f>
        <v>-1175246.5745210485</v>
      </c>
      <c r="Y85" s="268">
        <f t="shared" si="9"/>
        <v>-1175246.5745210485</v>
      </c>
      <c r="Z85" s="268">
        <f t="shared" si="9"/>
        <v>-1175246.5745210485</v>
      </c>
      <c r="AA85" s="268">
        <f t="shared" si="9"/>
        <v>-1175246.5745210485</v>
      </c>
      <c r="AB85" s="268">
        <f t="shared" si="9"/>
        <v>-1175246.5745210485</v>
      </c>
      <c r="AC85" s="268">
        <f t="shared" si="9"/>
        <v>-1175246.5745210485</v>
      </c>
      <c r="AD85" s="268">
        <f t="shared" si="9"/>
        <v>-1175246.5745210485</v>
      </c>
      <c r="AE85" s="268">
        <f t="shared" si="9"/>
        <v>-1175246.5745210485</v>
      </c>
      <c r="AF85" s="268">
        <f t="shared" si="9"/>
        <v>-1175246.5745210485</v>
      </c>
      <c r="AG85" s="268">
        <f t="shared" si="9"/>
        <v>-1175246.5745210485</v>
      </c>
      <c r="AH85" s="268">
        <f t="shared" si="9"/>
        <v>-1175246.5745210485</v>
      </c>
      <c r="AI85" s="268">
        <f t="shared" si="9"/>
        <v>-1175246.5745210485</v>
      </c>
      <c r="AJ85" s="268">
        <f t="shared" si="9"/>
        <v>-1175246.5745210485</v>
      </c>
      <c r="AK85" s="268">
        <f t="shared" si="9"/>
        <v>-1175246.5745210485</v>
      </c>
      <c r="AL85" s="268">
        <f t="shared" si="9"/>
        <v>-1175246.5745210485</v>
      </c>
      <c r="AM85" s="268">
        <v>0</v>
      </c>
      <c r="AN85" s="268">
        <v>0</v>
      </c>
      <c r="AO85" s="268">
        <f t="shared" ref="AO85:AT85" si="10">-$C$16*AN86</f>
        <v>0</v>
      </c>
      <c r="AP85" s="268">
        <f t="shared" si="10"/>
        <v>0</v>
      </c>
      <c r="AQ85" s="268">
        <f t="shared" si="10"/>
        <v>0</v>
      </c>
      <c r="AR85" s="268">
        <f t="shared" si="10"/>
        <v>0</v>
      </c>
      <c r="AS85" s="268">
        <f t="shared" si="10"/>
        <v>0</v>
      </c>
      <c r="AT85" s="268">
        <f t="shared" si="10"/>
        <v>0</v>
      </c>
      <c r="AU85" s="13"/>
    </row>
    <row r="86" spans="2:66" s="42" customFormat="1" x14ac:dyDescent="0.25">
      <c r="B86" s="845" t="s">
        <v>523</v>
      </c>
      <c r="C86" s="824">
        <v>0</v>
      </c>
      <c r="D86" s="824">
        <v>0</v>
      </c>
      <c r="E86" s="824">
        <v>0</v>
      </c>
      <c r="F86" s="824">
        <v>0</v>
      </c>
      <c r="G86" s="824">
        <v>0</v>
      </c>
      <c r="H86" s="824">
        <v>0</v>
      </c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4">
        <f>-(SUM($U$118:$W$118))+X85</f>
        <v>16453452.043294678</v>
      </c>
      <c r="Y86" s="824">
        <f>X86+Y85</f>
        <v>15278205.46877363</v>
      </c>
      <c r="Z86" s="824">
        <f t="shared" ref="Z86:AL86" si="11">Y86+Z85</f>
        <v>14102958.894252582</v>
      </c>
      <c r="AA86" s="824">
        <f t="shared" si="11"/>
        <v>12927712.319731534</v>
      </c>
      <c r="AB86" s="824">
        <f t="shared" si="11"/>
        <v>11752465.745210486</v>
      </c>
      <c r="AC86" s="824">
        <f t="shared" si="11"/>
        <v>10577219.170689438</v>
      </c>
      <c r="AD86" s="824">
        <f t="shared" si="11"/>
        <v>9401972.5961683895</v>
      </c>
      <c r="AE86" s="824">
        <f t="shared" si="11"/>
        <v>8226726.0216473415</v>
      </c>
      <c r="AF86" s="824">
        <f t="shared" si="11"/>
        <v>7051479.4471262936</v>
      </c>
      <c r="AG86" s="824">
        <f t="shared" si="11"/>
        <v>5876232.8726052456</v>
      </c>
      <c r="AH86" s="824">
        <f t="shared" si="11"/>
        <v>4700986.2980841976</v>
      </c>
      <c r="AI86" s="824">
        <f t="shared" si="11"/>
        <v>3525739.7235631491</v>
      </c>
      <c r="AJ86" s="824">
        <f t="shared" si="11"/>
        <v>2350493.1490421006</v>
      </c>
      <c r="AK86" s="824">
        <f t="shared" si="11"/>
        <v>1175246.5745210522</v>
      </c>
      <c r="AL86" s="824">
        <f t="shared" si="11"/>
        <v>3.7252902984619141E-9</v>
      </c>
      <c r="AM86" s="824">
        <v>0</v>
      </c>
      <c r="AN86" s="824">
        <v>0</v>
      </c>
      <c r="AO86" s="824">
        <f t="shared" ref="AO86:AT86" si="12">AN86+AO85</f>
        <v>0</v>
      </c>
      <c r="AP86" s="824">
        <f t="shared" si="12"/>
        <v>0</v>
      </c>
      <c r="AQ86" s="824">
        <f t="shared" si="12"/>
        <v>0</v>
      </c>
      <c r="AR86" s="824">
        <f t="shared" si="12"/>
        <v>0</v>
      </c>
      <c r="AS86" s="824">
        <f t="shared" si="12"/>
        <v>0</v>
      </c>
      <c r="AT86" s="824">
        <f t="shared" si="12"/>
        <v>0</v>
      </c>
      <c r="AU86" s="815"/>
    </row>
    <row r="87" spans="2:66" x14ac:dyDescent="0.25">
      <c r="B87" s="831" t="s">
        <v>524</v>
      </c>
      <c r="C87" s="268">
        <v>0</v>
      </c>
      <c r="D87" s="268">
        <v>0</v>
      </c>
      <c r="E87" s="268">
        <v>0</v>
      </c>
      <c r="F87" s="268">
        <v>0</v>
      </c>
      <c r="G87" s="268">
        <v>0</v>
      </c>
      <c r="H87" s="268">
        <v>0</v>
      </c>
      <c r="I87" s="268">
        <v>0</v>
      </c>
      <c r="J87" s="268">
        <v>0</v>
      </c>
      <c r="K87" s="268">
        <v>0</v>
      </c>
      <c r="L87" s="268">
        <v>0</v>
      </c>
      <c r="M87" s="268">
        <v>0</v>
      </c>
      <c r="N87" s="268">
        <v>0</v>
      </c>
      <c r="O87" s="268">
        <v>0</v>
      </c>
      <c r="P87" s="268">
        <v>0</v>
      </c>
      <c r="Q87" s="268">
        <v>0</v>
      </c>
      <c r="R87" s="268">
        <v>0</v>
      </c>
      <c r="S87" s="268">
        <v>0</v>
      </c>
      <c r="T87" s="268">
        <v>0</v>
      </c>
      <c r="U87" s="268">
        <v>0</v>
      </c>
      <c r="V87" s="268">
        <v>0</v>
      </c>
      <c r="W87" s="268">
        <v>0</v>
      </c>
      <c r="X87" s="268">
        <v>0</v>
      </c>
      <c r="Y87" s="268">
        <v>0</v>
      </c>
      <c r="Z87" s="268">
        <v>0</v>
      </c>
      <c r="AA87" s="268">
        <v>0</v>
      </c>
      <c r="AB87" s="268">
        <v>0</v>
      </c>
      <c r="AC87" s="268">
        <f>SUM($AA$118:$AB$118)/10</f>
        <v>-767541.03117502527</v>
      </c>
      <c r="AD87" s="268">
        <f t="shared" ref="AD87:AM87" si="13">SUM($AA$118:$AB$118)/10</f>
        <v>-767541.03117502527</v>
      </c>
      <c r="AE87" s="268">
        <f t="shared" si="13"/>
        <v>-767541.03117502527</v>
      </c>
      <c r="AF87" s="268">
        <f t="shared" si="13"/>
        <v>-767541.03117502527</v>
      </c>
      <c r="AG87" s="268">
        <f t="shared" si="13"/>
        <v>-767541.03117502527</v>
      </c>
      <c r="AH87" s="268">
        <f t="shared" si="13"/>
        <v>-767541.03117502527</v>
      </c>
      <c r="AI87" s="268">
        <f t="shared" si="13"/>
        <v>-767541.03117502527</v>
      </c>
      <c r="AJ87" s="268">
        <f t="shared" si="13"/>
        <v>-767541.03117502527</v>
      </c>
      <c r="AK87" s="268">
        <f t="shared" si="13"/>
        <v>-767541.03117502527</v>
      </c>
      <c r="AL87" s="268">
        <f t="shared" si="13"/>
        <v>-767541.03117502527</v>
      </c>
      <c r="AM87" s="268">
        <f t="shared" si="13"/>
        <v>-767541.03117502527</v>
      </c>
      <c r="AN87" s="268">
        <v>0</v>
      </c>
      <c r="AO87" s="268">
        <f t="shared" ref="AO87" si="14">-$C$16*AN88</f>
        <v>0</v>
      </c>
      <c r="AP87" s="268">
        <f t="shared" ref="AP87" si="15">-$C$16*AO88</f>
        <v>0</v>
      </c>
      <c r="AQ87" s="268">
        <f t="shared" ref="AQ87" si="16">-$C$16*AP88</f>
        <v>0</v>
      </c>
      <c r="AR87" s="268">
        <f t="shared" ref="AR87" si="17">-$C$16*AQ88</f>
        <v>0</v>
      </c>
      <c r="AS87" s="268">
        <f t="shared" ref="AS87" si="18">-$C$16*AR88</f>
        <v>0</v>
      </c>
      <c r="AT87" s="268">
        <f t="shared" ref="AT87" si="19">-$C$16*AS88</f>
        <v>0</v>
      </c>
      <c r="AU87" s="103"/>
      <c r="AV87" s="166"/>
    </row>
    <row r="88" spans="2:66" s="42" customFormat="1" x14ac:dyDescent="0.25">
      <c r="B88" s="845" t="s">
        <v>525</v>
      </c>
      <c r="C88" s="824">
        <v>0</v>
      </c>
      <c r="D88" s="824">
        <v>0</v>
      </c>
      <c r="E88" s="824">
        <v>0</v>
      </c>
      <c r="F88" s="824">
        <v>0</v>
      </c>
      <c r="G88" s="824">
        <v>0</v>
      </c>
      <c r="H88" s="824">
        <v>0</v>
      </c>
      <c r="I88" s="824">
        <v>0</v>
      </c>
      <c r="J88" s="824">
        <v>0</v>
      </c>
      <c r="K88" s="824">
        <v>0</v>
      </c>
      <c r="L88" s="824">
        <v>0</v>
      </c>
      <c r="M88" s="824">
        <v>0</v>
      </c>
      <c r="N88" s="824">
        <v>0</v>
      </c>
      <c r="O88" s="824">
        <v>0</v>
      </c>
      <c r="P88" s="824">
        <v>0</v>
      </c>
      <c r="Q88" s="824">
        <v>0</v>
      </c>
      <c r="R88" s="824">
        <v>0</v>
      </c>
      <c r="S88" s="824">
        <v>0</v>
      </c>
      <c r="T88" s="824">
        <v>0</v>
      </c>
      <c r="U88" s="824">
        <v>0</v>
      </c>
      <c r="V88" s="824">
        <v>0</v>
      </c>
      <c r="W88" s="824">
        <v>0</v>
      </c>
      <c r="X88" s="824">
        <v>0</v>
      </c>
      <c r="Y88" s="824">
        <v>0</v>
      </c>
      <c r="Z88" s="824">
        <v>0</v>
      </c>
      <c r="AA88" s="824">
        <v>0</v>
      </c>
      <c r="AB88" s="824">
        <v>0</v>
      </c>
      <c r="AC88" s="824">
        <f>-SUM(AA118:AB118)</f>
        <v>7675410.3117502527</v>
      </c>
      <c r="AD88" s="824">
        <f>AC88+AD87</f>
        <v>6907869.280575227</v>
      </c>
      <c r="AE88" s="824">
        <f t="shared" ref="AE88:AM88" si="20">AD88+AE87</f>
        <v>6140328.2494002022</v>
      </c>
      <c r="AF88" s="824">
        <f t="shared" si="20"/>
        <v>5372787.2182251774</v>
      </c>
      <c r="AG88" s="824">
        <f t="shared" si="20"/>
        <v>4605246.1870501526</v>
      </c>
      <c r="AH88" s="824">
        <f t="shared" si="20"/>
        <v>3837705.1558751273</v>
      </c>
      <c r="AI88" s="824">
        <f t="shared" si="20"/>
        <v>3070164.124700102</v>
      </c>
      <c r="AJ88" s="824">
        <f t="shared" si="20"/>
        <v>2302623.0935250768</v>
      </c>
      <c r="AK88" s="824">
        <f t="shared" si="20"/>
        <v>1535082.0623500515</v>
      </c>
      <c r="AL88" s="824">
        <f t="shared" si="20"/>
        <v>767541.0311750262</v>
      </c>
      <c r="AM88" s="824">
        <f t="shared" si="20"/>
        <v>9.3132257461547852E-10</v>
      </c>
      <c r="AN88" s="824">
        <v>0</v>
      </c>
      <c r="AO88" s="824">
        <f t="shared" ref="AO88" si="21">AN88+AO87</f>
        <v>0</v>
      </c>
      <c r="AP88" s="824">
        <f t="shared" ref="AP88" si="22">AO88+AP87</f>
        <v>0</v>
      </c>
      <c r="AQ88" s="824">
        <f t="shared" ref="AQ88" si="23">AP88+AQ87</f>
        <v>0</v>
      </c>
      <c r="AR88" s="824">
        <f t="shared" ref="AR88" si="24">AQ88+AR87</f>
        <v>0</v>
      </c>
      <c r="AS88" s="824">
        <f t="shared" ref="AS88" si="25">AR88+AS87</f>
        <v>0</v>
      </c>
      <c r="AT88" s="824">
        <f t="shared" ref="AT88" si="26">AS88+AT87</f>
        <v>0</v>
      </c>
      <c r="AU88" s="817"/>
      <c r="AV88" s="686"/>
    </row>
    <row r="89" spans="2:66" x14ac:dyDescent="0.25">
      <c r="B89" s="831" t="s">
        <v>528</v>
      </c>
      <c r="C89" s="268">
        <v>0</v>
      </c>
      <c r="D89" s="268">
        <v>0</v>
      </c>
      <c r="E89" s="268">
        <v>0</v>
      </c>
      <c r="F89" s="268">
        <v>0</v>
      </c>
      <c r="G89" s="268">
        <v>0</v>
      </c>
      <c r="H89" s="268">
        <v>0</v>
      </c>
      <c r="I89" s="268">
        <v>0</v>
      </c>
      <c r="J89" s="268">
        <v>0</v>
      </c>
      <c r="K89" s="268">
        <v>0</v>
      </c>
      <c r="L89" s="268">
        <v>0</v>
      </c>
      <c r="M89" s="268">
        <v>0</v>
      </c>
      <c r="N89" s="268">
        <v>0</v>
      </c>
      <c r="O89" s="268">
        <v>0</v>
      </c>
      <c r="P89" s="268">
        <v>0</v>
      </c>
      <c r="Q89" s="268">
        <v>0</v>
      </c>
      <c r="R89" s="268">
        <v>0</v>
      </c>
      <c r="S89" s="268">
        <v>0</v>
      </c>
      <c r="T89" s="268">
        <v>0</v>
      </c>
      <c r="U89" s="268">
        <v>0</v>
      </c>
      <c r="V89" s="268">
        <v>0</v>
      </c>
      <c r="W89" s="268">
        <v>0</v>
      </c>
      <c r="X89" s="268">
        <v>0</v>
      </c>
      <c r="Y89" s="268">
        <v>0</v>
      </c>
      <c r="Z89" s="268">
        <v>0</v>
      </c>
      <c r="AA89" s="268">
        <v>0</v>
      </c>
      <c r="AB89" s="268">
        <v>0</v>
      </c>
      <c r="AC89" s="268">
        <v>0</v>
      </c>
      <c r="AD89" s="268">
        <v>0</v>
      </c>
      <c r="AE89" s="268">
        <v>0</v>
      </c>
      <c r="AF89" s="268">
        <v>0</v>
      </c>
      <c r="AG89" s="268">
        <v>0</v>
      </c>
      <c r="AH89" s="268">
        <v>0</v>
      </c>
      <c r="AI89" s="268">
        <v>0</v>
      </c>
      <c r="AJ89" s="268">
        <v>0</v>
      </c>
      <c r="AK89" s="268">
        <v>0</v>
      </c>
      <c r="AL89" s="268">
        <v>0</v>
      </c>
      <c r="AM89" s="268">
        <v>0</v>
      </c>
      <c r="AN89" s="268">
        <v>0</v>
      </c>
      <c r="AO89" s="268">
        <f>SUM($AL$118:$AN$118)/14</f>
        <v>-2405856.6464542625</v>
      </c>
      <c r="AP89" s="268">
        <f t="shared" ref="AP89:AT89" si="27">SUM($AL$118:$AN$118)/14</f>
        <v>-2405856.6464542625</v>
      </c>
      <c r="AQ89" s="268">
        <f t="shared" si="27"/>
        <v>-2405856.6464542625</v>
      </c>
      <c r="AR89" s="268">
        <f t="shared" si="27"/>
        <v>-2405856.6464542625</v>
      </c>
      <c r="AS89" s="268">
        <f t="shared" si="27"/>
        <v>-2405856.6464542625</v>
      </c>
      <c r="AT89" s="268">
        <f t="shared" si="27"/>
        <v>-2405856.6464542625</v>
      </c>
      <c r="AU89" s="268"/>
    </row>
    <row r="90" spans="2:66" s="42" customFormat="1" x14ac:dyDescent="0.25">
      <c r="B90" s="966" t="s">
        <v>526</v>
      </c>
      <c r="C90" s="967">
        <v>0</v>
      </c>
      <c r="D90" s="967">
        <v>0</v>
      </c>
      <c r="E90" s="967">
        <v>0</v>
      </c>
      <c r="F90" s="967">
        <v>0</v>
      </c>
      <c r="G90" s="967">
        <v>0</v>
      </c>
      <c r="H90" s="967">
        <v>0</v>
      </c>
      <c r="I90" s="967">
        <v>0</v>
      </c>
      <c r="J90" s="967">
        <v>0</v>
      </c>
      <c r="K90" s="967">
        <v>0</v>
      </c>
      <c r="L90" s="967">
        <v>0</v>
      </c>
      <c r="M90" s="967">
        <v>0</v>
      </c>
      <c r="N90" s="967">
        <v>0</v>
      </c>
      <c r="O90" s="967">
        <v>0</v>
      </c>
      <c r="P90" s="967">
        <v>0</v>
      </c>
      <c r="Q90" s="967">
        <v>0</v>
      </c>
      <c r="R90" s="967">
        <v>0</v>
      </c>
      <c r="S90" s="967">
        <v>0</v>
      </c>
      <c r="T90" s="967">
        <v>0</v>
      </c>
      <c r="U90" s="967">
        <v>0</v>
      </c>
      <c r="V90" s="967">
        <v>0</v>
      </c>
      <c r="W90" s="967">
        <v>0</v>
      </c>
      <c r="X90" s="967">
        <v>0</v>
      </c>
      <c r="Y90" s="967">
        <v>0</v>
      </c>
      <c r="Z90" s="967">
        <v>0</v>
      </c>
      <c r="AA90" s="967">
        <v>0</v>
      </c>
      <c r="AB90" s="967">
        <v>0</v>
      </c>
      <c r="AC90" s="967">
        <v>0</v>
      </c>
      <c r="AD90" s="967">
        <v>0</v>
      </c>
      <c r="AE90" s="967">
        <v>0</v>
      </c>
      <c r="AF90" s="967">
        <v>0</v>
      </c>
      <c r="AG90" s="967">
        <v>0</v>
      </c>
      <c r="AH90" s="967">
        <v>0</v>
      </c>
      <c r="AI90" s="967">
        <v>0</v>
      </c>
      <c r="AJ90" s="967">
        <v>0</v>
      </c>
      <c r="AK90" s="967">
        <v>0</v>
      </c>
      <c r="AL90" s="967">
        <v>0</v>
      </c>
      <c r="AM90" s="967">
        <v>0</v>
      </c>
      <c r="AN90" s="967">
        <v>0</v>
      </c>
      <c r="AO90" s="967">
        <f>-(SUM(AL118:AN118))-AO89</f>
        <v>36087849.696813934</v>
      </c>
      <c r="AP90" s="967">
        <f>AO90+AP89</f>
        <v>33681993.050359674</v>
      </c>
      <c r="AQ90" s="967">
        <f t="shared" ref="AQ90:AT90" si="28">AP90+AQ89</f>
        <v>31276136.40390541</v>
      </c>
      <c r="AR90" s="967">
        <f t="shared" si="28"/>
        <v>28870279.757451147</v>
      </c>
      <c r="AS90" s="967">
        <f t="shared" si="28"/>
        <v>26464423.110996883</v>
      </c>
      <c r="AT90" s="967">
        <f t="shared" si="28"/>
        <v>24058566.46454262</v>
      </c>
      <c r="AU90" s="815"/>
    </row>
    <row r="91" spans="2:66" s="42" customFormat="1" x14ac:dyDescent="0.25">
      <c r="B91" s="845" t="s">
        <v>441</v>
      </c>
      <c r="C91" s="824">
        <v>0</v>
      </c>
      <c r="D91" s="824">
        <v>0</v>
      </c>
      <c r="E91" s="824">
        <v>0</v>
      </c>
      <c r="F91" s="824">
        <v>0</v>
      </c>
      <c r="G91" s="824">
        <f>SUM(G77:G81)+G83+G85+G87+G89</f>
        <v>-3662844.258584829</v>
      </c>
      <c r="H91" s="824">
        <f t="shared" ref="H91:AT91" si="29">SUM(H77:H81)+H83+H85+H87+H89</f>
        <v>-3662844.258584829</v>
      </c>
      <c r="I91" s="824">
        <f t="shared" si="29"/>
        <v>-3662844.258584829</v>
      </c>
      <c r="J91" s="824">
        <f t="shared" si="29"/>
        <v>-3662844.258584829</v>
      </c>
      <c r="K91" s="824">
        <f t="shared" si="29"/>
        <v>-3662844.258584829</v>
      </c>
      <c r="L91" s="824">
        <f t="shared" si="29"/>
        <v>-3458479.3385100355</v>
      </c>
      <c r="M91" s="824">
        <f t="shared" si="29"/>
        <v>-3458479.3385100355</v>
      </c>
      <c r="N91" s="824">
        <f t="shared" si="29"/>
        <v>-3458479.3385100355</v>
      </c>
      <c r="O91" s="824">
        <f t="shared" si="29"/>
        <v>-3458479.3385100355</v>
      </c>
      <c r="P91" s="824">
        <f t="shared" si="29"/>
        <v>-3458479.3385100355</v>
      </c>
      <c r="Q91" s="824">
        <f t="shared" si="29"/>
        <v>-2975390.0050588157</v>
      </c>
      <c r="R91" s="824">
        <f t="shared" si="29"/>
        <v>-3593938.4099967871</v>
      </c>
      <c r="S91" s="824">
        <f t="shared" si="29"/>
        <v>-3593938.4099967871</v>
      </c>
      <c r="T91" s="824">
        <f t="shared" si="29"/>
        <v>-3593938.4099967871</v>
      </c>
      <c r="U91" s="824">
        <f t="shared" si="29"/>
        <v>-3593938.4099967871</v>
      </c>
      <c r="V91" s="824">
        <f t="shared" si="29"/>
        <v>-2747877.6604548013</v>
      </c>
      <c r="W91" s="824">
        <f t="shared" si="29"/>
        <v>-2747877.6604548013</v>
      </c>
      <c r="X91" s="824">
        <f t="shared" si="29"/>
        <v>-3923124.2349758497</v>
      </c>
      <c r="Y91" s="824">
        <f t="shared" si="29"/>
        <v>-3923124.2349758497</v>
      </c>
      <c r="Z91" s="824">
        <f t="shared" si="29"/>
        <v>-3923124.2349758497</v>
      </c>
      <c r="AA91" s="824">
        <f t="shared" si="29"/>
        <v>-3923124.2349758497</v>
      </c>
      <c r="AB91" s="824">
        <f t="shared" si="29"/>
        <v>-3923124.2349758497</v>
      </c>
      <c r="AC91" s="824">
        <f t="shared" si="29"/>
        <v>-4072116.8612129036</v>
      </c>
      <c r="AD91" s="824">
        <f t="shared" si="29"/>
        <v>-4072116.8612129036</v>
      </c>
      <c r="AE91" s="824">
        <f t="shared" si="29"/>
        <v>-4072116.8612129036</v>
      </c>
      <c r="AF91" s="824">
        <f t="shared" si="29"/>
        <v>-4072116.8612129036</v>
      </c>
      <c r="AG91" s="824">
        <f t="shared" si="29"/>
        <v>-4072116.8612129036</v>
      </c>
      <c r="AH91" s="824">
        <f t="shared" si="29"/>
        <v>-4072116.8612129036</v>
      </c>
      <c r="AI91" s="824">
        <f t="shared" si="29"/>
        <v>-4072116.8612129036</v>
      </c>
      <c r="AJ91" s="824">
        <f t="shared" si="29"/>
        <v>-4072116.8612129036</v>
      </c>
      <c r="AK91" s="824">
        <f t="shared" si="29"/>
        <v>-4072116.8612129036</v>
      </c>
      <c r="AL91" s="824">
        <f t="shared" si="29"/>
        <v>-4072116.8612129036</v>
      </c>
      <c r="AM91" s="824">
        <f t="shared" si="29"/>
        <v>-2896870.2866918552</v>
      </c>
      <c r="AN91" s="824">
        <f t="shared" si="29"/>
        <v>-2129329.2555168299</v>
      </c>
      <c r="AO91" s="824">
        <f t="shared" si="29"/>
        <v>-4535185.9019710924</v>
      </c>
      <c r="AP91" s="824">
        <f t="shared" si="29"/>
        <v>-4535185.9019710924</v>
      </c>
      <c r="AQ91" s="824">
        <f t="shared" si="29"/>
        <v>-4535185.9019710924</v>
      </c>
      <c r="AR91" s="824">
        <f t="shared" si="29"/>
        <v>-4535185.9019710924</v>
      </c>
      <c r="AS91" s="824">
        <f t="shared" si="29"/>
        <v>-4535185.9019710924</v>
      </c>
      <c r="AT91" s="824">
        <f t="shared" si="29"/>
        <v>-4535185.9019710924</v>
      </c>
      <c r="AU91" s="815"/>
    </row>
    <row r="92" spans="2:66" s="42" customFormat="1" x14ac:dyDescent="0.25">
      <c r="B92" s="833" t="s">
        <v>435</v>
      </c>
      <c r="C92" s="824">
        <f>C82+C86+C90</f>
        <v>0</v>
      </c>
      <c r="D92" s="824">
        <f t="shared" ref="D92:F92" si="30">D82+D86+D90</f>
        <v>0</v>
      </c>
      <c r="E92" s="824">
        <f t="shared" si="30"/>
        <v>0</v>
      </c>
      <c r="F92" s="824">
        <f t="shared" si="30"/>
        <v>0</v>
      </c>
      <c r="G92" s="824">
        <f>G82+G84+G86+G88+G90</f>
        <v>123619947.34560698</v>
      </c>
      <c r="H92" s="824">
        <f t="shared" ref="H92:AT92" si="31">H82+H84+H86+H88+H90</f>
        <v>119957103.08702216</v>
      </c>
      <c r="I92" s="824">
        <f t="shared" si="31"/>
        <v>116294258.82843733</v>
      </c>
      <c r="J92" s="824">
        <f t="shared" si="31"/>
        <v>112631414.5698525</v>
      </c>
      <c r="K92" s="824">
        <f t="shared" si="31"/>
        <v>108968570.31126767</v>
      </c>
      <c r="L92" s="824">
        <f t="shared" si="31"/>
        <v>105510090.97275764</v>
      </c>
      <c r="M92" s="824">
        <f t="shared" si="31"/>
        <v>102051611.6342476</v>
      </c>
      <c r="N92" s="824">
        <f t="shared" si="31"/>
        <v>98593132.295737565</v>
      </c>
      <c r="O92" s="824">
        <f t="shared" si="31"/>
        <v>95134652.957227528</v>
      </c>
      <c r="P92" s="824">
        <f t="shared" si="31"/>
        <v>91676173.618717492</v>
      </c>
      <c r="Q92" s="824">
        <f t="shared" si="31"/>
        <v>88700783.613658682</v>
      </c>
      <c r="R92" s="824">
        <f t="shared" si="31"/>
        <v>91910877.657979578</v>
      </c>
      <c r="S92" s="824">
        <f t="shared" si="31"/>
        <v>88316939.2479828</v>
      </c>
      <c r="T92" s="824">
        <f t="shared" si="31"/>
        <v>84723000.837986022</v>
      </c>
      <c r="U92" s="824">
        <f t="shared" si="31"/>
        <v>81129062.427989244</v>
      </c>
      <c r="V92" s="824">
        <f t="shared" si="31"/>
        <v>78381184.767534435</v>
      </c>
      <c r="W92" s="824">
        <f t="shared" si="31"/>
        <v>75633307.10707964</v>
      </c>
      <c r="X92" s="824">
        <f t="shared" si="31"/>
        <v>89338881.489919528</v>
      </c>
      <c r="Y92" s="824">
        <f t="shared" si="31"/>
        <v>85415757.254943684</v>
      </c>
      <c r="Z92" s="824">
        <f t="shared" si="31"/>
        <v>81492633.019967824</v>
      </c>
      <c r="AA92" s="824">
        <f t="shared" si="31"/>
        <v>77569508.78499198</v>
      </c>
      <c r="AB92" s="824">
        <f t="shared" si="31"/>
        <v>73646384.550016135</v>
      </c>
      <c r="AC92" s="824">
        <f t="shared" si="31"/>
        <v>78017219.031728506</v>
      </c>
      <c r="AD92" s="824">
        <f t="shared" si="31"/>
        <v>73945102.170515612</v>
      </c>
      <c r="AE92" s="824">
        <f t="shared" si="31"/>
        <v>69872985.309302717</v>
      </c>
      <c r="AF92" s="824">
        <f t="shared" si="31"/>
        <v>65800868.448089808</v>
      </c>
      <c r="AG92" s="824">
        <f t="shared" si="31"/>
        <v>61728751.586876914</v>
      </c>
      <c r="AH92" s="824">
        <f t="shared" si="31"/>
        <v>57656634.725664012</v>
      </c>
      <c r="AI92" s="824">
        <f t="shared" si="31"/>
        <v>53584517.86445111</v>
      </c>
      <c r="AJ92" s="824">
        <f t="shared" si="31"/>
        <v>49512401.003238209</v>
      </c>
      <c r="AK92" s="824">
        <f t="shared" si="31"/>
        <v>45440284.142025307</v>
      </c>
      <c r="AL92" s="824">
        <f t="shared" si="31"/>
        <v>41368167.280812405</v>
      </c>
      <c r="AM92" s="824">
        <f t="shared" si="31"/>
        <v>38471296.994120553</v>
      </c>
      <c r="AN92" s="824">
        <f t="shared" si="31"/>
        <v>36341967.738603726</v>
      </c>
      <c r="AO92" s="824">
        <f t="shared" si="31"/>
        <v>70300488.179900825</v>
      </c>
      <c r="AP92" s="824">
        <f t="shared" si="31"/>
        <v>65765302.277929738</v>
      </c>
      <c r="AQ92" s="824">
        <f t="shared" si="31"/>
        <v>61230116.375958651</v>
      </c>
      <c r="AR92" s="824">
        <f t="shared" si="31"/>
        <v>56694930.47398755</v>
      </c>
      <c r="AS92" s="824">
        <f t="shared" si="31"/>
        <v>52159744.572016463</v>
      </c>
      <c r="AT92" s="824">
        <f t="shared" si="31"/>
        <v>47624558.670045361</v>
      </c>
      <c r="AU92" s="815"/>
    </row>
    <row r="93" spans="2:66" x14ac:dyDescent="0.25">
      <c r="B93" s="481"/>
      <c r="C93" s="382"/>
      <c r="D93" s="382"/>
      <c r="E93" s="382"/>
      <c r="F93" s="382"/>
      <c r="G93" s="382"/>
      <c r="H93" s="382"/>
      <c r="I93" s="382"/>
      <c r="J93" s="382"/>
      <c r="K93" s="382"/>
      <c r="L93" s="382"/>
      <c r="M93" s="382"/>
      <c r="N93" s="382"/>
      <c r="O93" s="382"/>
      <c r="P93" s="382"/>
      <c r="Q93" s="382"/>
      <c r="R93" s="382"/>
      <c r="S93" s="382"/>
      <c r="T93" s="382"/>
      <c r="U93" s="382"/>
      <c r="V93" s="382"/>
      <c r="W93" s="382"/>
      <c r="X93" s="382"/>
      <c r="Y93" s="382"/>
      <c r="Z93" s="382"/>
      <c r="AA93" s="382"/>
      <c r="AB93" s="382"/>
      <c r="AC93" s="382"/>
      <c r="AD93" s="382"/>
      <c r="AE93" s="382"/>
      <c r="AF93" s="382"/>
      <c r="AG93" s="382"/>
      <c r="AH93" s="382"/>
      <c r="AI93" s="382"/>
      <c r="AJ93" s="382"/>
      <c r="AK93" s="382"/>
      <c r="AL93" s="382"/>
      <c r="AM93" s="382"/>
      <c r="AN93" s="382"/>
      <c r="AO93" s="382"/>
      <c r="AP93" s="382"/>
      <c r="AQ93" s="382"/>
      <c r="AR93" s="382"/>
      <c r="AS93" s="382"/>
      <c r="AT93" s="382"/>
      <c r="AU93" s="13"/>
    </row>
    <row r="94" spans="2:66" ht="13.8" thickBot="1" x14ac:dyDescent="0.3">
      <c r="B94" s="834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3"/>
    </row>
    <row r="95" spans="2:66" ht="14.4" x14ac:dyDescent="0.25">
      <c r="B95" s="835" t="s">
        <v>390</v>
      </c>
      <c r="C95" s="818"/>
      <c r="D95" s="818"/>
      <c r="E95" s="818"/>
      <c r="F95" s="818"/>
      <c r="G95" s="818"/>
      <c r="H95" s="818"/>
      <c r="I95" s="818"/>
      <c r="J95" s="818"/>
      <c r="K95" s="818"/>
      <c r="L95" s="818"/>
      <c r="M95" s="818"/>
      <c r="N95" s="818"/>
      <c r="O95" s="818"/>
      <c r="P95" s="818"/>
      <c r="Q95" s="818"/>
      <c r="R95" s="818"/>
      <c r="S95" s="818"/>
      <c r="T95" s="818"/>
      <c r="U95" s="818"/>
      <c r="V95" s="818"/>
      <c r="W95" s="818"/>
      <c r="X95" s="818"/>
      <c r="Y95" s="818"/>
      <c r="Z95" s="818"/>
      <c r="AA95" s="818"/>
      <c r="AB95" s="818"/>
      <c r="AC95" s="818"/>
      <c r="AD95" s="818"/>
      <c r="AE95" s="818"/>
      <c r="AF95" s="818"/>
      <c r="AG95" s="818"/>
      <c r="AH95" s="818"/>
      <c r="AI95" s="818"/>
      <c r="AJ95" s="818"/>
      <c r="AK95" s="818"/>
      <c r="AL95" s="818"/>
      <c r="AM95" s="818"/>
      <c r="AN95" s="818"/>
      <c r="AO95" s="818"/>
      <c r="AP95" s="818"/>
      <c r="AQ95" s="818"/>
      <c r="AR95" s="818"/>
      <c r="AS95" s="818"/>
      <c r="AT95" s="819"/>
      <c r="AU95" s="13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</row>
    <row r="96" spans="2:66" x14ac:dyDescent="0.25">
      <c r="B96" s="836" t="s">
        <v>391</v>
      </c>
      <c r="C96" s="268">
        <v>0</v>
      </c>
      <c r="D96" s="268">
        <v>0</v>
      </c>
      <c r="E96" s="268">
        <v>0</v>
      </c>
      <c r="F96" s="268">
        <v>0</v>
      </c>
      <c r="G96" s="268">
        <f>-G72</f>
        <v>-3454589.5691445097</v>
      </c>
      <c r="H96" s="268">
        <f t="shared" ref="H96:AT96" si="32">-H72</f>
        <v>-3546350.2599561452</v>
      </c>
      <c r="I96" s="268">
        <f t="shared" si="32"/>
        <v>-3629500.1452487805</v>
      </c>
      <c r="J96" s="268">
        <f t="shared" si="32"/>
        <v>-3714649.5304283733</v>
      </c>
      <c r="K96" s="268">
        <f t="shared" si="32"/>
        <v>-9294323.7646731809</v>
      </c>
      <c r="L96" s="268">
        <f t="shared" si="32"/>
        <v>-3891145.174125297</v>
      </c>
      <c r="M96" s="268">
        <f t="shared" si="32"/>
        <v>-3982593.760180179</v>
      </c>
      <c r="N96" s="268">
        <f t="shared" si="32"/>
        <v>-4076246.5661634705</v>
      </c>
      <c r="O96" s="268">
        <f t="shared" si="32"/>
        <v>-4172158.0442154035</v>
      </c>
      <c r="P96" s="268">
        <f t="shared" si="32"/>
        <v>-10305240.456239779</v>
      </c>
      <c r="Q96" s="268">
        <f t="shared" si="32"/>
        <v>-4370981.7449138239</v>
      </c>
      <c r="R96" s="268">
        <f t="shared" si="32"/>
        <v>-4474009.8993217153</v>
      </c>
      <c r="S96" s="268">
        <f t="shared" si="32"/>
        <v>-4579528.6633017063</v>
      </c>
      <c r="T96" s="268">
        <f t="shared" si="32"/>
        <v>-4687599.7384678498</v>
      </c>
      <c r="U96" s="268">
        <f t="shared" si="32"/>
        <v>-11429085.151702685</v>
      </c>
      <c r="V96" s="268">
        <f t="shared" si="32"/>
        <v>-4911653.4910183838</v>
      </c>
      <c r="W96" s="268">
        <f t="shared" si="32"/>
        <v>-5027767.5564522296</v>
      </c>
      <c r="X96" s="268">
        <f t="shared" si="32"/>
        <v>-5146696.7934412798</v>
      </c>
      <c r="Y96" s="268">
        <f t="shared" si="32"/>
        <v>-5268511.1412896216</v>
      </c>
      <c r="Z96" s="268">
        <f t="shared" si="32"/>
        <v>-12678875.013862662</v>
      </c>
      <c r="AA96" s="268">
        <f t="shared" si="32"/>
        <v>-5521083.8624752844</v>
      </c>
      <c r="AB96" s="268">
        <f t="shared" si="32"/>
        <v>-5651991.1898182109</v>
      </c>
      <c r="AC96" s="268">
        <f t="shared" si="32"/>
        <v>-5786081.6320499461</v>
      </c>
      <c r="AD96" s="268">
        <f t="shared" si="32"/>
        <v>-5923434.4919935949</v>
      </c>
      <c r="AE96" s="268">
        <f t="shared" si="32"/>
        <v>-14069181.394370388</v>
      </c>
      <c r="AF96" s="268">
        <f t="shared" si="32"/>
        <v>-6208254.835203521</v>
      </c>
      <c r="AG96" s="268">
        <f t="shared" si="32"/>
        <v>-6355891.2422239808</v>
      </c>
      <c r="AH96" s="268">
        <f t="shared" si="32"/>
        <v>-6507128.0239001652</v>
      </c>
      <c r="AI96" s="268">
        <f t="shared" si="32"/>
        <v>-6662055.1295457529</v>
      </c>
      <c r="AJ96" s="268">
        <f t="shared" si="32"/>
        <v>-15616322.452012271</v>
      </c>
      <c r="AK96" s="268">
        <f t="shared" si="32"/>
        <v>-6983351.6630770871</v>
      </c>
      <c r="AL96" s="268">
        <f t="shared" si="32"/>
        <v>-7149912.7241678927</v>
      </c>
      <c r="AM96" s="268">
        <f t="shared" si="32"/>
        <v>-7320547.5004008031</v>
      </c>
      <c r="AN96" s="268">
        <f t="shared" si="32"/>
        <v>-7495358.0500422539</v>
      </c>
      <c r="AO96" s="268">
        <f t="shared" si="32"/>
        <v>-17338580.552335452</v>
      </c>
      <c r="AP96" s="268">
        <f t="shared" si="32"/>
        <v>-7857927.8452074975</v>
      </c>
      <c r="AQ96" s="268">
        <f t="shared" si="32"/>
        <v>-8045904.5568202641</v>
      </c>
      <c r="AR96" s="268">
        <f t="shared" si="32"/>
        <v>-8238492.1162956236</v>
      </c>
      <c r="AS96" s="268">
        <f t="shared" si="32"/>
        <v>-8435806.3583844062</v>
      </c>
      <c r="AT96" s="799">
        <f t="shared" si="32"/>
        <v>-19256447.751688365</v>
      </c>
      <c r="AU96" s="13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</row>
    <row r="97" spans="2:66" s="42" customFormat="1" ht="15" thickBot="1" x14ac:dyDescent="0.3">
      <c r="B97" s="842" t="s">
        <v>389</v>
      </c>
      <c r="C97" s="820"/>
      <c r="D97" s="820"/>
      <c r="E97" s="820"/>
      <c r="F97" s="820"/>
      <c r="G97" s="820">
        <f>G96</f>
        <v>-3454589.5691445097</v>
      </c>
      <c r="H97" s="820">
        <f t="shared" ref="H97:AT97" si="33">H96</f>
        <v>-3546350.2599561452</v>
      </c>
      <c r="I97" s="820">
        <f t="shared" si="33"/>
        <v>-3629500.1452487805</v>
      </c>
      <c r="J97" s="820">
        <f t="shared" si="33"/>
        <v>-3714649.5304283733</v>
      </c>
      <c r="K97" s="820">
        <f t="shared" si="33"/>
        <v>-9294323.7646731809</v>
      </c>
      <c r="L97" s="820">
        <f t="shared" si="33"/>
        <v>-3891145.174125297</v>
      </c>
      <c r="M97" s="820">
        <f t="shared" si="33"/>
        <v>-3982593.760180179</v>
      </c>
      <c r="N97" s="820">
        <f t="shared" si="33"/>
        <v>-4076246.5661634705</v>
      </c>
      <c r="O97" s="820">
        <f t="shared" si="33"/>
        <v>-4172158.0442154035</v>
      </c>
      <c r="P97" s="820">
        <f t="shared" si="33"/>
        <v>-10305240.456239779</v>
      </c>
      <c r="Q97" s="820">
        <f t="shared" si="33"/>
        <v>-4370981.7449138239</v>
      </c>
      <c r="R97" s="820">
        <f t="shared" si="33"/>
        <v>-4474009.8993217153</v>
      </c>
      <c r="S97" s="820">
        <f t="shared" si="33"/>
        <v>-4579528.6633017063</v>
      </c>
      <c r="T97" s="820">
        <f t="shared" si="33"/>
        <v>-4687599.7384678498</v>
      </c>
      <c r="U97" s="820">
        <f t="shared" si="33"/>
        <v>-11429085.151702685</v>
      </c>
      <c r="V97" s="820">
        <f t="shared" si="33"/>
        <v>-4911653.4910183838</v>
      </c>
      <c r="W97" s="820">
        <f t="shared" si="33"/>
        <v>-5027767.5564522296</v>
      </c>
      <c r="X97" s="820">
        <f t="shared" si="33"/>
        <v>-5146696.7934412798</v>
      </c>
      <c r="Y97" s="820">
        <f t="shared" si="33"/>
        <v>-5268511.1412896216</v>
      </c>
      <c r="Z97" s="820">
        <f t="shared" si="33"/>
        <v>-12678875.013862662</v>
      </c>
      <c r="AA97" s="820">
        <f t="shared" si="33"/>
        <v>-5521083.8624752844</v>
      </c>
      <c r="AB97" s="820">
        <f t="shared" si="33"/>
        <v>-5651991.1898182109</v>
      </c>
      <c r="AC97" s="820">
        <f t="shared" si="33"/>
        <v>-5786081.6320499461</v>
      </c>
      <c r="AD97" s="820">
        <f t="shared" si="33"/>
        <v>-5923434.4919935949</v>
      </c>
      <c r="AE97" s="820">
        <f t="shared" si="33"/>
        <v>-14069181.394370388</v>
      </c>
      <c r="AF97" s="820">
        <f t="shared" si="33"/>
        <v>-6208254.835203521</v>
      </c>
      <c r="AG97" s="820">
        <f t="shared" si="33"/>
        <v>-6355891.2422239808</v>
      </c>
      <c r="AH97" s="820">
        <f t="shared" si="33"/>
        <v>-6507128.0239001652</v>
      </c>
      <c r="AI97" s="820">
        <f t="shared" si="33"/>
        <v>-6662055.1295457529</v>
      </c>
      <c r="AJ97" s="820">
        <f t="shared" si="33"/>
        <v>-15616322.452012271</v>
      </c>
      <c r="AK97" s="820">
        <f t="shared" si="33"/>
        <v>-6983351.6630770871</v>
      </c>
      <c r="AL97" s="820">
        <f t="shared" si="33"/>
        <v>-7149912.7241678927</v>
      </c>
      <c r="AM97" s="820">
        <f t="shared" si="33"/>
        <v>-7320547.5004008031</v>
      </c>
      <c r="AN97" s="820">
        <f t="shared" si="33"/>
        <v>-7495358.0500422539</v>
      </c>
      <c r="AO97" s="820">
        <f t="shared" si="33"/>
        <v>-17338580.552335452</v>
      </c>
      <c r="AP97" s="820">
        <f t="shared" si="33"/>
        <v>-7857927.8452074975</v>
      </c>
      <c r="AQ97" s="820">
        <f t="shared" si="33"/>
        <v>-8045904.5568202641</v>
      </c>
      <c r="AR97" s="820">
        <f t="shared" si="33"/>
        <v>-8238492.1162956236</v>
      </c>
      <c r="AS97" s="820">
        <f t="shared" si="33"/>
        <v>-8435806.3583844062</v>
      </c>
      <c r="AT97" s="821">
        <f t="shared" si="33"/>
        <v>-19256447.751688365</v>
      </c>
      <c r="AU97" s="817"/>
      <c r="AV97" s="686"/>
      <c r="AW97" s="686"/>
      <c r="AX97" s="686"/>
      <c r="AY97" s="686"/>
      <c r="AZ97" s="686"/>
      <c r="BA97" s="686"/>
      <c r="BB97" s="686"/>
      <c r="BC97" s="686"/>
      <c r="BD97" s="686"/>
      <c r="BE97" s="686"/>
      <c r="BF97" s="686"/>
      <c r="BG97" s="686"/>
      <c r="BH97" s="686"/>
      <c r="BI97" s="686"/>
      <c r="BJ97" s="686"/>
      <c r="BK97" s="686"/>
      <c r="BL97" s="686"/>
      <c r="BM97" s="686"/>
      <c r="BN97" s="686"/>
    </row>
    <row r="98" spans="2:66" s="42" customFormat="1" ht="15" thickBot="1" x14ac:dyDescent="0.3">
      <c r="B98" s="837"/>
      <c r="C98" s="824"/>
      <c r="D98" s="824"/>
      <c r="E98" s="824"/>
      <c r="F98" s="824"/>
      <c r="G98" s="824"/>
      <c r="H98" s="824"/>
      <c r="I98" s="824"/>
      <c r="J98" s="824"/>
      <c r="K98" s="824"/>
      <c r="L98" s="824"/>
      <c r="M98" s="824"/>
      <c r="N98" s="824"/>
      <c r="O98" s="824"/>
      <c r="P98" s="824"/>
      <c r="Q98" s="824"/>
      <c r="R98" s="824"/>
      <c r="S98" s="824"/>
      <c r="T98" s="824"/>
      <c r="U98" s="824"/>
      <c r="V98" s="824"/>
      <c r="W98" s="824"/>
      <c r="X98" s="824"/>
      <c r="Y98" s="824"/>
      <c r="Z98" s="824"/>
      <c r="AA98" s="824"/>
      <c r="AB98" s="824"/>
      <c r="AC98" s="824"/>
      <c r="AD98" s="824"/>
      <c r="AE98" s="824"/>
      <c r="AF98" s="824"/>
      <c r="AG98" s="824"/>
      <c r="AH98" s="824"/>
      <c r="AI98" s="824"/>
      <c r="AJ98" s="824"/>
      <c r="AK98" s="824"/>
      <c r="AL98" s="824"/>
      <c r="AM98" s="824"/>
      <c r="AN98" s="824"/>
      <c r="AO98" s="824"/>
      <c r="AP98" s="824"/>
      <c r="AQ98" s="824"/>
      <c r="AR98" s="824"/>
      <c r="AS98" s="824"/>
      <c r="AT98" s="824"/>
      <c r="AU98" s="817"/>
      <c r="AV98" s="686"/>
      <c r="AW98" s="686"/>
      <c r="AX98" s="686"/>
      <c r="AY98" s="686"/>
      <c r="AZ98" s="686"/>
      <c r="BA98" s="686"/>
      <c r="BB98" s="686"/>
      <c r="BC98" s="686"/>
      <c r="BD98" s="686"/>
      <c r="BE98" s="686"/>
      <c r="BF98" s="686"/>
      <c r="BG98" s="686"/>
      <c r="BH98" s="686"/>
      <c r="BI98" s="686"/>
      <c r="BJ98" s="686"/>
      <c r="BK98" s="686"/>
      <c r="BL98" s="686"/>
      <c r="BM98" s="686"/>
      <c r="BN98" s="686"/>
    </row>
    <row r="99" spans="2:66" ht="14.4" x14ac:dyDescent="0.25">
      <c r="B99" s="835" t="s">
        <v>392</v>
      </c>
      <c r="C99" s="818"/>
      <c r="D99" s="818"/>
      <c r="E99" s="818"/>
      <c r="F99" s="818"/>
      <c r="G99" s="818"/>
      <c r="H99" s="818"/>
      <c r="I99" s="818"/>
      <c r="J99" s="818"/>
      <c r="K99" s="818"/>
      <c r="L99" s="818"/>
      <c r="M99" s="818"/>
      <c r="N99" s="818"/>
      <c r="O99" s="818"/>
      <c r="P99" s="818"/>
      <c r="Q99" s="818"/>
      <c r="R99" s="818"/>
      <c r="S99" s="818"/>
      <c r="T99" s="818"/>
      <c r="U99" s="818"/>
      <c r="V99" s="818"/>
      <c r="W99" s="818"/>
      <c r="X99" s="818"/>
      <c r="Y99" s="818"/>
      <c r="Z99" s="818"/>
      <c r="AA99" s="818"/>
      <c r="AB99" s="818"/>
      <c r="AC99" s="818"/>
      <c r="AD99" s="818"/>
      <c r="AE99" s="818"/>
      <c r="AF99" s="818"/>
      <c r="AG99" s="818"/>
      <c r="AH99" s="818"/>
      <c r="AI99" s="818"/>
      <c r="AJ99" s="818"/>
      <c r="AK99" s="818"/>
      <c r="AL99" s="818"/>
      <c r="AM99" s="818"/>
      <c r="AN99" s="818"/>
      <c r="AO99" s="818"/>
      <c r="AP99" s="818"/>
      <c r="AQ99" s="818"/>
      <c r="AR99" s="818"/>
      <c r="AS99" s="818"/>
      <c r="AT99" s="819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</row>
    <row r="100" spans="2:66" x14ac:dyDescent="0.25">
      <c r="B100" s="836" t="s">
        <v>393</v>
      </c>
      <c r="C100" s="268">
        <v>0</v>
      </c>
      <c r="D100" s="268">
        <v>0</v>
      </c>
      <c r="E100" s="268">
        <v>0</v>
      </c>
      <c r="F100" s="268">
        <v>0</v>
      </c>
      <c r="G100" s="178">
        <f>G74</f>
        <v>3074380.3200000003</v>
      </c>
      <c r="H100" s="178">
        <f t="shared" ref="H100:AT100" si="34">H74</f>
        <v>4099173.7600000012</v>
      </c>
      <c r="I100" s="178">
        <f t="shared" si="34"/>
        <v>4332200.444352</v>
      </c>
      <c r="J100" s="178">
        <f t="shared" si="34"/>
        <v>4378714.7226240011</v>
      </c>
      <c r="K100" s="178">
        <f t="shared" si="34"/>
        <v>4604008.2525321981</v>
      </c>
      <c r="L100" s="178">
        <f t="shared" si="34"/>
        <v>4652401.7076463867</v>
      </c>
      <c r="M100" s="178">
        <f t="shared" si="34"/>
        <v>4890707.2873361045</v>
      </c>
      <c r="N100" s="178">
        <f t="shared" si="34"/>
        <v>4905702.9601032389</v>
      </c>
      <c r="O100" s="178">
        <f t="shared" si="34"/>
        <v>5119494.8576383376</v>
      </c>
      <c r="P100" s="178">
        <f t="shared" si="34"/>
        <v>5135096.3555852659</v>
      </c>
      <c r="Q100" s="178">
        <f t="shared" si="34"/>
        <v>5358786.0468148934</v>
      </c>
      <c r="R100" s="178">
        <f t="shared" si="34"/>
        <v>5375017.8452788796</v>
      </c>
      <c r="S100" s="178">
        <f t="shared" si="34"/>
        <v>5614566.4741984764</v>
      </c>
      <c r="T100" s="178">
        <f t="shared" si="34"/>
        <v>5636964.3821688052</v>
      </c>
      <c r="U100" s="178">
        <f t="shared" si="34"/>
        <v>5888000.5266607543</v>
      </c>
      <c r="V100" s="178">
        <f t="shared" si="34"/>
        <v>5911303.3101130854</v>
      </c>
      <c r="W100" s="178">
        <f t="shared" si="34"/>
        <v>6174364.1797454543</v>
      </c>
      <c r="X100" s="178">
        <f t="shared" si="34"/>
        <v>6225638.6006719712</v>
      </c>
      <c r="Y100" s="178">
        <f t="shared" si="34"/>
        <v>6530500.3076710682</v>
      </c>
      <c r="Z100" s="178">
        <f t="shared" si="34"/>
        <v>6583846.2152030133</v>
      </c>
      <c r="AA100" s="178">
        <f t="shared" si="34"/>
        <v>6905334.6844934523</v>
      </c>
      <c r="AB100" s="178">
        <f t="shared" si="34"/>
        <v>6960835.7666896898</v>
      </c>
      <c r="AC100" s="178">
        <f t="shared" si="34"/>
        <v>7242053.5316639543</v>
      </c>
      <c r="AD100" s="178">
        <f t="shared" si="34"/>
        <v>7242053.5316639543</v>
      </c>
      <c r="AE100" s="178">
        <f t="shared" si="34"/>
        <v>7534632.4943431765</v>
      </c>
      <c r="AF100" s="178">
        <f t="shared" si="34"/>
        <v>7534632.4943431765</v>
      </c>
      <c r="AG100" s="178">
        <f t="shared" si="34"/>
        <v>7839031.647114641</v>
      </c>
      <c r="AH100" s="178">
        <f t="shared" si="34"/>
        <v>7839031.647114641</v>
      </c>
      <c r="AI100" s="178">
        <f t="shared" si="34"/>
        <v>8155728.5256580729</v>
      </c>
      <c r="AJ100" s="178">
        <f t="shared" si="34"/>
        <v>8155728.5256580729</v>
      </c>
      <c r="AK100" s="178">
        <f t="shared" si="34"/>
        <v>8485219.9580946583</v>
      </c>
      <c r="AL100" s="178">
        <f t="shared" si="34"/>
        <v>8485219.9580946583</v>
      </c>
      <c r="AM100" s="178">
        <f t="shared" si="34"/>
        <v>8828022.8444016818</v>
      </c>
      <c r="AN100" s="178">
        <f t="shared" si="34"/>
        <v>8828022.8444016818</v>
      </c>
      <c r="AO100" s="178">
        <f t="shared" si="34"/>
        <v>9184674.9673155118</v>
      </c>
      <c r="AP100" s="178">
        <f t="shared" si="34"/>
        <v>9184674.9673155118</v>
      </c>
      <c r="AQ100" s="178">
        <f t="shared" si="34"/>
        <v>9555735.8359950576</v>
      </c>
      <c r="AR100" s="178">
        <f t="shared" si="34"/>
        <v>9555735.8359950576</v>
      </c>
      <c r="AS100" s="178">
        <f t="shared" si="34"/>
        <v>9941787.5637692586</v>
      </c>
      <c r="AT100" s="265">
        <f t="shared" si="34"/>
        <v>9941787.5637692586</v>
      </c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</row>
    <row r="101" spans="2:66" x14ac:dyDescent="0.25">
      <c r="B101" s="836" t="s">
        <v>394</v>
      </c>
      <c r="C101" s="268">
        <v>0</v>
      </c>
      <c r="D101" s="268">
        <v>0</v>
      </c>
      <c r="E101" s="268">
        <v>0</v>
      </c>
      <c r="F101" s="268">
        <v>0</v>
      </c>
      <c r="G101" s="178">
        <f>G75</f>
        <v>420000</v>
      </c>
      <c r="H101" s="178">
        <f t="shared" ref="H101:AT101" si="35">H75</f>
        <v>428400</v>
      </c>
      <c r="I101" s="178">
        <f t="shared" si="35"/>
        <v>436968</v>
      </c>
      <c r="J101" s="178">
        <f t="shared" si="35"/>
        <v>445707.36</v>
      </c>
      <c r="K101" s="178">
        <f t="shared" si="35"/>
        <v>454621.50719999999</v>
      </c>
      <c r="L101" s="178">
        <f t="shared" si="35"/>
        <v>463713.93734400003</v>
      </c>
      <c r="M101" s="178">
        <f t="shared" si="35"/>
        <v>472988.21609088004</v>
      </c>
      <c r="N101" s="178">
        <f t="shared" si="35"/>
        <v>482447.98041269754</v>
      </c>
      <c r="O101" s="178">
        <f t="shared" si="35"/>
        <v>492096.9400209515</v>
      </c>
      <c r="P101" s="178">
        <f t="shared" si="35"/>
        <v>501938.87882137054</v>
      </c>
      <c r="Q101" s="178">
        <f t="shared" si="35"/>
        <v>511977.65639779798</v>
      </c>
      <c r="R101" s="178">
        <f t="shared" si="35"/>
        <v>522217.20952575386</v>
      </c>
      <c r="S101" s="178">
        <f t="shared" si="35"/>
        <v>532661.55371626897</v>
      </c>
      <c r="T101" s="178">
        <f t="shared" si="35"/>
        <v>543314.78479059436</v>
      </c>
      <c r="U101" s="178">
        <f t="shared" si="35"/>
        <v>554181.08048640634</v>
      </c>
      <c r="V101" s="178">
        <f t="shared" si="35"/>
        <v>565264.70209613431</v>
      </c>
      <c r="W101" s="178">
        <f t="shared" si="35"/>
        <v>576569.99613805709</v>
      </c>
      <c r="X101" s="178">
        <f t="shared" si="35"/>
        <v>588101.39606081822</v>
      </c>
      <c r="Y101" s="178">
        <f t="shared" si="35"/>
        <v>599863.42398203455</v>
      </c>
      <c r="Z101" s="178">
        <f t="shared" si="35"/>
        <v>611860.69246167527</v>
      </c>
      <c r="AA101" s="178">
        <f t="shared" si="35"/>
        <v>624097.90631090873</v>
      </c>
      <c r="AB101" s="178">
        <f t="shared" si="35"/>
        <v>636579.8644371269</v>
      </c>
      <c r="AC101" s="178">
        <f t="shared" si="35"/>
        <v>649311.46172586945</v>
      </c>
      <c r="AD101" s="178">
        <f t="shared" si="35"/>
        <v>662297.69096038677</v>
      </c>
      <c r="AE101" s="178">
        <f t="shared" si="35"/>
        <v>675543.6447795945</v>
      </c>
      <c r="AF101" s="178">
        <f t="shared" si="35"/>
        <v>689054.51767518639</v>
      </c>
      <c r="AG101" s="178">
        <f t="shared" si="35"/>
        <v>702835.60802869021</v>
      </c>
      <c r="AH101" s="178">
        <f t="shared" si="35"/>
        <v>716892.3201892639</v>
      </c>
      <c r="AI101" s="178">
        <f t="shared" si="35"/>
        <v>731230.1665930493</v>
      </c>
      <c r="AJ101" s="178">
        <f t="shared" si="35"/>
        <v>745854.76992491016</v>
      </c>
      <c r="AK101" s="178">
        <f t="shared" si="35"/>
        <v>760771.86532340851</v>
      </c>
      <c r="AL101" s="178">
        <f t="shared" si="35"/>
        <v>775987.30262987642</v>
      </c>
      <c r="AM101" s="178">
        <f t="shared" si="35"/>
        <v>791507.04868247418</v>
      </c>
      <c r="AN101" s="178">
        <f t="shared" si="35"/>
        <v>807337.18965612364</v>
      </c>
      <c r="AO101" s="178">
        <f t="shared" si="35"/>
        <v>823483.93344924611</v>
      </c>
      <c r="AP101" s="178">
        <f t="shared" si="35"/>
        <v>839953.61211823102</v>
      </c>
      <c r="AQ101" s="178">
        <f t="shared" si="35"/>
        <v>856752.68436059554</v>
      </c>
      <c r="AR101" s="178">
        <f t="shared" si="35"/>
        <v>873887.73804780759</v>
      </c>
      <c r="AS101" s="178">
        <f t="shared" si="35"/>
        <v>891365.49280876387</v>
      </c>
      <c r="AT101" s="265">
        <f t="shared" si="35"/>
        <v>909192.80266493873</v>
      </c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</row>
    <row r="102" spans="2:66" s="808" customFormat="1" ht="15" thickBot="1" x14ac:dyDescent="0.3">
      <c r="B102" s="842" t="s">
        <v>388</v>
      </c>
      <c r="C102" s="822">
        <v>0</v>
      </c>
      <c r="D102" s="822">
        <v>0</v>
      </c>
      <c r="E102" s="822">
        <v>0</v>
      </c>
      <c r="F102" s="822">
        <v>0</v>
      </c>
      <c r="G102" s="822">
        <f>G100+G101</f>
        <v>3494380.3200000003</v>
      </c>
      <c r="H102" s="822">
        <f t="shared" ref="H102:AT102" si="36">H100+H101</f>
        <v>4527573.7600000016</v>
      </c>
      <c r="I102" s="822">
        <f t="shared" si="36"/>
        <v>4769168.444352</v>
      </c>
      <c r="J102" s="822">
        <f t="shared" si="36"/>
        <v>4824422.0826240014</v>
      </c>
      <c r="K102" s="822">
        <f t="shared" si="36"/>
        <v>5058629.759732198</v>
      </c>
      <c r="L102" s="822">
        <f t="shared" si="36"/>
        <v>5116115.6449903864</v>
      </c>
      <c r="M102" s="822">
        <f t="shared" si="36"/>
        <v>5363695.5034269849</v>
      </c>
      <c r="N102" s="822">
        <f t="shared" si="36"/>
        <v>5388150.9405159364</v>
      </c>
      <c r="O102" s="822">
        <f t="shared" si="36"/>
        <v>5611591.7976592891</v>
      </c>
      <c r="P102" s="822">
        <f t="shared" si="36"/>
        <v>5637035.2344066361</v>
      </c>
      <c r="Q102" s="822">
        <f t="shared" si="36"/>
        <v>5870763.7032126915</v>
      </c>
      <c r="R102" s="822">
        <f t="shared" si="36"/>
        <v>5897235.0548046334</v>
      </c>
      <c r="S102" s="822">
        <f t="shared" si="36"/>
        <v>6147228.0279147457</v>
      </c>
      <c r="T102" s="822">
        <f t="shared" si="36"/>
        <v>6180279.1669593994</v>
      </c>
      <c r="U102" s="822">
        <f t="shared" si="36"/>
        <v>6442181.6071471609</v>
      </c>
      <c r="V102" s="822">
        <f t="shared" si="36"/>
        <v>6476568.0122092199</v>
      </c>
      <c r="W102" s="822">
        <f t="shared" si="36"/>
        <v>6750934.1758835111</v>
      </c>
      <c r="X102" s="822">
        <f t="shared" si="36"/>
        <v>6813739.9967327891</v>
      </c>
      <c r="Y102" s="822">
        <f t="shared" si="36"/>
        <v>7130363.7316531027</v>
      </c>
      <c r="Z102" s="822">
        <f t="shared" si="36"/>
        <v>7195706.9076646883</v>
      </c>
      <c r="AA102" s="822">
        <f t="shared" si="36"/>
        <v>7529432.5908043608</v>
      </c>
      <c r="AB102" s="822">
        <f t="shared" si="36"/>
        <v>7597415.6311268164</v>
      </c>
      <c r="AC102" s="822">
        <f t="shared" si="36"/>
        <v>7891364.9933898235</v>
      </c>
      <c r="AD102" s="822">
        <f t="shared" si="36"/>
        <v>7904351.222624341</v>
      </c>
      <c r="AE102" s="822">
        <f t="shared" si="36"/>
        <v>8210176.1391227711</v>
      </c>
      <c r="AF102" s="822">
        <f t="shared" si="36"/>
        <v>8223687.012018363</v>
      </c>
      <c r="AG102" s="822">
        <f t="shared" si="36"/>
        <v>8541867.2551433314</v>
      </c>
      <c r="AH102" s="822">
        <f t="shared" si="36"/>
        <v>8555923.9673039056</v>
      </c>
      <c r="AI102" s="822">
        <f t="shared" si="36"/>
        <v>8886958.6922511216</v>
      </c>
      <c r="AJ102" s="822">
        <f t="shared" si="36"/>
        <v>8901583.2955829836</v>
      </c>
      <c r="AK102" s="822">
        <f t="shared" si="36"/>
        <v>9245991.8234180659</v>
      </c>
      <c r="AL102" s="822">
        <f t="shared" si="36"/>
        <v>9261207.2607245352</v>
      </c>
      <c r="AM102" s="822">
        <f t="shared" si="36"/>
        <v>9619529.8930841554</v>
      </c>
      <c r="AN102" s="822">
        <f t="shared" si="36"/>
        <v>9635360.0340578053</v>
      </c>
      <c r="AO102" s="822">
        <f t="shared" si="36"/>
        <v>10008158.900764758</v>
      </c>
      <c r="AP102" s="822">
        <f t="shared" si="36"/>
        <v>10024628.579433743</v>
      </c>
      <c r="AQ102" s="822">
        <f t="shared" si="36"/>
        <v>10412488.520355653</v>
      </c>
      <c r="AR102" s="822">
        <f t="shared" si="36"/>
        <v>10429623.574042866</v>
      </c>
      <c r="AS102" s="822">
        <f t="shared" si="36"/>
        <v>10833153.056578021</v>
      </c>
      <c r="AT102" s="823">
        <f t="shared" si="36"/>
        <v>10850980.366434198</v>
      </c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</row>
    <row r="103" spans="2:66" ht="15" thickBot="1" x14ac:dyDescent="0.3">
      <c r="B103" s="838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</row>
    <row r="104" spans="2:66" s="810" customFormat="1" ht="15" thickBot="1" x14ac:dyDescent="0.3">
      <c r="B104" s="843" t="s">
        <v>387</v>
      </c>
      <c r="C104" s="825"/>
      <c r="D104" s="825"/>
      <c r="E104" s="825"/>
      <c r="F104" s="825"/>
      <c r="G104" s="826">
        <f>G102+G97</f>
        <v>39790.750855490565</v>
      </c>
      <c r="H104" s="826">
        <f t="shared" ref="H104:AT104" si="37">H102+H97</f>
        <v>981223.50004385645</v>
      </c>
      <c r="I104" s="826">
        <f t="shared" si="37"/>
        <v>1139668.2991032195</v>
      </c>
      <c r="J104" s="826">
        <f t="shared" si="37"/>
        <v>1109772.5521956282</v>
      </c>
      <c r="K104" s="826">
        <f t="shared" si="37"/>
        <v>-4235694.0049409829</v>
      </c>
      <c r="L104" s="826">
        <f t="shared" si="37"/>
        <v>1224970.4708650894</v>
      </c>
      <c r="M104" s="826">
        <f t="shared" si="37"/>
        <v>1381101.7432468059</v>
      </c>
      <c r="N104" s="826">
        <f t="shared" si="37"/>
        <v>1311904.3743524658</v>
      </c>
      <c r="O104" s="826">
        <f t="shared" si="37"/>
        <v>1439433.7534438856</v>
      </c>
      <c r="P104" s="826">
        <f t="shared" si="37"/>
        <v>-4668205.2218331425</v>
      </c>
      <c r="Q104" s="826">
        <f t="shared" si="37"/>
        <v>1499781.9582988676</v>
      </c>
      <c r="R104" s="826">
        <f t="shared" si="37"/>
        <v>1423225.155482918</v>
      </c>
      <c r="S104" s="826">
        <f t="shared" si="37"/>
        <v>1567699.3646130394</v>
      </c>
      <c r="T104" s="826">
        <f t="shared" si="37"/>
        <v>1492679.4284915496</v>
      </c>
      <c r="U104" s="826">
        <f t="shared" si="37"/>
        <v>-4986903.5445555244</v>
      </c>
      <c r="V104" s="826">
        <f t="shared" si="37"/>
        <v>1564914.5211908361</v>
      </c>
      <c r="W104" s="826">
        <f t="shared" si="37"/>
        <v>1723166.6194312815</v>
      </c>
      <c r="X104" s="826">
        <f t="shared" si="37"/>
        <v>1667043.2032915093</v>
      </c>
      <c r="Y104" s="826">
        <f t="shared" si="37"/>
        <v>1861852.5903634811</v>
      </c>
      <c r="Z104" s="826">
        <f t="shared" si="37"/>
        <v>-5483168.1061979737</v>
      </c>
      <c r="AA104" s="826">
        <f t="shared" si="37"/>
        <v>2008348.7283290764</v>
      </c>
      <c r="AB104" s="826">
        <f t="shared" si="37"/>
        <v>1945424.4413086055</v>
      </c>
      <c r="AC104" s="826">
        <f t="shared" si="37"/>
        <v>2105283.3613398774</v>
      </c>
      <c r="AD104" s="826">
        <f t="shared" si="37"/>
        <v>1980916.7306307461</v>
      </c>
      <c r="AE104" s="826">
        <f t="shared" si="37"/>
        <v>-5859005.2552476171</v>
      </c>
      <c r="AF104" s="826">
        <f t="shared" si="37"/>
        <v>2015432.176814842</v>
      </c>
      <c r="AG104" s="826">
        <f t="shared" si="37"/>
        <v>2185976.0129193505</v>
      </c>
      <c r="AH104" s="826">
        <f t="shared" si="37"/>
        <v>2048795.9434037404</v>
      </c>
      <c r="AI104" s="826">
        <f t="shared" si="37"/>
        <v>2224903.5627053687</v>
      </c>
      <c r="AJ104" s="826">
        <f t="shared" si="37"/>
        <v>-6714739.156429287</v>
      </c>
      <c r="AK104" s="826">
        <f t="shared" si="37"/>
        <v>2262640.1603409788</v>
      </c>
      <c r="AL104" s="826">
        <f t="shared" si="37"/>
        <v>2111294.5365566425</v>
      </c>
      <c r="AM104" s="826">
        <f t="shared" si="37"/>
        <v>2298982.3926833523</v>
      </c>
      <c r="AN104" s="826">
        <f t="shared" si="37"/>
        <v>2140001.9840155514</v>
      </c>
      <c r="AO104" s="826">
        <f t="shared" si="37"/>
        <v>-7330421.6515706945</v>
      </c>
      <c r="AP104" s="826">
        <f t="shared" si="37"/>
        <v>2166700.7342262454</v>
      </c>
      <c r="AQ104" s="826">
        <f t="shared" si="37"/>
        <v>2366583.9635353889</v>
      </c>
      <c r="AR104" s="826">
        <f t="shared" si="37"/>
        <v>2191131.4577472424</v>
      </c>
      <c r="AS104" s="826">
        <f t="shared" si="37"/>
        <v>2397346.6981936153</v>
      </c>
      <c r="AT104" s="827">
        <f t="shared" si="37"/>
        <v>-8405467.385254167</v>
      </c>
      <c r="AU104" s="523"/>
      <c r="AV104" s="523"/>
      <c r="AW104" s="523"/>
      <c r="AX104" s="523"/>
      <c r="AY104" s="523"/>
      <c r="AZ104" s="523"/>
      <c r="BA104" s="523"/>
      <c r="BB104" s="523"/>
      <c r="BC104" s="523"/>
      <c r="BD104" s="523"/>
      <c r="BE104" s="523"/>
      <c r="BF104" s="523"/>
      <c r="BG104" s="523"/>
      <c r="BH104" s="523"/>
      <c r="BI104" s="523"/>
      <c r="BJ104" s="523"/>
      <c r="BK104" s="523"/>
      <c r="BL104" s="523"/>
      <c r="BM104" s="523"/>
      <c r="BN104" s="523"/>
    </row>
    <row r="105" spans="2:66" s="810" customFormat="1" ht="15" thickBot="1" x14ac:dyDescent="0.3">
      <c r="B105" s="839"/>
      <c r="C105" s="801"/>
      <c r="D105" s="801"/>
      <c r="E105" s="801"/>
      <c r="F105" s="801"/>
      <c r="G105" s="824"/>
      <c r="H105" s="824"/>
      <c r="I105" s="824"/>
      <c r="J105" s="824"/>
      <c r="K105" s="824"/>
      <c r="L105" s="824"/>
      <c r="M105" s="824"/>
      <c r="N105" s="824"/>
      <c r="O105" s="824"/>
      <c r="P105" s="824"/>
      <c r="Q105" s="824"/>
      <c r="R105" s="824"/>
      <c r="S105" s="824"/>
      <c r="T105" s="824"/>
      <c r="U105" s="824"/>
      <c r="V105" s="824"/>
      <c r="W105" s="824"/>
      <c r="X105" s="824"/>
      <c r="Y105" s="824"/>
      <c r="Z105" s="824"/>
      <c r="AA105" s="824"/>
      <c r="AB105" s="824"/>
      <c r="AC105" s="824"/>
      <c r="AD105" s="824"/>
      <c r="AE105" s="824"/>
      <c r="AF105" s="824"/>
      <c r="AG105" s="824"/>
      <c r="AH105" s="824"/>
      <c r="AI105" s="824"/>
      <c r="AJ105" s="824"/>
      <c r="AK105" s="824"/>
      <c r="AL105" s="824"/>
      <c r="AM105" s="824"/>
      <c r="AN105" s="824"/>
      <c r="AO105" s="824"/>
      <c r="AP105" s="824"/>
      <c r="AQ105" s="824"/>
      <c r="AR105" s="824"/>
      <c r="AS105" s="824"/>
      <c r="AT105" s="824"/>
      <c r="AU105" s="523"/>
      <c r="AV105" s="523"/>
      <c r="AW105" s="523"/>
      <c r="AX105" s="523"/>
      <c r="AY105" s="523"/>
      <c r="AZ105" s="523"/>
      <c r="BA105" s="523"/>
      <c r="BB105" s="523"/>
      <c r="BC105" s="523"/>
      <c r="BD105" s="523"/>
      <c r="BE105" s="523"/>
      <c r="BF105" s="523"/>
      <c r="BG105" s="523"/>
      <c r="BH105" s="523"/>
      <c r="BI105" s="523"/>
      <c r="BJ105" s="523"/>
      <c r="BK105" s="523"/>
      <c r="BL105" s="523"/>
      <c r="BM105" s="523"/>
      <c r="BN105" s="523"/>
    </row>
    <row r="106" spans="2:66" ht="14.4" x14ac:dyDescent="0.25">
      <c r="B106" s="835" t="s">
        <v>397</v>
      </c>
      <c r="C106" s="818"/>
      <c r="D106" s="818"/>
      <c r="E106" s="818"/>
      <c r="F106" s="818"/>
      <c r="G106" s="818"/>
      <c r="H106" s="818"/>
      <c r="I106" s="818"/>
      <c r="J106" s="818"/>
      <c r="K106" s="818"/>
      <c r="L106" s="818"/>
      <c r="M106" s="818"/>
      <c r="N106" s="818"/>
      <c r="O106" s="818"/>
      <c r="P106" s="818"/>
      <c r="Q106" s="818"/>
      <c r="R106" s="818"/>
      <c r="S106" s="818"/>
      <c r="T106" s="818"/>
      <c r="U106" s="818"/>
      <c r="V106" s="818"/>
      <c r="W106" s="818"/>
      <c r="X106" s="818"/>
      <c r="Y106" s="818"/>
      <c r="Z106" s="818"/>
      <c r="AA106" s="818"/>
      <c r="AB106" s="818"/>
      <c r="AC106" s="818"/>
      <c r="AD106" s="818"/>
      <c r="AE106" s="818"/>
      <c r="AF106" s="818"/>
      <c r="AG106" s="818"/>
      <c r="AH106" s="818"/>
      <c r="AI106" s="818"/>
      <c r="AJ106" s="818"/>
      <c r="AK106" s="818"/>
      <c r="AL106" s="818"/>
      <c r="AM106" s="818"/>
      <c r="AN106" s="818"/>
      <c r="AO106" s="818"/>
      <c r="AP106" s="818"/>
      <c r="AQ106" s="818"/>
      <c r="AR106" s="818"/>
      <c r="AS106" s="818"/>
      <c r="AT106" s="819"/>
      <c r="AU106" s="166"/>
      <c r="AV106" s="166"/>
      <c r="AW106" s="166"/>
      <c r="AX106" s="166"/>
      <c r="AY106" s="166"/>
      <c r="AZ106" s="166"/>
      <c r="BA106" s="166"/>
      <c r="BB106" s="166"/>
      <c r="BC106" s="166"/>
      <c r="BD106" s="166"/>
      <c r="BE106" s="166"/>
      <c r="BF106" s="166"/>
      <c r="BG106" s="166"/>
      <c r="BH106" s="166"/>
      <c r="BI106" s="166"/>
      <c r="BJ106" s="166"/>
      <c r="BK106" s="166"/>
      <c r="BL106" s="166"/>
      <c r="BM106" s="166"/>
      <c r="BN106" s="166"/>
    </row>
    <row r="107" spans="2:66" x14ac:dyDescent="0.25">
      <c r="B107" s="836" t="s">
        <v>442</v>
      </c>
      <c r="C107" s="268">
        <v>0</v>
      </c>
      <c r="D107" s="268">
        <v>0</v>
      </c>
      <c r="E107" s="268">
        <v>0</v>
      </c>
      <c r="F107" s="268">
        <v>0</v>
      </c>
      <c r="G107" s="178">
        <f>G104</f>
        <v>39790.750855490565</v>
      </c>
      <c r="H107" s="178">
        <f t="shared" ref="H107:AT107" si="38">H104</f>
        <v>981223.50004385645</v>
      </c>
      <c r="I107" s="178">
        <f t="shared" si="38"/>
        <v>1139668.2991032195</v>
      </c>
      <c r="J107" s="178">
        <f t="shared" si="38"/>
        <v>1109772.5521956282</v>
      </c>
      <c r="K107" s="178">
        <f t="shared" si="38"/>
        <v>-4235694.0049409829</v>
      </c>
      <c r="L107" s="178">
        <f t="shared" si="38"/>
        <v>1224970.4708650894</v>
      </c>
      <c r="M107" s="178">
        <f t="shared" si="38"/>
        <v>1381101.7432468059</v>
      </c>
      <c r="N107" s="178">
        <f t="shared" si="38"/>
        <v>1311904.3743524658</v>
      </c>
      <c r="O107" s="178">
        <f t="shared" si="38"/>
        <v>1439433.7534438856</v>
      </c>
      <c r="P107" s="178">
        <f t="shared" si="38"/>
        <v>-4668205.2218331425</v>
      </c>
      <c r="Q107" s="178">
        <f t="shared" si="38"/>
        <v>1499781.9582988676</v>
      </c>
      <c r="R107" s="178">
        <f t="shared" si="38"/>
        <v>1423225.155482918</v>
      </c>
      <c r="S107" s="178">
        <f t="shared" si="38"/>
        <v>1567699.3646130394</v>
      </c>
      <c r="T107" s="178">
        <f t="shared" si="38"/>
        <v>1492679.4284915496</v>
      </c>
      <c r="U107" s="178">
        <f t="shared" si="38"/>
        <v>-4986903.5445555244</v>
      </c>
      <c r="V107" s="178">
        <f t="shared" si="38"/>
        <v>1564914.5211908361</v>
      </c>
      <c r="W107" s="178">
        <f t="shared" si="38"/>
        <v>1723166.6194312815</v>
      </c>
      <c r="X107" s="178">
        <f t="shared" si="38"/>
        <v>1667043.2032915093</v>
      </c>
      <c r="Y107" s="178">
        <f t="shared" si="38"/>
        <v>1861852.5903634811</v>
      </c>
      <c r="Z107" s="178">
        <f t="shared" si="38"/>
        <v>-5483168.1061979737</v>
      </c>
      <c r="AA107" s="178">
        <f t="shared" si="38"/>
        <v>2008348.7283290764</v>
      </c>
      <c r="AB107" s="178">
        <f t="shared" si="38"/>
        <v>1945424.4413086055</v>
      </c>
      <c r="AC107" s="178">
        <f t="shared" si="38"/>
        <v>2105283.3613398774</v>
      </c>
      <c r="AD107" s="178">
        <f t="shared" si="38"/>
        <v>1980916.7306307461</v>
      </c>
      <c r="AE107" s="178">
        <f t="shared" si="38"/>
        <v>-5859005.2552476171</v>
      </c>
      <c r="AF107" s="178">
        <f t="shared" si="38"/>
        <v>2015432.176814842</v>
      </c>
      <c r="AG107" s="178">
        <f t="shared" si="38"/>
        <v>2185976.0129193505</v>
      </c>
      <c r="AH107" s="178">
        <f t="shared" si="38"/>
        <v>2048795.9434037404</v>
      </c>
      <c r="AI107" s="178">
        <f t="shared" si="38"/>
        <v>2224903.5627053687</v>
      </c>
      <c r="AJ107" s="178">
        <f t="shared" si="38"/>
        <v>-6714739.156429287</v>
      </c>
      <c r="AK107" s="178">
        <f t="shared" si="38"/>
        <v>2262640.1603409788</v>
      </c>
      <c r="AL107" s="178">
        <f t="shared" si="38"/>
        <v>2111294.5365566425</v>
      </c>
      <c r="AM107" s="178">
        <f t="shared" si="38"/>
        <v>2298982.3926833523</v>
      </c>
      <c r="AN107" s="178">
        <f t="shared" si="38"/>
        <v>2140001.9840155514</v>
      </c>
      <c r="AO107" s="178">
        <f t="shared" si="38"/>
        <v>-7330421.6515706945</v>
      </c>
      <c r="AP107" s="178">
        <f t="shared" si="38"/>
        <v>2166700.7342262454</v>
      </c>
      <c r="AQ107" s="178">
        <f t="shared" si="38"/>
        <v>2366583.9635353889</v>
      </c>
      <c r="AR107" s="178">
        <f t="shared" si="38"/>
        <v>2191131.4577472424</v>
      </c>
      <c r="AS107" s="178">
        <f t="shared" si="38"/>
        <v>2397346.6981936153</v>
      </c>
      <c r="AT107" s="265">
        <f t="shared" si="38"/>
        <v>-8405467.385254167</v>
      </c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66"/>
      <c r="BL107" s="166"/>
      <c r="BM107" s="166"/>
      <c r="BN107" s="166"/>
    </row>
    <row r="108" spans="2:66" x14ac:dyDescent="0.25">
      <c r="B108" s="836" t="s">
        <v>440</v>
      </c>
      <c r="C108" s="268">
        <v>0</v>
      </c>
      <c r="D108" s="268">
        <v>0</v>
      </c>
      <c r="E108" s="268">
        <v>0</v>
      </c>
      <c r="F108" s="268">
        <v>0</v>
      </c>
      <c r="G108" s="178">
        <f>IF(G107&gt;0,-$C$23*G107,0)</f>
        <v>0</v>
      </c>
      <c r="H108" s="178">
        <f t="shared" ref="H108:AT108" si="39">IF(H107&gt;0,-$C$23*H107,0)</f>
        <v>0</v>
      </c>
      <c r="I108" s="178">
        <f t="shared" si="39"/>
        <v>0</v>
      </c>
      <c r="J108" s="178">
        <f t="shared" si="39"/>
        <v>0</v>
      </c>
      <c r="K108" s="178">
        <f t="shared" si="39"/>
        <v>0</v>
      </c>
      <c r="L108" s="178">
        <f t="shared" si="39"/>
        <v>0</v>
      </c>
      <c r="M108" s="178">
        <f t="shared" si="39"/>
        <v>0</v>
      </c>
      <c r="N108" s="178">
        <f t="shared" si="39"/>
        <v>0</v>
      </c>
      <c r="O108" s="178">
        <f t="shared" si="39"/>
        <v>0</v>
      </c>
      <c r="P108" s="178">
        <f t="shared" si="39"/>
        <v>0</v>
      </c>
      <c r="Q108" s="178">
        <f t="shared" si="39"/>
        <v>0</v>
      </c>
      <c r="R108" s="178">
        <f t="shared" si="39"/>
        <v>0</v>
      </c>
      <c r="S108" s="178">
        <f t="shared" si="39"/>
        <v>0</v>
      </c>
      <c r="T108" s="178">
        <f t="shared" si="39"/>
        <v>0</v>
      </c>
      <c r="U108" s="178">
        <f t="shared" si="39"/>
        <v>0</v>
      </c>
      <c r="V108" s="178">
        <f t="shared" si="39"/>
        <v>0</v>
      </c>
      <c r="W108" s="178">
        <f t="shared" si="39"/>
        <v>0</v>
      </c>
      <c r="X108" s="178">
        <f t="shared" si="39"/>
        <v>0</v>
      </c>
      <c r="Y108" s="178">
        <f t="shared" si="39"/>
        <v>0</v>
      </c>
      <c r="Z108" s="178">
        <f t="shared" si="39"/>
        <v>0</v>
      </c>
      <c r="AA108" s="178">
        <f t="shared" si="39"/>
        <v>0</v>
      </c>
      <c r="AB108" s="178">
        <f t="shared" si="39"/>
        <v>0</v>
      </c>
      <c r="AC108" s="178">
        <f t="shared" si="39"/>
        <v>0</v>
      </c>
      <c r="AD108" s="178">
        <f t="shared" si="39"/>
        <v>0</v>
      </c>
      <c r="AE108" s="178">
        <f t="shared" si="39"/>
        <v>0</v>
      </c>
      <c r="AF108" s="178">
        <f t="shared" si="39"/>
        <v>0</v>
      </c>
      <c r="AG108" s="178">
        <f t="shared" si="39"/>
        <v>0</v>
      </c>
      <c r="AH108" s="178">
        <f t="shared" si="39"/>
        <v>0</v>
      </c>
      <c r="AI108" s="178">
        <f t="shared" si="39"/>
        <v>0</v>
      </c>
      <c r="AJ108" s="178">
        <f t="shared" si="39"/>
        <v>0</v>
      </c>
      <c r="AK108" s="178">
        <f t="shared" si="39"/>
        <v>0</v>
      </c>
      <c r="AL108" s="178">
        <f t="shared" si="39"/>
        <v>0</v>
      </c>
      <c r="AM108" s="178">
        <f t="shared" si="39"/>
        <v>0</v>
      </c>
      <c r="AN108" s="178">
        <f t="shared" si="39"/>
        <v>0</v>
      </c>
      <c r="AO108" s="178">
        <f t="shared" si="39"/>
        <v>0</v>
      </c>
      <c r="AP108" s="178">
        <f t="shared" si="39"/>
        <v>0</v>
      </c>
      <c r="AQ108" s="178">
        <f t="shared" si="39"/>
        <v>0</v>
      </c>
      <c r="AR108" s="178">
        <f t="shared" si="39"/>
        <v>0</v>
      </c>
      <c r="AS108" s="178">
        <f t="shared" si="39"/>
        <v>0</v>
      </c>
      <c r="AT108" s="265">
        <f t="shared" si="39"/>
        <v>0</v>
      </c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6"/>
      <c r="BJ108" s="166"/>
      <c r="BK108" s="166"/>
      <c r="BL108" s="166"/>
      <c r="BM108" s="166"/>
      <c r="BN108" s="166"/>
    </row>
    <row r="109" spans="2:66" ht="14.4" x14ac:dyDescent="0.25">
      <c r="B109" s="840" t="s">
        <v>175</v>
      </c>
      <c r="C109" s="800">
        <v>0</v>
      </c>
      <c r="D109" s="800">
        <v>0</v>
      </c>
      <c r="E109" s="800">
        <v>0</v>
      </c>
      <c r="F109" s="800">
        <v>0</v>
      </c>
      <c r="G109" s="261">
        <f>G91</f>
        <v>-3662844.258584829</v>
      </c>
      <c r="H109" s="261">
        <f t="shared" ref="H109:AT109" si="40">H91</f>
        <v>-3662844.258584829</v>
      </c>
      <c r="I109" s="261">
        <f t="shared" si="40"/>
        <v>-3662844.258584829</v>
      </c>
      <c r="J109" s="261">
        <f t="shared" si="40"/>
        <v>-3662844.258584829</v>
      </c>
      <c r="K109" s="261">
        <f t="shared" si="40"/>
        <v>-3662844.258584829</v>
      </c>
      <c r="L109" s="261">
        <f t="shared" si="40"/>
        <v>-3458479.3385100355</v>
      </c>
      <c r="M109" s="261">
        <f t="shared" si="40"/>
        <v>-3458479.3385100355</v>
      </c>
      <c r="N109" s="261">
        <f t="shared" si="40"/>
        <v>-3458479.3385100355</v>
      </c>
      <c r="O109" s="261">
        <f t="shared" si="40"/>
        <v>-3458479.3385100355</v>
      </c>
      <c r="P109" s="261">
        <f t="shared" si="40"/>
        <v>-3458479.3385100355</v>
      </c>
      <c r="Q109" s="261">
        <f t="shared" si="40"/>
        <v>-2975390.0050588157</v>
      </c>
      <c r="R109" s="261">
        <f t="shared" si="40"/>
        <v>-3593938.4099967871</v>
      </c>
      <c r="S109" s="261">
        <f t="shared" si="40"/>
        <v>-3593938.4099967871</v>
      </c>
      <c r="T109" s="261">
        <f t="shared" si="40"/>
        <v>-3593938.4099967871</v>
      </c>
      <c r="U109" s="261">
        <f t="shared" si="40"/>
        <v>-3593938.4099967871</v>
      </c>
      <c r="V109" s="261">
        <f t="shared" si="40"/>
        <v>-2747877.6604548013</v>
      </c>
      <c r="W109" s="261">
        <f t="shared" si="40"/>
        <v>-2747877.6604548013</v>
      </c>
      <c r="X109" s="261">
        <f t="shared" si="40"/>
        <v>-3923124.2349758497</v>
      </c>
      <c r="Y109" s="261">
        <f t="shared" si="40"/>
        <v>-3923124.2349758497</v>
      </c>
      <c r="Z109" s="261">
        <f t="shared" si="40"/>
        <v>-3923124.2349758497</v>
      </c>
      <c r="AA109" s="261">
        <f t="shared" si="40"/>
        <v>-3923124.2349758497</v>
      </c>
      <c r="AB109" s="261">
        <f t="shared" si="40"/>
        <v>-3923124.2349758497</v>
      </c>
      <c r="AC109" s="261">
        <f t="shared" si="40"/>
        <v>-4072116.8612129036</v>
      </c>
      <c r="AD109" s="261">
        <f t="shared" si="40"/>
        <v>-4072116.8612129036</v>
      </c>
      <c r="AE109" s="261">
        <f t="shared" si="40"/>
        <v>-4072116.8612129036</v>
      </c>
      <c r="AF109" s="261">
        <f t="shared" si="40"/>
        <v>-4072116.8612129036</v>
      </c>
      <c r="AG109" s="261">
        <f t="shared" si="40"/>
        <v>-4072116.8612129036</v>
      </c>
      <c r="AH109" s="261">
        <f t="shared" si="40"/>
        <v>-4072116.8612129036</v>
      </c>
      <c r="AI109" s="261">
        <f t="shared" si="40"/>
        <v>-4072116.8612129036</v>
      </c>
      <c r="AJ109" s="261">
        <f t="shared" si="40"/>
        <v>-4072116.8612129036</v>
      </c>
      <c r="AK109" s="261">
        <f t="shared" si="40"/>
        <v>-4072116.8612129036</v>
      </c>
      <c r="AL109" s="261">
        <f t="shared" si="40"/>
        <v>-4072116.8612129036</v>
      </c>
      <c r="AM109" s="261">
        <f t="shared" si="40"/>
        <v>-2896870.2866918552</v>
      </c>
      <c r="AN109" s="261">
        <f t="shared" si="40"/>
        <v>-2129329.2555168299</v>
      </c>
      <c r="AO109" s="261">
        <f t="shared" si="40"/>
        <v>-4535185.9019710924</v>
      </c>
      <c r="AP109" s="261">
        <f t="shared" si="40"/>
        <v>-4535185.9019710924</v>
      </c>
      <c r="AQ109" s="261">
        <f t="shared" si="40"/>
        <v>-4535185.9019710924</v>
      </c>
      <c r="AR109" s="261">
        <f t="shared" si="40"/>
        <v>-4535185.9019710924</v>
      </c>
      <c r="AS109" s="261">
        <f t="shared" si="40"/>
        <v>-4535185.9019710924</v>
      </c>
      <c r="AT109" s="266">
        <f t="shared" si="40"/>
        <v>-4535185.9019710924</v>
      </c>
      <c r="AU109" s="166"/>
      <c r="AV109" s="166"/>
      <c r="AW109" s="166"/>
      <c r="AX109" s="166"/>
      <c r="AY109" s="166"/>
      <c r="AZ109" s="166"/>
      <c r="BA109" s="166"/>
      <c r="BB109" s="166"/>
      <c r="BC109" s="166"/>
      <c r="BD109" s="166"/>
      <c r="BE109" s="166"/>
      <c r="BF109" s="166"/>
      <c r="BG109" s="166"/>
      <c r="BH109" s="166"/>
      <c r="BI109" s="166"/>
      <c r="BJ109" s="166"/>
      <c r="BK109" s="166"/>
      <c r="BL109" s="166"/>
      <c r="BM109" s="166"/>
      <c r="BN109" s="166"/>
    </row>
    <row r="110" spans="2:66" x14ac:dyDescent="0.25">
      <c r="B110" s="836" t="s">
        <v>444</v>
      </c>
      <c r="C110" s="268">
        <v>0</v>
      </c>
      <c r="D110" s="268">
        <v>0</v>
      </c>
      <c r="E110" s="268">
        <v>0</v>
      </c>
      <c r="F110" s="268">
        <v>0</v>
      </c>
      <c r="G110" s="178">
        <f t="shared" ref="G110" si="41">G107+G108+G109</f>
        <v>-3623053.5077293385</v>
      </c>
      <c r="H110" s="178">
        <f t="shared" ref="H110" si="42">H107+H108+H109</f>
        <v>-2681620.7585409726</v>
      </c>
      <c r="I110" s="178">
        <f t="shared" ref="I110" si="43">I107+I108+I109</f>
        <v>-2523175.9594816095</v>
      </c>
      <c r="J110" s="178">
        <f t="shared" ref="J110" si="44">J107+J108+J109</f>
        <v>-2553071.7063892009</v>
      </c>
      <c r="K110" s="178">
        <f t="shared" ref="K110" si="45">K107+K108+K109</f>
        <v>-7898538.263525812</v>
      </c>
      <c r="L110" s="178">
        <f t="shared" ref="L110" si="46">L107+L108+L109</f>
        <v>-2233508.8676449461</v>
      </c>
      <c r="M110" s="178">
        <f t="shared" ref="M110" si="47">M107+M108+M109</f>
        <v>-2077377.5952632297</v>
      </c>
      <c r="N110" s="178">
        <f t="shared" ref="N110" si="48">N107+N108+N109</f>
        <v>-2146574.9641575697</v>
      </c>
      <c r="O110" s="178">
        <f t="shared" ref="O110" si="49">O107+O108+O109</f>
        <v>-2019045.5850661499</v>
      </c>
      <c r="P110" s="178">
        <f t="shared" ref="P110" si="50">P107+P108+P109</f>
        <v>-8126684.560343178</v>
      </c>
      <c r="Q110" s="178">
        <f t="shared" ref="Q110" si="51">Q107+Q108+Q109</f>
        <v>-1475608.0467599481</v>
      </c>
      <c r="R110" s="178">
        <f t="shared" ref="R110" si="52">R107+R108+R109</f>
        <v>-2170713.2545138691</v>
      </c>
      <c r="S110" s="178">
        <f t="shared" ref="S110" si="53">S107+S108+S109</f>
        <v>-2026239.0453837477</v>
      </c>
      <c r="T110" s="178">
        <f t="shared" ref="T110" si="54">T107+T108+T109</f>
        <v>-2101258.9815052375</v>
      </c>
      <c r="U110" s="178">
        <f t="shared" ref="U110" si="55">U107+U108+U109</f>
        <v>-8580841.9545523115</v>
      </c>
      <c r="V110" s="178">
        <f t="shared" ref="V110" si="56">V107+V108+V109</f>
        <v>-1182963.1392639652</v>
      </c>
      <c r="W110" s="178">
        <f t="shared" ref="W110" si="57">W107+W108+W109</f>
        <v>-1024711.0410235198</v>
      </c>
      <c r="X110" s="178">
        <f t="shared" ref="X110" si="58">X107+X108+X109</f>
        <v>-2256081.0316843404</v>
      </c>
      <c r="Y110" s="178">
        <f t="shared" ref="Y110" si="59">Y107+Y108+Y109</f>
        <v>-2061271.6446123687</v>
      </c>
      <c r="Z110" s="178">
        <f t="shared" ref="Z110" si="60">Z107+Z108+Z109</f>
        <v>-9406292.3411738239</v>
      </c>
      <c r="AA110" s="178">
        <f t="shared" ref="AA110" si="61">AA107+AA108+AA109</f>
        <v>-1914775.5066467733</v>
      </c>
      <c r="AB110" s="178">
        <f t="shared" ref="AB110" si="62">AB107+AB108+AB109</f>
        <v>-1977699.7936672443</v>
      </c>
      <c r="AC110" s="178">
        <f t="shared" ref="AC110" si="63">AC107+AC108+AC109</f>
        <v>-1966833.4998730263</v>
      </c>
      <c r="AD110" s="178">
        <f t="shared" ref="AD110" si="64">AD107+AD108+AD109</f>
        <v>-2091200.1305821575</v>
      </c>
      <c r="AE110" s="178">
        <f t="shared" ref="AE110" si="65">AE107+AE108+AE109</f>
        <v>-9931122.1164605208</v>
      </c>
      <c r="AF110" s="178">
        <f t="shared" ref="AF110" si="66">AF107+AF108+AF109</f>
        <v>-2056684.6843980616</v>
      </c>
      <c r="AG110" s="178">
        <f t="shared" ref="AG110" si="67">AG107+AG108+AG109</f>
        <v>-1886140.8482935531</v>
      </c>
      <c r="AH110" s="178">
        <f t="shared" ref="AH110" si="68">AH107+AH108+AH109</f>
        <v>-2023320.9178091632</v>
      </c>
      <c r="AI110" s="178">
        <f t="shared" ref="AI110" si="69">AI107+AI108+AI109</f>
        <v>-1847213.2985075349</v>
      </c>
      <c r="AJ110" s="178">
        <f t="shared" ref="AJ110" si="70">AJ107+AJ108+AJ109</f>
        <v>-10786856.017642191</v>
      </c>
      <c r="AK110" s="178">
        <f t="shared" ref="AK110" si="71">AK107+AK108+AK109</f>
        <v>-1809476.7008719249</v>
      </c>
      <c r="AL110" s="178">
        <f t="shared" ref="AL110" si="72">AL107+AL108+AL109</f>
        <v>-1960822.3246562611</v>
      </c>
      <c r="AM110" s="178">
        <f t="shared" ref="AM110" si="73">AM107+AM108+AM109</f>
        <v>-597887.89400850283</v>
      </c>
      <c r="AN110" s="178">
        <f t="shared" ref="AN110" si="74">AN107+AN108+AN109</f>
        <v>10672.728498721495</v>
      </c>
      <c r="AO110" s="178">
        <f t="shared" ref="AO110" si="75">AO107+AO108+AO109</f>
        <v>-11865607.553541787</v>
      </c>
      <c r="AP110" s="178">
        <f t="shared" ref="AP110" si="76">AP107+AP108+AP109</f>
        <v>-2368485.167744847</v>
      </c>
      <c r="AQ110" s="178">
        <f t="shared" ref="AQ110" si="77">AQ107+AQ108+AQ109</f>
        <v>-2168601.9384357035</v>
      </c>
      <c r="AR110" s="178">
        <f t="shared" ref="AR110" si="78">AR107+AR108+AR109</f>
        <v>-2344054.44422385</v>
      </c>
      <c r="AS110" s="178">
        <f t="shared" ref="AS110" si="79">AS107+AS108+AS109</f>
        <v>-2137839.2037774771</v>
      </c>
      <c r="AT110" s="265">
        <f t="shared" ref="AT110" si="80">AT107+AT108+AT109</f>
        <v>-12940653.287225259</v>
      </c>
      <c r="AU110" s="166"/>
      <c r="AV110" s="166"/>
      <c r="AW110" s="166"/>
      <c r="AX110" s="166"/>
      <c r="AY110" s="166"/>
      <c r="AZ110" s="166"/>
      <c r="BA110" s="166"/>
      <c r="BB110" s="166"/>
      <c r="BC110" s="166"/>
      <c r="BD110" s="166"/>
      <c r="BE110" s="166"/>
      <c r="BF110" s="166"/>
      <c r="BG110" s="166"/>
      <c r="BH110" s="166"/>
      <c r="BI110" s="166"/>
      <c r="BJ110" s="166"/>
      <c r="BK110" s="166"/>
      <c r="BL110" s="166"/>
      <c r="BM110" s="166"/>
      <c r="BN110" s="166"/>
    </row>
    <row r="111" spans="2:66" x14ac:dyDescent="0.25">
      <c r="B111" s="836" t="s">
        <v>443</v>
      </c>
      <c r="C111" s="268">
        <v>0</v>
      </c>
      <c r="D111" s="268">
        <v>0</v>
      </c>
      <c r="E111" s="268">
        <v>0</v>
      </c>
      <c r="F111" s="268">
        <v>0</v>
      </c>
      <c r="G111" s="178">
        <f>IF(G110&gt;0,-$C$24*G110,0)</f>
        <v>0</v>
      </c>
      <c r="H111" s="178">
        <f t="shared" ref="H111:AT111" si="81">IF(H110&gt;0,-$C$24*H110,0)</f>
        <v>0</v>
      </c>
      <c r="I111" s="178">
        <f t="shared" si="81"/>
        <v>0</v>
      </c>
      <c r="J111" s="178">
        <f t="shared" si="81"/>
        <v>0</v>
      </c>
      <c r="K111" s="178">
        <f t="shared" si="81"/>
        <v>0</v>
      </c>
      <c r="L111" s="178">
        <f t="shared" si="81"/>
        <v>0</v>
      </c>
      <c r="M111" s="178">
        <f t="shared" si="81"/>
        <v>0</v>
      </c>
      <c r="N111" s="178">
        <f t="shared" si="81"/>
        <v>0</v>
      </c>
      <c r="O111" s="178">
        <f t="shared" si="81"/>
        <v>0</v>
      </c>
      <c r="P111" s="178">
        <f t="shared" si="81"/>
        <v>0</v>
      </c>
      <c r="Q111" s="178">
        <f t="shared" si="81"/>
        <v>0</v>
      </c>
      <c r="R111" s="178">
        <f t="shared" si="81"/>
        <v>0</v>
      </c>
      <c r="S111" s="178">
        <f t="shared" si="81"/>
        <v>0</v>
      </c>
      <c r="T111" s="178">
        <f t="shared" si="81"/>
        <v>0</v>
      </c>
      <c r="U111" s="178">
        <f t="shared" si="81"/>
        <v>0</v>
      </c>
      <c r="V111" s="178">
        <f t="shared" si="81"/>
        <v>0</v>
      </c>
      <c r="W111" s="178">
        <f t="shared" si="81"/>
        <v>0</v>
      </c>
      <c r="X111" s="178">
        <f t="shared" si="81"/>
        <v>0</v>
      </c>
      <c r="Y111" s="178">
        <f t="shared" si="81"/>
        <v>0</v>
      </c>
      <c r="Z111" s="178">
        <f t="shared" si="81"/>
        <v>0</v>
      </c>
      <c r="AA111" s="178">
        <f t="shared" si="81"/>
        <v>0</v>
      </c>
      <c r="AB111" s="178">
        <f t="shared" si="81"/>
        <v>0</v>
      </c>
      <c r="AC111" s="178">
        <f t="shared" si="81"/>
        <v>0</v>
      </c>
      <c r="AD111" s="178">
        <f t="shared" si="81"/>
        <v>0</v>
      </c>
      <c r="AE111" s="178">
        <f t="shared" si="81"/>
        <v>0</v>
      </c>
      <c r="AF111" s="178">
        <f t="shared" si="81"/>
        <v>0</v>
      </c>
      <c r="AG111" s="178">
        <f t="shared" si="81"/>
        <v>0</v>
      </c>
      <c r="AH111" s="178">
        <f t="shared" si="81"/>
        <v>0</v>
      </c>
      <c r="AI111" s="178">
        <f t="shared" si="81"/>
        <v>0</v>
      </c>
      <c r="AJ111" s="178">
        <f t="shared" si="81"/>
        <v>0</v>
      </c>
      <c r="AK111" s="178">
        <f t="shared" si="81"/>
        <v>0</v>
      </c>
      <c r="AL111" s="178">
        <f t="shared" si="81"/>
        <v>0</v>
      </c>
      <c r="AM111" s="178">
        <f t="shared" si="81"/>
        <v>0</v>
      </c>
      <c r="AN111" s="178">
        <f t="shared" si="81"/>
        <v>-3735.4549745525233</v>
      </c>
      <c r="AO111" s="178">
        <f t="shared" si="81"/>
        <v>0</v>
      </c>
      <c r="AP111" s="178">
        <f t="shared" si="81"/>
        <v>0</v>
      </c>
      <c r="AQ111" s="178">
        <f t="shared" si="81"/>
        <v>0</v>
      </c>
      <c r="AR111" s="178">
        <f t="shared" si="81"/>
        <v>0</v>
      </c>
      <c r="AS111" s="178">
        <f t="shared" si="81"/>
        <v>0</v>
      </c>
      <c r="AT111" s="265">
        <f t="shared" si="81"/>
        <v>0</v>
      </c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66"/>
      <c r="BI111" s="166"/>
      <c r="BJ111" s="166"/>
      <c r="BK111" s="166"/>
      <c r="BL111" s="166"/>
      <c r="BM111" s="166"/>
      <c r="BN111" s="166"/>
    </row>
    <row r="112" spans="2:66" ht="14.4" x14ac:dyDescent="0.25">
      <c r="B112" s="841" t="s">
        <v>445</v>
      </c>
      <c r="C112" s="801">
        <v>0</v>
      </c>
      <c r="D112" s="801">
        <v>0</v>
      </c>
      <c r="E112" s="801">
        <v>0</v>
      </c>
      <c r="F112" s="801">
        <v>0</v>
      </c>
      <c r="G112" s="262">
        <f>G110+G111</f>
        <v>-3623053.5077293385</v>
      </c>
      <c r="H112" s="262">
        <f t="shared" ref="H112:AT112" si="82">H110+H111</f>
        <v>-2681620.7585409726</v>
      </c>
      <c r="I112" s="262">
        <f t="shared" si="82"/>
        <v>-2523175.9594816095</v>
      </c>
      <c r="J112" s="262">
        <f t="shared" si="82"/>
        <v>-2553071.7063892009</v>
      </c>
      <c r="K112" s="262">
        <f t="shared" si="82"/>
        <v>-7898538.263525812</v>
      </c>
      <c r="L112" s="262">
        <f t="shared" si="82"/>
        <v>-2233508.8676449461</v>
      </c>
      <c r="M112" s="262">
        <f t="shared" si="82"/>
        <v>-2077377.5952632297</v>
      </c>
      <c r="N112" s="262">
        <f t="shared" si="82"/>
        <v>-2146574.9641575697</v>
      </c>
      <c r="O112" s="262">
        <f t="shared" si="82"/>
        <v>-2019045.5850661499</v>
      </c>
      <c r="P112" s="262">
        <f t="shared" si="82"/>
        <v>-8126684.560343178</v>
      </c>
      <c r="Q112" s="262">
        <f t="shared" si="82"/>
        <v>-1475608.0467599481</v>
      </c>
      <c r="R112" s="262">
        <f t="shared" si="82"/>
        <v>-2170713.2545138691</v>
      </c>
      <c r="S112" s="262">
        <f t="shared" si="82"/>
        <v>-2026239.0453837477</v>
      </c>
      <c r="T112" s="262">
        <f t="shared" si="82"/>
        <v>-2101258.9815052375</v>
      </c>
      <c r="U112" s="262">
        <f t="shared" si="82"/>
        <v>-8580841.9545523115</v>
      </c>
      <c r="V112" s="262">
        <f t="shared" si="82"/>
        <v>-1182963.1392639652</v>
      </c>
      <c r="W112" s="262">
        <f t="shared" si="82"/>
        <v>-1024711.0410235198</v>
      </c>
      <c r="X112" s="262">
        <f t="shared" si="82"/>
        <v>-2256081.0316843404</v>
      </c>
      <c r="Y112" s="262">
        <f t="shared" si="82"/>
        <v>-2061271.6446123687</v>
      </c>
      <c r="Z112" s="262">
        <f t="shared" si="82"/>
        <v>-9406292.3411738239</v>
      </c>
      <c r="AA112" s="262">
        <f t="shared" si="82"/>
        <v>-1914775.5066467733</v>
      </c>
      <c r="AB112" s="262">
        <f t="shared" si="82"/>
        <v>-1977699.7936672443</v>
      </c>
      <c r="AC112" s="262">
        <f t="shared" si="82"/>
        <v>-1966833.4998730263</v>
      </c>
      <c r="AD112" s="262">
        <f t="shared" si="82"/>
        <v>-2091200.1305821575</v>
      </c>
      <c r="AE112" s="262">
        <f t="shared" si="82"/>
        <v>-9931122.1164605208</v>
      </c>
      <c r="AF112" s="262">
        <f t="shared" si="82"/>
        <v>-2056684.6843980616</v>
      </c>
      <c r="AG112" s="262">
        <f t="shared" si="82"/>
        <v>-1886140.8482935531</v>
      </c>
      <c r="AH112" s="262">
        <f t="shared" si="82"/>
        <v>-2023320.9178091632</v>
      </c>
      <c r="AI112" s="262">
        <f t="shared" si="82"/>
        <v>-1847213.2985075349</v>
      </c>
      <c r="AJ112" s="262">
        <f t="shared" si="82"/>
        <v>-10786856.017642191</v>
      </c>
      <c r="AK112" s="262">
        <f t="shared" si="82"/>
        <v>-1809476.7008719249</v>
      </c>
      <c r="AL112" s="262">
        <f t="shared" si="82"/>
        <v>-1960822.3246562611</v>
      </c>
      <c r="AM112" s="262">
        <f t="shared" si="82"/>
        <v>-597887.89400850283</v>
      </c>
      <c r="AN112" s="262">
        <f t="shared" si="82"/>
        <v>6937.2735241689716</v>
      </c>
      <c r="AO112" s="262">
        <f t="shared" si="82"/>
        <v>-11865607.553541787</v>
      </c>
      <c r="AP112" s="262">
        <f t="shared" si="82"/>
        <v>-2368485.167744847</v>
      </c>
      <c r="AQ112" s="262">
        <f t="shared" si="82"/>
        <v>-2168601.9384357035</v>
      </c>
      <c r="AR112" s="262">
        <f t="shared" si="82"/>
        <v>-2344054.44422385</v>
      </c>
      <c r="AS112" s="262">
        <f t="shared" si="82"/>
        <v>-2137839.2037774771</v>
      </c>
      <c r="AT112" s="267">
        <f t="shared" si="82"/>
        <v>-12940653.287225259</v>
      </c>
      <c r="AU112" s="166"/>
      <c r="AV112" s="166"/>
      <c r="AW112" s="166"/>
      <c r="AX112" s="166"/>
      <c r="AY112" s="166"/>
      <c r="AZ112" s="166"/>
      <c r="BA112" s="166"/>
      <c r="BB112" s="166"/>
      <c r="BC112" s="166"/>
      <c r="BD112" s="166"/>
      <c r="BE112" s="166"/>
      <c r="BF112" s="166"/>
      <c r="BG112" s="166"/>
      <c r="BH112" s="166"/>
      <c r="BI112" s="166"/>
      <c r="BJ112" s="166"/>
      <c r="BK112" s="166"/>
      <c r="BL112" s="166"/>
      <c r="BM112" s="166"/>
      <c r="BN112" s="166"/>
    </row>
    <row r="113" spans="2:66" x14ac:dyDescent="0.25">
      <c r="B113" s="836" t="s">
        <v>446</v>
      </c>
      <c r="C113" s="268">
        <v>0</v>
      </c>
      <c r="D113" s="268">
        <v>0</v>
      </c>
      <c r="E113" s="268">
        <v>0</v>
      </c>
      <c r="F113" s="268">
        <v>0</v>
      </c>
      <c r="G113" s="178">
        <f>-G109</f>
        <v>3662844.258584829</v>
      </c>
      <c r="H113" s="178">
        <f t="shared" ref="H113:AT113" si="83">-H109</f>
        <v>3662844.258584829</v>
      </c>
      <c r="I113" s="178">
        <f t="shared" si="83"/>
        <v>3662844.258584829</v>
      </c>
      <c r="J113" s="178">
        <f t="shared" si="83"/>
        <v>3662844.258584829</v>
      </c>
      <c r="K113" s="178">
        <f t="shared" si="83"/>
        <v>3662844.258584829</v>
      </c>
      <c r="L113" s="178">
        <f t="shared" si="83"/>
        <v>3458479.3385100355</v>
      </c>
      <c r="M113" s="178">
        <f t="shared" si="83"/>
        <v>3458479.3385100355</v>
      </c>
      <c r="N113" s="178">
        <f t="shared" si="83"/>
        <v>3458479.3385100355</v>
      </c>
      <c r="O113" s="178">
        <f t="shared" si="83"/>
        <v>3458479.3385100355</v>
      </c>
      <c r="P113" s="178">
        <f t="shared" si="83"/>
        <v>3458479.3385100355</v>
      </c>
      <c r="Q113" s="178">
        <f t="shared" si="83"/>
        <v>2975390.0050588157</v>
      </c>
      <c r="R113" s="178">
        <f t="shared" si="83"/>
        <v>3593938.4099967871</v>
      </c>
      <c r="S113" s="178">
        <f t="shared" si="83"/>
        <v>3593938.4099967871</v>
      </c>
      <c r="T113" s="178">
        <f t="shared" si="83"/>
        <v>3593938.4099967871</v>
      </c>
      <c r="U113" s="178">
        <f t="shared" si="83"/>
        <v>3593938.4099967871</v>
      </c>
      <c r="V113" s="178">
        <f t="shared" si="83"/>
        <v>2747877.6604548013</v>
      </c>
      <c r="W113" s="178">
        <f t="shared" si="83"/>
        <v>2747877.6604548013</v>
      </c>
      <c r="X113" s="178">
        <f t="shared" si="83"/>
        <v>3923124.2349758497</v>
      </c>
      <c r="Y113" s="178">
        <f t="shared" si="83"/>
        <v>3923124.2349758497</v>
      </c>
      <c r="Z113" s="178">
        <f t="shared" si="83"/>
        <v>3923124.2349758497</v>
      </c>
      <c r="AA113" s="178">
        <f t="shared" si="83"/>
        <v>3923124.2349758497</v>
      </c>
      <c r="AB113" s="178">
        <f t="shared" si="83"/>
        <v>3923124.2349758497</v>
      </c>
      <c r="AC113" s="178">
        <f t="shared" si="83"/>
        <v>4072116.8612129036</v>
      </c>
      <c r="AD113" s="178">
        <f t="shared" si="83"/>
        <v>4072116.8612129036</v>
      </c>
      <c r="AE113" s="178">
        <f t="shared" si="83"/>
        <v>4072116.8612129036</v>
      </c>
      <c r="AF113" s="178">
        <f t="shared" si="83"/>
        <v>4072116.8612129036</v>
      </c>
      <c r="AG113" s="178">
        <f t="shared" si="83"/>
        <v>4072116.8612129036</v>
      </c>
      <c r="AH113" s="178">
        <f t="shared" si="83"/>
        <v>4072116.8612129036</v>
      </c>
      <c r="AI113" s="178">
        <f t="shared" si="83"/>
        <v>4072116.8612129036</v>
      </c>
      <c r="AJ113" s="178">
        <f t="shared" si="83"/>
        <v>4072116.8612129036</v>
      </c>
      <c r="AK113" s="178">
        <f t="shared" si="83"/>
        <v>4072116.8612129036</v>
      </c>
      <c r="AL113" s="178">
        <f t="shared" si="83"/>
        <v>4072116.8612129036</v>
      </c>
      <c r="AM113" s="178">
        <f t="shared" si="83"/>
        <v>2896870.2866918552</v>
      </c>
      <c r="AN113" s="178">
        <f t="shared" si="83"/>
        <v>2129329.2555168299</v>
      </c>
      <c r="AO113" s="178">
        <f t="shared" si="83"/>
        <v>4535185.9019710924</v>
      </c>
      <c r="AP113" s="178">
        <f t="shared" si="83"/>
        <v>4535185.9019710924</v>
      </c>
      <c r="AQ113" s="178">
        <f t="shared" si="83"/>
        <v>4535185.9019710924</v>
      </c>
      <c r="AR113" s="178">
        <f t="shared" si="83"/>
        <v>4535185.9019710924</v>
      </c>
      <c r="AS113" s="178">
        <f t="shared" si="83"/>
        <v>4535185.9019710924</v>
      </c>
      <c r="AT113" s="265">
        <f t="shared" si="83"/>
        <v>4535185.9019710924</v>
      </c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66"/>
      <c r="BL113" s="166"/>
      <c r="BM113" s="166"/>
      <c r="BN113" s="166"/>
    </row>
    <row r="114" spans="2:66" s="809" customFormat="1" ht="15" thickBot="1" x14ac:dyDescent="0.3">
      <c r="B114" s="842" t="s">
        <v>386</v>
      </c>
      <c r="C114" s="828"/>
      <c r="D114" s="828"/>
      <c r="E114" s="828"/>
      <c r="F114" s="828"/>
      <c r="G114" s="828">
        <f>G112+G113</f>
        <v>39790.750855490565</v>
      </c>
      <c r="H114" s="828">
        <f t="shared" ref="H114:AT114" si="84">H112+H113</f>
        <v>981223.50004385645</v>
      </c>
      <c r="I114" s="828">
        <f t="shared" si="84"/>
        <v>1139668.2991032195</v>
      </c>
      <c r="J114" s="828">
        <f t="shared" si="84"/>
        <v>1109772.5521956282</v>
      </c>
      <c r="K114" s="828">
        <f t="shared" si="84"/>
        <v>-4235694.0049409829</v>
      </c>
      <c r="L114" s="828">
        <f t="shared" si="84"/>
        <v>1224970.4708650894</v>
      </c>
      <c r="M114" s="828">
        <f t="shared" si="84"/>
        <v>1381101.7432468059</v>
      </c>
      <c r="N114" s="828">
        <f t="shared" si="84"/>
        <v>1311904.3743524658</v>
      </c>
      <c r="O114" s="828">
        <f t="shared" si="84"/>
        <v>1439433.7534438856</v>
      </c>
      <c r="P114" s="828">
        <f t="shared" si="84"/>
        <v>-4668205.2218331425</v>
      </c>
      <c r="Q114" s="828">
        <f t="shared" si="84"/>
        <v>1499781.9582988676</v>
      </c>
      <c r="R114" s="828">
        <f t="shared" si="84"/>
        <v>1423225.155482918</v>
      </c>
      <c r="S114" s="828">
        <f t="shared" si="84"/>
        <v>1567699.3646130394</v>
      </c>
      <c r="T114" s="828">
        <f t="shared" si="84"/>
        <v>1492679.4284915496</v>
      </c>
      <c r="U114" s="828">
        <f t="shared" si="84"/>
        <v>-4986903.5445555244</v>
      </c>
      <c r="V114" s="828">
        <f t="shared" si="84"/>
        <v>1564914.5211908361</v>
      </c>
      <c r="W114" s="828">
        <f t="shared" si="84"/>
        <v>1723166.6194312815</v>
      </c>
      <c r="X114" s="828">
        <f t="shared" si="84"/>
        <v>1667043.2032915093</v>
      </c>
      <c r="Y114" s="828">
        <f t="shared" si="84"/>
        <v>1861852.5903634811</v>
      </c>
      <c r="Z114" s="828">
        <f t="shared" si="84"/>
        <v>-5483168.1061979737</v>
      </c>
      <c r="AA114" s="828">
        <f t="shared" si="84"/>
        <v>2008348.7283290764</v>
      </c>
      <c r="AB114" s="828">
        <f t="shared" si="84"/>
        <v>1945424.4413086055</v>
      </c>
      <c r="AC114" s="828">
        <f t="shared" si="84"/>
        <v>2105283.3613398774</v>
      </c>
      <c r="AD114" s="828">
        <f t="shared" si="84"/>
        <v>1980916.7306307461</v>
      </c>
      <c r="AE114" s="828">
        <f t="shared" si="84"/>
        <v>-5859005.2552476171</v>
      </c>
      <c r="AF114" s="828">
        <f t="shared" si="84"/>
        <v>2015432.176814842</v>
      </c>
      <c r="AG114" s="828">
        <f t="shared" si="84"/>
        <v>2185976.0129193505</v>
      </c>
      <c r="AH114" s="828">
        <f t="shared" si="84"/>
        <v>2048795.9434037404</v>
      </c>
      <c r="AI114" s="828">
        <f t="shared" si="84"/>
        <v>2224903.5627053687</v>
      </c>
      <c r="AJ114" s="828">
        <f t="shared" si="84"/>
        <v>-6714739.156429287</v>
      </c>
      <c r="AK114" s="828">
        <f t="shared" si="84"/>
        <v>2262640.1603409788</v>
      </c>
      <c r="AL114" s="828">
        <f t="shared" si="84"/>
        <v>2111294.5365566425</v>
      </c>
      <c r="AM114" s="828">
        <f t="shared" si="84"/>
        <v>2298982.3926833523</v>
      </c>
      <c r="AN114" s="828">
        <f t="shared" si="84"/>
        <v>2136266.5290409988</v>
      </c>
      <c r="AO114" s="828">
        <f t="shared" si="84"/>
        <v>-7330421.6515706945</v>
      </c>
      <c r="AP114" s="828">
        <f t="shared" si="84"/>
        <v>2166700.7342262454</v>
      </c>
      <c r="AQ114" s="828">
        <f t="shared" si="84"/>
        <v>2366583.9635353889</v>
      </c>
      <c r="AR114" s="828">
        <f t="shared" si="84"/>
        <v>2191131.4577472424</v>
      </c>
      <c r="AS114" s="828">
        <f t="shared" si="84"/>
        <v>2397346.6981936153</v>
      </c>
      <c r="AT114" s="829">
        <f t="shared" si="84"/>
        <v>-8405467.385254167</v>
      </c>
      <c r="AU114" s="812"/>
      <c r="AV114" s="812"/>
      <c r="AW114" s="812"/>
      <c r="AX114" s="812"/>
      <c r="AY114" s="812"/>
      <c r="AZ114" s="812"/>
      <c r="BA114" s="812"/>
      <c r="BB114" s="812"/>
      <c r="BC114" s="812"/>
      <c r="BD114" s="812"/>
      <c r="BE114" s="812"/>
      <c r="BF114" s="812"/>
      <c r="BG114" s="812"/>
      <c r="BH114" s="812"/>
      <c r="BI114" s="812"/>
      <c r="BJ114" s="812"/>
      <c r="BK114" s="812"/>
      <c r="BL114" s="812"/>
      <c r="BM114" s="812"/>
      <c r="BN114" s="812"/>
    </row>
    <row r="115" spans="2:66" s="812" customFormat="1" ht="15" thickBot="1" x14ac:dyDescent="0.3">
      <c r="B115" s="839"/>
      <c r="C115" s="811"/>
      <c r="D115" s="811"/>
      <c r="E115" s="811"/>
      <c r="F115" s="811"/>
      <c r="G115" s="811"/>
      <c r="H115" s="811"/>
      <c r="I115" s="811"/>
      <c r="J115" s="811"/>
      <c r="K115" s="811"/>
      <c r="L115" s="811"/>
      <c r="M115" s="811"/>
      <c r="N115" s="811"/>
      <c r="O115" s="811"/>
      <c r="P115" s="811"/>
      <c r="Q115" s="811"/>
      <c r="R115" s="811"/>
      <c r="S115" s="811"/>
      <c r="T115" s="811"/>
      <c r="U115" s="811"/>
      <c r="V115" s="811"/>
      <c r="W115" s="811"/>
      <c r="X115" s="811"/>
      <c r="Y115" s="811"/>
      <c r="Z115" s="811"/>
      <c r="AA115" s="811"/>
      <c r="AB115" s="811"/>
      <c r="AC115" s="811"/>
      <c r="AD115" s="811"/>
      <c r="AE115" s="811"/>
      <c r="AF115" s="811"/>
      <c r="AG115" s="811"/>
      <c r="AH115" s="811"/>
      <c r="AI115" s="811"/>
      <c r="AJ115" s="811"/>
      <c r="AK115" s="811"/>
      <c r="AL115" s="811"/>
      <c r="AM115" s="811"/>
      <c r="AN115" s="811"/>
      <c r="AO115" s="811"/>
      <c r="AP115" s="811"/>
      <c r="AQ115" s="811"/>
      <c r="AR115" s="811"/>
      <c r="AS115" s="811"/>
      <c r="AT115" s="811"/>
    </row>
    <row r="116" spans="2:66" ht="14.4" x14ac:dyDescent="0.25">
      <c r="B116" s="835" t="s">
        <v>447</v>
      </c>
      <c r="C116" s="818"/>
      <c r="D116" s="818"/>
      <c r="E116" s="818"/>
      <c r="F116" s="818"/>
      <c r="G116" s="818"/>
      <c r="H116" s="818"/>
      <c r="I116" s="818"/>
      <c r="J116" s="818"/>
      <c r="K116" s="818"/>
      <c r="L116" s="818"/>
      <c r="M116" s="818"/>
      <c r="N116" s="818"/>
      <c r="O116" s="818"/>
      <c r="P116" s="818"/>
      <c r="Q116" s="818"/>
      <c r="R116" s="818"/>
      <c r="S116" s="818"/>
      <c r="T116" s="818"/>
      <c r="U116" s="818"/>
      <c r="V116" s="818"/>
      <c r="W116" s="818"/>
      <c r="X116" s="818"/>
      <c r="Y116" s="818"/>
      <c r="Z116" s="818"/>
      <c r="AA116" s="818"/>
      <c r="AB116" s="818"/>
      <c r="AC116" s="818"/>
      <c r="AD116" s="818"/>
      <c r="AE116" s="818"/>
      <c r="AF116" s="818"/>
      <c r="AG116" s="818"/>
      <c r="AH116" s="818"/>
      <c r="AI116" s="818"/>
      <c r="AJ116" s="818"/>
      <c r="AK116" s="818"/>
      <c r="AL116" s="818"/>
      <c r="AM116" s="818"/>
      <c r="AN116" s="818"/>
      <c r="AO116" s="818"/>
      <c r="AP116" s="818"/>
      <c r="AQ116" s="818"/>
      <c r="AR116" s="818"/>
      <c r="AS116" s="818"/>
      <c r="AT116" s="819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</row>
    <row r="117" spans="2:66" x14ac:dyDescent="0.25">
      <c r="B117" s="836" t="s">
        <v>448</v>
      </c>
      <c r="C117" s="758">
        <f>-INVERSION_ANUALIZADA_TC_Alt_4!E298</f>
        <v>-7217680.5455314573</v>
      </c>
      <c r="D117" s="758">
        <f>-INVERSION_ANUALIZADA_TC_Alt_4!F298</f>
        <v>-25976311.77290494</v>
      </c>
      <c r="E117" s="758">
        <f>-INVERSION_ANUALIZADA_TC_Alt_4!G298</f>
        <v>-66708323.717887178</v>
      </c>
      <c r="F117" s="758">
        <f>-INVERSION_ANUALIZADA_TC_Alt_4!H298</f>
        <v>-27380475.56786824</v>
      </c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265"/>
      <c r="AU117" s="166"/>
      <c r="AV117" s="166"/>
      <c r="AW117" s="166"/>
      <c r="AX117" s="166"/>
      <c r="AY117" s="166"/>
      <c r="AZ117" s="166"/>
      <c r="BA117" s="166"/>
      <c r="BB117" s="166"/>
      <c r="BC117" s="166"/>
      <c r="BD117" s="166"/>
      <c r="BE117" s="166"/>
      <c r="BF117" s="166"/>
      <c r="BG117" s="166"/>
      <c r="BH117" s="166"/>
      <c r="BI117" s="166"/>
      <c r="BJ117" s="166"/>
      <c r="BK117" s="166"/>
      <c r="BL117" s="166"/>
      <c r="BM117" s="166"/>
      <c r="BN117" s="166"/>
    </row>
    <row r="118" spans="2:66" x14ac:dyDescent="0.25">
      <c r="B118" s="836" t="s">
        <v>383</v>
      </c>
      <c r="C118" s="178"/>
      <c r="D118" s="178"/>
      <c r="E118" s="178"/>
      <c r="F118" s="178"/>
      <c r="G118" s="758">
        <f>-INVERSION_ANUALIZADA_TC_Alt_4!I298</f>
        <v>0</v>
      </c>
      <c r="H118" s="758">
        <f>-INVERSION_ANUALIZADA_TC_Alt_4!J298</f>
        <v>0</v>
      </c>
      <c r="I118" s="758">
        <f>-INVERSION_ANUALIZADA_TC_Alt_4!K298</f>
        <v>0</v>
      </c>
      <c r="J118" s="758">
        <f>-INVERSION_ANUALIZADA_TC_Alt_4!L298</f>
        <v>0</v>
      </c>
      <c r="K118" s="758">
        <f>-INVERSION_ANUALIZADA_TC_Alt_4!M298</f>
        <v>0</v>
      </c>
      <c r="L118" s="758">
        <f>-INVERSION_ANUALIZADA_TC_Alt_4!N298</f>
        <v>0</v>
      </c>
      <c r="M118" s="758">
        <f>-INVERSION_ANUALIZADA_TC_Alt_4!O298</f>
        <v>0</v>
      </c>
      <c r="N118" s="758">
        <f>-INVERSION_ANUALIZADA_TC_Alt_4!P298</f>
        <v>0</v>
      </c>
      <c r="O118" s="758">
        <f>-INVERSION_ANUALIZADA_TC_Alt_4!Q298</f>
        <v>0</v>
      </c>
      <c r="P118" s="758">
        <f>-INVERSION_ANUALIZADA_TC_Alt_4!R298</f>
        <v>-2723541.3615541044</v>
      </c>
      <c r="Q118" s="758">
        <f>-INVERSION_ANUALIZADA_TC_Alt_4!S298</f>
        <v>-3461942.6878256085</v>
      </c>
      <c r="R118" s="758">
        <f>-INVERSION_ANUALIZADA_TC_Alt_4!T298</f>
        <v>0</v>
      </c>
      <c r="S118" s="758">
        <f>-INVERSION_ANUALIZADA_TC_Alt_4!U298</f>
        <v>0</v>
      </c>
      <c r="T118" s="758">
        <f>-INVERSION_ANUALIZADA_TC_Alt_4!V298</f>
        <v>0</v>
      </c>
      <c r="U118" s="758">
        <f>-INVERSION_ANUALIZADA_TC_Alt_4!W298</f>
        <v>-3273399.4420900545</v>
      </c>
      <c r="V118" s="758">
        <f>-INVERSION_ANUALIZADA_TC_Alt_4!X298</f>
        <v>-9774797.0868826061</v>
      </c>
      <c r="W118" s="758">
        <f>-INVERSION_ANUALIZADA_TC_Alt_4!Y298</f>
        <v>-4580502.0888430635</v>
      </c>
      <c r="X118" s="758">
        <f>-INVERSION_ANUALIZADA_TC_Alt_4!Z298</f>
        <v>0</v>
      </c>
      <c r="Y118" s="758">
        <f>-INVERSION_ANUALIZADA_TC_Alt_4!AA298</f>
        <v>0</v>
      </c>
      <c r="Z118" s="758">
        <f>-INVERSION_ANUALIZADA_TC_Alt_4!AB298</f>
        <v>0</v>
      </c>
      <c r="AA118" s="758">
        <f>-INVERSION_ANUALIZADA_TC_Alt_4!AC298</f>
        <v>-3379570.3773918124</v>
      </c>
      <c r="AB118" s="758">
        <f>-INVERSION_ANUALIZADA_TC_Alt_4!AD298</f>
        <v>-4295839.9343584403</v>
      </c>
      <c r="AC118" s="758">
        <f>-INVERSION_ANUALIZADA_TC_Alt_4!AE298</f>
        <v>0</v>
      </c>
      <c r="AD118" s="758">
        <f>-INVERSION_ANUALIZADA_TC_Alt_4!AF298</f>
        <v>0</v>
      </c>
      <c r="AE118" s="758">
        <f>-INVERSION_ANUALIZADA_TC_Alt_4!AG298</f>
        <v>0</v>
      </c>
      <c r="AF118" s="758">
        <f>-INVERSION_ANUALIZADA_TC_Alt_4!AH298</f>
        <v>0</v>
      </c>
      <c r="AG118" s="758">
        <f>-INVERSION_ANUALIZADA_TC_Alt_4!AI298</f>
        <v>0</v>
      </c>
      <c r="AH118" s="758">
        <f>-INVERSION_ANUALIZADA_TC_Alt_4!AJ298</f>
        <v>0</v>
      </c>
      <c r="AI118" s="758">
        <f>-INVERSION_ANUALIZADA_TC_Alt_4!AK298</f>
        <v>0</v>
      </c>
      <c r="AJ118" s="758">
        <f>-INVERSION_ANUALIZADA_TC_Alt_4!AL298</f>
        <v>0</v>
      </c>
      <c r="AK118" s="758">
        <f>-INVERSION_ANUALIZADA_TC_Alt_4!AM298</f>
        <v>0</v>
      </c>
      <c r="AL118" s="758">
        <f>-INVERSION_ANUALIZADA_TC_Alt_4!AN298</f>
        <v>-8716196.7525265142</v>
      </c>
      <c r="AM118" s="758">
        <f>-INVERSION_ANUALIZADA_TC_Alt_4!AO298</f>
        <v>-18683131.091712683</v>
      </c>
      <c r="AN118" s="758">
        <f>-INVERSION_ANUALIZADA_TC_Alt_4!AP298</f>
        <v>-6282665.206120478</v>
      </c>
      <c r="AO118" s="758">
        <f>-INVERSION_ANUALIZADA_TC_Alt_4!AQ298</f>
        <v>0</v>
      </c>
      <c r="AP118" s="758">
        <f>-INVERSION_ANUALIZADA_TC_Alt_4!AR298</f>
        <v>0</v>
      </c>
      <c r="AQ118" s="758">
        <f>-INVERSION_ANUALIZADA_TC_Alt_4!AS298</f>
        <v>0</v>
      </c>
      <c r="AR118" s="758">
        <f>-INVERSION_ANUALIZADA_TC_Alt_4!AT298</f>
        <v>0</v>
      </c>
      <c r="AS118" s="758">
        <f>-INVERSION_ANUALIZADA_TC_Alt_4!AU298</f>
        <v>0</v>
      </c>
      <c r="AT118" s="847">
        <f>-INVERSION_ANUALIZADA_TC_Alt_4!AV298</f>
        <v>0</v>
      </c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66"/>
      <c r="BI118" s="166"/>
      <c r="BJ118" s="166"/>
      <c r="BK118" s="166"/>
      <c r="BL118" s="166"/>
      <c r="BM118" s="166"/>
      <c r="BN118" s="166"/>
    </row>
    <row r="119" spans="2:66" x14ac:dyDescent="0.25">
      <c r="B119" s="836" t="s">
        <v>384</v>
      </c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758">
        <f>AJ92</f>
        <v>49512401.003238209</v>
      </c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847">
        <f>AT92</f>
        <v>47624558.670045361</v>
      </c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66"/>
      <c r="BI119" s="166"/>
      <c r="BJ119" s="166"/>
      <c r="BK119" s="166"/>
      <c r="BL119" s="166"/>
      <c r="BM119" s="166"/>
      <c r="BN119" s="166"/>
    </row>
    <row r="120" spans="2:66" s="808" customFormat="1" ht="15" thickBot="1" x14ac:dyDescent="0.3">
      <c r="B120" s="842" t="s">
        <v>385</v>
      </c>
      <c r="C120" s="822">
        <f t="shared" ref="C120:AT120" si="85">C117+C118+C119</f>
        <v>-7217680.5455314573</v>
      </c>
      <c r="D120" s="822">
        <f t="shared" si="85"/>
        <v>-25976311.77290494</v>
      </c>
      <c r="E120" s="822">
        <f t="shared" si="85"/>
        <v>-66708323.717887178</v>
      </c>
      <c r="F120" s="822">
        <f t="shared" si="85"/>
        <v>-27380475.56786824</v>
      </c>
      <c r="G120" s="822">
        <f t="shared" si="85"/>
        <v>0</v>
      </c>
      <c r="H120" s="822">
        <f t="shared" si="85"/>
        <v>0</v>
      </c>
      <c r="I120" s="822">
        <f t="shared" si="85"/>
        <v>0</v>
      </c>
      <c r="J120" s="822">
        <f t="shared" si="85"/>
        <v>0</v>
      </c>
      <c r="K120" s="822">
        <f t="shared" si="85"/>
        <v>0</v>
      </c>
      <c r="L120" s="822">
        <f t="shared" si="85"/>
        <v>0</v>
      </c>
      <c r="M120" s="822">
        <f t="shared" si="85"/>
        <v>0</v>
      </c>
      <c r="N120" s="822">
        <f t="shared" si="85"/>
        <v>0</v>
      </c>
      <c r="O120" s="822">
        <f t="shared" si="85"/>
        <v>0</v>
      </c>
      <c r="P120" s="822">
        <f t="shared" si="85"/>
        <v>-2723541.3615541044</v>
      </c>
      <c r="Q120" s="822">
        <f t="shared" si="85"/>
        <v>-3461942.6878256085</v>
      </c>
      <c r="R120" s="822">
        <f t="shared" si="85"/>
        <v>0</v>
      </c>
      <c r="S120" s="822">
        <f t="shared" si="85"/>
        <v>0</v>
      </c>
      <c r="T120" s="822">
        <f t="shared" si="85"/>
        <v>0</v>
      </c>
      <c r="U120" s="822">
        <f t="shared" si="85"/>
        <v>-3273399.4420900545</v>
      </c>
      <c r="V120" s="822">
        <f t="shared" si="85"/>
        <v>-9774797.0868826061</v>
      </c>
      <c r="W120" s="822">
        <f t="shared" si="85"/>
        <v>-4580502.0888430635</v>
      </c>
      <c r="X120" s="822">
        <f t="shared" si="85"/>
        <v>0</v>
      </c>
      <c r="Y120" s="822">
        <f t="shared" si="85"/>
        <v>0</v>
      </c>
      <c r="Z120" s="822">
        <f t="shared" si="85"/>
        <v>0</v>
      </c>
      <c r="AA120" s="822">
        <f t="shared" si="85"/>
        <v>-3379570.3773918124</v>
      </c>
      <c r="AB120" s="822">
        <f t="shared" si="85"/>
        <v>-4295839.9343584403</v>
      </c>
      <c r="AC120" s="822">
        <f t="shared" si="85"/>
        <v>0</v>
      </c>
      <c r="AD120" s="822">
        <f t="shared" si="85"/>
        <v>0</v>
      </c>
      <c r="AE120" s="822">
        <f t="shared" si="85"/>
        <v>0</v>
      </c>
      <c r="AF120" s="822">
        <f t="shared" si="85"/>
        <v>0</v>
      </c>
      <c r="AG120" s="822">
        <f t="shared" si="85"/>
        <v>0</v>
      </c>
      <c r="AH120" s="822">
        <f t="shared" si="85"/>
        <v>0</v>
      </c>
      <c r="AI120" s="822">
        <f t="shared" si="85"/>
        <v>0</v>
      </c>
      <c r="AJ120" s="822">
        <f t="shared" si="85"/>
        <v>49512401.003238209</v>
      </c>
      <c r="AK120" s="822">
        <f t="shared" si="85"/>
        <v>0</v>
      </c>
      <c r="AL120" s="822">
        <f t="shared" si="85"/>
        <v>-8716196.7525265142</v>
      </c>
      <c r="AM120" s="822">
        <f t="shared" si="85"/>
        <v>-18683131.091712683</v>
      </c>
      <c r="AN120" s="822">
        <f t="shared" si="85"/>
        <v>-6282665.206120478</v>
      </c>
      <c r="AO120" s="822">
        <f t="shared" si="85"/>
        <v>0</v>
      </c>
      <c r="AP120" s="822">
        <f t="shared" si="85"/>
        <v>0</v>
      </c>
      <c r="AQ120" s="822">
        <f t="shared" si="85"/>
        <v>0</v>
      </c>
      <c r="AR120" s="822">
        <f t="shared" si="85"/>
        <v>0</v>
      </c>
      <c r="AS120" s="822">
        <f t="shared" si="85"/>
        <v>0</v>
      </c>
      <c r="AT120" s="823">
        <f t="shared" si="85"/>
        <v>47624558.670045361</v>
      </c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6"/>
    </row>
    <row r="121" spans="2:66" ht="14.4" x14ac:dyDescent="0.25">
      <c r="B121" s="838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66"/>
      <c r="AV121" s="166"/>
      <c r="AW121" s="166"/>
      <c r="AX121" s="166"/>
      <c r="AY121" s="166"/>
      <c r="AZ121" s="166"/>
      <c r="BA121" s="166"/>
      <c r="BB121" s="166"/>
      <c r="BC121" s="166"/>
      <c r="BD121" s="166"/>
      <c r="BE121" s="166"/>
      <c r="BF121" s="166"/>
      <c r="BG121" s="166"/>
      <c r="BH121" s="166"/>
      <c r="BI121" s="166"/>
      <c r="BJ121" s="166"/>
      <c r="BK121" s="166"/>
      <c r="BL121" s="166"/>
      <c r="BM121" s="166"/>
      <c r="BN121" s="166"/>
    </row>
    <row r="122" spans="2:66" ht="14.4" x14ac:dyDescent="0.25">
      <c r="B122" s="838"/>
      <c r="C122" s="178"/>
      <c r="D122" s="178"/>
      <c r="E122" s="884" t="s">
        <v>473</v>
      </c>
      <c r="F122" s="178">
        <f>C120+D120+E120+F120</f>
        <v>-127282791.60419181</v>
      </c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66"/>
      <c r="AV122" s="166"/>
      <c r="AW122" s="166"/>
      <c r="AX122" s="166"/>
      <c r="AY122" s="166"/>
      <c r="AZ122" s="166"/>
      <c r="BA122" s="166"/>
      <c r="BB122" s="166"/>
      <c r="BC122" s="166"/>
      <c r="BD122" s="166"/>
      <c r="BE122" s="166"/>
      <c r="BF122" s="166"/>
      <c r="BG122" s="166"/>
      <c r="BH122" s="166"/>
      <c r="BI122" s="166"/>
      <c r="BJ122" s="166"/>
      <c r="BK122" s="166"/>
      <c r="BL122" s="166"/>
      <c r="BM122" s="166"/>
      <c r="BN122" s="166"/>
    </row>
    <row r="123" spans="2:66" ht="14.4" x14ac:dyDescent="0.25">
      <c r="B123" s="838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66"/>
      <c r="AV123" s="166"/>
      <c r="AW123" s="166"/>
      <c r="AX123" s="166"/>
      <c r="AY123" s="166"/>
      <c r="AZ123" s="166"/>
      <c r="BA123" s="166"/>
      <c r="BB123" s="166"/>
      <c r="BC123" s="166"/>
      <c r="BD123" s="166"/>
      <c r="BE123" s="166"/>
      <c r="BF123" s="166"/>
      <c r="BG123" s="166"/>
      <c r="BH123" s="166"/>
      <c r="BI123" s="166"/>
      <c r="BJ123" s="166"/>
      <c r="BK123" s="166"/>
      <c r="BL123" s="166"/>
      <c r="BM123" s="166"/>
      <c r="BN123" s="166"/>
    </row>
    <row r="124" spans="2:66" ht="14.4" x14ac:dyDescent="0.25">
      <c r="B124" s="844" t="s">
        <v>436</v>
      </c>
      <c r="C124" s="178">
        <f t="shared" ref="C124:AJ124" si="86">C114+C120</f>
        <v>-7217680.5455314573</v>
      </c>
      <c r="D124" s="178">
        <f t="shared" si="86"/>
        <v>-25976311.77290494</v>
      </c>
      <c r="E124" s="178">
        <f t="shared" si="86"/>
        <v>-66708323.717887178</v>
      </c>
      <c r="F124" s="178">
        <f t="shared" si="86"/>
        <v>-27380475.56786824</v>
      </c>
      <c r="G124" s="178">
        <f t="shared" si="86"/>
        <v>39790.750855490565</v>
      </c>
      <c r="H124" s="178">
        <f t="shared" si="86"/>
        <v>981223.50004385645</v>
      </c>
      <c r="I124" s="178">
        <f t="shared" si="86"/>
        <v>1139668.2991032195</v>
      </c>
      <c r="J124" s="178">
        <f t="shared" si="86"/>
        <v>1109772.5521956282</v>
      </c>
      <c r="K124" s="178">
        <f t="shared" si="86"/>
        <v>-4235694.0049409829</v>
      </c>
      <c r="L124" s="178">
        <f t="shared" si="86"/>
        <v>1224970.4708650894</v>
      </c>
      <c r="M124" s="178">
        <f t="shared" si="86"/>
        <v>1381101.7432468059</v>
      </c>
      <c r="N124" s="178">
        <f t="shared" si="86"/>
        <v>1311904.3743524658</v>
      </c>
      <c r="O124" s="178">
        <f t="shared" si="86"/>
        <v>1439433.7534438856</v>
      </c>
      <c r="P124" s="178">
        <f t="shared" si="86"/>
        <v>-7391746.5833872464</v>
      </c>
      <c r="Q124" s="178">
        <f t="shared" si="86"/>
        <v>-1962160.729526741</v>
      </c>
      <c r="R124" s="178">
        <f t="shared" si="86"/>
        <v>1423225.155482918</v>
      </c>
      <c r="S124" s="178">
        <f t="shared" si="86"/>
        <v>1567699.3646130394</v>
      </c>
      <c r="T124" s="178">
        <f t="shared" si="86"/>
        <v>1492679.4284915496</v>
      </c>
      <c r="U124" s="178">
        <f t="shared" si="86"/>
        <v>-8260302.9866455793</v>
      </c>
      <c r="V124" s="178">
        <f t="shared" si="86"/>
        <v>-8209882.5656917701</v>
      </c>
      <c r="W124" s="178">
        <f t="shared" si="86"/>
        <v>-2857335.469411782</v>
      </c>
      <c r="X124" s="178">
        <f t="shared" si="86"/>
        <v>1667043.2032915093</v>
      </c>
      <c r="Y124" s="178">
        <f t="shared" si="86"/>
        <v>1861852.5903634811</v>
      </c>
      <c r="Z124" s="178">
        <f t="shared" si="86"/>
        <v>-5483168.1061979737</v>
      </c>
      <c r="AA124" s="178">
        <f t="shared" si="86"/>
        <v>-1371221.649062736</v>
      </c>
      <c r="AB124" s="178">
        <f t="shared" si="86"/>
        <v>-2350415.4930498349</v>
      </c>
      <c r="AC124" s="178">
        <f t="shared" si="86"/>
        <v>2105283.3613398774</v>
      </c>
      <c r="AD124" s="178">
        <f t="shared" si="86"/>
        <v>1980916.7306307461</v>
      </c>
      <c r="AE124" s="178">
        <f t="shared" si="86"/>
        <v>-5859005.2552476171</v>
      </c>
      <c r="AF124" s="178">
        <f t="shared" si="86"/>
        <v>2015432.176814842</v>
      </c>
      <c r="AG124" s="178">
        <f t="shared" si="86"/>
        <v>2185976.0129193505</v>
      </c>
      <c r="AH124" s="178">
        <f t="shared" si="86"/>
        <v>2048795.9434037404</v>
      </c>
      <c r="AI124" s="178">
        <f t="shared" si="86"/>
        <v>2224903.5627053687</v>
      </c>
      <c r="AJ124" s="178">
        <f t="shared" si="86"/>
        <v>42797661.846808925</v>
      </c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</row>
    <row r="125" spans="2:66" ht="14.4" x14ac:dyDescent="0.25">
      <c r="B125" s="844" t="s">
        <v>438</v>
      </c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848">
        <f>IRR(C124:AJ124)</f>
        <v>-4.1561383606596558E-2</v>
      </c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66"/>
      <c r="BI125" s="166"/>
      <c r="BJ125" s="166"/>
      <c r="BK125" s="166"/>
      <c r="BL125" s="166"/>
      <c r="BM125" s="166"/>
      <c r="BN125" s="166"/>
    </row>
    <row r="126" spans="2:66" ht="14.4" x14ac:dyDescent="0.25">
      <c r="B126" s="844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66"/>
      <c r="BI126" s="166"/>
      <c r="BJ126" s="166"/>
      <c r="BK126" s="166"/>
      <c r="BL126" s="166"/>
      <c r="BM126" s="166"/>
      <c r="BN126" s="166"/>
    </row>
    <row r="127" spans="2:66" ht="14.4" x14ac:dyDescent="0.25">
      <c r="B127" s="844" t="s">
        <v>437</v>
      </c>
      <c r="C127" s="178">
        <f>C114+C120</f>
        <v>-7217680.5455314573</v>
      </c>
      <c r="D127" s="178">
        <f t="shared" ref="D127:AT127" si="87">D114+D120</f>
        <v>-25976311.77290494</v>
      </c>
      <c r="E127" s="178">
        <f t="shared" si="87"/>
        <v>-66708323.717887178</v>
      </c>
      <c r="F127" s="178">
        <f t="shared" si="87"/>
        <v>-27380475.56786824</v>
      </c>
      <c r="G127" s="178">
        <f t="shared" si="87"/>
        <v>39790.750855490565</v>
      </c>
      <c r="H127" s="178">
        <f t="shared" si="87"/>
        <v>981223.50004385645</v>
      </c>
      <c r="I127" s="178">
        <f t="shared" si="87"/>
        <v>1139668.2991032195</v>
      </c>
      <c r="J127" s="178">
        <f t="shared" si="87"/>
        <v>1109772.5521956282</v>
      </c>
      <c r="K127" s="178">
        <f t="shared" si="87"/>
        <v>-4235694.0049409829</v>
      </c>
      <c r="L127" s="178">
        <f t="shared" si="87"/>
        <v>1224970.4708650894</v>
      </c>
      <c r="M127" s="178">
        <f t="shared" si="87"/>
        <v>1381101.7432468059</v>
      </c>
      <c r="N127" s="178">
        <f t="shared" si="87"/>
        <v>1311904.3743524658</v>
      </c>
      <c r="O127" s="178">
        <f t="shared" si="87"/>
        <v>1439433.7534438856</v>
      </c>
      <c r="P127" s="178">
        <f t="shared" si="87"/>
        <v>-7391746.5833872464</v>
      </c>
      <c r="Q127" s="178">
        <f t="shared" si="87"/>
        <v>-1962160.729526741</v>
      </c>
      <c r="R127" s="178">
        <f t="shared" si="87"/>
        <v>1423225.155482918</v>
      </c>
      <c r="S127" s="178">
        <f t="shared" si="87"/>
        <v>1567699.3646130394</v>
      </c>
      <c r="T127" s="178">
        <f t="shared" si="87"/>
        <v>1492679.4284915496</v>
      </c>
      <c r="U127" s="178">
        <f t="shared" si="87"/>
        <v>-8260302.9866455793</v>
      </c>
      <c r="V127" s="178">
        <f t="shared" si="87"/>
        <v>-8209882.5656917701</v>
      </c>
      <c r="W127" s="178">
        <f t="shared" si="87"/>
        <v>-2857335.469411782</v>
      </c>
      <c r="X127" s="178">
        <f t="shared" si="87"/>
        <v>1667043.2032915093</v>
      </c>
      <c r="Y127" s="178">
        <f t="shared" si="87"/>
        <v>1861852.5903634811</v>
      </c>
      <c r="Z127" s="178">
        <f t="shared" si="87"/>
        <v>-5483168.1061979737</v>
      </c>
      <c r="AA127" s="178">
        <f t="shared" si="87"/>
        <v>-1371221.649062736</v>
      </c>
      <c r="AB127" s="178">
        <f t="shared" si="87"/>
        <v>-2350415.4930498349</v>
      </c>
      <c r="AC127" s="178">
        <f t="shared" si="87"/>
        <v>2105283.3613398774</v>
      </c>
      <c r="AD127" s="178">
        <f t="shared" si="87"/>
        <v>1980916.7306307461</v>
      </c>
      <c r="AE127" s="178">
        <f t="shared" si="87"/>
        <v>-5859005.2552476171</v>
      </c>
      <c r="AF127" s="178">
        <f t="shared" si="87"/>
        <v>2015432.176814842</v>
      </c>
      <c r="AG127" s="178">
        <f t="shared" si="87"/>
        <v>2185976.0129193505</v>
      </c>
      <c r="AH127" s="178">
        <f t="shared" si="87"/>
        <v>2048795.9434037404</v>
      </c>
      <c r="AI127" s="178">
        <f t="shared" si="87"/>
        <v>2224903.5627053687</v>
      </c>
      <c r="AJ127" s="178">
        <f>AJ114+AJ118</f>
        <v>-6714739.156429287</v>
      </c>
      <c r="AK127" s="178">
        <f t="shared" si="87"/>
        <v>2262640.1603409788</v>
      </c>
      <c r="AL127" s="178">
        <f t="shared" si="87"/>
        <v>-6604902.2159698717</v>
      </c>
      <c r="AM127" s="178">
        <f t="shared" si="87"/>
        <v>-16384148.69902933</v>
      </c>
      <c r="AN127" s="178">
        <f t="shared" si="87"/>
        <v>-4146398.6770794792</v>
      </c>
      <c r="AO127" s="178">
        <f t="shared" si="87"/>
        <v>-7330421.6515706945</v>
      </c>
      <c r="AP127" s="178">
        <f t="shared" si="87"/>
        <v>2166700.7342262454</v>
      </c>
      <c r="AQ127" s="178">
        <f t="shared" si="87"/>
        <v>2366583.9635353889</v>
      </c>
      <c r="AR127" s="178">
        <f t="shared" si="87"/>
        <v>2191131.4577472424</v>
      </c>
      <c r="AS127" s="178">
        <f t="shared" si="87"/>
        <v>2397346.6981936153</v>
      </c>
      <c r="AT127" s="178">
        <f t="shared" si="87"/>
        <v>39219091.284791194</v>
      </c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66"/>
      <c r="BI127" s="166"/>
      <c r="BJ127" s="166"/>
      <c r="BK127" s="166"/>
      <c r="BL127" s="166"/>
      <c r="BM127" s="166"/>
      <c r="BN127" s="166"/>
    </row>
    <row r="128" spans="2:66" ht="14.4" x14ac:dyDescent="0.25">
      <c r="B128" s="844" t="s">
        <v>439</v>
      </c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849">
        <f>IRR(C127:AT127)</f>
        <v>-4.9736411979047879E-2</v>
      </c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</row>
    <row r="129" spans="1:66" ht="14.4" x14ac:dyDescent="0.25">
      <c r="B129" s="844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66"/>
      <c r="AV129" s="166"/>
      <c r="AW129" s="166"/>
      <c r="AX129" s="166"/>
      <c r="AY129" s="166"/>
      <c r="AZ129" s="166"/>
      <c r="BA129" s="166"/>
      <c r="BB129" s="166"/>
      <c r="BC129" s="166"/>
      <c r="BD129" s="166"/>
      <c r="BE129" s="166"/>
      <c r="BF129" s="166"/>
      <c r="BG129" s="166"/>
      <c r="BH129" s="166"/>
      <c r="BI129" s="166"/>
      <c r="BJ129" s="166"/>
      <c r="BK129" s="166"/>
      <c r="BL129" s="166"/>
      <c r="BM129" s="166"/>
      <c r="BN129" s="166"/>
    </row>
    <row r="130" spans="1:66" ht="14.4" x14ac:dyDescent="0.25">
      <c r="B130" s="844" t="s">
        <v>450</v>
      </c>
      <c r="C130" s="178">
        <f>C104</f>
        <v>0</v>
      </c>
      <c r="D130" s="178">
        <f t="shared" ref="D130:AT130" si="88">D104</f>
        <v>0</v>
      </c>
      <c r="E130" s="178">
        <f t="shared" si="88"/>
        <v>0</v>
      </c>
      <c r="F130" s="178">
        <f t="shared" si="88"/>
        <v>0</v>
      </c>
      <c r="G130" s="178">
        <f t="shared" si="88"/>
        <v>39790.750855490565</v>
      </c>
      <c r="H130" s="178">
        <f t="shared" si="88"/>
        <v>981223.50004385645</v>
      </c>
      <c r="I130" s="178">
        <f t="shared" si="88"/>
        <v>1139668.2991032195</v>
      </c>
      <c r="J130" s="178">
        <f t="shared" si="88"/>
        <v>1109772.5521956282</v>
      </c>
      <c r="K130" s="178">
        <f t="shared" si="88"/>
        <v>-4235694.0049409829</v>
      </c>
      <c r="L130" s="178">
        <f t="shared" si="88"/>
        <v>1224970.4708650894</v>
      </c>
      <c r="M130" s="178">
        <f t="shared" si="88"/>
        <v>1381101.7432468059</v>
      </c>
      <c r="N130" s="178">
        <f t="shared" si="88"/>
        <v>1311904.3743524658</v>
      </c>
      <c r="O130" s="178">
        <f t="shared" si="88"/>
        <v>1439433.7534438856</v>
      </c>
      <c r="P130" s="178">
        <f t="shared" si="88"/>
        <v>-4668205.2218331425</v>
      </c>
      <c r="Q130" s="178">
        <f t="shared" si="88"/>
        <v>1499781.9582988676</v>
      </c>
      <c r="R130" s="178">
        <f t="shared" si="88"/>
        <v>1423225.155482918</v>
      </c>
      <c r="S130" s="178">
        <f t="shared" si="88"/>
        <v>1567699.3646130394</v>
      </c>
      <c r="T130" s="178">
        <f t="shared" si="88"/>
        <v>1492679.4284915496</v>
      </c>
      <c r="U130" s="178">
        <f t="shared" si="88"/>
        <v>-4986903.5445555244</v>
      </c>
      <c r="V130" s="178">
        <f t="shared" si="88"/>
        <v>1564914.5211908361</v>
      </c>
      <c r="W130" s="178">
        <f t="shared" si="88"/>
        <v>1723166.6194312815</v>
      </c>
      <c r="X130" s="178">
        <f t="shared" si="88"/>
        <v>1667043.2032915093</v>
      </c>
      <c r="Y130" s="178">
        <f t="shared" si="88"/>
        <v>1861852.5903634811</v>
      </c>
      <c r="Z130" s="178">
        <f t="shared" si="88"/>
        <v>-5483168.1061979737</v>
      </c>
      <c r="AA130" s="178">
        <f t="shared" si="88"/>
        <v>2008348.7283290764</v>
      </c>
      <c r="AB130" s="178">
        <f t="shared" si="88"/>
        <v>1945424.4413086055</v>
      </c>
      <c r="AC130" s="178">
        <f t="shared" si="88"/>
        <v>2105283.3613398774</v>
      </c>
      <c r="AD130" s="178">
        <f t="shared" si="88"/>
        <v>1980916.7306307461</v>
      </c>
      <c r="AE130" s="178">
        <f t="shared" si="88"/>
        <v>-5859005.2552476171</v>
      </c>
      <c r="AF130" s="178">
        <f t="shared" si="88"/>
        <v>2015432.176814842</v>
      </c>
      <c r="AG130" s="178">
        <f t="shared" si="88"/>
        <v>2185976.0129193505</v>
      </c>
      <c r="AH130" s="178">
        <f t="shared" si="88"/>
        <v>2048795.9434037404</v>
      </c>
      <c r="AI130" s="178">
        <f t="shared" si="88"/>
        <v>2224903.5627053687</v>
      </c>
      <c r="AJ130" s="178">
        <f t="shared" si="88"/>
        <v>-6714739.156429287</v>
      </c>
      <c r="AK130" s="178">
        <f t="shared" si="88"/>
        <v>2262640.1603409788</v>
      </c>
      <c r="AL130" s="178">
        <f t="shared" si="88"/>
        <v>2111294.5365566425</v>
      </c>
      <c r="AM130" s="178">
        <f t="shared" si="88"/>
        <v>2298982.3926833523</v>
      </c>
      <c r="AN130" s="178">
        <f t="shared" si="88"/>
        <v>2140001.9840155514</v>
      </c>
      <c r="AO130" s="178">
        <f t="shared" si="88"/>
        <v>-7330421.6515706945</v>
      </c>
      <c r="AP130" s="178">
        <f t="shared" si="88"/>
        <v>2166700.7342262454</v>
      </c>
      <c r="AQ130" s="178">
        <f t="shared" si="88"/>
        <v>2366583.9635353889</v>
      </c>
      <c r="AR130" s="178">
        <f t="shared" si="88"/>
        <v>2191131.4577472424</v>
      </c>
      <c r="AS130" s="178">
        <f t="shared" si="88"/>
        <v>2397346.6981936153</v>
      </c>
      <c r="AT130" s="178">
        <f t="shared" si="88"/>
        <v>-8405467.385254167</v>
      </c>
      <c r="AU130" s="166"/>
      <c r="AV130" s="166"/>
      <c r="AW130" s="166"/>
      <c r="AX130" s="166"/>
      <c r="AY130" s="166"/>
      <c r="AZ130" s="166"/>
      <c r="BA130" s="166"/>
      <c r="BB130" s="166"/>
      <c r="BC130" s="166"/>
      <c r="BD130" s="166"/>
      <c r="BE130" s="166"/>
      <c r="BF130" s="166"/>
      <c r="BG130" s="166"/>
      <c r="BH130" s="166"/>
      <c r="BI130" s="166"/>
      <c r="BJ130" s="166"/>
      <c r="BK130" s="166"/>
      <c r="BL130" s="166"/>
      <c r="BM130" s="166"/>
      <c r="BN130" s="166"/>
    </row>
    <row r="131" spans="1:66" ht="14.4" x14ac:dyDescent="0.25">
      <c r="B131" s="844" t="s">
        <v>451</v>
      </c>
      <c r="C131" s="178">
        <f>C130+C91</f>
        <v>0</v>
      </c>
      <c r="D131" s="178">
        <f t="shared" ref="D131:AT131" si="89">D130+D91</f>
        <v>0</v>
      </c>
      <c r="E131" s="178">
        <f t="shared" si="89"/>
        <v>0</v>
      </c>
      <c r="F131" s="178">
        <f t="shared" si="89"/>
        <v>0</v>
      </c>
      <c r="G131" s="178">
        <f t="shared" si="89"/>
        <v>-3623053.5077293385</v>
      </c>
      <c r="H131" s="178">
        <f t="shared" si="89"/>
        <v>-2681620.7585409726</v>
      </c>
      <c r="I131" s="178">
        <f t="shared" si="89"/>
        <v>-2523175.9594816095</v>
      </c>
      <c r="J131" s="178">
        <f t="shared" si="89"/>
        <v>-2553071.7063892009</v>
      </c>
      <c r="K131" s="178">
        <f t="shared" si="89"/>
        <v>-7898538.263525812</v>
      </c>
      <c r="L131" s="178">
        <f t="shared" si="89"/>
        <v>-2233508.8676449461</v>
      </c>
      <c r="M131" s="178">
        <f t="shared" si="89"/>
        <v>-2077377.5952632297</v>
      </c>
      <c r="N131" s="178">
        <f t="shared" si="89"/>
        <v>-2146574.9641575697</v>
      </c>
      <c r="O131" s="178">
        <f t="shared" si="89"/>
        <v>-2019045.5850661499</v>
      </c>
      <c r="P131" s="178">
        <f t="shared" si="89"/>
        <v>-8126684.560343178</v>
      </c>
      <c r="Q131" s="178">
        <f t="shared" si="89"/>
        <v>-1475608.0467599481</v>
      </c>
      <c r="R131" s="178">
        <f t="shared" si="89"/>
        <v>-2170713.2545138691</v>
      </c>
      <c r="S131" s="178">
        <f t="shared" si="89"/>
        <v>-2026239.0453837477</v>
      </c>
      <c r="T131" s="178">
        <f t="shared" si="89"/>
        <v>-2101258.9815052375</v>
      </c>
      <c r="U131" s="178">
        <f t="shared" si="89"/>
        <v>-8580841.9545523115</v>
      </c>
      <c r="V131" s="178">
        <f t="shared" si="89"/>
        <v>-1182963.1392639652</v>
      </c>
      <c r="W131" s="178">
        <f t="shared" si="89"/>
        <v>-1024711.0410235198</v>
      </c>
      <c r="X131" s="178">
        <f t="shared" si="89"/>
        <v>-2256081.0316843404</v>
      </c>
      <c r="Y131" s="178">
        <f t="shared" si="89"/>
        <v>-2061271.6446123687</v>
      </c>
      <c r="Z131" s="178">
        <f t="shared" si="89"/>
        <v>-9406292.3411738239</v>
      </c>
      <c r="AA131" s="178">
        <f t="shared" si="89"/>
        <v>-1914775.5066467733</v>
      </c>
      <c r="AB131" s="178">
        <f t="shared" si="89"/>
        <v>-1977699.7936672443</v>
      </c>
      <c r="AC131" s="178">
        <f t="shared" si="89"/>
        <v>-1966833.4998730263</v>
      </c>
      <c r="AD131" s="178">
        <f t="shared" si="89"/>
        <v>-2091200.1305821575</v>
      </c>
      <c r="AE131" s="178">
        <f t="shared" si="89"/>
        <v>-9931122.1164605208</v>
      </c>
      <c r="AF131" s="178">
        <f t="shared" si="89"/>
        <v>-2056684.6843980616</v>
      </c>
      <c r="AG131" s="178">
        <f t="shared" si="89"/>
        <v>-1886140.8482935531</v>
      </c>
      <c r="AH131" s="178">
        <f t="shared" si="89"/>
        <v>-2023320.9178091632</v>
      </c>
      <c r="AI131" s="178">
        <f t="shared" si="89"/>
        <v>-1847213.2985075349</v>
      </c>
      <c r="AJ131" s="178">
        <f t="shared" si="89"/>
        <v>-10786856.017642191</v>
      </c>
      <c r="AK131" s="178">
        <f t="shared" si="89"/>
        <v>-1809476.7008719249</v>
      </c>
      <c r="AL131" s="178">
        <f t="shared" si="89"/>
        <v>-1960822.3246562611</v>
      </c>
      <c r="AM131" s="178">
        <f t="shared" si="89"/>
        <v>-597887.89400850283</v>
      </c>
      <c r="AN131" s="178">
        <f t="shared" si="89"/>
        <v>10672.728498721495</v>
      </c>
      <c r="AO131" s="178">
        <f t="shared" si="89"/>
        <v>-11865607.553541787</v>
      </c>
      <c r="AP131" s="178">
        <f t="shared" si="89"/>
        <v>-2368485.167744847</v>
      </c>
      <c r="AQ131" s="178">
        <f t="shared" si="89"/>
        <v>-2168601.9384357035</v>
      </c>
      <c r="AR131" s="178">
        <f t="shared" si="89"/>
        <v>-2344054.44422385</v>
      </c>
      <c r="AS131" s="178">
        <f t="shared" si="89"/>
        <v>-2137839.2037774771</v>
      </c>
      <c r="AT131" s="178">
        <f t="shared" si="89"/>
        <v>-12940653.287225259</v>
      </c>
      <c r="AU131" s="166"/>
      <c r="AV131" s="166"/>
      <c r="AW131" s="166"/>
      <c r="AX131" s="166"/>
      <c r="AY131" s="166"/>
      <c r="AZ131" s="166"/>
      <c r="BA131" s="166"/>
      <c r="BB131" s="166"/>
      <c r="BC131" s="166"/>
      <c r="BD131" s="166"/>
      <c r="BE131" s="166"/>
      <c r="BF131" s="166"/>
      <c r="BG131" s="166"/>
      <c r="BH131" s="166"/>
      <c r="BI131" s="166"/>
      <c r="BJ131" s="166"/>
      <c r="BK131" s="166"/>
      <c r="BL131" s="166"/>
      <c r="BM131" s="166"/>
      <c r="BN131" s="166"/>
    </row>
    <row r="132" spans="1:66" ht="14.4" x14ac:dyDescent="0.25">
      <c r="B132" s="844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</row>
    <row r="133" spans="1:66" ht="14.4" x14ac:dyDescent="0.25">
      <c r="B133" s="844" t="s">
        <v>489</v>
      </c>
      <c r="C133" s="908"/>
      <c r="D133" s="908"/>
      <c r="E133" s="908"/>
      <c r="F133" s="908"/>
      <c r="G133" s="909">
        <f>ABS(G102)/ABS(G97)</f>
        <v>1.0115182281596897</v>
      </c>
      <c r="H133" s="909">
        <f t="shared" ref="H133:AT133" si="90">ABS(H102)/ABS(H97)</f>
        <v>1.2766854450682461</v>
      </c>
      <c r="I133" s="909">
        <f t="shared" si="90"/>
        <v>1.3140014474431443</v>
      </c>
      <c r="J133" s="909">
        <f t="shared" si="90"/>
        <v>1.2987556546330898</v>
      </c>
      <c r="K133" s="909">
        <f t="shared" si="90"/>
        <v>0.54427087842146804</v>
      </c>
      <c r="L133" s="909">
        <f t="shared" si="90"/>
        <v>1.3148097580657485</v>
      </c>
      <c r="M133" s="909">
        <f t="shared" si="90"/>
        <v>1.3467844893083754</v>
      </c>
      <c r="N133" s="909">
        <f t="shared" si="90"/>
        <v>1.3218412706538554</v>
      </c>
      <c r="O133" s="909">
        <f t="shared" si="90"/>
        <v>1.3450094023738208</v>
      </c>
      <c r="P133" s="909">
        <f t="shared" si="90"/>
        <v>0.54700666698111211</v>
      </c>
      <c r="Q133" s="909">
        <f t="shared" si="90"/>
        <v>1.3431224484165483</v>
      </c>
      <c r="R133" s="909">
        <f t="shared" si="90"/>
        <v>1.3181095231145301</v>
      </c>
      <c r="S133" s="909">
        <f t="shared" si="90"/>
        <v>1.3423276672937721</v>
      </c>
      <c r="T133" s="909">
        <f t="shared" si="90"/>
        <v>1.3184315026392237</v>
      </c>
      <c r="U133" s="909">
        <f t="shared" si="90"/>
        <v>0.56366555342248159</v>
      </c>
      <c r="V133" s="909">
        <f t="shared" si="90"/>
        <v>1.318612565819737</v>
      </c>
      <c r="W133" s="909">
        <f t="shared" si="90"/>
        <v>1.3427299691331014</v>
      </c>
      <c r="X133" s="909">
        <f t="shared" si="90"/>
        <v>1.3239054621239617</v>
      </c>
      <c r="Y133" s="909">
        <f t="shared" si="90"/>
        <v>1.353392550652885</v>
      </c>
      <c r="Z133" s="909">
        <f t="shared" si="90"/>
        <v>0.56753512435426179</v>
      </c>
      <c r="AA133" s="909">
        <f t="shared" si="90"/>
        <v>1.363759866423885</v>
      </c>
      <c r="AB133" s="909">
        <f t="shared" si="90"/>
        <v>1.3442016054117696</v>
      </c>
      <c r="AC133" s="909">
        <f t="shared" si="90"/>
        <v>1.3638530347858224</v>
      </c>
      <c r="AD133" s="909">
        <f t="shared" si="90"/>
        <v>1.3344202984448044</v>
      </c>
      <c r="AE133" s="909">
        <f t="shared" si="90"/>
        <v>0.58355748703389188</v>
      </c>
      <c r="AF133" s="909">
        <f t="shared" si="90"/>
        <v>1.324637475476435</v>
      </c>
      <c r="AG133" s="909">
        <f t="shared" si="90"/>
        <v>1.3439291091699768</v>
      </c>
      <c r="AH133" s="909">
        <f t="shared" si="90"/>
        <v>1.3148541008996097</v>
      </c>
      <c r="AI133" s="909">
        <f t="shared" si="90"/>
        <v>1.3339665492766752</v>
      </c>
      <c r="AJ133" s="909">
        <f t="shared" si="90"/>
        <v>0.57001789780768475</v>
      </c>
      <c r="AK133" s="909">
        <f t="shared" si="90"/>
        <v>1.3240049004411711</v>
      </c>
      <c r="AL133" s="909">
        <f t="shared" si="90"/>
        <v>1.2952895535941462</v>
      </c>
      <c r="AM133" s="909">
        <f t="shared" si="90"/>
        <v>1.3140451438307699</v>
      </c>
      <c r="AN133" s="909">
        <f t="shared" si="90"/>
        <v>1.2855103078102437</v>
      </c>
      <c r="AO133" s="909">
        <f t="shared" si="90"/>
        <v>0.57721904457840356</v>
      </c>
      <c r="AP133" s="909">
        <f t="shared" si="90"/>
        <v>1.2757343636780405</v>
      </c>
      <c r="AQ133" s="909">
        <f t="shared" si="90"/>
        <v>1.2941352270366306</v>
      </c>
      <c r="AR133" s="909">
        <f t="shared" si="90"/>
        <v>1.2659626818617955</v>
      </c>
      <c r="AS133" s="909">
        <f t="shared" si="90"/>
        <v>1.2841870233081958</v>
      </c>
      <c r="AT133" s="909">
        <f t="shared" si="90"/>
        <v>0.5634985489721388</v>
      </c>
      <c r="AU133" s="166"/>
      <c r="AV133" s="166"/>
      <c r="AW133" s="166"/>
      <c r="AX133" s="166"/>
      <c r="AY133" s="166"/>
      <c r="AZ133" s="166"/>
      <c r="BA133" s="166"/>
      <c r="BB133" s="166"/>
      <c r="BC133" s="166"/>
      <c r="BD133" s="166"/>
      <c r="BE133" s="166"/>
      <c r="BF133" s="166"/>
      <c r="BG133" s="166"/>
      <c r="BH133" s="166"/>
      <c r="BI133" s="166"/>
      <c r="BJ133" s="166"/>
      <c r="BK133" s="166"/>
      <c r="BL133" s="166"/>
      <c r="BM133" s="166"/>
      <c r="BN133" s="166"/>
    </row>
    <row r="134" spans="1:66" ht="14.4" x14ac:dyDescent="0.25">
      <c r="B134" s="844" t="s">
        <v>490</v>
      </c>
      <c r="C134" s="908"/>
      <c r="D134" s="908"/>
      <c r="E134" s="908"/>
      <c r="F134" s="908"/>
      <c r="G134" s="909">
        <f>G133-1</f>
        <v>1.1518228159689725E-2</v>
      </c>
      <c r="H134" s="909">
        <f t="shared" ref="H134:AT134" si="91">H133-1</f>
        <v>0.27668544506824611</v>
      </c>
      <c r="I134" s="909">
        <f t="shared" si="91"/>
        <v>0.31400144744314429</v>
      </c>
      <c r="J134" s="909">
        <f t="shared" si="91"/>
        <v>0.29875565463308984</v>
      </c>
      <c r="K134" s="909">
        <f t="shared" si="91"/>
        <v>-0.45572912157853196</v>
      </c>
      <c r="L134" s="909">
        <f t="shared" si="91"/>
        <v>0.31480975806574851</v>
      </c>
      <c r="M134" s="909">
        <f t="shared" si="91"/>
        <v>0.34678448930837535</v>
      </c>
      <c r="N134" s="909">
        <f t="shared" si="91"/>
        <v>0.32184127065385537</v>
      </c>
      <c r="O134" s="909">
        <f t="shared" si="91"/>
        <v>0.34500940237382083</v>
      </c>
      <c r="P134" s="909">
        <f t="shared" si="91"/>
        <v>-0.45299333301888789</v>
      </c>
      <c r="Q134" s="909">
        <f t="shared" si="91"/>
        <v>0.34312244841654826</v>
      </c>
      <c r="R134" s="909">
        <f t="shared" si="91"/>
        <v>0.31810952311453011</v>
      </c>
      <c r="S134" s="909">
        <f t="shared" si="91"/>
        <v>0.34232766729377206</v>
      </c>
      <c r="T134" s="909">
        <f t="shared" si="91"/>
        <v>0.31843150263922371</v>
      </c>
      <c r="U134" s="909">
        <f t="shared" si="91"/>
        <v>-0.43633444657751841</v>
      </c>
      <c r="V134" s="909">
        <f t="shared" si="91"/>
        <v>0.31861256581973696</v>
      </c>
      <c r="W134" s="909">
        <f t="shared" si="91"/>
        <v>0.34272996913310139</v>
      </c>
      <c r="X134" s="909">
        <f t="shared" si="91"/>
        <v>0.32390546212396165</v>
      </c>
      <c r="Y134" s="909">
        <f t="shared" si="91"/>
        <v>0.353392550652885</v>
      </c>
      <c r="Z134" s="909">
        <f t="shared" si="91"/>
        <v>-0.43246487564573821</v>
      </c>
      <c r="AA134" s="909">
        <f t="shared" si="91"/>
        <v>0.36375986642388503</v>
      </c>
      <c r="AB134" s="909">
        <f t="shared" si="91"/>
        <v>0.34420160541176958</v>
      </c>
      <c r="AC134" s="909">
        <f t="shared" si="91"/>
        <v>0.36385303478582243</v>
      </c>
      <c r="AD134" s="909">
        <f t="shared" si="91"/>
        <v>0.33442029844480436</v>
      </c>
      <c r="AE134" s="909">
        <f t="shared" si="91"/>
        <v>-0.41644251296610812</v>
      </c>
      <c r="AF134" s="909">
        <f t="shared" si="91"/>
        <v>0.32463747547643496</v>
      </c>
      <c r="AG134" s="909">
        <f t="shared" si="91"/>
        <v>0.34392910916997677</v>
      </c>
      <c r="AH134" s="909">
        <f t="shared" si="91"/>
        <v>0.31485410089960975</v>
      </c>
      <c r="AI134" s="909">
        <f t="shared" si="91"/>
        <v>0.33396654927667524</v>
      </c>
      <c r="AJ134" s="909">
        <f t="shared" si="91"/>
        <v>-0.42998210219231525</v>
      </c>
      <c r="AK134" s="909">
        <f t="shared" si="91"/>
        <v>0.32400490044117114</v>
      </c>
      <c r="AL134" s="909">
        <f t="shared" si="91"/>
        <v>0.29528955359414621</v>
      </c>
      <c r="AM134" s="909">
        <f t="shared" si="91"/>
        <v>0.31404514383076987</v>
      </c>
      <c r="AN134" s="909">
        <f t="shared" si="91"/>
        <v>0.28551030781024367</v>
      </c>
      <c r="AO134" s="909">
        <f t="shared" si="91"/>
        <v>-0.42278095542159644</v>
      </c>
      <c r="AP134" s="909">
        <f t="shared" si="91"/>
        <v>0.27573436367804049</v>
      </c>
      <c r="AQ134" s="909">
        <f t="shared" si="91"/>
        <v>0.29413522703663064</v>
      </c>
      <c r="AR134" s="909">
        <f t="shared" si="91"/>
        <v>0.2659626818617955</v>
      </c>
      <c r="AS134" s="909">
        <f t="shared" si="91"/>
        <v>0.28418702330819579</v>
      </c>
      <c r="AT134" s="909">
        <f t="shared" si="91"/>
        <v>-0.4365014510278612</v>
      </c>
      <c r="AU134" s="166"/>
      <c r="AV134" s="166"/>
      <c r="AW134" s="166"/>
      <c r="AX134" s="166"/>
      <c r="AY134" s="166"/>
      <c r="AZ134" s="166"/>
      <c r="BA134" s="166"/>
      <c r="BB134" s="166"/>
      <c r="BC134" s="166"/>
      <c r="BD134" s="166"/>
      <c r="BE134" s="166"/>
      <c r="BF134" s="166"/>
      <c r="BG134" s="166"/>
      <c r="BH134" s="166"/>
      <c r="BI134" s="166"/>
      <c r="BJ134" s="166"/>
      <c r="BK134" s="166"/>
      <c r="BL134" s="166"/>
      <c r="BM134" s="166"/>
      <c r="BN134" s="166"/>
    </row>
    <row r="135" spans="1:66" ht="14.4" x14ac:dyDescent="0.25">
      <c r="B135" s="844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66"/>
      <c r="AV135" s="166"/>
      <c r="AW135" s="166"/>
      <c r="AX135" s="166"/>
      <c r="AY135" s="166"/>
      <c r="AZ135" s="166"/>
      <c r="BA135" s="166"/>
      <c r="BB135" s="166"/>
      <c r="BC135" s="166"/>
      <c r="BD135" s="166"/>
      <c r="BE135" s="166"/>
      <c r="BF135" s="166"/>
      <c r="BG135" s="166"/>
      <c r="BH135" s="166"/>
      <c r="BI135" s="166"/>
      <c r="BJ135" s="166"/>
      <c r="BK135" s="166"/>
      <c r="BL135" s="166"/>
      <c r="BM135" s="166"/>
      <c r="BN135" s="166"/>
    </row>
    <row r="136" spans="1:66" ht="14.4" x14ac:dyDescent="0.25">
      <c r="B136" s="907" t="s">
        <v>404</v>
      </c>
      <c r="C136" s="268">
        <f>C127/((1+$C$26)^C68)</f>
        <v>-7217680.5455314573</v>
      </c>
      <c r="D136" s="268">
        <f>D127/((1+$C$26)^D68)</f>
        <v>-22987886.52469464</v>
      </c>
      <c r="E136" s="268">
        <f t="shared" ref="E136:AT136" si="92">E127/((1+$C$26)^E68)</f>
        <v>-52242402.473088883</v>
      </c>
      <c r="F136" s="268">
        <f t="shared" si="92"/>
        <v>-18976043.035551567</v>
      </c>
      <c r="G136" s="268">
        <f t="shared" si="92"/>
        <v>24404.412688096549</v>
      </c>
      <c r="H136" s="268">
        <f t="shared" si="92"/>
        <v>532568.80408495851</v>
      </c>
      <c r="I136" s="268">
        <f t="shared" si="92"/>
        <v>547403.79918749025</v>
      </c>
      <c r="J136" s="268">
        <f t="shared" si="92"/>
        <v>471720.63544807269</v>
      </c>
      <c r="K136" s="268">
        <f t="shared" si="92"/>
        <v>-1593298.0711963617</v>
      </c>
      <c r="L136" s="268">
        <f t="shared" si="92"/>
        <v>407774.09109243454</v>
      </c>
      <c r="M136" s="268">
        <f t="shared" si="92"/>
        <v>406856.48113718885</v>
      </c>
      <c r="N136" s="268">
        <f t="shared" si="92"/>
        <v>342010.39162825764</v>
      </c>
      <c r="O136" s="268">
        <f t="shared" si="92"/>
        <v>332085.84201113868</v>
      </c>
      <c r="P136" s="268">
        <f t="shared" si="92"/>
        <v>-1509132.2636106261</v>
      </c>
      <c r="Q136" s="268">
        <f t="shared" si="92"/>
        <v>-354516.43284753093</v>
      </c>
      <c r="R136" s="268">
        <f t="shared" si="92"/>
        <v>227560.54176329481</v>
      </c>
      <c r="S136" s="268">
        <f t="shared" si="92"/>
        <v>221823.56800583607</v>
      </c>
      <c r="T136" s="268">
        <f t="shared" si="92"/>
        <v>186910.20265642137</v>
      </c>
      <c r="U136" s="268">
        <f t="shared" si="92"/>
        <v>-915343.27421665424</v>
      </c>
      <c r="V136" s="268">
        <f t="shared" si="92"/>
        <v>-805093.86795028287</v>
      </c>
      <c r="W136" s="268">
        <f t="shared" si="92"/>
        <v>-247966.1291966548</v>
      </c>
      <c r="X136" s="268">
        <f t="shared" si="92"/>
        <v>128026.40247657678</v>
      </c>
      <c r="Y136" s="268">
        <f t="shared" si="92"/>
        <v>126537.58357528904</v>
      </c>
      <c r="Z136" s="268">
        <f t="shared" si="92"/>
        <v>-329782.31385427847</v>
      </c>
      <c r="AA136" s="268">
        <f t="shared" si="92"/>
        <v>-72983.555652868454</v>
      </c>
      <c r="AB136" s="268">
        <f t="shared" si="92"/>
        <v>-110709.15961304131</v>
      </c>
      <c r="AC136" s="268">
        <f t="shared" si="92"/>
        <v>87754.829659803378</v>
      </c>
      <c r="AD136" s="268">
        <f t="shared" si="92"/>
        <v>73071.537587965533</v>
      </c>
      <c r="AE136" s="268">
        <f t="shared" si="92"/>
        <v>-191261.46148005061</v>
      </c>
      <c r="AF136" s="268">
        <f t="shared" si="92"/>
        <v>58222.832115076686</v>
      </c>
      <c r="AG136" s="268">
        <f t="shared" si="92"/>
        <v>55884.592379888556</v>
      </c>
      <c r="AH136" s="268">
        <f t="shared" si="92"/>
        <v>46351.837741315423</v>
      </c>
      <c r="AI136" s="268">
        <f t="shared" si="92"/>
        <v>44545.208903537881</v>
      </c>
      <c r="AJ136" s="268">
        <f t="shared" si="92"/>
        <v>-118970.83551784547</v>
      </c>
      <c r="AK136" s="268">
        <f t="shared" si="92"/>
        <v>35477.124565822</v>
      </c>
      <c r="AL136" s="268">
        <f t="shared" si="92"/>
        <v>-91647.552305509176</v>
      </c>
      <c r="AM136" s="268">
        <f t="shared" si="92"/>
        <v>-201187.00035841402</v>
      </c>
      <c r="AN136" s="268">
        <f t="shared" si="92"/>
        <v>-45057.661537762542</v>
      </c>
      <c r="AO136" s="268">
        <f t="shared" si="92"/>
        <v>-70493.342574616341</v>
      </c>
      <c r="AP136" s="268">
        <f t="shared" si="92"/>
        <v>18439.096392195159</v>
      </c>
      <c r="AQ136" s="268">
        <f t="shared" si="92"/>
        <v>17823.138338278099</v>
      </c>
      <c r="AR136" s="268">
        <f t="shared" si="92"/>
        <v>14603.341831241869</v>
      </c>
      <c r="AS136" s="268">
        <f t="shared" si="92"/>
        <v>14139.570538905613</v>
      </c>
      <c r="AT136" s="268">
        <f t="shared" si="92"/>
        <v>204703.11760122009</v>
      </c>
      <c r="AU136" s="166"/>
      <c r="AV136" s="166"/>
      <c r="AW136" s="166"/>
      <c r="AX136" s="166"/>
      <c r="AY136" s="166"/>
      <c r="AZ136" s="166"/>
      <c r="BA136" s="166"/>
      <c r="BB136" s="166"/>
      <c r="BC136" s="166"/>
      <c r="BD136" s="166"/>
      <c r="BE136" s="166"/>
      <c r="BF136" s="166"/>
      <c r="BG136" s="166"/>
      <c r="BH136" s="166"/>
      <c r="BI136" s="166"/>
      <c r="BJ136" s="166"/>
      <c r="BK136" s="166"/>
      <c r="BL136" s="166"/>
      <c r="BM136" s="166"/>
      <c r="BN136" s="166"/>
    </row>
    <row r="137" spans="1:66" ht="14.4" x14ac:dyDescent="0.25">
      <c r="B137" s="907" t="s">
        <v>403</v>
      </c>
      <c r="C137" s="824">
        <f>SUM(C136)</f>
        <v>-7217680.5455314573</v>
      </c>
      <c r="D137" s="824">
        <f>SUM(C136:D136)</f>
        <v>-30205567.070226096</v>
      </c>
      <c r="E137" s="824">
        <f>SUM(C136:E136)</f>
        <v>-82447969.543314978</v>
      </c>
      <c r="F137" s="824">
        <f>SUM(C136:F136)</f>
        <v>-101424012.57886654</v>
      </c>
      <c r="G137" s="824">
        <f>SUM(C136:G136)</f>
        <v>-101399608.16617845</v>
      </c>
      <c r="H137" s="824">
        <f>SUM(C136:H136)</f>
        <v>-100867039.36209349</v>
      </c>
      <c r="I137" s="824">
        <f>SUM(C136:I136)</f>
        <v>-100319635.562906</v>
      </c>
      <c r="J137" s="824">
        <f>SUM(C136:J136)</f>
        <v>-99847914.927457929</v>
      </c>
      <c r="K137" s="824">
        <f>SUM(C136:K136)</f>
        <v>-101441212.99865429</v>
      </c>
      <c r="L137" s="824">
        <f>SUM(C136:L136)</f>
        <v>-101033438.90756185</v>
      </c>
      <c r="M137" s="824">
        <f>SUM(C136:M136)</f>
        <v>-100626582.42642467</v>
      </c>
      <c r="N137" s="824">
        <f>SUM(C136:N136)</f>
        <v>-100284572.03479642</v>
      </c>
      <c r="O137" s="824">
        <f>SUM(C136:O136)</f>
        <v>-99952486.192785278</v>
      </c>
      <c r="P137" s="824">
        <f>SUM(C136:P136)</f>
        <v>-101461618.45639591</v>
      </c>
      <c r="Q137" s="824">
        <f>SUM(C136:Q136)</f>
        <v>-101816134.88924344</v>
      </c>
      <c r="R137" s="824">
        <f>SUM(C136:R136)</f>
        <v>-101588574.34748015</v>
      </c>
      <c r="S137" s="824">
        <f>SUM(C136:S136)</f>
        <v>-101366750.77947432</v>
      </c>
      <c r="T137" s="824">
        <f>SUM(C136:T136)</f>
        <v>-101179840.5768179</v>
      </c>
      <c r="U137" s="824">
        <f>SUM(C136:U136)</f>
        <v>-102095183.85103455</v>
      </c>
      <c r="V137" s="824">
        <f>SUM(C136:V136)</f>
        <v>-102900277.71898483</v>
      </c>
      <c r="W137" s="824">
        <f>SUM(C136:W136)</f>
        <v>-103148243.84818149</v>
      </c>
      <c r="X137" s="824">
        <f>SUM(C136:X136)</f>
        <v>-103020217.44570491</v>
      </c>
      <c r="Y137" s="824">
        <f>SUM(C136:Y136)</f>
        <v>-102893679.86212961</v>
      </c>
      <c r="Z137" s="824">
        <f>SUM(C136:Z136)</f>
        <v>-103223462.17598389</v>
      </c>
      <c r="AA137" s="824">
        <f>SUM(C136:AA136)</f>
        <v>-103296445.73163676</v>
      </c>
      <c r="AB137" s="824">
        <f>SUM(C136:AB136)</f>
        <v>-103407154.89124981</v>
      </c>
      <c r="AC137" s="824">
        <f>SUM(C136:AC136)</f>
        <v>-103319400.06159</v>
      </c>
      <c r="AD137" s="824">
        <f>SUM(C136:AD136)</f>
        <v>-103246328.52400203</v>
      </c>
      <c r="AE137" s="824">
        <f>SUM(C136:AE136)</f>
        <v>-103437589.98548208</v>
      </c>
      <c r="AF137" s="824">
        <f>SUM(C136:AF136)</f>
        <v>-103379367.153367</v>
      </c>
      <c r="AG137" s="824">
        <f>SUM(C136:AG136)</f>
        <v>-103323482.56098711</v>
      </c>
      <c r="AH137" s="824">
        <f>SUM(C136:AH136)</f>
        <v>-103277130.7232458</v>
      </c>
      <c r="AI137" s="824">
        <f>SUM(C136:AI136)</f>
        <v>-103232585.51434226</v>
      </c>
      <c r="AJ137" s="824">
        <f>SUM(C136:AJ136)</f>
        <v>-103351556.3498601</v>
      </c>
      <c r="AK137" s="824">
        <f>SUM(C136:AK136)</f>
        <v>-103316079.22529428</v>
      </c>
      <c r="AL137" s="824">
        <f>SUM(C136:AL136)</f>
        <v>-103407726.77759978</v>
      </c>
      <c r="AM137" s="824">
        <f>SUM(C136:AM136)</f>
        <v>-103608913.7779582</v>
      </c>
      <c r="AN137" s="824">
        <f>SUM(C136:AN136)</f>
        <v>-103653971.43949597</v>
      </c>
      <c r="AO137" s="824">
        <f>SUM(C136:AO136)</f>
        <v>-103724464.78207058</v>
      </c>
      <c r="AP137" s="824">
        <f>SUM(C136:AP136)</f>
        <v>-103706025.68567838</v>
      </c>
      <c r="AQ137" s="824">
        <f>SUM(C136:AQ136)</f>
        <v>-103688202.5473401</v>
      </c>
      <c r="AR137" s="824">
        <f>SUM(C136:AR136)</f>
        <v>-103673599.20550886</v>
      </c>
      <c r="AS137" s="824">
        <f>SUM(C136:AS136)</f>
        <v>-103659459.63496995</v>
      </c>
      <c r="AT137" s="824">
        <f>SUM(C136:AT136)</f>
        <v>-103454756.51736873</v>
      </c>
      <c r="AU137" s="166"/>
      <c r="AV137" s="166"/>
      <c r="AW137" s="166"/>
      <c r="AX137" s="166"/>
      <c r="AY137" s="166"/>
      <c r="AZ137" s="166"/>
      <c r="BA137" s="166"/>
      <c r="BB137" s="166"/>
      <c r="BC137" s="166"/>
      <c r="BD137" s="166"/>
      <c r="BE137" s="166"/>
      <c r="BF137" s="166"/>
      <c r="BG137" s="166"/>
      <c r="BH137" s="166"/>
      <c r="BI137" s="166"/>
      <c r="BJ137" s="166"/>
      <c r="BK137" s="166"/>
      <c r="BL137" s="166"/>
      <c r="BM137" s="166"/>
      <c r="BN137" s="166"/>
    </row>
    <row r="138" spans="1:66" ht="14.4" x14ac:dyDescent="0.3">
      <c r="B138" s="180"/>
      <c r="C138" s="263"/>
      <c r="D138" s="263"/>
      <c r="E138" s="263"/>
      <c r="F138" s="263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263"/>
      <c r="AG138" s="263"/>
      <c r="AH138" s="263"/>
      <c r="AI138" s="263"/>
      <c r="AK138" s="263"/>
      <c r="AL138" s="263"/>
      <c r="AM138" s="263"/>
      <c r="AN138" s="263"/>
      <c r="AO138" s="263"/>
      <c r="AP138" s="263"/>
      <c r="AQ138" s="263"/>
      <c r="AR138" s="264"/>
      <c r="AS138" s="264"/>
      <c r="AU138" s="166"/>
      <c r="AV138" s="166"/>
      <c r="AW138" s="166"/>
      <c r="AX138" s="166"/>
      <c r="AY138" s="166"/>
      <c r="AZ138" s="166"/>
      <c r="BA138" s="166"/>
      <c r="BB138" s="166"/>
      <c r="BC138" s="166"/>
      <c r="BD138" s="166"/>
      <c r="BE138" s="166"/>
      <c r="BF138" s="166"/>
      <c r="BG138" s="166"/>
      <c r="BH138" s="166"/>
      <c r="BI138" s="166"/>
      <c r="BJ138" s="166"/>
      <c r="BK138" s="166"/>
      <c r="BL138" s="166"/>
      <c r="BM138" s="166"/>
      <c r="BN138" s="166"/>
    </row>
    <row r="139" spans="1:66" x14ac:dyDescent="0.25">
      <c r="AU139" s="166"/>
      <c r="AV139" s="166"/>
      <c r="AW139" s="166"/>
      <c r="AX139" s="166"/>
      <c r="AY139" s="166"/>
      <c r="AZ139" s="166"/>
      <c r="BA139" s="166"/>
      <c r="BB139" s="166"/>
      <c r="BC139" s="166"/>
      <c r="BD139" s="166"/>
      <c r="BE139" s="166"/>
      <c r="BF139" s="166"/>
      <c r="BG139" s="166"/>
      <c r="BH139" s="166"/>
      <c r="BI139" s="166"/>
      <c r="BJ139" s="166"/>
      <c r="BK139" s="166"/>
      <c r="BL139" s="166"/>
      <c r="BM139" s="166"/>
      <c r="BN139" s="166"/>
    </row>
    <row r="140" spans="1:66" s="304" customFormat="1" ht="14.4" x14ac:dyDescent="0.3">
      <c r="A140" s="306"/>
      <c r="B140" s="759" t="s">
        <v>530</v>
      </c>
      <c r="C140" s="759"/>
      <c r="D140" s="759"/>
      <c r="E140" s="759"/>
      <c r="F140" s="759"/>
      <c r="G140" s="759"/>
      <c r="H140" s="759"/>
      <c r="I140" s="759"/>
      <c r="J140" s="759"/>
      <c r="K140" s="759"/>
      <c r="L140" s="759"/>
      <c r="M140" s="759"/>
      <c r="N140" s="759"/>
      <c r="O140" s="759"/>
      <c r="P140" s="759"/>
      <c r="Q140" s="759"/>
      <c r="R140" s="759"/>
      <c r="S140" s="759"/>
      <c r="T140" s="759"/>
      <c r="U140" s="759"/>
      <c r="V140" s="759"/>
      <c r="W140" s="759"/>
      <c r="X140" s="759"/>
      <c r="Y140" s="759"/>
      <c r="Z140" s="759"/>
      <c r="AA140" s="759"/>
      <c r="AB140" s="759"/>
      <c r="AC140" s="759"/>
      <c r="AD140" s="759"/>
      <c r="AE140" s="759"/>
      <c r="AF140" s="759"/>
      <c r="AG140" s="759"/>
      <c r="AH140" s="759"/>
      <c r="AI140" s="759"/>
      <c r="AJ140" s="759"/>
      <c r="AK140" s="759"/>
      <c r="AL140" s="759"/>
      <c r="AM140" s="759"/>
      <c r="AN140" s="759"/>
      <c r="AO140" s="759"/>
      <c r="AP140" s="759"/>
      <c r="AQ140" s="759"/>
      <c r="AR140" s="759"/>
      <c r="AS140" s="759"/>
      <c r="AT140" s="760"/>
    </row>
    <row r="141" spans="1:66" x14ac:dyDescent="0.25"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  <c r="AF141" s="177"/>
      <c r="AG141" s="177"/>
      <c r="AH141" s="177"/>
      <c r="AI141" s="177"/>
      <c r="AJ141" s="13"/>
      <c r="AK141" s="38"/>
      <c r="AL141" s="38"/>
      <c r="AM141" s="38"/>
      <c r="AN141" s="38"/>
      <c r="AO141" s="38"/>
      <c r="AP141" s="38"/>
      <c r="AQ141" s="38"/>
      <c r="AR141" s="38"/>
      <c r="AS141" s="38"/>
      <c r="AT141" s="13"/>
      <c r="AU141" s="166"/>
      <c r="AV141" s="166"/>
      <c r="AW141" s="166"/>
      <c r="AX141" s="166"/>
      <c r="AY141" s="166"/>
      <c r="AZ141" s="166"/>
      <c r="BA141" s="166"/>
      <c r="BB141" s="166"/>
      <c r="BC141" s="166"/>
      <c r="BD141" s="166"/>
      <c r="BE141" s="166"/>
      <c r="BF141" s="166"/>
      <c r="BG141" s="166"/>
      <c r="BH141" s="166"/>
      <c r="BI141" s="166"/>
      <c r="BJ141" s="166"/>
      <c r="BK141" s="166"/>
      <c r="BL141" s="166"/>
      <c r="BM141" s="166"/>
      <c r="BN141" s="166"/>
    </row>
    <row r="142" spans="1:66" ht="14.4" x14ac:dyDescent="0.3">
      <c r="B142" s="813" t="s">
        <v>378</v>
      </c>
      <c r="C142" s="179">
        <v>2015</v>
      </c>
      <c r="D142" s="179">
        <v>2016</v>
      </c>
      <c r="E142" s="179">
        <v>2017</v>
      </c>
      <c r="F142" s="179">
        <v>2018</v>
      </c>
      <c r="G142" s="179">
        <v>2019</v>
      </c>
      <c r="H142" s="179">
        <v>2020</v>
      </c>
      <c r="I142" s="179">
        <v>2021</v>
      </c>
      <c r="J142" s="179">
        <v>2022</v>
      </c>
      <c r="K142" s="179">
        <v>2023</v>
      </c>
      <c r="L142" s="179">
        <v>2024</v>
      </c>
      <c r="M142" s="179">
        <v>2025</v>
      </c>
      <c r="N142" s="179">
        <v>2026</v>
      </c>
      <c r="O142" s="179">
        <v>2027</v>
      </c>
      <c r="P142" s="179">
        <v>2028</v>
      </c>
      <c r="Q142" s="179">
        <v>2029</v>
      </c>
      <c r="R142" s="179">
        <v>2030</v>
      </c>
      <c r="S142" s="179">
        <v>2031</v>
      </c>
      <c r="T142" s="179">
        <v>2032</v>
      </c>
      <c r="U142" s="179">
        <v>2033</v>
      </c>
      <c r="V142" s="179">
        <v>2034</v>
      </c>
      <c r="W142" s="179">
        <v>2035</v>
      </c>
      <c r="X142" s="179">
        <v>2036</v>
      </c>
      <c r="Y142" s="179">
        <v>2037</v>
      </c>
      <c r="Z142" s="179">
        <v>2038</v>
      </c>
      <c r="AA142" s="179">
        <v>2039</v>
      </c>
      <c r="AB142" s="179">
        <v>2040</v>
      </c>
      <c r="AC142" s="179">
        <v>2041</v>
      </c>
      <c r="AD142" s="179">
        <v>2042</v>
      </c>
      <c r="AE142" s="179">
        <v>2043</v>
      </c>
      <c r="AF142" s="179">
        <v>2044</v>
      </c>
      <c r="AG142" s="179">
        <v>2045</v>
      </c>
      <c r="AH142" s="179">
        <v>2046</v>
      </c>
      <c r="AI142" s="179">
        <v>2047</v>
      </c>
      <c r="AJ142" s="179">
        <v>2048</v>
      </c>
      <c r="AK142" s="179">
        <v>2049</v>
      </c>
      <c r="AL142" s="179">
        <v>2050</v>
      </c>
      <c r="AM142" s="179">
        <v>2051</v>
      </c>
      <c r="AN142" s="179">
        <v>2052</v>
      </c>
      <c r="AO142" s="179">
        <v>2053</v>
      </c>
      <c r="AP142" s="179">
        <v>2054</v>
      </c>
      <c r="AQ142" s="179">
        <v>2055</v>
      </c>
      <c r="AR142" s="179">
        <v>2056</v>
      </c>
      <c r="AS142" s="179">
        <v>2057</v>
      </c>
      <c r="AT142" s="179">
        <v>2058</v>
      </c>
      <c r="AU142" s="166"/>
      <c r="AV142" s="166"/>
      <c r="AW142" s="166"/>
      <c r="AX142" s="166"/>
      <c r="AY142" s="166"/>
      <c r="AZ142" s="166"/>
      <c r="BA142" s="166"/>
      <c r="BB142" s="166"/>
      <c r="BC142" s="166"/>
      <c r="BD142" s="166"/>
      <c r="BE142" s="166"/>
      <c r="BF142" s="166"/>
      <c r="BG142" s="166"/>
      <c r="BH142" s="166"/>
      <c r="BI142" s="166"/>
      <c r="BJ142" s="166"/>
      <c r="BK142" s="166"/>
      <c r="BL142" s="166"/>
      <c r="BM142" s="166"/>
      <c r="BN142" s="166"/>
    </row>
    <row r="143" spans="1:66" ht="14.4" x14ac:dyDescent="0.3">
      <c r="B143" s="813"/>
      <c r="C143" s="816" t="s">
        <v>134</v>
      </c>
      <c r="D143" s="816" t="s">
        <v>135</v>
      </c>
      <c r="E143" s="816" t="s">
        <v>136</v>
      </c>
      <c r="F143" s="816" t="s">
        <v>137</v>
      </c>
      <c r="G143" s="816" t="s">
        <v>138</v>
      </c>
      <c r="H143" s="816" t="s">
        <v>139</v>
      </c>
      <c r="I143" s="816" t="s">
        <v>140</v>
      </c>
      <c r="J143" s="816" t="s">
        <v>141</v>
      </c>
      <c r="K143" s="816" t="s">
        <v>142</v>
      </c>
      <c r="L143" s="816" t="s">
        <v>143</v>
      </c>
      <c r="M143" s="816" t="s">
        <v>144</v>
      </c>
      <c r="N143" s="816" t="s">
        <v>145</v>
      </c>
      <c r="O143" s="816" t="s">
        <v>146</v>
      </c>
      <c r="P143" s="816" t="s">
        <v>147</v>
      </c>
      <c r="Q143" s="816" t="s">
        <v>148</v>
      </c>
      <c r="R143" s="816" t="s">
        <v>149</v>
      </c>
      <c r="S143" s="816" t="s">
        <v>150</v>
      </c>
      <c r="T143" s="816" t="s">
        <v>151</v>
      </c>
      <c r="U143" s="816" t="s">
        <v>152</v>
      </c>
      <c r="V143" s="816" t="s">
        <v>153</v>
      </c>
      <c r="W143" s="816" t="s">
        <v>154</v>
      </c>
      <c r="X143" s="816" t="s">
        <v>155</v>
      </c>
      <c r="Y143" s="816" t="s">
        <v>156</v>
      </c>
      <c r="Z143" s="816" t="s">
        <v>157</v>
      </c>
      <c r="AA143" s="816" t="s">
        <v>158</v>
      </c>
      <c r="AB143" s="816" t="s">
        <v>159</v>
      </c>
      <c r="AC143" s="816" t="s">
        <v>160</v>
      </c>
      <c r="AD143" s="816" t="s">
        <v>161</v>
      </c>
      <c r="AE143" s="816" t="s">
        <v>162</v>
      </c>
      <c r="AF143" s="816" t="s">
        <v>163</v>
      </c>
      <c r="AG143" s="816" t="s">
        <v>164</v>
      </c>
      <c r="AH143" s="816" t="s">
        <v>165</v>
      </c>
      <c r="AI143" s="816" t="s">
        <v>166</v>
      </c>
      <c r="AJ143" s="816" t="s">
        <v>167</v>
      </c>
      <c r="AK143" s="816" t="s">
        <v>168</v>
      </c>
      <c r="AL143" s="816" t="s">
        <v>169</v>
      </c>
      <c r="AM143" s="816" t="s">
        <v>170</v>
      </c>
      <c r="AN143" s="816" t="s">
        <v>171</v>
      </c>
      <c r="AO143" s="816" t="s">
        <v>172</v>
      </c>
      <c r="AP143" s="816" t="s">
        <v>173</v>
      </c>
      <c r="AQ143" s="816" t="s">
        <v>174</v>
      </c>
      <c r="AR143" s="816" t="s">
        <v>224</v>
      </c>
      <c r="AS143" s="816" t="s">
        <v>225</v>
      </c>
      <c r="AT143" s="816" t="s">
        <v>226</v>
      </c>
      <c r="AU143" s="166"/>
      <c r="AV143" s="166"/>
      <c r="AW143" s="166"/>
      <c r="AX143" s="166"/>
      <c r="AY143" s="166"/>
      <c r="AZ143" s="166"/>
      <c r="BA143" s="166"/>
      <c r="BB143" s="166"/>
      <c r="BC143" s="166"/>
      <c r="BD143" s="166"/>
      <c r="BE143" s="166"/>
      <c r="BF143" s="166"/>
      <c r="BG143" s="166"/>
      <c r="BH143" s="166"/>
      <c r="BI143" s="166"/>
      <c r="BJ143" s="166"/>
      <c r="BK143" s="166"/>
      <c r="BL143" s="166"/>
      <c r="BM143" s="166"/>
      <c r="BN143" s="166"/>
    </row>
    <row r="144" spans="1:66" ht="14.4" x14ac:dyDescent="0.3">
      <c r="B144" s="813"/>
      <c r="C144" s="816">
        <v>0</v>
      </c>
      <c r="D144" s="816">
        <v>1</v>
      </c>
      <c r="E144" s="816">
        <v>2</v>
      </c>
      <c r="F144" s="816">
        <v>3</v>
      </c>
      <c r="G144" s="816">
        <v>4</v>
      </c>
      <c r="H144" s="816">
        <v>5</v>
      </c>
      <c r="I144" s="816">
        <v>6</v>
      </c>
      <c r="J144" s="816">
        <v>7</v>
      </c>
      <c r="K144" s="816">
        <v>8</v>
      </c>
      <c r="L144" s="816">
        <v>9</v>
      </c>
      <c r="M144" s="816">
        <v>10</v>
      </c>
      <c r="N144" s="816">
        <v>11</v>
      </c>
      <c r="O144" s="816">
        <v>12</v>
      </c>
      <c r="P144" s="816">
        <v>13</v>
      </c>
      <c r="Q144" s="816">
        <v>14</v>
      </c>
      <c r="R144" s="816">
        <v>15</v>
      </c>
      <c r="S144" s="816">
        <v>16</v>
      </c>
      <c r="T144" s="816">
        <v>17</v>
      </c>
      <c r="U144" s="816">
        <v>18</v>
      </c>
      <c r="V144" s="816">
        <v>19</v>
      </c>
      <c r="W144" s="816">
        <v>20</v>
      </c>
      <c r="X144" s="816">
        <v>21</v>
      </c>
      <c r="Y144" s="816">
        <v>22</v>
      </c>
      <c r="Z144" s="816">
        <v>23</v>
      </c>
      <c r="AA144" s="816">
        <v>24</v>
      </c>
      <c r="AB144" s="816">
        <v>25</v>
      </c>
      <c r="AC144" s="816">
        <v>26</v>
      </c>
      <c r="AD144" s="816">
        <v>27</v>
      </c>
      <c r="AE144" s="816">
        <v>28</v>
      </c>
      <c r="AF144" s="816">
        <v>29</v>
      </c>
      <c r="AG144" s="816">
        <v>30</v>
      </c>
      <c r="AH144" s="816">
        <v>31</v>
      </c>
      <c r="AI144" s="816">
        <v>32</v>
      </c>
      <c r="AJ144" s="816">
        <v>33</v>
      </c>
      <c r="AK144" s="816">
        <v>34</v>
      </c>
      <c r="AL144" s="816">
        <v>35</v>
      </c>
      <c r="AM144" s="816">
        <v>36</v>
      </c>
      <c r="AN144" s="816">
        <v>37</v>
      </c>
      <c r="AO144" s="816">
        <v>38</v>
      </c>
      <c r="AP144" s="816">
        <v>39</v>
      </c>
      <c r="AQ144" s="816">
        <v>40</v>
      </c>
      <c r="AR144" s="816">
        <v>41</v>
      </c>
      <c r="AS144" s="816">
        <v>42</v>
      </c>
      <c r="AT144" s="816">
        <v>43</v>
      </c>
      <c r="AU144" s="166"/>
      <c r="AV144" s="166"/>
      <c r="AW144" s="166"/>
      <c r="AX144" s="166"/>
      <c r="AY144" s="166"/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66"/>
      <c r="BM144" s="166"/>
      <c r="BN144" s="166"/>
    </row>
    <row r="145" spans="2:66" ht="14.4" x14ac:dyDescent="0.3">
      <c r="B145" s="813"/>
      <c r="C145" s="816">
        <v>0</v>
      </c>
      <c r="D145" s="816">
        <v>0</v>
      </c>
      <c r="E145" s="816">
        <v>0</v>
      </c>
      <c r="F145" s="816">
        <v>0</v>
      </c>
      <c r="G145" s="816">
        <v>1</v>
      </c>
      <c r="H145" s="816">
        <v>2</v>
      </c>
      <c r="I145" s="816">
        <v>3</v>
      </c>
      <c r="J145" s="816">
        <v>4</v>
      </c>
      <c r="K145" s="816">
        <v>5</v>
      </c>
      <c r="L145" s="816">
        <v>6</v>
      </c>
      <c r="M145" s="816">
        <v>7</v>
      </c>
      <c r="N145" s="816">
        <v>8</v>
      </c>
      <c r="O145" s="816">
        <v>9</v>
      </c>
      <c r="P145" s="816">
        <v>10</v>
      </c>
      <c r="Q145" s="816">
        <v>11</v>
      </c>
      <c r="R145" s="816">
        <v>12</v>
      </c>
      <c r="S145" s="816">
        <v>13</v>
      </c>
      <c r="T145" s="816">
        <v>14</v>
      </c>
      <c r="U145" s="816">
        <v>15</v>
      </c>
      <c r="V145" s="816">
        <v>16</v>
      </c>
      <c r="W145" s="816">
        <v>17</v>
      </c>
      <c r="X145" s="816">
        <v>18</v>
      </c>
      <c r="Y145" s="816">
        <v>19</v>
      </c>
      <c r="Z145" s="816">
        <v>20</v>
      </c>
      <c r="AA145" s="816">
        <v>21</v>
      </c>
      <c r="AB145" s="816">
        <v>22</v>
      </c>
      <c r="AC145" s="816">
        <v>23</v>
      </c>
      <c r="AD145" s="816">
        <v>24</v>
      </c>
      <c r="AE145" s="816">
        <v>25</v>
      </c>
      <c r="AF145" s="816">
        <v>26</v>
      </c>
      <c r="AG145" s="816">
        <v>27</v>
      </c>
      <c r="AH145" s="816">
        <v>28</v>
      </c>
      <c r="AI145" s="816">
        <v>29</v>
      </c>
      <c r="AJ145" s="816">
        <v>30</v>
      </c>
      <c r="AK145" s="816">
        <v>31</v>
      </c>
      <c r="AL145" s="816">
        <v>32</v>
      </c>
      <c r="AM145" s="816">
        <v>33</v>
      </c>
      <c r="AN145" s="816">
        <v>34</v>
      </c>
      <c r="AO145" s="816">
        <v>35</v>
      </c>
      <c r="AP145" s="816">
        <v>36</v>
      </c>
      <c r="AQ145" s="816">
        <v>37</v>
      </c>
      <c r="AR145" s="816">
        <v>38</v>
      </c>
      <c r="AS145" s="816">
        <v>39</v>
      </c>
      <c r="AT145" s="816">
        <v>40</v>
      </c>
      <c r="AU145" s="166"/>
      <c r="AV145" s="166"/>
      <c r="AW145" s="166"/>
      <c r="AX145" s="166"/>
      <c r="AY145" s="166"/>
      <c r="AZ145" s="166"/>
      <c r="BA145" s="166"/>
      <c r="BB145" s="166"/>
      <c r="BC145" s="166"/>
      <c r="BD145" s="166"/>
      <c r="BE145" s="166"/>
      <c r="BF145" s="166"/>
      <c r="BG145" s="166"/>
      <c r="BH145" s="166"/>
      <c r="BI145" s="166"/>
      <c r="BJ145" s="166"/>
      <c r="BK145" s="166"/>
      <c r="BL145" s="166"/>
      <c r="BM145" s="166"/>
      <c r="BN145" s="166"/>
    </row>
    <row r="146" spans="2:66" ht="14.4" x14ac:dyDescent="0.3">
      <c r="B146" s="813"/>
      <c r="C146" s="798"/>
      <c r="D146" s="798"/>
      <c r="E146" s="798"/>
      <c r="F146" s="798"/>
      <c r="G146" s="798"/>
      <c r="H146" s="798"/>
      <c r="I146" s="798"/>
      <c r="J146" s="798"/>
      <c r="K146" s="798"/>
      <c r="L146" s="798"/>
      <c r="M146" s="798"/>
      <c r="N146" s="798"/>
      <c r="O146" s="798"/>
      <c r="P146" s="798"/>
      <c r="Q146" s="798"/>
      <c r="R146" s="798"/>
      <c r="S146" s="798"/>
      <c r="T146" s="798"/>
      <c r="U146" s="798"/>
      <c r="V146" s="798"/>
      <c r="W146" s="798"/>
      <c r="X146" s="798"/>
      <c r="Y146" s="798"/>
      <c r="Z146" s="798"/>
      <c r="AA146" s="798"/>
      <c r="AB146" s="798"/>
      <c r="AC146" s="798"/>
      <c r="AD146" s="798"/>
      <c r="AE146" s="798"/>
      <c r="AF146" s="798"/>
      <c r="AG146" s="798"/>
      <c r="AH146" s="798"/>
      <c r="AI146" s="798"/>
      <c r="AJ146" s="798"/>
      <c r="AK146" s="798"/>
      <c r="AL146" s="798"/>
      <c r="AM146" s="798"/>
      <c r="AN146" s="798"/>
      <c r="AO146" s="798"/>
      <c r="AP146" s="798"/>
      <c r="AQ146" s="798"/>
      <c r="AR146" s="798"/>
      <c r="AS146" s="798"/>
      <c r="AT146" s="798"/>
      <c r="AU146" s="166"/>
      <c r="AV146" s="166"/>
      <c r="AW146" s="166"/>
      <c r="AX146" s="166"/>
      <c r="AY146" s="166"/>
      <c r="AZ146" s="166"/>
      <c r="BA146" s="166"/>
      <c r="BB146" s="166"/>
      <c r="BC146" s="166"/>
      <c r="BD146" s="166"/>
      <c r="BE146" s="166"/>
      <c r="BF146" s="166"/>
      <c r="BG146" s="166"/>
      <c r="BH146" s="166"/>
      <c r="BI146" s="166"/>
      <c r="BJ146" s="166"/>
      <c r="BK146" s="166"/>
      <c r="BL146" s="166"/>
      <c r="BM146" s="166"/>
      <c r="BN146" s="166"/>
    </row>
    <row r="147" spans="2:66" ht="14.4" x14ac:dyDescent="0.25">
      <c r="B147" s="830" t="s">
        <v>434</v>
      </c>
      <c r="C147" s="807"/>
      <c r="D147" s="807"/>
      <c r="E147" s="807"/>
      <c r="F147" s="807"/>
      <c r="G147" s="807"/>
      <c r="H147" s="807"/>
      <c r="I147" s="807"/>
      <c r="J147" s="807"/>
      <c r="K147" s="807"/>
      <c r="L147" s="807"/>
      <c r="M147" s="807"/>
      <c r="N147" s="807"/>
      <c r="O147" s="807"/>
      <c r="P147" s="807"/>
      <c r="Q147" s="807"/>
      <c r="R147" s="807"/>
      <c r="S147" s="807"/>
      <c r="T147" s="807"/>
      <c r="U147" s="807"/>
      <c r="V147" s="807"/>
      <c r="W147" s="807"/>
      <c r="X147" s="807"/>
      <c r="Y147" s="807"/>
      <c r="Z147" s="807"/>
      <c r="AA147" s="807"/>
      <c r="AB147" s="807"/>
      <c r="AC147" s="807"/>
      <c r="AD147" s="807"/>
      <c r="AE147" s="807"/>
      <c r="AF147" s="807"/>
      <c r="AG147" s="807"/>
      <c r="AH147" s="807"/>
      <c r="AI147" s="807"/>
      <c r="AJ147" s="807"/>
      <c r="AK147" s="807"/>
      <c r="AL147" s="807"/>
      <c r="AM147" s="807"/>
      <c r="AN147" s="807"/>
      <c r="AO147" s="807"/>
      <c r="AP147" s="807"/>
      <c r="AQ147" s="807"/>
      <c r="AR147" s="807"/>
      <c r="AS147" s="807"/>
      <c r="AT147" s="807"/>
      <c r="AU147" s="166"/>
      <c r="AV147" s="166"/>
      <c r="AW147" s="166"/>
      <c r="AX147" s="166"/>
      <c r="AY147" s="166"/>
      <c r="AZ147" s="166"/>
      <c r="BA147" s="166"/>
      <c r="BB147" s="166"/>
      <c r="BC147" s="166"/>
      <c r="BD147" s="166"/>
      <c r="BE147" s="166"/>
      <c r="BF147" s="166"/>
      <c r="BG147" s="166"/>
      <c r="BH147" s="166"/>
      <c r="BI147" s="166"/>
      <c r="BJ147" s="166"/>
      <c r="BK147" s="166"/>
      <c r="BL147" s="166"/>
      <c r="BM147" s="166"/>
      <c r="BN147" s="166"/>
    </row>
    <row r="148" spans="2:66" x14ac:dyDescent="0.25">
      <c r="B148" s="831" t="s">
        <v>449</v>
      </c>
      <c r="C148" s="178">
        <v>0</v>
      </c>
      <c r="D148" s="178">
        <v>0</v>
      </c>
      <c r="E148" s="178">
        <v>0</v>
      </c>
      <c r="F148" s="178">
        <v>0</v>
      </c>
      <c r="G148" s="268">
        <f>G72</f>
        <v>3454589.5691445097</v>
      </c>
      <c r="H148" s="268">
        <f t="shared" ref="H148:AT148" si="93">H72</f>
        <v>3546350.2599561452</v>
      </c>
      <c r="I148" s="268">
        <f t="shared" si="93"/>
        <v>3629500.1452487805</v>
      </c>
      <c r="J148" s="268">
        <f t="shared" si="93"/>
        <v>3714649.5304283733</v>
      </c>
      <c r="K148" s="268">
        <f t="shared" si="93"/>
        <v>9294323.7646731809</v>
      </c>
      <c r="L148" s="268">
        <f t="shared" si="93"/>
        <v>3891145.174125297</v>
      </c>
      <c r="M148" s="268">
        <f t="shared" si="93"/>
        <v>3982593.760180179</v>
      </c>
      <c r="N148" s="268">
        <f t="shared" si="93"/>
        <v>4076246.5661634705</v>
      </c>
      <c r="O148" s="268">
        <f t="shared" si="93"/>
        <v>4172158.0442154035</v>
      </c>
      <c r="P148" s="268">
        <f t="shared" si="93"/>
        <v>10305240.456239779</v>
      </c>
      <c r="Q148" s="268">
        <f t="shared" si="93"/>
        <v>4370981.7449138239</v>
      </c>
      <c r="R148" s="268">
        <f t="shared" si="93"/>
        <v>4474009.8993217153</v>
      </c>
      <c r="S148" s="268">
        <f t="shared" si="93"/>
        <v>4579528.6633017063</v>
      </c>
      <c r="T148" s="268">
        <f t="shared" si="93"/>
        <v>4687599.7384678498</v>
      </c>
      <c r="U148" s="268">
        <f t="shared" si="93"/>
        <v>11429085.151702685</v>
      </c>
      <c r="V148" s="268">
        <f t="shared" si="93"/>
        <v>4911653.4910183838</v>
      </c>
      <c r="W148" s="268">
        <f t="shared" si="93"/>
        <v>5027767.5564522296</v>
      </c>
      <c r="X148" s="268">
        <f t="shared" si="93"/>
        <v>5146696.7934412798</v>
      </c>
      <c r="Y148" s="268">
        <f t="shared" si="93"/>
        <v>5268511.1412896216</v>
      </c>
      <c r="Z148" s="268">
        <f t="shared" si="93"/>
        <v>12678875.013862662</v>
      </c>
      <c r="AA148" s="268">
        <f t="shared" si="93"/>
        <v>5521083.8624752844</v>
      </c>
      <c r="AB148" s="268">
        <f t="shared" si="93"/>
        <v>5651991.1898182109</v>
      </c>
      <c r="AC148" s="268">
        <f t="shared" si="93"/>
        <v>5786081.6320499461</v>
      </c>
      <c r="AD148" s="268">
        <f t="shared" si="93"/>
        <v>5923434.4919935949</v>
      </c>
      <c r="AE148" s="268">
        <f t="shared" si="93"/>
        <v>14069181.394370388</v>
      </c>
      <c r="AF148" s="268">
        <f t="shared" si="93"/>
        <v>6208254.835203521</v>
      </c>
      <c r="AG148" s="268">
        <f t="shared" si="93"/>
        <v>6355891.2422239808</v>
      </c>
      <c r="AH148" s="268">
        <f t="shared" si="93"/>
        <v>6507128.0239001652</v>
      </c>
      <c r="AI148" s="268">
        <f t="shared" si="93"/>
        <v>6662055.1295457529</v>
      </c>
      <c r="AJ148" s="268">
        <f t="shared" si="93"/>
        <v>15616322.452012271</v>
      </c>
      <c r="AK148" s="268">
        <f t="shared" si="93"/>
        <v>6983351.6630770871</v>
      </c>
      <c r="AL148" s="268">
        <f t="shared" si="93"/>
        <v>7149912.7241678927</v>
      </c>
      <c r="AM148" s="268">
        <f t="shared" si="93"/>
        <v>7320547.5004008031</v>
      </c>
      <c r="AN148" s="268">
        <f t="shared" si="93"/>
        <v>7495358.0500422539</v>
      </c>
      <c r="AO148" s="268">
        <f t="shared" si="93"/>
        <v>17338580.552335452</v>
      </c>
      <c r="AP148" s="268">
        <f t="shared" si="93"/>
        <v>7857927.8452074975</v>
      </c>
      <c r="AQ148" s="268">
        <f t="shared" si="93"/>
        <v>8045904.5568202641</v>
      </c>
      <c r="AR148" s="268">
        <f t="shared" si="93"/>
        <v>8238492.1162956236</v>
      </c>
      <c r="AS148" s="268">
        <f t="shared" si="93"/>
        <v>8435806.3583844062</v>
      </c>
      <c r="AT148" s="268">
        <f t="shared" si="93"/>
        <v>19256447.751688365</v>
      </c>
      <c r="AU148" s="166"/>
      <c r="AV148" s="166"/>
      <c r="AW148" s="166"/>
      <c r="AX148" s="166"/>
      <c r="AY148" s="166"/>
      <c r="AZ148" s="166"/>
      <c r="BA148" s="166"/>
      <c r="BB148" s="166"/>
      <c r="BC148" s="166"/>
      <c r="BD148" s="166"/>
      <c r="BE148" s="166"/>
      <c r="BF148" s="166"/>
      <c r="BG148" s="166"/>
      <c r="BH148" s="166"/>
      <c r="BI148" s="166"/>
      <c r="BJ148" s="166"/>
      <c r="BK148" s="166"/>
      <c r="BL148" s="166"/>
      <c r="BM148" s="166"/>
      <c r="BN148" s="166"/>
    </row>
    <row r="149" spans="2:66" x14ac:dyDescent="0.25">
      <c r="B149" s="832" t="s">
        <v>379</v>
      </c>
      <c r="C149" s="178">
        <v>0</v>
      </c>
      <c r="D149" s="178">
        <v>0</v>
      </c>
      <c r="E149" s="178">
        <v>0</v>
      </c>
      <c r="F149" s="178">
        <v>0</v>
      </c>
      <c r="G149" s="758">
        <f>DEMANDA!C48*PARAMETROS!$C$67</f>
        <v>6240400</v>
      </c>
      <c r="H149" s="758">
        <f>DEMANDA!D48*PARAMETROS!$C$67</f>
        <v>8320533.3333333349</v>
      </c>
      <c r="I149" s="758">
        <f>DEMANDA!E48*PARAMETROS!$C$67</f>
        <v>8413546.6666666679</v>
      </c>
      <c r="J149" s="758">
        <f>DEMANDA!F48*PARAMETROS!$C$67</f>
        <v>8506560</v>
      </c>
      <c r="K149" s="758">
        <f>DEMANDA!G48*PARAMETROS!$C$67</f>
        <v>8599573.333333334</v>
      </c>
      <c r="L149" s="758">
        <f>DEMANDA!H48*PARAMETROS!$C$67</f>
        <v>8692586.666666666</v>
      </c>
      <c r="M149" s="758">
        <f>DEMANDA!I48*PARAMETROS!$C$67</f>
        <v>8785600</v>
      </c>
      <c r="N149" s="758">
        <f>DEMANDA!J48*PARAMETROS!$C$67</f>
        <v>8835384.6784401182</v>
      </c>
      <c r="O149" s="758">
        <f>DEMANDA!K48*PARAMETROS!$C$67</f>
        <v>8885169.3568802383</v>
      </c>
      <c r="P149" s="758">
        <f>DEMANDA!L48*PARAMETROS!$C$67</f>
        <v>8934954.0353203565</v>
      </c>
      <c r="Q149" s="758">
        <f>DEMANDA!M48*PARAMETROS!$C$67</f>
        <v>8984738.7137604766</v>
      </c>
      <c r="R149" s="758">
        <f>DEMANDA!N48*PARAMETROS!$C$67</f>
        <v>9034523.392200591</v>
      </c>
      <c r="S149" s="758">
        <f>DEMANDA!O48*PARAMETROS!$C$67</f>
        <v>9045553.3147721384</v>
      </c>
      <c r="T149" s="758">
        <f>DEMANDA!P48*PARAMETROS!$C$67</f>
        <v>9056583.2373436838</v>
      </c>
      <c r="U149" s="758">
        <f>DEMANDA!Q48*PARAMETROS!$C$67</f>
        <v>9067613.1599152312</v>
      </c>
      <c r="V149" s="758">
        <f>DEMANDA!R48*PARAMETROS!$C$67</f>
        <v>9078643.0824867766</v>
      </c>
      <c r="W149" s="758">
        <f>DEMANDA!S48*PARAMETROS!$C$67</f>
        <v>9089673.005058324</v>
      </c>
      <c r="X149" s="758">
        <f>DEMANDA!T48*PARAMETROS!$C$67</f>
        <v>9159063.8588108979</v>
      </c>
      <c r="Y149" s="758">
        <f>DEMANDA!U48*PARAMETROS!$C$67</f>
        <v>9228454.7125634681</v>
      </c>
      <c r="Z149" s="758">
        <f>DEMANDA!V48*PARAMETROS!$C$67</f>
        <v>9297845.5663160421</v>
      </c>
      <c r="AA149" s="758">
        <f>DEMANDA!W48*PARAMETROS!$C$67</f>
        <v>9367236.4200686142</v>
      </c>
      <c r="AB149" s="758">
        <f>DEMANDA!X48*PARAMETROS!$C$67</f>
        <v>9436627.27382119</v>
      </c>
      <c r="AC149" s="758">
        <f>DEMANDA!Y48*PARAMETROS!$C$67</f>
        <v>9436627.27382119</v>
      </c>
      <c r="AD149" s="758">
        <f>DEMANDA!Z48*PARAMETROS!$C$67</f>
        <v>9436627.27382119</v>
      </c>
      <c r="AE149" s="758">
        <f>DEMANDA!AA48*PARAMETROS!$C$67</f>
        <v>9436627.27382119</v>
      </c>
      <c r="AF149" s="758">
        <f>DEMANDA!AB48*PARAMETROS!$C$67</f>
        <v>9436627.27382119</v>
      </c>
      <c r="AG149" s="758">
        <f>DEMANDA!AC48*PARAMETROS!$C$67</f>
        <v>9436627.27382119</v>
      </c>
      <c r="AH149" s="758">
        <f>DEMANDA!AD48*PARAMETROS!$C$67</f>
        <v>9436627.27382119</v>
      </c>
      <c r="AI149" s="758">
        <f>DEMANDA!AE48*PARAMETROS!$C$67</f>
        <v>9436627.27382119</v>
      </c>
      <c r="AJ149" s="758">
        <f>DEMANDA!AF48*PARAMETROS!$C$67</f>
        <v>9436627.27382119</v>
      </c>
      <c r="AK149" s="758">
        <f>DEMANDA!AG48*PARAMETROS!$C$67</f>
        <v>9436627.27382119</v>
      </c>
      <c r="AL149" s="758">
        <f>DEMANDA!AH48*PARAMETROS!$C$67</f>
        <v>9436627.27382119</v>
      </c>
      <c r="AM149" s="758">
        <f>DEMANDA!AI48*PARAMETROS!$C$67</f>
        <v>9436627.27382119</v>
      </c>
      <c r="AN149" s="758">
        <f>DEMANDA!AJ48*PARAMETROS!$C$67</f>
        <v>9436627.27382119</v>
      </c>
      <c r="AO149" s="758">
        <f>DEMANDA!AK48*PARAMETROS!$C$67</f>
        <v>9436627.27382119</v>
      </c>
      <c r="AP149" s="758">
        <f>DEMANDA!AL48*PARAMETROS!$C$67</f>
        <v>9436627.27382119</v>
      </c>
      <c r="AQ149" s="758">
        <f>DEMANDA!AM48*PARAMETROS!$C$67</f>
        <v>9436627.27382119</v>
      </c>
      <c r="AR149" s="758">
        <f>DEMANDA!AN48*PARAMETROS!$C$67</f>
        <v>9436627.27382119</v>
      </c>
      <c r="AS149" s="758">
        <f>DEMANDA!AO48*PARAMETROS!$C$67</f>
        <v>9436627.27382119</v>
      </c>
      <c r="AT149" s="758">
        <f>DEMANDA!AP48*PARAMETROS!$C$67</f>
        <v>9436627.27382119</v>
      </c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</row>
    <row r="150" spans="2:66" x14ac:dyDescent="0.25">
      <c r="B150" s="832" t="s">
        <v>395</v>
      </c>
      <c r="C150" s="178">
        <v>0</v>
      </c>
      <c r="D150" s="178">
        <v>0</v>
      </c>
      <c r="E150" s="178">
        <v>0</v>
      </c>
      <c r="F150" s="178">
        <v>0</v>
      </c>
      <c r="G150" s="758">
        <f>'INGRESOS de pasajeros'!C56*PARAMETROS!$C$67</f>
        <v>3809764.2</v>
      </c>
      <c r="H150" s="758">
        <f>'INGRESOS de pasajeros'!D56*PARAMETROS!$C$67</f>
        <v>5079685.6000000015</v>
      </c>
      <c r="I150" s="758">
        <f>'INGRESOS de pasajeros'!E56*PARAMETROS!$C$67</f>
        <v>5370179.6359200003</v>
      </c>
      <c r="J150" s="758">
        <f>'INGRESOS de pasajeros'!F56*PARAMETROS!$C$67</f>
        <v>5429547.9770400003</v>
      </c>
      <c r="K150" s="758">
        <f>'INGRESOS de pasajeros'!G56*PARAMETROS!$C$67</f>
        <v>5710668.5374136632</v>
      </c>
      <c r="L150" s="758">
        <f>'INGRESOS de pasajeros'!H56*PARAMETROS!$C$67</f>
        <v>5772435.3595149107</v>
      </c>
      <c r="M150" s="758">
        <f>'INGRESOS de pasajeros'!I56*PARAMETROS!$C$67</f>
        <v>6069903.9497534521</v>
      </c>
      <c r="N150" s="758">
        <f>'INGRESOS de pasajeros'!J56*PARAMETROS!$C$67</f>
        <v>6104299.8039126312</v>
      </c>
      <c r="O150" s="758">
        <f>'INGRESOS de pasajeros'!K56*PARAMETROS!$C$67</f>
        <v>6386698.9626579108</v>
      </c>
      <c r="P150" s="758">
        <f>'INGRESOS de pasajeros'!L56*PARAMETROS!$C$67</f>
        <v>6422484.4093251191</v>
      </c>
      <c r="Q150" s="758">
        <f>'INGRESOS de pasajeros'!M56*PARAMETROS!$C$67</f>
        <v>6719183.9581744215</v>
      </c>
      <c r="R150" s="758">
        <f>'INGRESOS de pasajeros'!N56*PARAMETROS!$C$67</f>
        <v>6756415.1368869841</v>
      </c>
      <c r="S150" s="758">
        <f>'INGRESOS de pasajeros'!O56*PARAMETROS!$C$67</f>
        <v>7037956.2170561617</v>
      </c>
      <c r="T150" s="758">
        <f>'INGRESOS de pasajeros'!P56*PARAMETROS!$C$67</f>
        <v>7046538.1256951019</v>
      </c>
      <c r="U150" s="758">
        <f>'INGRESOS de pasajeros'!Q56*PARAMETROS!$C$67</f>
        <v>7340146.883721143</v>
      </c>
      <c r="V150" s="758">
        <f>'INGRESOS de pasajeros'!R56*PARAMETROS!$C$67</f>
        <v>7349075.501469098</v>
      </c>
      <c r="W150" s="758">
        <f>'INGRESOS de pasajeros'!S56*PARAMETROS!$C$67</f>
        <v>7655267.4856334245</v>
      </c>
      <c r="X150" s="758">
        <f>'INGRESOS de pasajeros'!T56*PARAMETROS!$C$67</f>
        <v>7713708.041881904</v>
      </c>
      <c r="Y150" s="758">
        <f>'INGRESOS de pasajeros'!U56*PARAMETROS!$C$67</f>
        <v>8086143.4014948551</v>
      </c>
      <c r="Z150" s="758">
        <f>'INGRESOS de pasajeros'!V56*PARAMETROS!$C$67</f>
        <v>8146944.9562157756</v>
      </c>
      <c r="AA150" s="758">
        <f>'INGRESOS de pasajeros'!W56*PARAMETROS!$C$67</f>
        <v>8539339.4699785355</v>
      </c>
      <c r="AB150" s="758">
        <f>'INGRESOS de pasajeros'!X56*PARAMETROS!$C$67</f>
        <v>8602597.4075101875</v>
      </c>
      <c r="AC150" s="758">
        <f>'INGRESOS de pasajeros'!Y56*PARAMETROS!$C$67</f>
        <v>8950142.3427735996</v>
      </c>
      <c r="AD150" s="758">
        <f>'INGRESOS de pasajeros'!Z56*PARAMETROS!$C$67</f>
        <v>8950142.3427735996</v>
      </c>
      <c r="AE150" s="758">
        <f>'INGRESOS de pasajeros'!AA56*PARAMETROS!$C$67</f>
        <v>9311728.0934216511</v>
      </c>
      <c r="AF150" s="758">
        <f>'INGRESOS de pasajeros'!AB56*PARAMETROS!$C$67</f>
        <v>9311728.0934216511</v>
      </c>
      <c r="AG150" s="758">
        <f>'INGRESOS de pasajeros'!AC56*PARAMETROS!$C$67</f>
        <v>9687921.9083958846</v>
      </c>
      <c r="AH150" s="758">
        <f>'INGRESOS de pasajeros'!AD56*PARAMETROS!$C$67</f>
        <v>9687921.9083958846</v>
      </c>
      <c r="AI150" s="758">
        <f>'INGRESOS de pasajeros'!AE56*PARAMETROS!$C$67</f>
        <v>10079313.953495078</v>
      </c>
      <c r="AJ150" s="758">
        <f>'INGRESOS de pasajeros'!AF56*PARAMETROS!$C$67</f>
        <v>10079313.953495078</v>
      </c>
      <c r="AK150" s="758">
        <f>'INGRESOS de pasajeros'!AG56*PARAMETROS!$C$67</f>
        <v>10486518.237216281</v>
      </c>
      <c r="AL150" s="758">
        <f>'INGRESOS de pasajeros'!AH56*PARAMETROS!$C$67</f>
        <v>10486518.237216281</v>
      </c>
      <c r="AM150" s="758">
        <f>'INGRESOS de pasajeros'!AI56*PARAMETROS!$C$67</f>
        <v>10910173.573999817</v>
      </c>
      <c r="AN150" s="758">
        <f>'INGRESOS de pasajeros'!AJ56*PARAMETROS!$C$67</f>
        <v>10910173.573999817</v>
      </c>
      <c r="AO150" s="758">
        <f>'INGRESOS de pasajeros'!AK56*PARAMETROS!$C$67</f>
        <v>11350944.586389413</v>
      </c>
      <c r="AP150" s="758">
        <f>'INGRESOS de pasajeros'!AL56*PARAMETROS!$C$67</f>
        <v>11350944.586389413</v>
      </c>
      <c r="AQ150" s="758">
        <f>'INGRESOS de pasajeros'!AM56*PARAMETROS!$C$67</f>
        <v>11809522.747679543</v>
      </c>
      <c r="AR150" s="758">
        <f>'INGRESOS de pasajeros'!AN56*PARAMETROS!$C$67</f>
        <v>11809522.747679543</v>
      </c>
      <c r="AS150" s="758">
        <f>'INGRESOS de pasajeros'!AO56*PARAMETROS!$C$67</f>
        <v>12286627.466685798</v>
      </c>
      <c r="AT150" s="758">
        <f>'INGRESOS de pasajeros'!AP56*PARAMETROS!$C$67</f>
        <v>12286627.466685798</v>
      </c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  <c r="BN150" s="166"/>
    </row>
    <row r="151" spans="2:66" x14ac:dyDescent="0.25">
      <c r="B151" s="832" t="s">
        <v>396</v>
      </c>
      <c r="C151" s="178">
        <v>0</v>
      </c>
      <c r="D151" s="178">
        <v>0</v>
      </c>
      <c r="E151" s="178">
        <v>0</v>
      </c>
      <c r="F151" s="178">
        <v>0</v>
      </c>
      <c r="G151" s="178">
        <f>$C$14*$C$15*12</f>
        <v>420000</v>
      </c>
      <c r="H151" s="178">
        <f t="shared" ref="H151:AT151" si="94">$G$75*((1+$C$25)^G145)</f>
        <v>428400</v>
      </c>
      <c r="I151" s="178">
        <f t="shared" si="94"/>
        <v>436968</v>
      </c>
      <c r="J151" s="178">
        <f t="shared" si="94"/>
        <v>445707.36</v>
      </c>
      <c r="K151" s="178">
        <f t="shared" si="94"/>
        <v>454621.50719999999</v>
      </c>
      <c r="L151" s="178">
        <f t="shared" si="94"/>
        <v>463713.93734400003</v>
      </c>
      <c r="M151" s="178">
        <f t="shared" si="94"/>
        <v>472988.21609088004</v>
      </c>
      <c r="N151" s="178">
        <f t="shared" si="94"/>
        <v>482447.98041269754</v>
      </c>
      <c r="O151" s="178">
        <f t="shared" si="94"/>
        <v>492096.9400209515</v>
      </c>
      <c r="P151" s="178">
        <f t="shared" si="94"/>
        <v>501938.87882137054</v>
      </c>
      <c r="Q151" s="178">
        <f t="shared" si="94"/>
        <v>511977.65639779798</v>
      </c>
      <c r="R151" s="178">
        <f t="shared" si="94"/>
        <v>522217.20952575386</v>
      </c>
      <c r="S151" s="178">
        <f t="shared" si="94"/>
        <v>532661.55371626897</v>
      </c>
      <c r="T151" s="178">
        <f t="shared" si="94"/>
        <v>543314.78479059436</v>
      </c>
      <c r="U151" s="178">
        <f t="shared" si="94"/>
        <v>554181.08048640634</v>
      </c>
      <c r="V151" s="178">
        <f t="shared" si="94"/>
        <v>565264.70209613431</v>
      </c>
      <c r="W151" s="178">
        <f t="shared" si="94"/>
        <v>576569.99613805709</v>
      </c>
      <c r="X151" s="178">
        <f t="shared" si="94"/>
        <v>588101.39606081822</v>
      </c>
      <c r="Y151" s="178">
        <f t="shared" si="94"/>
        <v>599863.42398203455</v>
      </c>
      <c r="Z151" s="178">
        <f t="shared" si="94"/>
        <v>611860.69246167527</v>
      </c>
      <c r="AA151" s="178">
        <f t="shared" si="94"/>
        <v>624097.90631090873</v>
      </c>
      <c r="AB151" s="178">
        <f t="shared" si="94"/>
        <v>636579.8644371269</v>
      </c>
      <c r="AC151" s="178">
        <f t="shared" si="94"/>
        <v>649311.46172586945</v>
      </c>
      <c r="AD151" s="178">
        <f t="shared" si="94"/>
        <v>662297.69096038677</v>
      </c>
      <c r="AE151" s="178">
        <f t="shared" si="94"/>
        <v>675543.6447795945</v>
      </c>
      <c r="AF151" s="178">
        <f t="shared" si="94"/>
        <v>689054.51767518639</v>
      </c>
      <c r="AG151" s="178">
        <f t="shared" si="94"/>
        <v>702835.60802869021</v>
      </c>
      <c r="AH151" s="178">
        <f t="shared" si="94"/>
        <v>716892.3201892639</v>
      </c>
      <c r="AI151" s="178">
        <f t="shared" si="94"/>
        <v>731230.1665930493</v>
      </c>
      <c r="AJ151" s="178">
        <f t="shared" si="94"/>
        <v>745854.76992491016</v>
      </c>
      <c r="AK151" s="178">
        <f t="shared" si="94"/>
        <v>760771.86532340851</v>
      </c>
      <c r="AL151" s="178">
        <f t="shared" si="94"/>
        <v>775987.30262987642</v>
      </c>
      <c r="AM151" s="178">
        <f t="shared" si="94"/>
        <v>791507.04868247418</v>
      </c>
      <c r="AN151" s="178">
        <f t="shared" si="94"/>
        <v>807337.18965612364</v>
      </c>
      <c r="AO151" s="178">
        <f t="shared" si="94"/>
        <v>823483.93344924611</v>
      </c>
      <c r="AP151" s="178">
        <f t="shared" si="94"/>
        <v>839953.61211823102</v>
      </c>
      <c r="AQ151" s="178">
        <f t="shared" si="94"/>
        <v>856752.68436059554</v>
      </c>
      <c r="AR151" s="178">
        <f t="shared" si="94"/>
        <v>873887.73804780759</v>
      </c>
      <c r="AS151" s="178">
        <f t="shared" si="94"/>
        <v>891365.49280876387</v>
      </c>
      <c r="AT151" s="178">
        <f t="shared" si="94"/>
        <v>909192.80266493873</v>
      </c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  <c r="BN151" s="166"/>
    </row>
    <row r="152" spans="2:66" x14ac:dyDescent="0.25">
      <c r="B152" s="832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66"/>
      <c r="AV152" s="166"/>
      <c r="AW152" s="166"/>
      <c r="AX152" s="166"/>
      <c r="AY152" s="166"/>
      <c r="AZ152" s="166"/>
      <c r="BA152" s="166"/>
      <c r="BB152" s="166"/>
      <c r="BC152" s="166"/>
      <c r="BD152" s="166"/>
      <c r="BE152" s="166"/>
      <c r="BF152" s="166"/>
      <c r="BG152" s="166"/>
      <c r="BH152" s="166"/>
      <c r="BI152" s="166"/>
      <c r="BJ152" s="166"/>
      <c r="BK152" s="166"/>
      <c r="BL152" s="166"/>
      <c r="BM152" s="166"/>
      <c r="BN152" s="166"/>
    </row>
    <row r="153" spans="2:66" x14ac:dyDescent="0.25">
      <c r="B153" s="831" t="str">
        <f>B77</f>
        <v>Activos iniciales - Depreciacion 50 años</v>
      </c>
      <c r="C153" s="965">
        <f t="shared" ref="C153:AT159" si="95">C77</f>
        <v>0</v>
      </c>
      <c r="D153" s="965">
        <f t="shared" si="95"/>
        <v>0</v>
      </c>
      <c r="E153" s="965">
        <f t="shared" si="95"/>
        <v>0</v>
      </c>
      <c r="F153" s="965">
        <f t="shared" si="95"/>
        <v>0</v>
      </c>
      <c r="G153" s="965">
        <f t="shared" si="95"/>
        <v>-686539.32037828083</v>
      </c>
      <c r="H153" s="965">
        <f t="shared" si="95"/>
        <v>-686539.32037828083</v>
      </c>
      <c r="I153" s="965">
        <f t="shared" si="95"/>
        <v>-686539.32037828083</v>
      </c>
      <c r="J153" s="965">
        <f t="shared" si="95"/>
        <v>-686539.32037828083</v>
      </c>
      <c r="K153" s="965">
        <f t="shared" si="95"/>
        <v>-686539.32037828083</v>
      </c>
      <c r="L153" s="965">
        <f t="shared" si="95"/>
        <v>-686539.32037828083</v>
      </c>
      <c r="M153" s="965">
        <f t="shared" si="95"/>
        <v>-686539.32037828083</v>
      </c>
      <c r="N153" s="965">
        <f t="shared" si="95"/>
        <v>-686539.32037828083</v>
      </c>
      <c r="O153" s="965">
        <f t="shared" si="95"/>
        <v>-686539.32037828083</v>
      </c>
      <c r="P153" s="965">
        <f t="shared" si="95"/>
        <v>-686539.32037828083</v>
      </c>
      <c r="Q153" s="965">
        <f t="shared" si="95"/>
        <v>-686539.32037828083</v>
      </c>
      <c r="R153" s="965">
        <f t="shared" si="95"/>
        <v>-686539.32037828083</v>
      </c>
      <c r="S153" s="965">
        <f t="shared" si="95"/>
        <v>-686539.32037828083</v>
      </c>
      <c r="T153" s="965">
        <f t="shared" si="95"/>
        <v>-686539.32037828083</v>
      </c>
      <c r="U153" s="965">
        <f t="shared" si="95"/>
        <v>-686539.32037828083</v>
      </c>
      <c r="V153" s="965">
        <f t="shared" si="95"/>
        <v>-686539.32037828083</v>
      </c>
      <c r="W153" s="965">
        <f t="shared" si="95"/>
        <v>-686539.32037828083</v>
      </c>
      <c r="X153" s="965">
        <f t="shared" si="95"/>
        <v>-686539.32037828083</v>
      </c>
      <c r="Y153" s="965">
        <f t="shared" si="95"/>
        <v>-686539.32037828083</v>
      </c>
      <c r="Z153" s="965">
        <f t="shared" si="95"/>
        <v>-686539.32037828083</v>
      </c>
      <c r="AA153" s="965">
        <f t="shared" si="95"/>
        <v>-686539.32037828083</v>
      </c>
      <c r="AB153" s="965">
        <f t="shared" si="95"/>
        <v>-686539.32037828083</v>
      </c>
      <c r="AC153" s="965">
        <f t="shared" si="95"/>
        <v>-686539.32037828083</v>
      </c>
      <c r="AD153" s="965">
        <f t="shared" si="95"/>
        <v>-686539.32037828083</v>
      </c>
      <c r="AE153" s="965">
        <f t="shared" si="95"/>
        <v>-686539.32037828083</v>
      </c>
      <c r="AF153" s="965">
        <f t="shared" si="95"/>
        <v>-686539.32037828083</v>
      </c>
      <c r="AG153" s="965">
        <f t="shared" si="95"/>
        <v>-686539.32037828083</v>
      </c>
      <c r="AH153" s="965">
        <f t="shared" si="95"/>
        <v>-686539.32037828083</v>
      </c>
      <c r="AI153" s="965">
        <f t="shared" si="95"/>
        <v>-686539.32037828083</v>
      </c>
      <c r="AJ153" s="965">
        <f t="shared" si="95"/>
        <v>-686539.32037828083</v>
      </c>
      <c r="AK153" s="965">
        <f t="shared" si="95"/>
        <v>-686539.32037828083</v>
      </c>
      <c r="AL153" s="965">
        <f t="shared" si="95"/>
        <v>-686539.32037828083</v>
      </c>
      <c r="AM153" s="965">
        <f t="shared" si="95"/>
        <v>-686539.32037828083</v>
      </c>
      <c r="AN153" s="965">
        <f t="shared" si="95"/>
        <v>-686539.32037828083</v>
      </c>
      <c r="AO153" s="965">
        <f t="shared" si="95"/>
        <v>-686539.32037828083</v>
      </c>
      <c r="AP153" s="965">
        <f t="shared" si="95"/>
        <v>-686539.32037828083</v>
      </c>
      <c r="AQ153" s="965">
        <f t="shared" si="95"/>
        <v>-686539.32037828083</v>
      </c>
      <c r="AR153" s="965">
        <f t="shared" si="95"/>
        <v>-686539.32037828083</v>
      </c>
      <c r="AS153" s="965">
        <f t="shared" si="95"/>
        <v>-686539.32037828083</v>
      </c>
      <c r="AT153" s="965">
        <f t="shared" si="95"/>
        <v>-686539.32037828083</v>
      </c>
      <c r="AU153" s="166"/>
      <c r="AV153" s="166"/>
      <c r="AW153" s="166"/>
      <c r="AX153" s="166"/>
      <c r="AY153" s="166"/>
      <c r="AZ153" s="166"/>
      <c r="BA153" s="166"/>
      <c r="BB153" s="166"/>
      <c r="BC153" s="166"/>
      <c r="BD153" s="166"/>
      <c r="BE153" s="166"/>
      <c r="BF153" s="166"/>
      <c r="BG153" s="166"/>
      <c r="BH153" s="166"/>
      <c r="BI153" s="166"/>
      <c r="BJ153" s="166"/>
      <c r="BK153" s="166"/>
      <c r="BL153" s="166"/>
      <c r="BM153" s="166"/>
      <c r="BN153" s="166"/>
    </row>
    <row r="154" spans="2:66" x14ac:dyDescent="0.25">
      <c r="B154" s="831" t="str">
        <f t="shared" ref="B154:Q166" si="96">B78</f>
        <v>Activos iniciales - Depreciacion 40 años</v>
      </c>
      <c r="C154" s="965">
        <f t="shared" si="96"/>
        <v>0</v>
      </c>
      <c r="D154" s="965">
        <f t="shared" si="96"/>
        <v>0</v>
      </c>
      <c r="E154" s="965">
        <f t="shared" si="96"/>
        <v>0</v>
      </c>
      <c r="F154" s="965">
        <f t="shared" si="96"/>
        <v>0</v>
      </c>
      <c r="G154" s="965">
        <f t="shared" si="96"/>
        <v>-1442789.935138549</v>
      </c>
      <c r="H154" s="965">
        <f t="shared" si="96"/>
        <v>-1442789.935138549</v>
      </c>
      <c r="I154" s="965">
        <f t="shared" si="96"/>
        <v>-1442789.935138549</v>
      </c>
      <c r="J154" s="965">
        <f t="shared" si="96"/>
        <v>-1442789.935138549</v>
      </c>
      <c r="K154" s="965">
        <f t="shared" si="96"/>
        <v>-1442789.935138549</v>
      </c>
      <c r="L154" s="965">
        <f t="shared" si="96"/>
        <v>-1442789.935138549</v>
      </c>
      <c r="M154" s="965">
        <f t="shared" si="96"/>
        <v>-1442789.935138549</v>
      </c>
      <c r="N154" s="965">
        <f t="shared" si="96"/>
        <v>-1442789.935138549</v>
      </c>
      <c r="O154" s="965">
        <f t="shared" si="96"/>
        <v>-1442789.935138549</v>
      </c>
      <c r="P154" s="965">
        <f t="shared" si="96"/>
        <v>-1442789.935138549</v>
      </c>
      <c r="Q154" s="965">
        <f t="shared" si="96"/>
        <v>-1442789.935138549</v>
      </c>
      <c r="R154" s="965">
        <f t="shared" si="95"/>
        <v>-1442789.935138549</v>
      </c>
      <c r="S154" s="965">
        <f t="shared" si="95"/>
        <v>-1442789.935138549</v>
      </c>
      <c r="T154" s="965">
        <f t="shared" si="95"/>
        <v>-1442789.935138549</v>
      </c>
      <c r="U154" s="965">
        <f t="shared" si="95"/>
        <v>-1442789.935138549</v>
      </c>
      <c r="V154" s="965">
        <f t="shared" si="95"/>
        <v>-1442789.935138549</v>
      </c>
      <c r="W154" s="965">
        <f t="shared" si="95"/>
        <v>-1442789.935138549</v>
      </c>
      <c r="X154" s="965">
        <f t="shared" si="95"/>
        <v>-1442789.935138549</v>
      </c>
      <c r="Y154" s="965">
        <f t="shared" si="95"/>
        <v>-1442789.935138549</v>
      </c>
      <c r="Z154" s="965">
        <f t="shared" si="95"/>
        <v>-1442789.935138549</v>
      </c>
      <c r="AA154" s="965">
        <f t="shared" si="95"/>
        <v>-1442789.935138549</v>
      </c>
      <c r="AB154" s="965">
        <f t="shared" si="95"/>
        <v>-1442789.935138549</v>
      </c>
      <c r="AC154" s="965">
        <f t="shared" si="95"/>
        <v>-1442789.935138549</v>
      </c>
      <c r="AD154" s="965">
        <f t="shared" si="95"/>
        <v>-1442789.935138549</v>
      </c>
      <c r="AE154" s="965">
        <f t="shared" si="95"/>
        <v>-1442789.935138549</v>
      </c>
      <c r="AF154" s="965">
        <f t="shared" si="95"/>
        <v>-1442789.935138549</v>
      </c>
      <c r="AG154" s="965">
        <f t="shared" si="95"/>
        <v>-1442789.935138549</v>
      </c>
      <c r="AH154" s="965">
        <f t="shared" si="95"/>
        <v>-1442789.935138549</v>
      </c>
      <c r="AI154" s="965">
        <f t="shared" si="95"/>
        <v>-1442789.935138549</v>
      </c>
      <c r="AJ154" s="965">
        <f t="shared" si="95"/>
        <v>-1442789.935138549</v>
      </c>
      <c r="AK154" s="965">
        <f t="shared" si="95"/>
        <v>-1442789.935138549</v>
      </c>
      <c r="AL154" s="965">
        <f t="shared" si="95"/>
        <v>-1442789.935138549</v>
      </c>
      <c r="AM154" s="965">
        <f t="shared" si="95"/>
        <v>-1442789.935138549</v>
      </c>
      <c r="AN154" s="965">
        <f t="shared" si="95"/>
        <v>-1442789.935138549</v>
      </c>
      <c r="AO154" s="965">
        <f t="shared" si="95"/>
        <v>-1442789.935138549</v>
      </c>
      <c r="AP154" s="965">
        <f t="shared" si="95"/>
        <v>-1442789.935138549</v>
      </c>
      <c r="AQ154" s="965">
        <f t="shared" si="95"/>
        <v>-1442789.935138549</v>
      </c>
      <c r="AR154" s="965">
        <f t="shared" si="95"/>
        <v>-1442789.935138549</v>
      </c>
      <c r="AS154" s="965">
        <f t="shared" si="95"/>
        <v>-1442789.935138549</v>
      </c>
      <c r="AT154" s="965">
        <f t="shared" si="95"/>
        <v>-1442789.935138549</v>
      </c>
      <c r="AU154" s="166"/>
      <c r="AV154" s="166"/>
      <c r="AW154" s="166"/>
      <c r="AX154" s="166"/>
      <c r="AY154" s="166"/>
      <c r="AZ154" s="166"/>
      <c r="BA154" s="166"/>
      <c r="BB154" s="166"/>
      <c r="BC154" s="166"/>
      <c r="BD154" s="166"/>
      <c r="BE154" s="166"/>
      <c r="BF154" s="166"/>
      <c r="BG154" s="166"/>
      <c r="BH154" s="166"/>
      <c r="BI154" s="166"/>
      <c r="BJ154" s="166"/>
      <c r="BK154" s="166"/>
      <c r="BL154" s="166"/>
      <c r="BM154" s="166"/>
      <c r="BN154" s="166"/>
    </row>
    <row r="155" spans="2:66" x14ac:dyDescent="0.25">
      <c r="B155" s="831" t="str">
        <f t="shared" si="96"/>
        <v>Activos iniciales - Depreciacion 15 años</v>
      </c>
      <c r="C155" s="965">
        <f t="shared" si="95"/>
        <v>0</v>
      </c>
      <c r="D155" s="965">
        <f t="shared" si="95"/>
        <v>0</v>
      </c>
      <c r="E155" s="965">
        <f t="shared" si="95"/>
        <v>0</v>
      </c>
      <c r="F155" s="965">
        <f t="shared" si="95"/>
        <v>0</v>
      </c>
      <c r="G155" s="965">
        <f t="shared" si="95"/>
        <v>-846060.74954198557</v>
      </c>
      <c r="H155" s="965">
        <f t="shared" si="95"/>
        <v>-846060.74954198557</v>
      </c>
      <c r="I155" s="965">
        <f t="shared" si="95"/>
        <v>-846060.74954198557</v>
      </c>
      <c r="J155" s="965">
        <f t="shared" si="95"/>
        <v>-846060.74954198557</v>
      </c>
      <c r="K155" s="965">
        <f t="shared" si="95"/>
        <v>-846060.74954198557</v>
      </c>
      <c r="L155" s="965">
        <f t="shared" si="95"/>
        <v>-846060.74954198557</v>
      </c>
      <c r="M155" s="965">
        <f t="shared" si="95"/>
        <v>-846060.74954198557</v>
      </c>
      <c r="N155" s="965">
        <f t="shared" si="95"/>
        <v>-846060.74954198557</v>
      </c>
      <c r="O155" s="965">
        <f t="shared" si="95"/>
        <v>-846060.74954198557</v>
      </c>
      <c r="P155" s="965">
        <f t="shared" si="95"/>
        <v>-846060.74954198557</v>
      </c>
      <c r="Q155" s="965">
        <f t="shared" si="95"/>
        <v>-846060.74954198557</v>
      </c>
      <c r="R155" s="965">
        <f t="shared" si="95"/>
        <v>-846060.74954198557</v>
      </c>
      <c r="S155" s="965">
        <f t="shared" si="95"/>
        <v>-846060.74954198557</v>
      </c>
      <c r="T155" s="965">
        <f t="shared" si="95"/>
        <v>-846060.74954198557</v>
      </c>
      <c r="U155" s="965">
        <f t="shared" si="95"/>
        <v>-846060.74954198557</v>
      </c>
      <c r="V155" s="965">
        <f t="shared" si="95"/>
        <v>0</v>
      </c>
      <c r="W155" s="965">
        <f t="shared" si="95"/>
        <v>0</v>
      </c>
      <c r="X155" s="965">
        <f t="shared" si="95"/>
        <v>0</v>
      </c>
      <c r="Y155" s="965">
        <f t="shared" si="95"/>
        <v>0</v>
      </c>
      <c r="Z155" s="965">
        <f t="shared" si="95"/>
        <v>0</v>
      </c>
      <c r="AA155" s="965">
        <f t="shared" si="95"/>
        <v>0</v>
      </c>
      <c r="AB155" s="965">
        <f t="shared" si="95"/>
        <v>0</v>
      </c>
      <c r="AC155" s="965">
        <f t="shared" si="95"/>
        <v>0</v>
      </c>
      <c r="AD155" s="965">
        <f t="shared" si="95"/>
        <v>0</v>
      </c>
      <c r="AE155" s="965">
        <f t="shared" si="95"/>
        <v>0</v>
      </c>
      <c r="AF155" s="965">
        <f t="shared" si="95"/>
        <v>0</v>
      </c>
      <c r="AG155" s="965">
        <f t="shared" si="95"/>
        <v>0</v>
      </c>
      <c r="AH155" s="965">
        <f t="shared" si="95"/>
        <v>0</v>
      </c>
      <c r="AI155" s="965">
        <f t="shared" si="95"/>
        <v>0</v>
      </c>
      <c r="AJ155" s="965">
        <f t="shared" si="95"/>
        <v>0</v>
      </c>
      <c r="AK155" s="965">
        <f t="shared" si="95"/>
        <v>0</v>
      </c>
      <c r="AL155" s="965">
        <f t="shared" si="95"/>
        <v>0</v>
      </c>
      <c r="AM155" s="965">
        <f t="shared" si="95"/>
        <v>0</v>
      </c>
      <c r="AN155" s="965">
        <f t="shared" si="95"/>
        <v>0</v>
      </c>
      <c r="AO155" s="965">
        <f t="shared" si="95"/>
        <v>0</v>
      </c>
      <c r="AP155" s="965">
        <f t="shared" si="95"/>
        <v>0</v>
      </c>
      <c r="AQ155" s="965">
        <f t="shared" si="95"/>
        <v>0</v>
      </c>
      <c r="AR155" s="965">
        <f t="shared" si="95"/>
        <v>0</v>
      </c>
      <c r="AS155" s="965">
        <f t="shared" si="95"/>
        <v>0</v>
      </c>
      <c r="AT155" s="965">
        <f t="shared" si="95"/>
        <v>0</v>
      </c>
      <c r="AU155" s="166"/>
      <c r="AV155" s="166"/>
      <c r="AW155" s="166"/>
      <c r="AX155" s="166"/>
      <c r="AY155" s="166"/>
      <c r="AZ155" s="166"/>
      <c r="BA155" s="166"/>
      <c r="BB155" s="166"/>
      <c r="BC155" s="166"/>
      <c r="BD155" s="166"/>
      <c r="BE155" s="166"/>
      <c r="BF155" s="166"/>
      <c r="BG155" s="166"/>
      <c r="BH155" s="166"/>
      <c r="BI155" s="166"/>
      <c r="BJ155" s="166"/>
      <c r="BK155" s="166"/>
      <c r="BL155" s="166"/>
      <c r="BM155" s="166"/>
      <c r="BN155" s="166"/>
    </row>
    <row r="156" spans="2:66" x14ac:dyDescent="0.25">
      <c r="B156" s="831" t="str">
        <f t="shared" si="96"/>
        <v>Activos iniciales - Depreciacion 10 años</v>
      </c>
      <c r="C156" s="965">
        <f t="shared" si="95"/>
        <v>0</v>
      </c>
      <c r="D156" s="965">
        <f t="shared" si="95"/>
        <v>0</v>
      </c>
      <c r="E156" s="965">
        <f t="shared" si="95"/>
        <v>0</v>
      </c>
      <c r="F156" s="965">
        <f t="shared" si="95"/>
        <v>0</v>
      </c>
      <c r="G156" s="965">
        <f t="shared" si="95"/>
        <v>-483089.33345121983</v>
      </c>
      <c r="H156" s="965">
        <f t="shared" si="95"/>
        <v>-483089.33345121983</v>
      </c>
      <c r="I156" s="965">
        <f t="shared" si="95"/>
        <v>-483089.33345121983</v>
      </c>
      <c r="J156" s="965">
        <f t="shared" si="95"/>
        <v>-483089.33345121983</v>
      </c>
      <c r="K156" s="965">
        <f t="shared" si="95"/>
        <v>-483089.33345121983</v>
      </c>
      <c r="L156" s="965">
        <f t="shared" si="95"/>
        <v>-483089.33345121983</v>
      </c>
      <c r="M156" s="965">
        <f t="shared" si="95"/>
        <v>-483089.33345121983</v>
      </c>
      <c r="N156" s="965">
        <f t="shared" si="95"/>
        <v>-483089.33345121983</v>
      </c>
      <c r="O156" s="965">
        <f t="shared" si="95"/>
        <v>-483089.33345121983</v>
      </c>
      <c r="P156" s="965">
        <f t="shared" si="95"/>
        <v>-483089.33345121983</v>
      </c>
      <c r="Q156" s="965">
        <f t="shared" si="95"/>
        <v>0</v>
      </c>
      <c r="R156" s="965">
        <f t="shared" si="95"/>
        <v>0</v>
      </c>
      <c r="S156" s="965">
        <f t="shared" si="95"/>
        <v>0</v>
      </c>
      <c r="T156" s="965">
        <f t="shared" si="95"/>
        <v>0</v>
      </c>
      <c r="U156" s="965">
        <f t="shared" si="95"/>
        <v>0</v>
      </c>
      <c r="V156" s="965">
        <f t="shared" si="95"/>
        <v>0</v>
      </c>
      <c r="W156" s="965">
        <f t="shared" si="95"/>
        <v>0</v>
      </c>
      <c r="X156" s="965">
        <f t="shared" si="95"/>
        <v>0</v>
      </c>
      <c r="Y156" s="965">
        <f t="shared" si="95"/>
        <v>0</v>
      </c>
      <c r="Z156" s="965">
        <f t="shared" si="95"/>
        <v>0</v>
      </c>
      <c r="AA156" s="965">
        <f t="shared" si="95"/>
        <v>0</v>
      </c>
      <c r="AB156" s="965">
        <f t="shared" si="95"/>
        <v>0</v>
      </c>
      <c r="AC156" s="965">
        <f t="shared" si="95"/>
        <v>0</v>
      </c>
      <c r="AD156" s="965">
        <f t="shared" si="95"/>
        <v>0</v>
      </c>
      <c r="AE156" s="965">
        <f t="shared" si="95"/>
        <v>0</v>
      </c>
      <c r="AF156" s="965">
        <f t="shared" si="95"/>
        <v>0</v>
      </c>
      <c r="AG156" s="965">
        <f t="shared" si="95"/>
        <v>0</v>
      </c>
      <c r="AH156" s="965">
        <f t="shared" si="95"/>
        <v>0</v>
      </c>
      <c r="AI156" s="965">
        <f t="shared" si="95"/>
        <v>0</v>
      </c>
      <c r="AJ156" s="965">
        <f t="shared" si="95"/>
        <v>0</v>
      </c>
      <c r="AK156" s="965">
        <f t="shared" si="95"/>
        <v>0</v>
      </c>
      <c r="AL156" s="965">
        <f t="shared" si="95"/>
        <v>0</v>
      </c>
      <c r="AM156" s="965">
        <f t="shared" si="95"/>
        <v>0</v>
      </c>
      <c r="AN156" s="965">
        <f t="shared" si="95"/>
        <v>0</v>
      </c>
      <c r="AO156" s="965">
        <f t="shared" si="95"/>
        <v>0</v>
      </c>
      <c r="AP156" s="965">
        <f t="shared" si="95"/>
        <v>0</v>
      </c>
      <c r="AQ156" s="965">
        <f t="shared" si="95"/>
        <v>0</v>
      </c>
      <c r="AR156" s="965">
        <f t="shared" si="95"/>
        <v>0</v>
      </c>
      <c r="AS156" s="965">
        <f t="shared" si="95"/>
        <v>0</v>
      </c>
      <c r="AT156" s="965">
        <f t="shared" si="95"/>
        <v>0</v>
      </c>
      <c r="AU156" s="166"/>
      <c r="AV156" s="166"/>
      <c r="AW156" s="166"/>
      <c r="AX156" s="166"/>
      <c r="AY156" s="166"/>
      <c r="AZ156" s="166"/>
      <c r="BA156" s="166"/>
      <c r="BB156" s="166"/>
      <c r="BC156" s="166"/>
      <c r="BD156" s="166"/>
      <c r="BE156" s="166"/>
      <c r="BF156" s="166"/>
      <c r="BG156" s="166"/>
      <c r="BH156" s="166"/>
      <c r="BI156" s="166"/>
      <c r="BJ156" s="166"/>
      <c r="BK156" s="166"/>
      <c r="BL156" s="166"/>
      <c r="BM156" s="166"/>
      <c r="BN156" s="166"/>
    </row>
    <row r="157" spans="2:66" x14ac:dyDescent="0.25">
      <c r="B157" s="831" t="str">
        <f t="shared" si="96"/>
        <v>Activos iniciales - Depreciacion 5 años</v>
      </c>
      <c r="C157" s="965">
        <f t="shared" si="95"/>
        <v>0</v>
      </c>
      <c r="D157" s="965">
        <f t="shared" si="95"/>
        <v>0</v>
      </c>
      <c r="E157" s="965">
        <f t="shared" si="95"/>
        <v>0</v>
      </c>
      <c r="F157" s="965">
        <f t="shared" si="95"/>
        <v>0</v>
      </c>
      <c r="G157" s="965">
        <f t="shared" si="95"/>
        <v>-204364.92007479366</v>
      </c>
      <c r="H157" s="965">
        <f t="shared" si="95"/>
        <v>-204364.92007479366</v>
      </c>
      <c r="I157" s="965">
        <f t="shared" si="95"/>
        <v>-204364.92007479366</v>
      </c>
      <c r="J157" s="965">
        <f t="shared" si="95"/>
        <v>-204364.92007479366</v>
      </c>
      <c r="K157" s="965">
        <f t="shared" si="95"/>
        <v>-204364.92007479366</v>
      </c>
      <c r="L157" s="965">
        <f t="shared" si="95"/>
        <v>0</v>
      </c>
      <c r="M157" s="965">
        <f t="shared" si="95"/>
        <v>0</v>
      </c>
      <c r="N157" s="965">
        <f t="shared" si="95"/>
        <v>0</v>
      </c>
      <c r="O157" s="965">
        <f t="shared" si="95"/>
        <v>0</v>
      </c>
      <c r="P157" s="965">
        <f t="shared" si="95"/>
        <v>0</v>
      </c>
      <c r="Q157" s="965">
        <f t="shared" si="95"/>
        <v>0</v>
      </c>
      <c r="R157" s="965">
        <f t="shared" si="95"/>
        <v>0</v>
      </c>
      <c r="S157" s="965">
        <f t="shared" si="95"/>
        <v>0</v>
      </c>
      <c r="T157" s="965">
        <f t="shared" si="95"/>
        <v>0</v>
      </c>
      <c r="U157" s="965">
        <f t="shared" si="95"/>
        <v>0</v>
      </c>
      <c r="V157" s="965">
        <f t="shared" si="95"/>
        <v>0</v>
      </c>
      <c r="W157" s="965">
        <f t="shared" si="95"/>
        <v>0</v>
      </c>
      <c r="X157" s="965">
        <f t="shared" si="95"/>
        <v>0</v>
      </c>
      <c r="Y157" s="965">
        <f t="shared" si="95"/>
        <v>0</v>
      </c>
      <c r="Z157" s="965">
        <f t="shared" si="95"/>
        <v>0</v>
      </c>
      <c r="AA157" s="965">
        <f t="shared" si="95"/>
        <v>0</v>
      </c>
      <c r="AB157" s="965">
        <f t="shared" si="95"/>
        <v>0</v>
      </c>
      <c r="AC157" s="965">
        <f t="shared" si="95"/>
        <v>0</v>
      </c>
      <c r="AD157" s="965">
        <f t="shared" si="95"/>
        <v>0</v>
      </c>
      <c r="AE157" s="965">
        <f t="shared" si="95"/>
        <v>0</v>
      </c>
      <c r="AF157" s="965">
        <f t="shared" si="95"/>
        <v>0</v>
      </c>
      <c r="AG157" s="965">
        <f t="shared" si="95"/>
        <v>0</v>
      </c>
      <c r="AH157" s="965">
        <f t="shared" si="95"/>
        <v>0</v>
      </c>
      <c r="AI157" s="965">
        <f t="shared" si="95"/>
        <v>0</v>
      </c>
      <c r="AJ157" s="965">
        <f t="shared" si="95"/>
        <v>0</v>
      </c>
      <c r="AK157" s="965">
        <f t="shared" si="95"/>
        <v>0</v>
      </c>
      <c r="AL157" s="965">
        <f t="shared" si="95"/>
        <v>0</v>
      </c>
      <c r="AM157" s="965">
        <f t="shared" si="95"/>
        <v>0</v>
      </c>
      <c r="AN157" s="965">
        <f t="shared" si="95"/>
        <v>0</v>
      </c>
      <c r="AO157" s="965">
        <f t="shared" si="95"/>
        <v>0</v>
      </c>
      <c r="AP157" s="965">
        <f t="shared" si="95"/>
        <v>0</v>
      </c>
      <c r="AQ157" s="965">
        <f t="shared" si="95"/>
        <v>0</v>
      </c>
      <c r="AR157" s="965">
        <f t="shared" si="95"/>
        <v>0</v>
      </c>
      <c r="AS157" s="965">
        <f t="shared" si="95"/>
        <v>0</v>
      </c>
      <c r="AT157" s="965">
        <f t="shared" si="95"/>
        <v>0</v>
      </c>
      <c r="AU157" s="166"/>
      <c r="AV157" s="166"/>
      <c r="AW157" s="166"/>
      <c r="AX157" s="166"/>
      <c r="AY157" s="166"/>
      <c r="AZ157" s="166"/>
      <c r="BA157" s="166"/>
      <c r="BB157" s="166"/>
      <c r="BC157" s="166"/>
      <c r="BD157" s="166"/>
      <c r="BE157" s="166"/>
      <c r="BF157" s="166"/>
      <c r="BG157" s="166"/>
      <c r="BH157" s="166"/>
      <c r="BI157" s="166"/>
      <c r="BJ157" s="166"/>
      <c r="BK157" s="166"/>
      <c r="BL157" s="166"/>
      <c r="BM157" s="166"/>
      <c r="BN157" s="166"/>
    </row>
    <row r="158" spans="2:66" x14ac:dyDescent="0.25">
      <c r="B158" s="831" t="str">
        <f t="shared" si="96"/>
        <v>Activos iniciales - Valor residual</v>
      </c>
      <c r="C158" s="965">
        <f t="shared" si="95"/>
        <v>0</v>
      </c>
      <c r="D158" s="965">
        <f t="shared" si="95"/>
        <v>0</v>
      </c>
      <c r="E158" s="965">
        <f t="shared" si="95"/>
        <v>0</v>
      </c>
      <c r="F158" s="965">
        <f t="shared" si="95"/>
        <v>0</v>
      </c>
      <c r="G158" s="965">
        <f t="shared" si="95"/>
        <v>123619947.34560698</v>
      </c>
      <c r="H158" s="965">
        <f t="shared" si="95"/>
        <v>119957103.08702216</v>
      </c>
      <c r="I158" s="965">
        <f t="shared" si="95"/>
        <v>116294258.82843733</v>
      </c>
      <c r="J158" s="965">
        <f t="shared" si="95"/>
        <v>112631414.5698525</v>
      </c>
      <c r="K158" s="965">
        <f t="shared" si="95"/>
        <v>108968570.31126767</v>
      </c>
      <c r="L158" s="965">
        <f t="shared" si="95"/>
        <v>105510090.97275764</v>
      </c>
      <c r="M158" s="965">
        <f t="shared" si="95"/>
        <v>102051611.6342476</v>
      </c>
      <c r="N158" s="965">
        <f t="shared" si="95"/>
        <v>98593132.295737565</v>
      </c>
      <c r="O158" s="965">
        <f t="shared" si="95"/>
        <v>95134652.957227528</v>
      </c>
      <c r="P158" s="965">
        <f t="shared" si="95"/>
        <v>91676173.618717492</v>
      </c>
      <c r="Q158" s="965">
        <f t="shared" si="95"/>
        <v>88700783.613658682</v>
      </c>
      <c r="R158" s="965">
        <f t="shared" si="95"/>
        <v>85725393.608599871</v>
      </c>
      <c r="S158" s="965">
        <f t="shared" si="95"/>
        <v>82750003.603541061</v>
      </c>
      <c r="T158" s="965">
        <f t="shared" si="95"/>
        <v>79774613.598482251</v>
      </c>
      <c r="U158" s="965">
        <f t="shared" si="95"/>
        <v>76799223.593423441</v>
      </c>
      <c r="V158" s="965">
        <f t="shared" si="95"/>
        <v>74669894.337906614</v>
      </c>
      <c r="W158" s="965">
        <f t="shared" si="95"/>
        <v>72540565.082389787</v>
      </c>
      <c r="X158" s="965">
        <f t="shared" si="95"/>
        <v>70411235.82687296</v>
      </c>
      <c r="Y158" s="965">
        <f t="shared" si="95"/>
        <v>68281906.571356133</v>
      </c>
      <c r="Z158" s="965">
        <f t="shared" si="95"/>
        <v>66152577.315839306</v>
      </c>
      <c r="AA158" s="965">
        <f t="shared" si="95"/>
        <v>64023248.060322478</v>
      </c>
      <c r="AB158" s="965">
        <f t="shared" si="95"/>
        <v>61893918.804805651</v>
      </c>
      <c r="AC158" s="965">
        <f t="shared" si="95"/>
        <v>59764589.549288824</v>
      </c>
      <c r="AD158" s="965">
        <f t="shared" si="95"/>
        <v>57635260.293771997</v>
      </c>
      <c r="AE158" s="965">
        <f t="shared" si="95"/>
        <v>55505931.03825517</v>
      </c>
      <c r="AF158" s="965">
        <f t="shared" si="95"/>
        <v>53376601.782738343</v>
      </c>
      <c r="AG158" s="965">
        <f t="shared" si="95"/>
        <v>51247272.527221516</v>
      </c>
      <c r="AH158" s="965">
        <f t="shared" si="95"/>
        <v>49117943.271704689</v>
      </c>
      <c r="AI158" s="965">
        <f t="shared" si="95"/>
        <v>46988614.016187862</v>
      </c>
      <c r="AJ158" s="965">
        <f t="shared" si="95"/>
        <v>44859284.760671034</v>
      </c>
      <c r="AK158" s="965">
        <f t="shared" si="95"/>
        <v>42729955.505154207</v>
      </c>
      <c r="AL158" s="965">
        <f t="shared" si="95"/>
        <v>40600626.24963738</v>
      </c>
      <c r="AM158" s="965">
        <f t="shared" si="95"/>
        <v>38471296.994120553</v>
      </c>
      <c r="AN158" s="965">
        <f t="shared" si="95"/>
        <v>36341967.738603726</v>
      </c>
      <c r="AO158" s="965">
        <f t="shared" si="95"/>
        <v>34212638.483086899</v>
      </c>
      <c r="AP158" s="965">
        <f t="shared" si="95"/>
        <v>32083309.227570068</v>
      </c>
      <c r="AQ158" s="965">
        <f t="shared" si="95"/>
        <v>29953979.972053237</v>
      </c>
      <c r="AR158" s="965">
        <f t="shared" si="95"/>
        <v>27824650.716536406</v>
      </c>
      <c r="AS158" s="965">
        <f t="shared" si="95"/>
        <v>25695321.461019576</v>
      </c>
      <c r="AT158" s="965">
        <f t="shared" si="95"/>
        <v>23565992.205502745</v>
      </c>
      <c r="AU158" s="166"/>
      <c r="AV158" s="166"/>
      <c r="AW158" s="166"/>
      <c r="AX158" s="166"/>
      <c r="AY158" s="166"/>
      <c r="AZ158" s="166"/>
      <c r="BA158" s="166"/>
      <c r="BB158" s="166"/>
      <c r="BC158" s="166"/>
      <c r="BD158" s="166"/>
      <c r="BE158" s="166"/>
      <c r="BF158" s="166"/>
      <c r="BG158" s="166"/>
      <c r="BH158" s="166"/>
      <c r="BI158" s="166"/>
      <c r="BJ158" s="166"/>
      <c r="BK158" s="166"/>
      <c r="BL158" s="166"/>
      <c r="BM158" s="166"/>
      <c r="BN158" s="166"/>
    </row>
    <row r="159" spans="2:66" x14ac:dyDescent="0.25">
      <c r="B159" s="831" t="str">
        <f t="shared" si="96"/>
        <v>Activos nuevos 1 - Depreciacion 10 años</v>
      </c>
      <c r="C159" s="965">
        <f t="shared" si="95"/>
        <v>0</v>
      </c>
      <c r="D159" s="965">
        <f t="shared" si="95"/>
        <v>0</v>
      </c>
      <c r="E159" s="965">
        <f t="shared" si="95"/>
        <v>0</v>
      </c>
      <c r="F159" s="965">
        <f t="shared" si="95"/>
        <v>0</v>
      </c>
      <c r="G159" s="965">
        <f t="shared" si="95"/>
        <v>0</v>
      </c>
      <c r="H159" s="965">
        <f t="shared" si="95"/>
        <v>0</v>
      </c>
      <c r="I159" s="965">
        <f t="shared" ref="C159:AT164" si="97">I83</f>
        <v>0</v>
      </c>
      <c r="J159" s="965">
        <f t="shared" si="97"/>
        <v>0</v>
      </c>
      <c r="K159" s="965">
        <f t="shared" si="97"/>
        <v>0</v>
      </c>
      <c r="L159" s="965">
        <f t="shared" si="97"/>
        <v>0</v>
      </c>
      <c r="M159" s="965">
        <f t="shared" si="97"/>
        <v>0</v>
      </c>
      <c r="N159" s="965">
        <f t="shared" si="97"/>
        <v>0</v>
      </c>
      <c r="O159" s="965">
        <f t="shared" si="97"/>
        <v>0</v>
      </c>
      <c r="P159" s="965">
        <f t="shared" si="97"/>
        <v>0</v>
      </c>
      <c r="Q159" s="965">
        <f t="shared" si="97"/>
        <v>0</v>
      </c>
      <c r="R159" s="965">
        <f t="shared" si="97"/>
        <v>-618548.40493797127</v>
      </c>
      <c r="S159" s="965">
        <f t="shared" si="97"/>
        <v>-618548.40493797127</v>
      </c>
      <c r="T159" s="965">
        <f t="shared" si="97"/>
        <v>-618548.40493797127</v>
      </c>
      <c r="U159" s="965">
        <f t="shared" si="97"/>
        <v>-618548.40493797127</v>
      </c>
      <c r="V159" s="965">
        <f t="shared" si="97"/>
        <v>-618548.40493797127</v>
      </c>
      <c r="W159" s="965">
        <f t="shared" si="97"/>
        <v>-618548.40493797127</v>
      </c>
      <c r="X159" s="965">
        <f t="shared" si="97"/>
        <v>-618548.40493797127</v>
      </c>
      <c r="Y159" s="965">
        <f t="shared" si="97"/>
        <v>-618548.40493797127</v>
      </c>
      <c r="Z159" s="965">
        <f t="shared" si="97"/>
        <v>-618548.40493797127</v>
      </c>
      <c r="AA159" s="965">
        <f t="shared" si="97"/>
        <v>-618548.40493797127</v>
      </c>
      <c r="AB159" s="965">
        <f t="shared" si="97"/>
        <v>-618548.40493797127</v>
      </c>
      <c r="AC159" s="965">
        <f t="shared" si="97"/>
        <v>0</v>
      </c>
      <c r="AD159" s="965">
        <f t="shared" si="97"/>
        <v>0</v>
      </c>
      <c r="AE159" s="965">
        <f t="shared" si="97"/>
        <v>0</v>
      </c>
      <c r="AF159" s="965">
        <f t="shared" si="97"/>
        <v>0</v>
      </c>
      <c r="AG159" s="965">
        <f t="shared" si="97"/>
        <v>0</v>
      </c>
      <c r="AH159" s="965">
        <f t="shared" si="97"/>
        <v>0</v>
      </c>
      <c r="AI159" s="965">
        <f t="shared" si="97"/>
        <v>0</v>
      </c>
      <c r="AJ159" s="965">
        <f t="shared" si="97"/>
        <v>0</v>
      </c>
      <c r="AK159" s="965">
        <f t="shared" si="97"/>
        <v>0</v>
      </c>
      <c r="AL159" s="965">
        <f t="shared" si="97"/>
        <v>0</v>
      </c>
      <c r="AM159" s="965">
        <f t="shared" si="97"/>
        <v>0</v>
      </c>
      <c r="AN159" s="965">
        <f t="shared" si="97"/>
        <v>0</v>
      </c>
      <c r="AO159" s="965">
        <f t="shared" si="97"/>
        <v>0</v>
      </c>
      <c r="AP159" s="965">
        <f t="shared" si="97"/>
        <v>0</v>
      </c>
      <c r="AQ159" s="965">
        <f t="shared" si="97"/>
        <v>0</v>
      </c>
      <c r="AR159" s="965">
        <f t="shared" si="97"/>
        <v>0</v>
      </c>
      <c r="AS159" s="965">
        <f t="shared" si="97"/>
        <v>0</v>
      </c>
      <c r="AT159" s="965">
        <f t="shared" si="97"/>
        <v>0</v>
      </c>
      <c r="AU159" s="166"/>
      <c r="AV159" s="166"/>
      <c r="AW159" s="166"/>
      <c r="AX159" s="166"/>
      <c r="AY159" s="166"/>
      <c r="AZ159" s="166"/>
      <c r="BA159" s="166"/>
      <c r="BB159" s="166"/>
      <c r="BC159" s="166"/>
      <c r="BD159" s="166"/>
      <c r="BE159" s="166"/>
      <c r="BF159" s="166"/>
      <c r="BG159" s="166"/>
      <c r="BH159" s="166"/>
      <c r="BI159" s="166"/>
      <c r="BJ159" s="166"/>
      <c r="BK159" s="166"/>
      <c r="BL159" s="166"/>
      <c r="BM159" s="166"/>
      <c r="BN159" s="166"/>
    </row>
    <row r="160" spans="2:66" x14ac:dyDescent="0.25">
      <c r="B160" s="831" t="str">
        <f t="shared" si="96"/>
        <v>Activos nuevos 1 - Valor residual</v>
      </c>
      <c r="C160" s="965">
        <f t="shared" si="97"/>
        <v>0</v>
      </c>
      <c r="D160" s="965">
        <f t="shared" si="97"/>
        <v>0</v>
      </c>
      <c r="E160" s="965">
        <f t="shared" si="97"/>
        <v>0</v>
      </c>
      <c r="F160" s="965">
        <f t="shared" si="97"/>
        <v>0</v>
      </c>
      <c r="G160" s="965">
        <f t="shared" si="97"/>
        <v>0</v>
      </c>
      <c r="H160" s="965">
        <f t="shared" si="97"/>
        <v>0</v>
      </c>
      <c r="I160" s="965">
        <f t="shared" si="97"/>
        <v>0</v>
      </c>
      <c r="J160" s="965">
        <f t="shared" si="97"/>
        <v>0</v>
      </c>
      <c r="K160" s="965">
        <f t="shared" si="97"/>
        <v>0</v>
      </c>
      <c r="L160" s="965">
        <f t="shared" si="97"/>
        <v>0</v>
      </c>
      <c r="M160" s="965">
        <f t="shared" si="97"/>
        <v>0</v>
      </c>
      <c r="N160" s="965">
        <f t="shared" si="97"/>
        <v>0</v>
      </c>
      <c r="O160" s="965">
        <f t="shared" si="97"/>
        <v>0</v>
      </c>
      <c r="P160" s="965">
        <f t="shared" si="97"/>
        <v>0</v>
      </c>
      <c r="Q160" s="965">
        <f t="shared" si="97"/>
        <v>0</v>
      </c>
      <c r="R160" s="965">
        <f t="shared" si="97"/>
        <v>6185484.0493797129</v>
      </c>
      <c r="S160" s="965">
        <f t="shared" si="97"/>
        <v>5566935.6444417415</v>
      </c>
      <c r="T160" s="965">
        <f t="shared" si="97"/>
        <v>4948387.2395037701</v>
      </c>
      <c r="U160" s="965">
        <f t="shared" si="97"/>
        <v>4329838.8345657988</v>
      </c>
      <c r="V160" s="965">
        <f t="shared" si="97"/>
        <v>3711290.4296278274</v>
      </c>
      <c r="W160" s="965">
        <f t="shared" si="97"/>
        <v>3092742.024689856</v>
      </c>
      <c r="X160" s="965">
        <f t="shared" si="97"/>
        <v>2474193.6197518846</v>
      </c>
      <c r="Y160" s="965">
        <f t="shared" si="97"/>
        <v>1855645.2148139132</v>
      </c>
      <c r="Z160" s="965">
        <f t="shared" si="97"/>
        <v>1237096.8098759418</v>
      </c>
      <c r="AA160" s="965">
        <f t="shared" si="97"/>
        <v>618548.40493797057</v>
      </c>
      <c r="AB160" s="965">
        <f t="shared" si="97"/>
        <v>0</v>
      </c>
      <c r="AC160" s="965">
        <f t="shared" si="97"/>
        <v>0</v>
      </c>
      <c r="AD160" s="965">
        <f t="shared" si="97"/>
        <v>0</v>
      </c>
      <c r="AE160" s="965">
        <f t="shared" si="97"/>
        <v>0</v>
      </c>
      <c r="AF160" s="965">
        <f t="shared" si="97"/>
        <v>0</v>
      </c>
      <c r="AG160" s="965">
        <f t="shared" si="97"/>
        <v>0</v>
      </c>
      <c r="AH160" s="965">
        <f t="shared" si="97"/>
        <v>0</v>
      </c>
      <c r="AI160" s="965">
        <f t="shared" si="97"/>
        <v>0</v>
      </c>
      <c r="AJ160" s="965">
        <f t="shared" si="97"/>
        <v>0</v>
      </c>
      <c r="AK160" s="965">
        <f t="shared" si="97"/>
        <v>0</v>
      </c>
      <c r="AL160" s="965">
        <f t="shared" si="97"/>
        <v>0</v>
      </c>
      <c r="AM160" s="965">
        <f t="shared" si="97"/>
        <v>0</v>
      </c>
      <c r="AN160" s="965">
        <f t="shared" si="97"/>
        <v>0</v>
      </c>
      <c r="AO160" s="965">
        <f t="shared" si="97"/>
        <v>0</v>
      </c>
      <c r="AP160" s="965">
        <f t="shared" si="97"/>
        <v>0</v>
      </c>
      <c r="AQ160" s="965">
        <f t="shared" si="97"/>
        <v>0</v>
      </c>
      <c r="AR160" s="965">
        <f t="shared" si="97"/>
        <v>0</v>
      </c>
      <c r="AS160" s="965">
        <f t="shared" si="97"/>
        <v>0</v>
      </c>
      <c r="AT160" s="965">
        <f t="shared" si="97"/>
        <v>0</v>
      </c>
      <c r="AU160" s="166"/>
      <c r="AV160" s="166"/>
      <c r="AW160" s="166"/>
      <c r="AX160" s="166"/>
      <c r="AY160" s="166"/>
      <c r="AZ160" s="166"/>
      <c r="BA160" s="166"/>
      <c r="BB160" s="166"/>
      <c r="BC160" s="166"/>
      <c r="BD160" s="166"/>
      <c r="BE160" s="166"/>
      <c r="BF160" s="166"/>
      <c r="BG160" s="166"/>
      <c r="BH160" s="166"/>
      <c r="BI160" s="166"/>
      <c r="BJ160" s="166"/>
      <c r="BK160" s="166"/>
      <c r="BL160" s="166"/>
      <c r="BM160" s="166"/>
      <c r="BN160" s="166"/>
    </row>
    <row r="161" spans="2:66" x14ac:dyDescent="0.25">
      <c r="B161" s="831" t="str">
        <f t="shared" si="96"/>
        <v>Activos nuevos 2 - Depreciacion 15 años</v>
      </c>
      <c r="C161" s="965">
        <f t="shared" si="97"/>
        <v>0</v>
      </c>
      <c r="D161" s="965">
        <f t="shared" si="97"/>
        <v>0</v>
      </c>
      <c r="E161" s="965">
        <f t="shared" si="97"/>
        <v>0</v>
      </c>
      <c r="F161" s="965">
        <f t="shared" si="97"/>
        <v>0</v>
      </c>
      <c r="G161" s="965">
        <f t="shared" si="97"/>
        <v>0</v>
      </c>
      <c r="H161" s="965">
        <f t="shared" si="97"/>
        <v>0</v>
      </c>
      <c r="I161" s="965">
        <f t="shared" si="97"/>
        <v>0</v>
      </c>
      <c r="J161" s="965">
        <f t="shared" si="97"/>
        <v>0</v>
      </c>
      <c r="K161" s="965">
        <f t="shared" si="97"/>
        <v>0</v>
      </c>
      <c r="L161" s="965">
        <f t="shared" si="97"/>
        <v>0</v>
      </c>
      <c r="M161" s="965">
        <f t="shared" si="97"/>
        <v>0</v>
      </c>
      <c r="N161" s="965">
        <f t="shared" si="97"/>
        <v>0</v>
      </c>
      <c r="O161" s="965">
        <f t="shared" si="97"/>
        <v>0</v>
      </c>
      <c r="P161" s="965">
        <f t="shared" si="97"/>
        <v>0</v>
      </c>
      <c r="Q161" s="965">
        <f t="shared" si="97"/>
        <v>0</v>
      </c>
      <c r="R161" s="965">
        <f t="shared" si="97"/>
        <v>0</v>
      </c>
      <c r="S161" s="965">
        <f t="shared" si="97"/>
        <v>0</v>
      </c>
      <c r="T161" s="965">
        <f t="shared" si="97"/>
        <v>0</v>
      </c>
      <c r="U161" s="965">
        <f t="shared" si="97"/>
        <v>0</v>
      </c>
      <c r="V161" s="965">
        <f t="shared" si="97"/>
        <v>0</v>
      </c>
      <c r="W161" s="965">
        <f t="shared" si="97"/>
        <v>0</v>
      </c>
      <c r="X161" s="965">
        <f t="shared" si="97"/>
        <v>-1175246.5745210485</v>
      </c>
      <c r="Y161" s="965">
        <f t="shared" si="97"/>
        <v>-1175246.5745210485</v>
      </c>
      <c r="Z161" s="965">
        <f t="shared" si="97"/>
        <v>-1175246.5745210485</v>
      </c>
      <c r="AA161" s="965">
        <f t="shared" si="97"/>
        <v>-1175246.5745210485</v>
      </c>
      <c r="AB161" s="965">
        <f t="shared" si="97"/>
        <v>-1175246.5745210485</v>
      </c>
      <c r="AC161" s="965">
        <f t="shared" si="97"/>
        <v>-1175246.5745210485</v>
      </c>
      <c r="AD161" s="965">
        <f t="shared" si="97"/>
        <v>-1175246.5745210485</v>
      </c>
      <c r="AE161" s="965">
        <f t="shared" si="97"/>
        <v>-1175246.5745210485</v>
      </c>
      <c r="AF161" s="965">
        <f t="shared" si="97"/>
        <v>-1175246.5745210485</v>
      </c>
      <c r="AG161" s="965">
        <f t="shared" si="97"/>
        <v>-1175246.5745210485</v>
      </c>
      <c r="AH161" s="965">
        <f t="shared" si="97"/>
        <v>-1175246.5745210485</v>
      </c>
      <c r="AI161" s="965">
        <f t="shared" si="97"/>
        <v>-1175246.5745210485</v>
      </c>
      <c r="AJ161" s="965">
        <f t="shared" si="97"/>
        <v>-1175246.5745210485</v>
      </c>
      <c r="AK161" s="965">
        <f t="shared" si="97"/>
        <v>-1175246.5745210485</v>
      </c>
      <c r="AL161" s="965">
        <f t="shared" si="97"/>
        <v>-1175246.5745210485</v>
      </c>
      <c r="AM161" s="965">
        <f t="shared" si="97"/>
        <v>0</v>
      </c>
      <c r="AN161" s="965">
        <f t="shared" si="97"/>
        <v>0</v>
      </c>
      <c r="AO161" s="965">
        <f t="shared" si="97"/>
        <v>0</v>
      </c>
      <c r="AP161" s="965">
        <f t="shared" si="97"/>
        <v>0</v>
      </c>
      <c r="AQ161" s="965">
        <f t="shared" si="97"/>
        <v>0</v>
      </c>
      <c r="AR161" s="965">
        <f t="shared" si="97"/>
        <v>0</v>
      </c>
      <c r="AS161" s="965">
        <f t="shared" si="97"/>
        <v>0</v>
      </c>
      <c r="AT161" s="965">
        <f t="shared" si="97"/>
        <v>0</v>
      </c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/>
      <c r="BK161" s="166"/>
      <c r="BL161" s="166"/>
      <c r="BM161" s="166"/>
      <c r="BN161" s="166"/>
    </row>
    <row r="162" spans="2:66" x14ac:dyDescent="0.25">
      <c r="B162" s="831" t="str">
        <f t="shared" si="96"/>
        <v>Activos nuevos 2 - Valor residual</v>
      </c>
      <c r="C162" s="965">
        <f t="shared" si="97"/>
        <v>0</v>
      </c>
      <c r="D162" s="965">
        <f t="shared" si="97"/>
        <v>0</v>
      </c>
      <c r="E162" s="965">
        <f t="shared" si="97"/>
        <v>0</v>
      </c>
      <c r="F162" s="965">
        <f t="shared" si="97"/>
        <v>0</v>
      </c>
      <c r="G162" s="965">
        <f t="shared" si="97"/>
        <v>0</v>
      </c>
      <c r="H162" s="965">
        <f t="shared" si="97"/>
        <v>0</v>
      </c>
      <c r="I162" s="965">
        <f t="shared" si="97"/>
        <v>0</v>
      </c>
      <c r="J162" s="965">
        <f t="shared" si="97"/>
        <v>0</v>
      </c>
      <c r="K162" s="965">
        <f t="shared" si="97"/>
        <v>0</v>
      </c>
      <c r="L162" s="965">
        <f t="shared" si="97"/>
        <v>0</v>
      </c>
      <c r="M162" s="965">
        <f t="shared" si="97"/>
        <v>0</v>
      </c>
      <c r="N162" s="965">
        <f t="shared" si="97"/>
        <v>0</v>
      </c>
      <c r="O162" s="965">
        <f t="shared" si="97"/>
        <v>0</v>
      </c>
      <c r="P162" s="965">
        <f t="shared" si="97"/>
        <v>0</v>
      </c>
      <c r="Q162" s="965">
        <f t="shared" si="97"/>
        <v>0</v>
      </c>
      <c r="R162" s="965">
        <f t="shared" si="97"/>
        <v>0</v>
      </c>
      <c r="S162" s="965">
        <f t="shared" si="97"/>
        <v>0</v>
      </c>
      <c r="T162" s="965">
        <f t="shared" si="97"/>
        <v>0</v>
      </c>
      <c r="U162" s="965">
        <f t="shared" si="97"/>
        <v>0</v>
      </c>
      <c r="V162" s="965">
        <f t="shared" si="97"/>
        <v>0</v>
      </c>
      <c r="W162" s="965">
        <f t="shared" si="97"/>
        <v>0</v>
      </c>
      <c r="X162" s="965">
        <f t="shared" si="97"/>
        <v>16453452.043294678</v>
      </c>
      <c r="Y162" s="965">
        <f t="shared" si="97"/>
        <v>15278205.46877363</v>
      </c>
      <c r="Z162" s="965">
        <f t="shared" si="97"/>
        <v>14102958.894252582</v>
      </c>
      <c r="AA162" s="965">
        <f t="shared" si="97"/>
        <v>12927712.319731534</v>
      </c>
      <c r="AB162" s="965">
        <f t="shared" si="97"/>
        <v>11752465.745210486</v>
      </c>
      <c r="AC162" s="965">
        <f t="shared" si="97"/>
        <v>10577219.170689438</v>
      </c>
      <c r="AD162" s="965">
        <f t="shared" si="97"/>
        <v>9401972.5961683895</v>
      </c>
      <c r="AE162" s="965">
        <f t="shared" si="97"/>
        <v>8226726.0216473415</v>
      </c>
      <c r="AF162" s="965">
        <f t="shared" si="97"/>
        <v>7051479.4471262936</v>
      </c>
      <c r="AG162" s="965">
        <f t="shared" si="97"/>
        <v>5876232.8726052456</v>
      </c>
      <c r="AH162" s="965">
        <f t="shared" si="97"/>
        <v>4700986.2980841976</v>
      </c>
      <c r="AI162" s="965">
        <f t="shared" si="97"/>
        <v>3525739.7235631491</v>
      </c>
      <c r="AJ162" s="965">
        <f t="shared" si="97"/>
        <v>2350493.1490421006</v>
      </c>
      <c r="AK162" s="965">
        <f t="shared" si="97"/>
        <v>1175246.5745210522</v>
      </c>
      <c r="AL162" s="965">
        <f t="shared" si="97"/>
        <v>3.7252902984619141E-9</v>
      </c>
      <c r="AM162" s="965">
        <f t="shared" si="97"/>
        <v>0</v>
      </c>
      <c r="AN162" s="965">
        <f t="shared" si="97"/>
        <v>0</v>
      </c>
      <c r="AO162" s="965">
        <f t="shared" si="97"/>
        <v>0</v>
      </c>
      <c r="AP162" s="965">
        <f t="shared" si="97"/>
        <v>0</v>
      </c>
      <c r="AQ162" s="965">
        <f t="shared" si="97"/>
        <v>0</v>
      </c>
      <c r="AR162" s="965">
        <f t="shared" si="97"/>
        <v>0</v>
      </c>
      <c r="AS162" s="965">
        <f t="shared" si="97"/>
        <v>0</v>
      </c>
      <c r="AT162" s="965">
        <f t="shared" si="97"/>
        <v>0</v>
      </c>
      <c r="AU162" s="166"/>
      <c r="AV162" s="166"/>
      <c r="AW162" s="166"/>
      <c r="AX162" s="166"/>
      <c r="AY162" s="166"/>
      <c r="AZ162" s="166"/>
      <c r="BA162" s="166"/>
      <c r="BB162" s="166"/>
      <c r="BC162" s="166"/>
      <c r="BD162" s="166"/>
      <c r="BE162" s="166"/>
      <c r="BF162" s="166"/>
      <c r="BG162" s="166"/>
      <c r="BH162" s="166"/>
      <c r="BI162" s="166"/>
      <c r="BJ162" s="166"/>
      <c r="BK162" s="166"/>
      <c r="BL162" s="166"/>
      <c r="BM162" s="166"/>
      <c r="BN162" s="166"/>
    </row>
    <row r="163" spans="2:66" x14ac:dyDescent="0.25">
      <c r="B163" s="831" t="str">
        <f t="shared" si="96"/>
        <v>Activos nuevos 3 - Depreciacion 10 años</v>
      </c>
      <c r="C163" s="965">
        <f t="shared" si="97"/>
        <v>0</v>
      </c>
      <c r="D163" s="965">
        <f t="shared" si="97"/>
        <v>0</v>
      </c>
      <c r="E163" s="965">
        <f t="shared" si="97"/>
        <v>0</v>
      </c>
      <c r="F163" s="965">
        <f t="shared" si="97"/>
        <v>0</v>
      </c>
      <c r="G163" s="965">
        <f t="shared" si="97"/>
        <v>0</v>
      </c>
      <c r="H163" s="965">
        <f t="shared" si="97"/>
        <v>0</v>
      </c>
      <c r="I163" s="965">
        <f t="shared" si="97"/>
        <v>0</v>
      </c>
      <c r="J163" s="965">
        <f t="shared" si="97"/>
        <v>0</v>
      </c>
      <c r="K163" s="965">
        <f t="shared" si="97"/>
        <v>0</v>
      </c>
      <c r="L163" s="965">
        <f t="shared" si="97"/>
        <v>0</v>
      </c>
      <c r="M163" s="965">
        <f t="shared" si="97"/>
        <v>0</v>
      </c>
      <c r="N163" s="965">
        <f t="shared" si="97"/>
        <v>0</v>
      </c>
      <c r="O163" s="965">
        <f t="shared" si="97"/>
        <v>0</v>
      </c>
      <c r="P163" s="965">
        <f t="shared" si="97"/>
        <v>0</v>
      </c>
      <c r="Q163" s="965">
        <f t="shared" si="97"/>
        <v>0</v>
      </c>
      <c r="R163" s="965">
        <f t="shared" si="97"/>
        <v>0</v>
      </c>
      <c r="S163" s="965">
        <f t="shared" si="97"/>
        <v>0</v>
      </c>
      <c r="T163" s="965">
        <f t="shared" si="97"/>
        <v>0</v>
      </c>
      <c r="U163" s="965">
        <f t="shared" si="97"/>
        <v>0</v>
      </c>
      <c r="V163" s="965">
        <f t="shared" si="97"/>
        <v>0</v>
      </c>
      <c r="W163" s="965">
        <f t="shared" si="97"/>
        <v>0</v>
      </c>
      <c r="X163" s="965">
        <f t="shared" si="97"/>
        <v>0</v>
      </c>
      <c r="Y163" s="965">
        <f t="shared" si="97"/>
        <v>0</v>
      </c>
      <c r="Z163" s="965">
        <f t="shared" si="97"/>
        <v>0</v>
      </c>
      <c r="AA163" s="965">
        <f t="shared" si="97"/>
        <v>0</v>
      </c>
      <c r="AB163" s="965">
        <f t="shared" si="97"/>
        <v>0</v>
      </c>
      <c r="AC163" s="965">
        <f t="shared" si="97"/>
        <v>-767541.03117502527</v>
      </c>
      <c r="AD163" s="965">
        <f t="shared" si="97"/>
        <v>-767541.03117502527</v>
      </c>
      <c r="AE163" s="965">
        <f t="shared" si="97"/>
        <v>-767541.03117502527</v>
      </c>
      <c r="AF163" s="965">
        <f t="shared" si="97"/>
        <v>-767541.03117502527</v>
      </c>
      <c r="AG163" s="965">
        <f t="shared" si="97"/>
        <v>-767541.03117502527</v>
      </c>
      <c r="AH163" s="965">
        <f t="shared" si="97"/>
        <v>-767541.03117502527</v>
      </c>
      <c r="AI163" s="965">
        <f t="shared" si="97"/>
        <v>-767541.03117502527</v>
      </c>
      <c r="AJ163" s="965">
        <f t="shared" si="97"/>
        <v>-767541.03117502527</v>
      </c>
      <c r="AK163" s="965">
        <f t="shared" si="97"/>
        <v>-767541.03117502527</v>
      </c>
      <c r="AL163" s="965">
        <f t="shared" si="97"/>
        <v>-767541.03117502527</v>
      </c>
      <c r="AM163" s="965">
        <f t="shared" si="97"/>
        <v>-767541.03117502527</v>
      </c>
      <c r="AN163" s="965">
        <f t="shared" si="97"/>
        <v>0</v>
      </c>
      <c r="AO163" s="965">
        <f t="shared" si="97"/>
        <v>0</v>
      </c>
      <c r="AP163" s="965">
        <f t="shared" si="97"/>
        <v>0</v>
      </c>
      <c r="AQ163" s="965">
        <f t="shared" si="97"/>
        <v>0</v>
      </c>
      <c r="AR163" s="965">
        <f t="shared" si="97"/>
        <v>0</v>
      </c>
      <c r="AS163" s="965">
        <f t="shared" si="97"/>
        <v>0</v>
      </c>
      <c r="AT163" s="965">
        <f t="shared" si="97"/>
        <v>0</v>
      </c>
      <c r="AU163" s="166"/>
      <c r="AV163" s="166"/>
      <c r="AW163" s="166"/>
      <c r="AX163" s="166"/>
      <c r="AY163" s="166"/>
      <c r="AZ163" s="166"/>
      <c r="BA163" s="166"/>
      <c r="BB163" s="166"/>
      <c r="BC163" s="166"/>
      <c r="BD163" s="166"/>
      <c r="BE163" s="166"/>
      <c r="BF163" s="166"/>
      <c r="BG163" s="166"/>
      <c r="BH163" s="166"/>
      <c r="BI163" s="166"/>
      <c r="BJ163" s="166"/>
      <c r="BK163" s="166"/>
      <c r="BL163" s="166"/>
      <c r="BM163" s="166"/>
      <c r="BN163" s="166"/>
    </row>
    <row r="164" spans="2:66" x14ac:dyDescent="0.25">
      <c r="B164" s="831" t="str">
        <f t="shared" si="96"/>
        <v>Activos nuevos 3 - Valor residual</v>
      </c>
      <c r="C164" s="965">
        <f t="shared" si="97"/>
        <v>0</v>
      </c>
      <c r="D164" s="965">
        <f t="shared" si="97"/>
        <v>0</v>
      </c>
      <c r="E164" s="965">
        <f t="shared" si="97"/>
        <v>0</v>
      </c>
      <c r="F164" s="965">
        <f t="shared" si="97"/>
        <v>0</v>
      </c>
      <c r="G164" s="965">
        <f t="shared" si="97"/>
        <v>0</v>
      </c>
      <c r="H164" s="965">
        <f t="shared" si="97"/>
        <v>0</v>
      </c>
      <c r="I164" s="965">
        <f t="shared" si="97"/>
        <v>0</v>
      </c>
      <c r="J164" s="965">
        <f t="shared" si="97"/>
        <v>0</v>
      </c>
      <c r="K164" s="965">
        <f t="shared" si="97"/>
        <v>0</v>
      </c>
      <c r="L164" s="965">
        <f t="shared" si="97"/>
        <v>0</v>
      </c>
      <c r="M164" s="965">
        <f t="shared" si="97"/>
        <v>0</v>
      </c>
      <c r="N164" s="965">
        <f t="shared" si="97"/>
        <v>0</v>
      </c>
      <c r="O164" s="965">
        <f t="shared" si="97"/>
        <v>0</v>
      </c>
      <c r="P164" s="965">
        <f t="shared" si="97"/>
        <v>0</v>
      </c>
      <c r="Q164" s="965">
        <f t="shared" si="97"/>
        <v>0</v>
      </c>
      <c r="R164" s="965">
        <f t="shared" si="97"/>
        <v>0</v>
      </c>
      <c r="S164" s="965">
        <f t="shared" si="97"/>
        <v>0</v>
      </c>
      <c r="T164" s="965">
        <f t="shared" si="97"/>
        <v>0</v>
      </c>
      <c r="U164" s="965">
        <f t="shared" si="97"/>
        <v>0</v>
      </c>
      <c r="V164" s="965">
        <f t="shared" si="97"/>
        <v>0</v>
      </c>
      <c r="W164" s="965">
        <f t="shared" si="97"/>
        <v>0</v>
      </c>
      <c r="X164" s="965">
        <f t="shared" si="97"/>
        <v>0</v>
      </c>
      <c r="Y164" s="965">
        <f t="shared" si="97"/>
        <v>0</v>
      </c>
      <c r="Z164" s="965">
        <f t="shared" si="97"/>
        <v>0</v>
      </c>
      <c r="AA164" s="965">
        <f t="shared" si="97"/>
        <v>0</v>
      </c>
      <c r="AB164" s="965">
        <f t="shared" si="97"/>
        <v>0</v>
      </c>
      <c r="AC164" s="965">
        <f t="shared" si="97"/>
        <v>7675410.3117502527</v>
      </c>
      <c r="AD164" s="965">
        <f t="shared" si="97"/>
        <v>6907869.280575227</v>
      </c>
      <c r="AE164" s="965">
        <f t="shared" si="97"/>
        <v>6140328.2494002022</v>
      </c>
      <c r="AF164" s="965">
        <f t="shared" si="97"/>
        <v>5372787.2182251774</v>
      </c>
      <c r="AG164" s="965">
        <f t="shared" si="97"/>
        <v>4605246.1870501526</v>
      </c>
      <c r="AH164" s="965">
        <f t="shared" si="97"/>
        <v>3837705.1558751273</v>
      </c>
      <c r="AI164" s="965">
        <f t="shared" si="97"/>
        <v>3070164.124700102</v>
      </c>
      <c r="AJ164" s="965">
        <f t="shared" si="97"/>
        <v>2302623.0935250768</v>
      </c>
      <c r="AK164" s="965">
        <f t="shared" si="97"/>
        <v>1535082.0623500515</v>
      </c>
      <c r="AL164" s="965">
        <f t="shared" si="97"/>
        <v>767541.0311750262</v>
      </c>
      <c r="AM164" s="965">
        <f t="shared" si="97"/>
        <v>9.3132257461547852E-10</v>
      </c>
      <c r="AN164" s="965">
        <f t="shared" si="97"/>
        <v>0</v>
      </c>
      <c r="AO164" s="965">
        <f t="shared" si="97"/>
        <v>0</v>
      </c>
      <c r="AP164" s="965">
        <f t="shared" si="97"/>
        <v>0</v>
      </c>
      <c r="AQ164" s="965">
        <f t="shared" si="97"/>
        <v>0</v>
      </c>
      <c r="AR164" s="965">
        <f t="shared" ref="C164:AT166" si="98">AR88</f>
        <v>0</v>
      </c>
      <c r="AS164" s="965">
        <f t="shared" si="98"/>
        <v>0</v>
      </c>
      <c r="AT164" s="965">
        <f t="shared" si="98"/>
        <v>0</v>
      </c>
      <c r="AU164" s="166"/>
      <c r="AV164" s="166"/>
      <c r="AW164" s="166"/>
      <c r="AX164" s="166"/>
      <c r="AY164" s="166"/>
      <c r="AZ164" s="166"/>
      <c r="BA164" s="166"/>
      <c r="BB164" s="166"/>
      <c r="BC164" s="166"/>
      <c r="BD164" s="166"/>
      <c r="BE164" s="166"/>
      <c r="BF164" s="166"/>
      <c r="BG164" s="166"/>
      <c r="BH164" s="166"/>
      <c r="BI164" s="166"/>
      <c r="BJ164" s="166"/>
      <c r="BK164" s="166"/>
      <c r="BL164" s="166"/>
      <c r="BM164" s="166"/>
      <c r="BN164" s="166"/>
    </row>
    <row r="165" spans="2:66" x14ac:dyDescent="0.25">
      <c r="B165" s="831" t="str">
        <f t="shared" si="96"/>
        <v>Activos nuevos 4 - Depreciacion 15 años</v>
      </c>
      <c r="C165" s="965">
        <f t="shared" si="98"/>
        <v>0</v>
      </c>
      <c r="D165" s="965">
        <f t="shared" si="98"/>
        <v>0</v>
      </c>
      <c r="E165" s="965">
        <f t="shared" si="98"/>
        <v>0</v>
      </c>
      <c r="F165" s="965">
        <f t="shared" si="98"/>
        <v>0</v>
      </c>
      <c r="G165" s="965">
        <f t="shared" si="98"/>
        <v>0</v>
      </c>
      <c r="H165" s="965">
        <f t="shared" si="98"/>
        <v>0</v>
      </c>
      <c r="I165" s="965">
        <f t="shared" si="98"/>
        <v>0</v>
      </c>
      <c r="J165" s="965">
        <f t="shared" si="98"/>
        <v>0</v>
      </c>
      <c r="K165" s="965">
        <f t="shared" si="98"/>
        <v>0</v>
      </c>
      <c r="L165" s="965">
        <f t="shared" si="98"/>
        <v>0</v>
      </c>
      <c r="M165" s="965">
        <f t="shared" si="98"/>
        <v>0</v>
      </c>
      <c r="N165" s="965">
        <f t="shared" si="98"/>
        <v>0</v>
      </c>
      <c r="O165" s="965">
        <f t="shared" si="98"/>
        <v>0</v>
      </c>
      <c r="P165" s="965">
        <f t="shared" si="98"/>
        <v>0</v>
      </c>
      <c r="Q165" s="965">
        <f t="shared" si="98"/>
        <v>0</v>
      </c>
      <c r="R165" s="965">
        <f t="shared" si="98"/>
        <v>0</v>
      </c>
      <c r="S165" s="965">
        <f t="shared" si="98"/>
        <v>0</v>
      </c>
      <c r="T165" s="965">
        <f t="shared" si="98"/>
        <v>0</v>
      </c>
      <c r="U165" s="965">
        <f t="shared" si="98"/>
        <v>0</v>
      </c>
      <c r="V165" s="965">
        <f t="shared" si="98"/>
        <v>0</v>
      </c>
      <c r="W165" s="965">
        <f t="shared" si="98"/>
        <v>0</v>
      </c>
      <c r="X165" s="965">
        <f t="shared" si="98"/>
        <v>0</v>
      </c>
      <c r="Y165" s="965">
        <f t="shared" si="98"/>
        <v>0</v>
      </c>
      <c r="Z165" s="965">
        <f t="shared" si="98"/>
        <v>0</v>
      </c>
      <c r="AA165" s="965">
        <f t="shared" si="98"/>
        <v>0</v>
      </c>
      <c r="AB165" s="965">
        <f t="shared" si="98"/>
        <v>0</v>
      </c>
      <c r="AC165" s="965">
        <f t="shared" si="98"/>
        <v>0</v>
      </c>
      <c r="AD165" s="965">
        <f t="shared" si="98"/>
        <v>0</v>
      </c>
      <c r="AE165" s="965">
        <f t="shared" si="98"/>
        <v>0</v>
      </c>
      <c r="AF165" s="965">
        <f t="shared" si="98"/>
        <v>0</v>
      </c>
      <c r="AG165" s="965">
        <f t="shared" si="98"/>
        <v>0</v>
      </c>
      <c r="AH165" s="965">
        <f t="shared" si="98"/>
        <v>0</v>
      </c>
      <c r="AI165" s="965">
        <f t="shared" si="98"/>
        <v>0</v>
      </c>
      <c r="AJ165" s="965">
        <f t="shared" si="98"/>
        <v>0</v>
      </c>
      <c r="AK165" s="965">
        <f t="shared" si="98"/>
        <v>0</v>
      </c>
      <c r="AL165" s="965">
        <f t="shared" si="98"/>
        <v>0</v>
      </c>
      <c r="AM165" s="965">
        <f t="shared" si="98"/>
        <v>0</v>
      </c>
      <c r="AN165" s="965">
        <f t="shared" si="98"/>
        <v>0</v>
      </c>
      <c r="AO165" s="965">
        <f t="shared" si="98"/>
        <v>-2405856.6464542625</v>
      </c>
      <c r="AP165" s="965">
        <f t="shared" si="98"/>
        <v>-2405856.6464542625</v>
      </c>
      <c r="AQ165" s="965">
        <f t="shared" si="98"/>
        <v>-2405856.6464542625</v>
      </c>
      <c r="AR165" s="965">
        <f t="shared" si="98"/>
        <v>-2405856.6464542625</v>
      </c>
      <c r="AS165" s="965">
        <f t="shared" si="98"/>
        <v>-2405856.6464542625</v>
      </c>
      <c r="AT165" s="965">
        <f t="shared" si="98"/>
        <v>-2405856.6464542625</v>
      </c>
      <c r="AU165" s="166"/>
      <c r="AV165" s="166"/>
      <c r="AW165" s="166"/>
      <c r="AX165" s="166"/>
      <c r="AY165" s="166"/>
      <c r="AZ165" s="166"/>
      <c r="BA165" s="166"/>
      <c r="BB165" s="166"/>
      <c r="BC165" s="166"/>
      <c r="BD165" s="166"/>
      <c r="BE165" s="166"/>
      <c r="BF165" s="166"/>
      <c r="BG165" s="166"/>
      <c r="BH165" s="166"/>
      <c r="BI165" s="166"/>
      <c r="BJ165" s="166"/>
      <c r="BK165" s="166"/>
      <c r="BL165" s="166"/>
      <c r="BM165" s="166"/>
      <c r="BN165" s="166"/>
    </row>
    <row r="166" spans="2:66" x14ac:dyDescent="0.25">
      <c r="B166" s="846" t="str">
        <f t="shared" si="96"/>
        <v>Activos nuevos 4 - Valor residual</v>
      </c>
      <c r="C166" s="968">
        <f t="shared" si="98"/>
        <v>0</v>
      </c>
      <c r="D166" s="968">
        <f t="shared" si="98"/>
        <v>0</v>
      </c>
      <c r="E166" s="968">
        <f t="shared" si="98"/>
        <v>0</v>
      </c>
      <c r="F166" s="968">
        <f t="shared" si="98"/>
        <v>0</v>
      </c>
      <c r="G166" s="968">
        <f t="shared" si="98"/>
        <v>0</v>
      </c>
      <c r="H166" s="968">
        <f t="shared" si="98"/>
        <v>0</v>
      </c>
      <c r="I166" s="968">
        <f t="shared" si="98"/>
        <v>0</v>
      </c>
      <c r="J166" s="968">
        <f t="shared" si="98"/>
        <v>0</v>
      </c>
      <c r="K166" s="968">
        <f t="shared" si="98"/>
        <v>0</v>
      </c>
      <c r="L166" s="968">
        <f t="shared" si="98"/>
        <v>0</v>
      </c>
      <c r="M166" s="968">
        <f t="shared" si="98"/>
        <v>0</v>
      </c>
      <c r="N166" s="968">
        <f t="shared" si="98"/>
        <v>0</v>
      </c>
      <c r="O166" s="968">
        <f t="shared" si="98"/>
        <v>0</v>
      </c>
      <c r="P166" s="968">
        <f t="shared" si="98"/>
        <v>0</v>
      </c>
      <c r="Q166" s="968">
        <f t="shared" si="98"/>
        <v>0</v>
      </c>
      <c r="R166" s="968">
        <f t="shared" si="98"/>
        <v>0</v>
      </c>
      <c r="S166" s="968">
        <f t="shared" si="98"/>
        <v>0</v>
      </c>
      <c r="T166" s="968">
        <f t="shared" si="98"/>
        <v>0</v>
      </c>
      <c r="U166" s="968">
        <f t="shared" si="98"/>
        <v>0</v>
      </c>
      <c r="V166" s="968">
        <f t="shared" si="98"/>
        <v>0</v>
      </c>
      <c r="W166" s="968">
        <f t="shared" si="98"/>
        <v>0</v>
      </c>
      <c r="X166" s="968">
        <f t="shared" si="98"/>
        <v>0</v>
      </c>
      <c r="Y166" s="968">
        <f t="shared" si="98"/>
        <v>0</v>
      </c>
      <c r="Z166" s="968">
        <f t="shared" si="98"/>
        <v>0</v>
      </c>
      <c r="AA166" s="968">
        <f t="shared" si="98"/>
        <v>0</v>
      </c>
      <c r="AB166" s="968">
        <f t="shared" si="98"/>
        <v>0</v>
      </c>
      <c r="AC166" s="968">
        <f t="shared" si="98"/>
        <v>0</v>
      </c>
      <c r="AD166" s="968">
        <f t="shared" si="98"/>
        <v>0</v>
      </c>
      <c r="AE166" s="968">
        <f t="shared" si="98"/>
        <v>0</v>
      </c>
      <c r="AF166" s="968">
        <f t="shared" si="98"/>
        <v>0</v>
      </c>
      <c r="AG166" s="968">
        <f t="shared" si="98"/>
        <v>0</v>
      </c>
      <c r="AH166" s="968">
        <f t="shared" si="98"/>
        <v>0</v>
      </c>
      <c r="AI166" s="968">
        <f t="shared" si="98"/>
        <v>0</v>
      </c>
      <c r="AJ166" s="968">
        <f t="shared" si="98"/>
        <v>0</v>
      </c>
      <c r="AK166" s="968">
        <f t="shared" si="98"/>
        <v>0</v>
      </c>
      <c r="AL166" s="968">
        <f t="shared" si="98"/>
        <v>0</v>
      </c>
      <c r="AM166" s="968">
        <f t="shared" si="98"/>
        <v>0</v>
      </c>
      <c r="AN166" s="968">
        <f t="shared" si="98"/>
        <v>0</v>
      </c>
      <c r="AO166" s="968">
        <f t="shared" si="98"/>
        <v>36087849.696813934</v>
      </c>
      <c r="AP166" s="968">
        <f t="shared" si="98"/>
        <v>33681993.050359674</v>
      </c>
      <c r="AQ166" s="968">
        <f t="shared" si="98"/>
        <v>31276136.40390541</v>
      </c>
      <c r="AR166" s="968">
        <f t="shared" si="98"/>
        <v>28870279.757451147</v>
      </c>
      <c r="AS166" s="968">
        <f t="shared" si="98"/>
        <v>26464423.110996883</v>
      </c>
      <c r="AT166" s="968">
        <f t="shared" si="98"/>
        <v>24058566.46454262</v>
      </c>
      <c r="AU166" s="166"/>
      <c r="AV166" s="166"/>
      <c r="AW166" s="166"/>
      <c r="AX166" s="166"/>
      <c r="AY166" s="166"/>
      <c r="AZ166" s="166"/>
      <c r="BA166" s="166"/>
      <c r="BB166" s="166"/>
      <c r="BC166" s="166"/>
      <c r="BD166" s="166"/>
      <c r="BE166" s="166"/>
      <c r="BF166" s="166"/>
      <c r="BG166" s="166"/>
      <c r="BH166" s="166"/>
      <c r="BI166" s="166"/>
      <c r="BJ166" s="166"/>
      <c r="BK166" s="166"/>
      <c r="BL166" s="166"/>
      <c r="BM166" s="166"/>
      <c r="BN166" s="166"/>
    </row>
    <row r="167" spans="2:66" x14ac:dyDescent="0.25">
      <c r="B167" s="845" t="s">
        <v>441</v>
      </c>
      <c r="C167" s="824">
        <v>0</v>
      </c>
      <c r="D167" s="824">
        <v>0</v>
      </c>
      <c r="E167" s="824">
        <v>0</v>
      </c>
      <c r="F167" s="824">
        <v>0</v>
      </c>
      <c r="G167" s="824">
        <f>SUM(G153:G157)+G159+G161+G163+G165</f>
        <v>-3662844.258584829</v>
      </c>
      <c r="H167" s="824">
        <f t="shared" ref="H167:AT167" si="99">SUM(H153:H157)+H159+H161+H163+H165</f>
        <v>-3662844.258584829</v>
      </c>
      <c r="I167" s="824">
        <f t="shared" si="99"/>
        <v>-3662844.258584829</v>
      </c>
      <c r="J167" s="824">
        <f t="shared" si="99"/>
        <v>-3662844.258584829</v>
      </c>
      <c r="K167" s="824">
        <f t="shared" si="99"/>
        <v>-3662844.258584829</v>
      </c>
      <c r="L167" s="824">
        <f t="shared" si="99"/>
        <v>-3458479.3385100355</v>
      </c>
      <c r="M167" s="824">
        <f t="shared" si="99"/>
        <v>-3458479.3385100355</v>
      </c>
      <c r="N167" s="824">
        <f t="shared" si="99"/>
        <v>-3458479.3385100355</v>
      </c>
      <c r="O167" s="824">
        <f t="shared" si="99"/>
        <v>-3458479.3385100355</v>
      </c>
      <c r="P167" s="824">
        <f t="shared" si="99"/>
        <v>-3458479.3385100355</v>
      </c>
      <c r="Q167" s="824">
        <f t="shared" si="99"/>
        <v>-2975390.0050588157</v>
      </c>
      <c r="R167" s="824">
        <f t="shared" si="99"/>
        <v>-3593938.4099967871</v>
      </c>
      <c r="S167" s="824">
        <f t="shared" si="99"/>
        <v>-3593938.4099967871</v>
      </c>
      <c r="T167" s="824">
        <f t="shared" si="99"/>
        <v>-3593938.4099967871</v>
      </c>
      <c r="U167" s="824">
        <f t="shared" si="99"/>
        <v>-3593938.4099967871</v>
      </c>
      <c r="V167" s="824">
        <f t="shared" si="99"/>
        <v>-2747877.6604548013</v>
      </c>
      <c r="W167" s="824">
        <f t="shared" si="99"/>
        <v>-2747877.6604548013</v>
      </c>
      <c r="X167" s="824">
        <f t="shared" si="99"/>
        <v>-3923124.2349758497</v>
      </c>
      <c r="Y167" s="824">
        <f t="shared" si="99"/>
        <v>-3923124.2349758497</v>
      </c>
      <c r="Z167" s="824">
        <f t="shared" si="99"/>
        <v>-3923124.2349758497</v>
      </c>
      <c r="AA167" s="824">
        <f t="shared" si="99"/>
        <v>-3923124.2349758497</v>
      </c>
      <c r="AB167" s="824">
        <f t="shared" si="99"/>
        <v>-3923124.2349758497</v>
      </c>
      <c r="AC167" s="824">
        <f t="shared" si="99"/>
        <v>-4072116.8612129036</v>
      </c>
      <c r="AD167" s="824">
        <f t="shared" si="99"/>
        <v>-4072116.8612129036</v>
      </c>
      <c r="AE167" s="824">
        <f t="shared" si="99"/>
        <v>-4072116.8612129036</v>
      </c>
      <c r="AF167" s="824">
        <f t="shared" si="99"/>
        <v>-4072116.8612129036</v>
      </c>
      <c r="AG167" s="824">
        <f t="shared" si="99"/>
        <v>-4072116.8612129036</v>
      </c>
      <c r="AH167" s="824">
        <f t="shared" si="99"/>
        <v>-4072116.8612129036</v>
      </c>
      <c r="AI167" s="824">
        <f t="shared" si="99"/>
        <v>-4072116.8612129036</v>
      </c>
      <c r="AJ167" s="824">
        <f t="shared" si="99"/>
        <v>-4072116.8612129036</v>
      </c>
      <c r="AK167" s="824">
        <f t="shared" si="99"/>
        <v>-4072116.8612129036</v>
      </c>
      <c r="AL167" s="824">
        <f t="shared" si="99"/>
        <v>-4072116.8612129036</v>
      </c>
      <c r="AM167" s="824">
        <f t="shared" si="99"/>
        <v>-2896870.2866918552</v>
      </c>
      <c r="AN167" s="824">
        <f t="shared" si="99"/>
        <v>-2129329.2555168299</v>
      </c>
      <c r="AO167" s="824">
        <f t="shared" si="99"/>
        <v>-4535185.9019710924</v>
      </c>
      <c r="AP167" s="824">
        <f t="shared" si="99"/>
        <v>-4535185.9019710924</v>
      </c>
      <c r="AQ167" s="824">
        <f t="shared" si="99"/>
        <v>-4535185.9019710924</v>
      </c>
      <c r="AR167" s="824">
        <f t="shared" si="99"/>
        <v>-4535185.9019710924</v>
      </c>
      <c r="AS167" s="824">
        <f t="shared" si="99"/>
        <v>-4535185.9019710924</v>
      </c>
      <c r="AT167" s="824">
        <f t="shared" si="99"/>
        <v>-4535185.9019710924</v>
      </c>
      <c r="AU167" s="166"/>
      <c r="AV167" s="166"/>
      <c r="AW167" s="166"/>
      <c r="AX167" s="166"/>
      <c r="AY167" s="166"/>
      <c r="AZ167" s="166"/>
      <c r="BA167" s="166"/>
      <c r="BB167" s="166"/>
      <c r="BC167" s="166"/>
      <c r="BD167" s="166"/>
      <c r="BE167" s="166"/>
      <c r="BF167" s="166"/>
      <c r="BG167" s="166"/>
      <c r="BH167" s="166"/>
      <c r="BI167" s="166"/>
      <c r="BJ167" s="166"/>
      <c r="BK167" s="166"/>
      <c r="BL167" s="166"/>
      <c r="BM167" s="166"/>
      <c r="BN167" s="166"/>
    </row>
    <row r="168" spans="2:66" x14ac:dyDescent="0.25">
      <c r="B168" s="833" t="s">
        <v>435</v>
      </c>
      <c r="C168" s="824">
        <f>C158+C162+C166</f>
        <v>0</v>
      </c>
      <c r="D168" s="824">
        <f t="shared" ref="D168:F168" si="100">D158+D162+D166</f>
        <v>0</v>
      </c>
      <c r="E168" s="824">
        <f t="shared" si="100"/>
        <v>0</v>
      </c>
      <c r="F168" s="824">
        <f t="shared" si="100"/>
        <v>0</v>
      </c>
      <c r="G168" s="824">
        <f>G158+G160+G162+G164+G166</f>
        <v>123619947.34560698</v>
      </c>
      <c r="H168" s="824">
        <f t="shared" ref="H168:AT168" si="101">H158+H160+H162+H164+H166</f>
        <v>119957103.08702216</v>
      </c>
      <c r="I168" s="824">
        <f t="shared" si="101"/>
        <v>116294258.82843733</v>
      </c>
      <c r="J168" s="824">
        <f t="shared" si="101"/>
        <v>112631414.5698525</v>
      </c>
      <c r="K168" s="824">
        <f t="shared" si="101"/>
        <v>108968570.31126767</v>
      </c>
      <c r="L168" s="824">
        <f t="shared" si="101"/>
        <v>105510090.97275764</v>
      </c>
      <c r="M168" s="824">
        <f t="shared" si="101"/>
        <v>102051611.6342476</v>
      </c>
      <c r="N168" s="824">
        <f t="shared" si="101"/>
        <v>98593132.295737565</v>
      </c>
      <c r="O168" s="824">
        <f t="shared" si="101"/>
        <v>95134652.957227528</v>
      </c>
      <c r="P168" s="824">
        <f t="shared" si="101"/>
        <v>91676173.618717492</v>
      </c>
      <c r="Q168" s="824">
        <f t="shared" si="101"/>
        <v>88700783.613658682</v>
      </c>
      <c r="R168" s="824">
        <f t="shared" si="101"/>
        <v>91910877.657979578</v>
      </c>
      <c r="S168" s="824">
        <f t="shared" si="101"/>
        <v>88316939.2479828</v>
      </c>
      <c r="T168" s="824">
        <f t="shared" si="101"/>
        <v>84723000.837986022</v>
      </c>
      <c r="U168" s="824">
        <f t="shared" si="101"/>
        <v>81129062.427989244</v>
      </c>
      <c r="V168" s="824">
        <f t="shared" si="101"/>
        <v>78381184.767534435</v>
      </c>
      <c r="W168" s="824">
        <f t="shared" si="101"/>
        <v>75633307.10707964</v>
      </c>
      <c r="X168" s="824">
        <f t="shared" si="101"/>
        <v>89338881.489919528</v>
      </c>
      <c r="Y168" s="824">
        <f t="shared" si="101"/>
        <v>85415757.254943684</v>
      </c>
      <c r="Z168" s="824">
        <f t="shared" si="101"/>
        <v>81492633.019967824</v>
      </c>
      <c r="AA168" s="824">
        <f t="shared" si="101"/>
        <v>77569508.78499198</v>
      </c>
      <c r="AB168" s="824">
        <f t="shared" si="101"/>
        <v>73646384.550016135</v>
      </c>
      <c r="AC168" s="824">
        <f t="shared" si="101"/>
        <v>78017219.031728506</v>
      </c>
      <c r="AD168" s="824">
        <f t="shared" si="101"/>
        <v>73945102.170515612</v>
      </c>
      <c r="AE168" s="824">
        <f t="shared" si="101"/>
        <v>69872985.309302717</v>
      </c>
      <c r="AF168" s="824">
        <f t="shared" si="101"/>
        <v>65800868.448089808</v>
      </c>
      <c r="AG168" s="824">
        <f t="shared" si="101"/>
        <v>61728751.586876914</v>
      </c>
      <c r="AH168" s="824">
        <f t="shared" si="101"/>
        <v>57656634.725664012</v>
      </c>
      <c r="AI168" s="824">
        <f t="shared" si="101"/>
        <v>53584517.86445111</v>
      </c>
      <c r="AJ168" s="824">
        <f t="shared" si="101"/>
        <v>49512401.003238209</v>
      </c>
      <c r="AK168" s="824">
        <f t="shared" si="101"/>
        <v>45440284.142025307</v>
      </c>
      <c r="AL168" s="824">
        <f t="shared" si="101"/>
        <v>41368167.280812405</v>
      </c>
      <c r="AM168" s="824">
        <f t="shared" si="101"/>
        <v>38471296.994120553</v>
      </c>
      <c r="AN168" s="824">
        <f t="shared" si="101"/>
        <v>36341967.738603726</v>
      </c>
      <c r="AO168" s="824">
        <f t="shared" si="101"/>
        <v>70300488.179900825</v>
      </c>
      <c r="AP168" s="824">
        <f t="shared" si="101"/>
        <v>65765302.277929738</v>
      </c>
      <c r="AQ168" s="824">
        <f t="shared" si="101"/>
        <v>61230116.375958651</v>
      </c>
      <c r="AR168" s="824">
        <f t="shared" si="101"/>
        <v>56694930.47398755</v>
      </c>
      <c r="AS168" s="824">
        <f t="shared" si="101"/>
        <v>52159744.572016463</v>
      </c>
      <c r="AT168" s="824">
        <f t="shared" si="101"/>
        <v>47624558.670045361</v>
      </c>
      <c r="AU168" s="166"/>
      <c r="AV168" s="166"/>
      <c r="AW168" s="166"/>
      <c r="AX168" s="166"/>
      <c r="AY168" s="166"/>
      <c r="AZ168" s="166"/>
      <c r="BA168" s="166"/>
      <c r="BB168" s="166"/>
      <c r="BC168" s="166"/>
      <c r="BD168" s="166"/>
      <c r="BE168" s="166"/>
      <c r="BF168" s="166"/>
      <c r="BG168" s="166"/>
      <c r="BH168" s="166"/>
      <c r="BI168" s="166"/>
      <c r="BJ168" s="166"/>
      <c r="BK168" s="166"/>
      <c r="BL168" s="166"/>
      <c r="BM168" s="166"/>
      <c r="BN168" s="166"/>
    </row>
    <row r="169" spans="2:66" x14ac:dyDescent="0.25">
      <c r="B169" s="481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  <c r="R169" s="382"/>
      <c r="S169" s="382"/>
      <c r="T169" s="382"/>
      <c r="U169" s="382"/>
      <c r="V169" s="382"/>
      <c r="W169" s="382"/>
      <c r="X169" s="382"/>
      <c r="Y169" s="382"/>
      <c r="Z169" s="382"/>
      <c r="AA169" s="382"/>
      <c r="AB169" s="382"/>
      <c r="AC169" s="382"/>
      <c r="AD169" s="382"/>
      <c r="AE169" s="382"/>
      <c r="AF169" s="382"/>
      <c r="AG169" s="382"/>
      <c r="AH169" s="382"/>
      <c r="AI169" s="382"/>
      <c r="AJ169" s="382"/>
      <c r="AK169" s="382"/>
      <c r="AL169" s="382"/>
      <c r="AM169" s="382"/>
      <c r="AN169" s="382"/>
      <c r="AO169" s="382"/>
      <c r="AP169" s="382"/>
      <c r="AQ169" s="382"/>
      <c r="AR169" s="382"/>
      <c r="AS169" s="382"/>
      <c r="AT169" s="382"/>
      <c r="AU169" s="166"/>
      <c r="AV169" s="166"/>
      <c r="AW169" s="166"/>
      <c r="AX169" s="166"/>
      <c r="AY169" s="166"/>
      <c r="AZ169" s="166"/>
      <c r="BA169" s="166"/>
      <c r="BB169" s="166"/>
      <c r="BC169" s="166"/>
      <c r="BD169" s="166"/>
      <c r="BE169" s="166"/>
      <c r="BF169" s="166"/>
      <c r="BG169" s="166"/>
      <c r="BH169" s="166"/>
      <c r="BI169" s="166"/>
      <c r="BJ169" s="166"/>
      <c r="BK169" s="166"/>
      <c r="BL169" s="166"/>
      <c r="BM169" s="166"/>
      <c r="BN169" s="166"/>
    </row>
    <row r="170" spans="2:66" ht="13.8" thickBot="1" x14ac:dyDescent="0.3">
      <c r="B170" s="834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66"/>
      <c r="AV170" s="166"/>
      <c r="AW170" s="166"/>
      <c r="AX170" s="166"/>
      <c r="AY170" s="166"/>
      <c r="AZ170" s="166"/>
      <c r="BA170" s="166"/>
      <c r="BB170" s="166"/>
      <c r="BC170" s="166"/>
      <c r="BD170" s="166"/>
      <c r="BE170" s="166"/>
      <c r="BF170" s="166"/>
      <c r="BG170" s="166"/>
      <c r="BH170" s="166"/>
      <c r="BI170" s="166"/>
      <c r="BJ170" s="166"/>
      <c r="BK170" s="166"/>
      <c r="BL170" s="166"/>
      <c r="BM170" s="166"/>
      <c r="BN170" s="166"/>
    </row>
    <row r="171" spans="2:66" ht="14.4" x14ac:dyDescent="0.25">
      <c r="B171" s="835" t="s">
        <v>390</v>
      </c>
      <c r="C171" s="818"/>
      <c r="D171" s="818"/>
      <c r="E171" s="818"/>
      <c r="F171" s="818"/>
      <c r="G171" s="818"/>
      <c r="H171" s="818"/>
      <c r="I171" s="818"/>
      <c r="J171" s="818"/>
      <c r="K171" s="818"/>
      <c r="L171" s="818"/>
      <c r="M171" s="818"/>
      <c r="N171" s="818"/>
      <c r="O171" s="818"/>
      <c r="P171" s="818"/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  <c r="AA171" s="818"/>
      <c r="AB171" s="818"/>
      <c r="AC171" s="818"/>
      <c r="AD171" s="818"/>
      <c r="AE171" s="818"/>
      <c r="AF171" s="818"/>
      <c r="AG171" s="818"/>
      <c r="AH171" s="818"/>
      <c r="AI171" s="818"/>
      <c r="AJ171" s="818"/>
      <c r="AK171" s="818"/>
      <c r="AL171" s="818"/>
      <c r="AM171" s="818"/>
      <c r="AN171" s="818"/>
      <c r="AO171" s="818"/>
      <c r="AP171" s="818"/>
      <c r="AQ171" s="818"/>
      <c r="AR171" s="818"/>
      <c r="AS171" s="818"/>
      <c r="AT171" s="819"/>
      <c r="AU171" s="166"/>
      <c r="AV171" s="166"/>
      <c r="AW171" s="166"/>
      <c r="AX171" s="166"/>
      <c r="AY171" s="166"/>
      <c r="AZ171" s="166"/>
      <c r="BA171" s="166"/>
      <c r="BB171" s="166"/>
      <c r="BC171" s="166"/>
      <c r="BD171" s="166"/>
      <c r="BE171" s="166"/>
      <c r="BF171" s="166"/>
      <c r="BG171" s="166"/>
      <c r="BH171" s="166"/>
      <c r="BI171" s="166"/>
      <c r="BJ171" s="166"/>
      <c r="BK171" s="166"/>
      <c r="BL171" s="166"/>
      <c r="BM171" s="166"/>
      <c r="BN171" s="166"/>
    </row>
    <row r="172" spans="2:66" x14ac:dyDescent="0.25">
      <c r="B172" s="836" t="s">
        <v>391</v>
      </c>
      <c r="C172" s="268">
        <v>0</v>
      </c>
      <c r="D172" s="268">
        <v>0</v>
      </c>
      <c r="E172" s="268">
        <v>0</v>
      </c>
      <c r="F172" s="268">
        <v>0</v>
      </c>
      <c r="G172" s="268">
        <f>-G148</f>
        <v>-3454589.5691445097</v>
      </c>
      <c r="H172" s="268">
        <f t="shared" ref="H172:AT172" si="102">-H148</f>
        <v>-3546350.2599561452</v>
      </c>
      <c r="I172" s="268">
        <f t="shared" si="102"/>
        <v>-3629500.1452487805</v>
      </c>
      <c r="J172" s="268">
        <f t="shared" si="102"/>
        <v>-3714649.5304283733</v>
      </c>
      <c r="K172" s="268">
        <f t="shared" si="102"/>
        <v>-9294323.7646731809</v>
      </c>
      <c r="L172" s="268">
        <f t="shared" si="102"/>
        <v>-3891145.174125297</v>
      </c>
      <c r="M172" s="268">
        <f t="shared" si="102"/>
        <v>-3982593.760180179</v>
      </c>
      <c r="N172" s="268">
        <f t="shared" si="102"/>
        <v>-4076246.5661634705</v>
      </c>
      <c r="O172" s="268">
        <f t="shared" si="102"/>
        <v>-4172158.0442154035</v>
      </c>
      <c r="P172" s="268">
        <f t="shared" si="102"/>
        <v>-10305240.456239779</v>
      </c>
      <c r="Q172" s="268">
        <f t="shared" si="102"/>
        <v>-4370981.7449138239</v>
      </c>
      <c r="R172" s="268">
        <f t="shared" si="102"/>
        <v>-4474009.8993217153</v>
      </c>
      <c r="S172" s="268">
        <f t="shared" si="102"/>
        <v>-4579528.6633017063</v>
      </c>
      <c r="T172" s="268">
        <f t="shared" si="102"/>
        <v>-4687599.7384678498</v>
      </c>
      <c r="U172" s="268">
        <f t="shared" si="102"/>
        <v>-11429085.151702685</v>
      </c>
      <c r="V172" s="268">
        <f t="shared" si="102"/>
        <v>-4911653.4910183838</v>
      </c>
      <c r="W172" s="268">
        <f t="shared" si="102"/>
        <v>-5027767.5564522296</v>
      </c>
      <c r="X172" s="268">
        <f t="shared" si="102"/>
        <v>-5146696.7934412798</v>
      </c>
      <c r="Y172" s="268">
        <f t="shared" si="102"/>
        <v>-5268511.1412896216</v>
      </c>
      <c r="Z172" s="268">
        <f t="shared" si="102"/>
        <v>-12678875.013862662</v>
      </c>
      <c r="AA172" s="268">
        <f t="shared" si="102"/>
        <v>-5521083.8624752844</v>
      </c>
      <c r="AB172" s="268">
        <f t="shared" si="102"/>
        <v>-5651991.1898182109</v>
      </c>
      <c r="AC172" s="268">
        <f t="shared" si="102"/>
        <v>-5786081.6320499461</v>
      </c>
      <c r="AD172" s="268">
        <f t="shared" si="102"/>
        <v>-5923434.4919935949</v>
      </c>
      <c r="AE172" s="268">
        <f t="shared" si="102"/>
        <v>-14069181.394370388</v>
      </c>
      <c r="AF172" s="268">
        <f t="shared" si="102"/>
        <v>-6208254.835203521</v>
      </c>
      <c r="AG172" s="268">
        <f t="shared" si="102"/>
        <v>-6355891.2422239808</v>
      </c>
      <c r="AH172" s="268">
        <f t="shared" si="102"/>
        <v>-6507128.0239001652</v>
      </c>
      <c r="AI172" s="268">
        <f t="shared" si="102"/>
        <v>-6662055.1295457529</v>
      </c>
      <c r="AJ172" s="268">
        <f t="shared" si="102"/>
        <v>-15616322.452012271</v>
      </c>
      <c r="AK172" s="268">
        <f t="shared" si="102"/>
        <v>-6983351.6630770871</v>
      </c>
      <c r="AL172" s="268">
        <f t="shared" si="102"/>
        <v>-7149912.7241678927</v>
      </c>
      <c r="AM172" s="268">
        <f t="shared" si="102"/>
        <v>-7320547.5004008031</v>
      </c>
      <c r="AN172" s="268">
        <f t="shared" si="102"/>
        <v>-7495358.0500422539</v>
      </c>
      <c r="AO172" s="268">
        <f t="shared" si="102"/>
        <v>-17338580.552335452</v>
      </c>
      <c r="AP172" s="268">
        <f t="shared" si="102"/>
        <v>-7857927.8452074975</v>
      </c>
      <c r="AQ172" s="268">
        <f t="shared" si="102"/>
        <v>-8045904.5568202641</v>
      </c>
      <c r="AR172" s="268">
        <f t="shared" si="102"/>
        <v>-8238492.1162956236</v>
      </c>
      <c r="AS172" s="268">
        <f t="shared" si="102"/>
        <v>-8435806.3583844062</v>
      </c>
      <c r="AT172" s="799">
        <f t="shared" si="102"/>
        <v>-19256447.751688365</v>
      </c>
      <c r="AU172" s="166"/>
      <c r="AV172" s="166"/>
      <c r="AW172" s="166"/>
      <c r="AX172" s="166"/>
      <c r="AY172" s="166"/>
      <c r="AZ172" s="166"/>
      <c r="BA172" s="166"/>
      <c r="BB172" s="166"/>
      <c r="BC172" s="166"/>
      <c r="BD172" s="166"/>
      <c r="BE172" s="166"/>
      <c r="BF172" s="166"/>
      <c r="BG172" s="166"/>
      <c r="BH172" s="166"/>
      <c r="BI172" s="166"/>
      <c r="BJ172" s="166"/>
      <c r="BK172" s="166"/>
      <c r="BL172" s="166"/>
      <c r="BM172" s="166"/>
      <c r="BN172" s="166"/>
    </row>
    <row r="173" spans="2:66" ht="15" thickBot="1" x14ac:dyDescent="0.3">
      <c r="B173" s="842" t="s">
        <v>389</v>
      </c>
      <c r="C173" s="820"/>
      <c r="D173" s="820"/>
      <c r="E173" s="820"/>
      <c r="F173" s="820"/>
      <c r="G173" s="820">
        <f>G172</f>
        <v>-3454589.5691445097</v>
      </c>
      <c r="H173" s="820">
        <f t="shared" ref="H173" si="103">H172</f>
        <v>-3546350.2599561452</v>
      </c>
      <c r="I173" s="820">
        <f t="shared" ref="I173" si="104">I172</f>
        <v>-3629500.1452487805</v>
      </c>
      <c r="J173" s="820">
        <f t="shared" ref="J173" si="105">J172</f>
        <v>-3714649.5304283733</v>
      </c>
      <c r="K173" s="820">
        <f t="shared" ref="K173" si="106">K172</f>
        <v>-9294323.7646731809</v>
      </c>
      <c r="L173" s="820">
        <f t="shared" ref="L173" si="107">L172</f>
        <v>-3891145.174125297</v>
      </c>
      <c r="M173" s="820">
        <f t="shared" ref="M173" si="108">M172</f>
        <v>-3982593.760180179</v>
      </c>
      <c r="N173" s="820">
        <f t="shared" ref="N173" si="109">N172</f>
        <v>-4076246.5661634705</v>
      </c>
      <c r="O173" s="820">
        <f t="shared" ref="O173" si="110">O172</f>
        <v>-4172158.0442154035</v>
      </c>
      <c r="P173" s="820">
        <f t="shared" ref="P173" si="111">P172</f>
        <v>-10305240.456239779</v>
      </c>
      <c r="Q173" s="820">
        <f t="shared" ref="Q173" si="112">Q172</f>
        <v>-4370981.7449138239</v>
      </c>
      <c r="R173" s="820">
        <f t="shared" ref="R173" si="113">R172</f>
        <v>-4474009.8993217153</v>
      </c>
      <c r="S173" s="820">
        <f t="shared" ref="S173" si="114">S172</f>
        <v>-4579528.6633017063</v>
      </c>
      <c r="T173" s="820">
        <f t="shared" ref="T173" si="115">T172</f>
        <v>-4687599.7384678498</v>
      </c>
      <c r="U173" s="820">
        <f t="shared" ref="U173" si="116">U172</f>
        <v>-11429085.151702685</v>
      </c>
      <c r="V173" s="820">
        <f t="shared" ref="V173" si="117">V172</f>
        <v>-4911653.4910183838</v>
      </c>
      <c r="W173" s="820">
        <f t="shared" ref="W173" si="118">W172</f>
        <v>-5027767.5564522296</v>
      </c>
      <c r="X173" s="820">
        <f t="shared" ref="X173" si="119">X172</f>
        <v>-5146696.7934412798</v>
      </c>
      <c r="Y173" s="820">
        <f t="shared" ref="Y173" si="120">Y172</f>
        <v>-5268511.1412896216</v>
      </c>
      <c r="Z173" s="820">
        <f t="shared" ref="Z173" si="121">Z172</f>
        <v>-12678875.013862662</v>
      </c>
      <c r="AA173" s="820">
        <f t="shared" ref="AA173" si="122">AA172</f>
        <v>-5521083.8624752844</v>
      </c>
      <c r="AB173" s="820">
        <f t="shared" ref="AB173" si="123">AB172</f>
        <v>-5651991.1898182109</v>
      </c>
      <c r="AC173" s="820">
        <f t="shared" ref="AC173" si="124">AC172</f>
        <v>-5786081.6320499461</v>
      </c>
      <c r="AD173" s="820">
        <f t="shared" ref="AD173" si="125">AD172</f>
        <v>-5923434.4919935949</v>
      </c>
      <c r="AE173" s="820">
        <f t="shared" ref="AE173" si="126">AE172</f>
        <v>-14069181.394370388</v>
      </c>
      <c r="AF173" s="820">
        <f t="shared" ref="AF173" si="127">AF172</f>
        <v>-6208254.835203521</v>
      </c>
      <c r="AG173" s="820">
        <f t="shared" ref="AG173" si="128">AG172</f>
        <v>-6355891.2422239808</v>
      </c>
      <c r="AH173" s="820">
        <f t="shared" ref="AH173" si="129">AH172</f>
        <v>-6507128.0239001652</v>
      </c>
      <c r="AI173" s="820">
        <f t="shared" ref="AI173" si="130">AI172</f>
        <v>-6662055.1295457529</v>
      </c>
      <c r="AJ173" s="820">
        <f t="shared" ref="AJ173" si="131">AJ172</f>
        <v>-15616322.452012271</v>
      </c>
      <c r="AK173" s="820">
        <f t="shared" ref="AK173" si="132">AK172</f>
        <v>-6983351.6630770871</v>
      </c>
      <c r="AL173" s="820">
        <f t="shared" ref="AL173" si="133">AL172</f>
        <v>-7149912.7241678927</v>
      </c>
      <c r="AM173" s="820">
        <f t="shared" ref="AM173" si="134">AM172</f>
        <v>-7320547.5004008031</v>
      </c>
      <c r="AN173" s="820">
        <f t="shared" ref="AN173" si="135">AN172</f>
        <v>-7495358.0500422539</v>
      </c>
      <c r="AO173" s="820">
        <f t="shared" ref="AO173" si="136">AO172</f>
        <v>-17338580.552335452</v>
      </c>
      <c r="AP173" s="820">
        <f t="shared" ref="AP173" si="137">AP172</f>
        <v>-7857927.8452074975</v>
      </c>
      <c r="AQ173" s="820">
        <f t="shared" ref="AQ173" si="138">AQ172</f>
        <v>-8045904.5568202641</v>
      </c>
      <c r="AR173" s="820">
        <f t="shared" ref="AR173" si="139">AR172</f>
        <v>-8238492.1162956236</v>
      </c>
      <c r="AS173" s="820">
        <f t="shared" ref="AS173" si="140">AS172</f>
        <v>-8435806.3583844062</v>
      </c>
      <c r="AT173" s="821">
        <f t="shared" ref="AT173" si="141">AT172</f>
        <v>-19256447.751688365</v>
      </c>
      <c r="AU173" s="166"/>
      <c r="AV173" s="166"/>
      <c r="AW173" s="166"/>
      <c r="AX173" s="166"/>
      <c r="AY173" s="166"/>
      <c r="AZ173" s="166"/>
      <c r="BA173" s="166"/>
      <c r="BB173" s="166"/>
      <c r="BC173" s="166"/>
      <c r="BD173" s="166"/>
      <c r="BE173" s="166"/>
      <c r="BF173" s="166"/>
      <c r="BG173" s="166"/>
      <c r="BH173" s="166"/>
      <c r="BI173" s="166"/>
      <c r="BJ173" s="166"/>
      <c r="BK173" s="166"/>
      <c r="BL173" s="166"/>
      <c r="BM173" s="166"/>
      <c r="BN173" s="166"/>
    </row>
    <row r="174" spans="2:66" ht="15" thickBot="1" x14ac:dyDescent="0.3">
      <c r="B174" s="837"/>
      <c r="C174" s="824"/>
      <c r="D174" s="824"/>
      <c r="E174" s="824"/>
      <c r="F174" s="824"/>
      <c r="G174" s="824"/>
      <c r="H174" s="824"/>
      <c r="I174" s="824"/>
      <c r="J174" s="824"/>
      <c r="K174" s="824"/>
      <c r="L174" s="824"/>
      <c r="M174" s="824"/>
      <c r="N174" s="824"/>
      <c r="O174" s="824"/>
      <c r="P174" s="824"/>
      <c r="Q174" s="824"/>
      <c r="R174" s="824"/>
      <c r="S174" s="824"/>
      <c r="T174" s="824"/>
      <c r="U174" s="824"/>
      <c r="V174" s="824"/>
      <c r="W174" s="824"/>
      <c r="X174" s="824"/>
      <c r="Y174" s="824"/>
      <c r="Z174" s="824"/>
      <c r="AA174" s="824"/>
      <c r="AB174" s="824"/>
      <c r="AC174" s="824"/>
      <c r="AD174" s="824"/>
      <c r="AE174" s="824"/>
      <c r="AF174" s="824"/>
      <c r="AG174" s="824"/>
      <c r="AH174" s="824"/>
      <c r="AI174" s="824"/>
      <c r="AJ174" s="824"/>
      <c r="AK174" s="824"/>
      <c r="AL174" s="824"/>
      <c r="AM174" s="824"/>
      <c r="AN174" s="824"/>
      <c r="AO174" s="824"/>
      <c r="AP174" s="824"/>
      <c r="AQ174" s="824"/>
      <c r="AR174" s="824"/>
      <c r="AS174" s="824"/>
      <c r="AT174" s="824"/>
      <c r="AU174" s="166"/>
      <c r="AV174" s="166"/>
      <c r="AW174" s="166"/>
      <c r="AX174" s="166"/>
      <c r="AY174" s="166"/>
      <c r="AZ174" s="166"/>
      <c r="BA174" s="166"/>
      <c r="BB174" s="166"/>
      <c r="BC174" s="166"/>
      <c r="BD174" s="166"/>
      <c r="BE174" s="166"/>
      <c r="BF174" s="166"/>
      <c r="BG174" s="166"/>
      <c r="BH174" s="166"/>
      <c r="BI174" s="166"/>
      <c r="BJ174" s="166"/>
      <c r="BK174" s="166"/>
      <c r="BL174" s="166"/>
      <c r="BM174" s="166"/>
      <c r="BN174" s="166"/>
    </row>
    <row r="175" spans="2:66" ht="14.4" x14ac:dyDescent="0.25">
      <c r="B175" s="835" t="s">
        <v>392</v>
      </c>
      <c r="C175" s="818"/>
      <c r="D175" s="818"/>
      <c r="E175" s="818"/>
      <c r="F175" s="818"/>
      <c r="G175" s="818"/>
      <c r="H175" s="818"/>
      <c r="I175" s="818"/>
      <c r="J175" s="818"/>
      <c r="K175" s="818"/>
      <c r="L175" s="818"/>
      <c r="M175" s="818"/>
      <c r="N175" s="818"/>
      <c r="O175" s="818"/>
      <c r="P175" s="818"/>
      <c r="Q175" s="818"/>
      <c r="R175" s="818"/>
      <c r="S175" s="818"/>
      <c r="T175" s="818"/>
      <c r="U175" s="818"/>
      <c r="V175" s="818"/>
      <c r="W175" s="818"/>
      <c r="X175" s="818"/>
      <c r="Y175" s="818"/>
      <c r="Z175" s="818"/>
      <c r="AA175" s="818"/>
      <c r="AB175" s="818"/>
      <c r="AC175" s="818"/>
      <c r="AD175" s="818"/>
      <c r="AE175" s="818"/>
      <c r="AF175" s="818"/>
      <c r="AG175" s="818"/>
      <c r="AH175" s="818"/>
      <c r="AI175" s="818"/>
      <c r="AJ175" s="818"/>
      <c r="AK175" s="818"/>
      <c r="AL175" s="818"/>
      <c r="AM175" s="818"/>
      <c r="AN175" s="818"/>
      <c r="AO175" s="818"/>
      <c r="AP175" s="818"/>
      <c r="AQ175" s="818"/>
      <c r="AR175" s="818"/>
      <c r="AS175" s="818"/>
      <c r="AT175" s="819"/>
      <c r="AU175" s="166"/>
      <c r="AV175" s="166"/>
      <c r="AW175" s="166"/>
      <c r="AX175" s="166"/>
      <c r="AY175" s="166"/>
      <c r="AZ175" s="166"/>
      <c r="BA175" s="166"/>
      <c r="BB175" s="166"/>
      <c r="BC175" s="166"/>
      <c r="BD175" s="166"/>
      <c r="BE175" s="166"/>
      <c r="BF175" s="166"/>
      <c r="BG175" s="166"/>
      <c r="BH175" s="166"/>
      <c r="BI175" s="166"/>
      <c r="BJ175" s="166"/>
      <c r="BK175" s="166"/>
      <c r="BL175" s="166"/>
      <c r="BM175" s="166"/>
      <c r="BN175" s="166"/>
    </row>
    <row r="176" spans="2:66" x14ac:dyDescent="0.25">
      <c r="B176" s="836" t="s">
        <v>393</v>
      </c>
      <c r="C176" s="268">
        <v>0</v>
      </c>
      <c r="D176" s="268">
        <v>0</v>
      </c>
      <c r="E176" s="268">
        <v>0</v>
      </c>
      <c r="F176" s="268">
        <v>0</v>
      </c>
      <c r="G176" s="178">
        <f>G150</f>
        <v>3809764.2</v>
      </c>
      <c r="H176" s="178">
        <f t="shared" ref="H176:AT176" si="142">H150</f>
        <v>5079685.6000000015</v>
      </c>
      <c r="I176" s="178">
        <f t="shared" si="142"/>
        <v>5370179.6359200003</v>
      </c>
      <c r="J176" s="178">
        <f t="shared" si="142"/>
        <v>5429547.9770400003</v>
      </c>
      <c r="K176" s="178">
        <f t="shared" si="142"/>
        <v>5710668.5374136632</v>
      </c>
      <c r="L176" s="178">
        <f t="shared" si="142"/>
        <v>5772435.3595149107</v>
      </c>
      <c r="M176" s="178">
        <f t="shared" si="142"/>
        <v>6069903.9497534521</v>
      </c>
      <c r="N176" s="178">
        <f t="shared" si="142"/>
        <v>6104299.8039126312</v>
      </c>
      <c r="O176" s="178">
        <f t="shared" si="142"/>
        <v>6386698.9626579108</v>
      </c>
      <c r="P176" s="178">
        <f t="shared" si="142"/>
        <v>6422484.4093251191</v>
      </c>
      <c r="Q176" s="178">
        <f t="shared" si="142"/>
        <v>6719183.9581744215</v>
      </c>
      <c r="R176" s="178">
        <f t="shared" si="142"/>
        <v>6756415.1368869841</v>
      </c>
      <c r="S176" s="178">
        <f t="shared" si="142"/>
        <v>7037956.2170561617</v>
      </c>
      <c r="T176" s="178">
        <f t="shared" si="142"/>
        <v>7046538.1256951019</v>
      </c>
      <c r="U176" s="178">
        <f t="shared" si="142"/>
        <v>7340146.883721143</v>
      </c>
      <c r="V176" s="178">
        <f t="shared" si="142"/>
        <v>7349075.501469098</v>
      </c>
      <c r="W176" s="178">
        <f t="shared" si="142"/>
        <v>7655267.4856334245</v>
      </c>
      <c r="X176" s="178">
        <f t="shared" si="142"/>
        <v>7713708.041881904</v>
      </c>
      <c r="Y176" s="178">
        <f t="shared" si="142"/>
        <v>8086143.4014948551</v>
      </c>
      <c r="Z176" s="178">
        <f t="shared" si="142"/>
        <v>8146944.9562157756</v>
      </c>
      <c r="AA176" s="178">
        <f t="shared" si="142"/>
        <v>8539339.4699785355</v>
      </c>
      <c r="AB176" s="178">
        <f t="shared" si="142"/>
        <v>8602597.4075101875</v>
      </c>
      <c r="AC176" s="178">
        <f t="shared" si="142"/>
        <v>8950142.3427735996</v>
      </c>
      <c r="AD176" s="178">
        <f t="shared" si="142"/>
        <v>8950142.3427735996</v>
      </c>
      <c r="AE176" s="178">
        <f t="shared" si="142"/>
        <v>9311728.0934216511</v>
      </c>
      <c r="AF176" s="178">
        <f t="shared" si="142"/>
        <v>9311728.0934216511</v>
      </c>
      <c r="AG176" s="178">
        <f t="shared" si="142"/>
        <v>9687921.9083958846</v>
      </c>
      <c r="AH176" s="178">
        <f t="shared" si="142"/>
        <v>9687921.9083958846</v>
      </c>
      <c r="AI176" s="178">
        <f t="shared" si="142"/>
        <v>10079313.953495078</v>
      </c>
      <c r="AJ176" s="178">
        <f t="shared" si="142"/>
        <v>10079313.953495078</v>
      </c>
      <c r="AK176" s="178">
        <f t="shared" si="142"/>
        <v>10486518.237216281</v>
      </c>
      <c r="AL176" s="178">
        <f t="shared" si="142"/>
        <v>10486518.237216281</v>
      </c>
      <c r="AM176" s="178">
        <f t="shared" si="142"/>
        <v>10910173.573999817</v>
      </c>
      <c r="AN176" s="178">
        <f t="shared" si="142"/>
        <v>10910173.573999817</v>
      </c>
      <c r="AO176" s="178">
        <f t="shared" si="142"/>
        <v>11350944.586389413</v>
      </c>
      <c r="AP176" s="178">
        <f t="shared" si="142"/>
        <v>11350944.586389413</v>
      </c>
      <c r="AQ176" s="178">
        <f t="shared" si="142"/>
        <v>11809522.747679543</v>
      </c>
      <c r="AR176" s="178">
        <f t="shared" si="142"/>
        <v>11809522.747679543</v>
      </c>
      <c r="AS176" s="178">
        <f t="shared" si="142"/>
        <v>12286627.466685798</v>
      </c>
      <c r="AT176" s="265">
        <f t="shared" si="142"/>
        <v>12286627.466685798</v>
      </c>
      <c r="AU176" s="166"/>
      <c r="AV176" s="166"/>
      <c r="AW176" s="166"/>
      <c r="AX176" s="166"/>
      <c r="AY176" s="166"/>
      <c r="AZ176" s="166"/>
      <c r="BA176" s="166"/>
      <c r="BB176" s="166"/>
      <c r="BC176" s="166"/>
      <c r="BD176" s="166"/>
      <c r="BE176" s="166"/>
      <c r="BF176" s="166"/>
      <c r="BG176" s="166"/>
      <c r="BH176" s="166"/>
      <c r="BI176" s="166"/>
      <c r="BJ176" s="166"/>
      <c r="BK176" s="166"/>
      <c r="BL176" s="166"/>
      <c r="BM176" s="166"/>
      <c r="BN176" s="166"/>
    </row>
    <row r="177" spans="2:66" x14ac:dyDescent="0.25">
      <c r="B177" s="836" t="s">
        <v>394</v>
      </c>
      <c r="C177" s="268">
        <v>0</v>
      </c>
      <c r="D177" s="268">
        <v>0</v>
      </c>
      <c r="E177" s="268">
        <v>0</v>
      </c>
      <c r="F177" s="268">
        <v>0</v>
      </c>
      <c r="G177" s="178">
        <f>G151</f>
        <v>420000</v>
      </c>
      <c r="H177" s="178">
        <f t="shared" ref="H177:AT177" si="143">H151</f>
        <v>428400</v>
      </c>
      <c r="I177" s="178">
        <f t="shared" si="143"/>
        <v>436968</v>
      </c>
      <c r="J177" s="178">
        <f t="shared" si="143"/>
        <v>445707.36</v>
      </c>
      <c r="K177" s="178">
        <f t="shared" si="143"/>
        <v>454621.50719999999</v>
      </c>
      <c r="L177" s="178">
        <f t="shared" si="143"/>
        <v>463713.93734400003</v>
      </c>
      <c r="M177" s="178">
        <f t="shared" si="143"/>
        <v>472988.21609088004</v>
      </c>
      <c r="N177" s="178">
        <f t="shared" si="143"/>
        <v>482447.98041269754</v>
      </c>
      <c r="O177" s="178">
        <f t="shared" si="143"/>
        <v>492096.9400209515</v>
      </c>
      <c r="P177" s="178">
        <f t="shared" si="143"/>
        <v>501938.87882137054</v>
      </c>
      <c r="Q177" s="178">
        <f t="shared" si="143"/>
        <v>511977.65639779798</v>
      </c>
      <c r="R177" s="178">
        <f t="shared" si="143"/>
        <v>522217.20952575386</v>
      </c>
      <c r="S177" s="178">
        <f t="shared" si="143"/>
        <v>532661.55371626897</v>
      </c>
      <c r="T177" s="178">
        <f t="shared" si="143"/>
        <v>543314.78479059436</v>
      </c>
      <c r="U177" s="178">
        <f t="shared" si="143"/>
        <v>554181.08048640634</v>
      </c>
      <c r="V177" s="178">
        <f t="shared" si="143"/>
        <v>565264.70209613431</v>
      </c>
      <c r="W177" s="178">
        <f t="shared" si="143"/>
        <v>576569.99613805709</v>
      </c>
      <c r="X177" s="178">
        <f t="shared" si="143"/>
        <v>588101.39606081822</v>
      </c>
      <c r="Y177" s="178">
        <f t="shared" si="143"/>
        <v>599863.42398203455</v>
      </c>
      <c r="Z177" s="178">
        <f t="shared" si="143"/>
        <v>611860.69246167527</v>
      </c>
      <c r="AA177" s="178">
        <f t="shared" si="143"/>
        <v>624097.90631090873</v>
      </c>
      <c r="AB177" s="178">
        <f t="shared" si="143"/>
        <v>636579.8644371269</v>
      </c>
      <c r="AC177" s="178">
        <f t="shared" si="143"/>
        <v>649311.46172586945</v>
      </c>
      <c r="AD177" s="178">
        <f t="shared" si="143"/>
        <v>662297.69096038677</v>
      </c>
      <c r="AE177" s="178">
        <f t="shared" si="143"/>
        <v>675543.6447795945</v>
      </c>
      <c r="AF177" s="178">
        <f t="shared" si="143"/>
        <v>689054.51767518639</v>
      </c>
      <c r="AG177" s="178">
        <f t="shared" si="143"/>
        <v>702835.60802869021</v>
      </c>
      <c r="AH177" s="178">
        <f t="shared" si="143"/>
        <v>716892.3201892639</v>
      </c>
      <c r="AI177" s="178">
        <f t="shared" si="143"/>
        <v>731230.1665930493</v>
      </c>
      <c r="AJ177" s="178">
        <f t="shared" si="143"/>
        <v>745854.76992491016</v>
      </c>
      <c r="AK177" s="178">
        <f t="shared" si="143"/>
        <v>760771.86532340851</v>
      </c>
      <c r="AL177" s="178">
        <f t="shared" si="143"/>
        <v>775987.30262987642</v>
      </c>
      <c r="AM177" s="178">
        <f t="shared" si="143"/>
        <v>791507.04868247418</v>
      </c>
      <c r="AN177" s="178">
        <f t="shared" si="143"/>
        <v>807337.18965612364</v>
      </c>
      <c r="AO177" s="178">
        <f t="shared" si="143"/>
        <v>823483.93344924611</v>
      </c>
      <c r="AP177" s="178">
        <f t="shared" si="143"/>
        <v>839953.61211823102</v>
      </c>
      <c r="AQ177" s="178">
        <f t="shared" si="143"/>
        <v>856752.68436059554</v>
      </c>
      <c r="AR177" s="178">
        <f t="shared" si="143"/>
        <v>873887.73804780759</v>
      </c>
      <c r="AS177" s="178">
        <f t="shared" si="143"/>
        <v>891365.49280876387</v>
      </c>
      <c r="AT177" s="265">
        <f t="shared" si="143"/>
        <v>909192.80266493873</v>
      </c>
      <c r="AU177" s="166"/>
      <c r="AV177" s="166"/>
      <c r="AW177" s="166"/>
      <c r="AX177" s="166"/>
      <c r="AY177" s="166"/>
      <c r="AZ177" s="166"/>
      <c r="BA177" s="166"/>
      <c r="BB177" s="166"/>
      <c r="BC177" s="166"/>
      <c r="BD177" s="166"/>
      <c r="BE177" s="166"/>
      <c r="BF177" s="166"/>
      <c r="BG177" s="166"/>
      <c r="BH177" s="166"/>
      <c r="BI177" s="166"/>
      <c r="BJ177" s="166"/>
      <c r="BK177" s="166"/>
      <c r="BL177" s="166"/>
      <c r="BM177" s="166"/>
      <c r="BN177" s="166"/>
    </row>
    <row r="178" spans="2:66" ht="15" thickBot="1" x14ac:dyDescent="0.3">
      <c r="B178" s="842" t="s">
        <v>388</v>
      </c>
      <c r="C178" s="822">
        <v>0</v>
      </c>
      <c r="D178" s="822">
        <v>0</v>
      </c>
      <c r="E178" s="822">
        <v>0</v>
      </c>
      <c r="F178" s="822">
        <v>0</v>
      </c>
      <c r="G178" s="822">
        <f>G176+G177</f>
        <v>4229764.2</v>
      </c>
      <c r="H178" s="822">
        <f t="shared" ref="H178" si="144">H176+H177</f>
        <v>5508085.6000000015</v>
      </c>
      <c r="I178" s="822">
        <f t="shared" ref="I178" si="145">I176+I177</f>
        <v>5807147.6359200003</v>
      </c>
      <c r="J178" s="822">
        <f t="shared" ref="J178" si="146">J176+J177</f>
        <v>5875255.3370400006</v>
      </c>
      <c r="K178" s="822">
        <f t="shared" ref="K178" si="147">K176+K177</f>
        <v>6165290.0446136631</v>
      </c>
      <c r="L178" s="822">
        <f t="shared" ref="L178" si="148">L176+L177</f>
        <v>6236149.2968589105</v>
      </c>
      <c r="M178" s="822">
        <f t="shared" ref="M178" si="149">M176+M177</f>
        <v>6542892.1658443324</v>
      </c>
      <c r="N178" s="822">
        <f t="shared" ref="N178" si="150">N176+N177</f>
        <v>6586747.7843253287</v>
      </c>
      <c r="O178" s="822">
        <f t="shared" ref="O178" si="151">O176+O177</f>
        <v>6878795.9026788622</v>
      </c>
      <c r="P178" s="822">
        <f t="shared" ref="P178" si="152">P176+P177</f>
        <v>6924423.2881464893</v>
      </c>
      <c r="Q178" s="822">
        <f t="shared" ref="Q178" si="153">Q176+Q177</f>
        <v>7231161.6145722196</v>
      </c>
      <c r="R178" s="822">
        <f t="shared" ref="R178" si="154">R176+R177</f>
        <v>7278632.3464127379</v>
      </c>
      <c r="S178" s="822">
        <f t="shared" ref="S178" si="155">S176+S177</f>
        <v>7570617.770772431</v>
      </c>
      <c r="T178" s="822">
        <f t="shared" ref="T178" si="156">T176+T177</f>
        <v>7589852.910485696</v>
      </c>
      <c r="U178" s="822">
        <f t="shared" ref="U178" si="157">U176+U177</f>
        <v>7894327.9642075496</v>
      </c>
      <c r="V178" s="822">
        <f t="shared" ref="V178" si="158">V176+V177</f>
        <v>7914340.2035652325</v>
      </c>
      <c r="W178" s="822">
        <f t="shared" ref="W178" si="159">W176+W177</f>
        <v>8231837.4817714812</v>
      </c>
      <c r="X178" s="822">
        <f t="shared" ref="X178" si="160">X176+X177</f>
        <v>8301809.4379427219</v>
      </c>
      <c r="Y178" s="822">
        <f t="shared" ref="Y178" si="161">Y176+Y177</f>
        <v>8686006.8254768904</v>
      </c>
      <c r="Z178" s="822">
        <f t="shared" ref="Z178" si="162">Z176+Z177</f>
        <v>8758805.6486774515</v>
      </c>
      <c r="AA178" s="822">
        <f t="shared" ref="AA178" si="163">AA176+AA177</f>
        <v>9163437.376289444</v>
      </c>
      <c r="AB178" s="822">
        <f t="shared" ref="AB178" si="164">AB176+AB177</f>
        <v>9239177.271947315</v>
      </c>
      <c r="AC178" s="822">
        <f t="shared" ref="AC178" si="165">AC176+AC177</f>
        <v>9599453.8044994697</v>
      </c>
      <c r="AD178" s="822">
        <f t="shared" ref="AD178" si="166">AD176+AD177</f>
        <v>9612440.0337339863</v>
      </c>
      <c r="AE178" s="822">
        <f t="shared" ref="AE178" si="167">AE176+AE177</f>
        <v>9987271.7382012457</v>
      </c>
      <c r="AF178" s="822">
        <f t="shared" ref="AF178" si="168">AF176+AF177</f>
        <v>10000782.611096837</v>
      </c>
      <c r="AG178" s="822">
        <f t="shared" ref="AG178" si="169">AG176+AG177</f>
        <v>10390757.516424574</v>
      </c>
      <c r="AH178" s="822">
        <f t="shared" ref="AH178" si="170">AH176+AH177</f>
        <v>10404814.228585148</v>
      </c>
      <c r="AI178" s="822">
        <f t="shared" ref="AI178" si="171">AI176+AI177</f>
        <v>10810544.120088127</v>
      </c>
      <c r="AJ178" s="822">
        <f t="shared" ref="AJ178" si="172">AJ176+AJ177</f>
        <v>10825168.723419989</v>
      </c>
      <c r="AK178" s="822">
        <f t="shared" ref="AK178" si="173">AK176+AK177</f>
        <v>11247290.102539688</v>
      </c>
      <c r="AL178" s="822">
        <f t="shared" ref="AL178" si="174">AL176+AL177</f>
        <v>11262505.539846158</v>
      </c>
      <c r="AM178" s="822">
        <f t="shared" ref="AM178" si="175">AM176+AM177</f>
        <v>11701680.62268229</v>
      </c>
      <c r="AN178" s="822">
        <f t="shared" ref="AN178" si="176">AN176+AN177</f>
        <v>11717510.76365594</v>
      </c>
      <c r="AO178" s="822">
        <f t="shared" ref="AO178" si="177">AO176+AO177</f>
        <v>12174428.519838659</v>
      </c>
      <c r="AP178" s="822">
        <f t="shared" ref="AP178" si="178">AP176+AP177</f>
        <v>12190898.198507644</v>
      </c>
      <c r="AQ178" s="822">
        <f t="shared" ref="AQ178" si="179">AQ176+AQ177</f>
        <v>12666275.432040138</v>
      </c>
      <c r="AR178" s="822">
        <f t="shared" ref="AR178" si="180">AR176+AR177</f>
        <v>12683410.485727351</v>
      </c>
      <c r="AS178" s="822">
        <f t="shared" ref="AS178" si="181">AS176+AS177</f>
        <v>13177992.959494561</v>
      </c>
      <c r="AT178" s="823">
        <f t="shared" ref="AT178" si="182">AT176+AT177</f>
        <v>13195820.269350737</v>
      </c>
      <c r="AU178" s="166"/>
      <c r="AV178" s="166"/>
      <c r="AW178" s="166"/>
      <c r="AX178" s="166"/>
      <c r="AY178" s="166"/>
      <c r="AZ178" s="166"/>
      <c r="BA178" s="166"/>
      <c r="BB178" s="166"/>
      <c r="BC178" s="166"/>
      <c r="BD178" s="166"/>
      <c r="BE178" s="166"/>
      <c r="BF178" s="166"/>
      <c r="BG178" s="166"/>
      <c r="BH178" s="166"/>
      <c r="BI178" s="166"/>
      <c r="BJ178" s="166"/>
      <c r="BK178" s="166"/>
      <c r="BL178" s="166"/>
      <c r="BM178" s="166"/>
      <c r="BN178" s="166"/>
    </row>
    <row r="179" spans="2:66" ht="15" thickBot="1" x14ac:dyDescent="0.3">
      <c r="B179" s="83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66"/>
      <c r="AV179" s="166"/>
      <c r="AW179" s="166"/>
      <c r="AX179" s="166"/>
      <c r="AY179" s="166"/>
      <c r="AZ179" s="166"/>
      <c r="BA179" s="166"/>
      <c r="BB179" s="166"/>
      <c r="BC179" s="166"/>
      <c r="BD179" s="166"/>
      <c r="BE179" s="166"/>
      <c r="BF179" s="166"/>
      <c r="BG179" s="166"/>
      <c r="BH179" s="166"/>
      <c r="BI179" s="166"/>
      <c r="BJ179" s="166"/>
      <c r="BK179" s="166"/>
      <c r="BL179" s="166"/>
      <c r="BM179" s="166"/>
      <c r="BN179" s="166"/>
    </row>
    <row r="180" spans="2:66" ht="15" thickBot="1" x14ac:dyDescent="0.3">
      <c r="B180" s="843" t="s">
        <v>387</v>
      </c>
      <c r="C180" s="825"/>
      <c r="D180" s="825"/>
      <c r="E180" s="825"/>
      <c r="F180" s="825"/>
      <c r="G180" s="826">
        <f>G178+G173</f>
        <v>775174.63085549045</v>
      </c>
      <c r="H180" s="826">
        <f t="shared" ref="H180:AT180" si="183">H178+H173</f>
        <v>1961735.3400438563</v>
      </c>
      <c r="I180" s="826">
        <f t="shared" si="183"/>
        <v>2177647.4906712198</v>
      </c>
      <c r="J180" s="826">
        <f t="shared" si="183"/>
        <v>2160605.8066116273</v>
      </c>
      <c r="K180" s="826">
        <f t="shared" si="183"/>
        <v>-3129033.7200595178</v>
      </c>
      <c r="L180" s="826">
        <f t="shared" si="183"/>
        <v>2345004.1227336135</v>
      </c>
      <c r="M180" s="826">
        <f t="shared" si="183"/>
        <v>2560298.4056641534</v>
      </c>
      <c r="N180" s="826">
        <f t="shared" si="183"/>
        <v>2510501.2181618582</v>
      </c>
      <c r="O180" s="826">
        <f t="shared" si="183"/>
        <v>2706637.8584634587</v>
      </c>
      <c r="P180" s="826">
        <f t="shared" si="183"/>
        <v>-3380817.1680932892</v>
      </c>
      <c r="Q180" s="826">
        <f t="shared" si="183"/>
        <v>2860179.8696583956</v>
      </c>
      <c r="R180" s="826">
        <f t="shared" si="183"/>
        <v>2804622.4470910225</v>
      </c>
      <c r="S180" s="826">
        <f t="shared" si="183"/>
        <v>2991089.1074707247</v>
      </c>
      <c r="T180" s="826">
        <f t="shared" si="183"/>
        <v>2902253.1720178463</v>
      </c>
      <c r="U180" s="826">
        <f t="shared" si="183"/>
        <v>-3534757.1874951357</v>
      </c>
      <c r="V180" s="826">
        <f t="shared" si="183"/>
        <v>3002686.7125468487</v>
      </c>
      <c r="W180" s="826">
        <f t="shared" si="183"/>
        <v>3204069.9253192516</v>
      </c>
      <c r="X180" s="826">
        <f t="shared" si="183"/>
        <v>3155112.6445014421</v>
      </c>
      <c r="Y180" s="826">
        <f t="shared" si="183"/>
        <v>3417495.6841872688</v>
      </c>
      <c r="Z180" s="826">
        <f t="shared" si="183"/>
        <v>-3920069.3651852105</v>
      </c>
      <c r="AA180" s="826">
        <f t="shared" si="183"/>
        <v>3642353.5138141597</v>
      </c>
      <c r="AB180" s="826">
        <f t="shared" si="183"/>
        <v>3587186.0821291041</v>
      </c>
      <c r="AC180" s="826">
        <f t="shared" si="183"/>
        <v>3813372.1724495236</v>
      </c>
      <c r="AD180" s="826">
        <f t="shared" si="183"/>
        <v>3689005.5417403914</v>
      </c>
      <c r="AE180" s="826">
        <f t="shared" si="183"/>
        <v>-4081909.6561691426</v>
      </c>
      <c r="AF180" s="826">
        <f t="shared" si="183"/>
        <v>3792527.7758933157</v>
      </c>
      <c r="AG180" s="826">
        <f t="shared" si="183"/>
        <v>4034866.2742005931</v>
      </c>
      <c r="AH180" s="826">
        <f t="shared" si="183"/>
        <v>3897686.204684983</v>
      </c>
      <c r="AI180" s="826">
        <f t="shared" si="183"/>
        <v>4148488.9905423736</v>
      </c>
      <c r="AJ180" s="826">
        <f t="shared" si="183"/>
        <v>-4791153.7285922822</v>
      </c>
      <c r="AK180" s="826">
        <f t="shared" si="183"/>
        <v>4263938.4394626012</v>
      </c>
      <c r="AL180" s="826">
        <f t="shared" si="183"/>
        <v>4112592.8156782649</v>
      </c>
      <c r="AM180" s="826">
        <f t="shared" si="183"/>
        <v>4381133.1222814871</v>
      </c>
      <c r="AN180" s="826">
        <f t="shared" si="183"/>
        <v>4222152.7136136862</v>
      </c>
      <c r="AO180" s="826">
        <f t="shared" si="183"/>
        <v>-5164152.0324967932</v>
      </c>
      <c r="AP180" s="826">
        <f t="shared" si="183"/>
        <v>4332970.3533001468</v>
      </c>
      <c r="AQ180" s="826">
        <f t="shared" si="183"/>
        <v>4620370.8752198741</v>
      </c>
      <c r="AR180" s="826">
        <f t="shared" si="183"/>
        <v>4444918.3694317276</v>
      </c>
      <c r="AS180" s="826">
        <f t="shared" si="183"/>
        <v>4742186.6011101548</v>
      </c>
      <c r="AT180" s="827">
        <f t="shared" si="183"/>
        <v>-6060627.4823376276</v>
      </c>
      <c r="AU180" s="166"/>
      <c r="AV180" s="166"/>
      <c r="AW180" s="166"/>
      <c r="AX180" s="166"/>
      <c r="AY180" s="166"/>
      <c r="AZ180" s="166"/>
      <c r="BA180" s="166"/>
      <c r="BB180" s="166"/>
      <c r="BC180" s="166"/>
      <c r="BD180" s="166"/>
      <c r="BE180" s="166"/>
      <c r="BF180" s="166"/>
      <c r="BG180" s="166"/>
      <c r="BH180" s="166"/>
      <c r="BI180" s="166"/>
      <c r="BJ180" s="166"/>
      <c r="BK180" s="166"/>
      <c r="BL180" s="166"/>
      <c r="BM180" s="166"/>
      <c r="BN180" s="166"/>
    </row>
    <row r="181" spans="2:66" ht="15" thickBot="1" x14ac:dyDescent="0.3">
      <c r="B181" s="839"/>
      <c r="C181" s="801"/>
      <c r="D181" s="801"/>
      <c r="E181" s="801"/>
      <c r="F181" s="801"/>
      <c r="G181" s="824"/>
      <c r="H181" s="824"/>
      <c r="I181" s="824"/>
      <c r="J181" s="824"/>
      <c r="K181" s="824"/>
      <c r="L181" s="824"/>
      <c r="M181" s="824"/>
      <c r="N181" s="824"/>
      <c r="O181" s="824"/>
      <c r="P181" s="824"/>
      <c r="Q181" s="824"/>
      <c r="R181" s="824"/>
      <c r="S181" s="824"/>
      <c r="T181" s="824"/>
      <c r="U181" s="824"/>
      <c r="V181" s="824"/>
      <c r="W181" s="824"/>
      <c r="X181" s="824"/>
      <c r="Y181" s="824"/>
      <c r="Z181" s="824"/>
      <c r="AA181" s="824"/>
      <c r="AB181" s="824"/>
      <c r="AC181" s="824"/>
      <c r="AD181" s="824"/>
      <c r="AE181" s="824"/>
      <c r="AF181" s="824"/>
      <c r="AG181" s="824"/>
      <c r="AH181" s="824"/>
      <c r="AI181" s="824"/>
      <c r="AJ181" s="824"/>
      <c r="AK181" s="824"/>
      <c r="AL181" s="824"/>
      <c r="AM181" s="824"/>
      <c r="AN181" s="824"/>
      <c r="AO181" s="824"/>
      <c r="AP181" s="824"/>
      <c r="AQ181" s="824"/>
      <c r="AR181" s="824"/>
      <c r="AS181" s="824"/>
      <c r="AT181" s="824"/>
      <c r="AU181" s="166"/>
      <c r="AV181" s="166"/>
      <c r="AW181" s="166"/>
      <c r="AX181" s="166"/>
      <c r="AY181" s="166"/>
      <c r="AZ181" s="166"/>
      <c r="BA181" s="166"/>
      <c r="BB181" s="166"/>
      <c r="BC181" s="166"/>
      <c r="BD181" s="166"/>
      <c r="BE181" s="166"/>
      <c r="BF181" s="166"/>
      <c r="BG181" s="166"/>
      <c r="BH181" s="166"/>
      <c r="BI181" s="166"/>
      <c r="BJ181" s="166"/>
      <c r="BK181" s="166"/>
      <c r="BL181" s="166"/>
      <c r="BM181" s="166"/>
      <c r="BN181" s="166"/>
    </row>
    <row r="182" spans="2:66" ht="14.4" x14ac:dyDescent="0.25">
      <c r="B182" s="835" t="s">
        <v>397</v>
      </c>
      <c r="C182" s="818"/>
      <c r="D182" s="818"/>
      <c r="E182" s="818"/>
      <c r="F182" s="818"/>
      <c r="G182" s="818"/>
      <c r="H182" s="818"/>
      <c r="I182" s="818"/>
      <c r="J182" s="818"/>
      <c r="K182" s="818"/>
      <c r="L182" s="818"/>
      <c r="M182" s="818"/>
      <c r="N182" s="818"/>
      <c r="O182" s="818"/>
      <c r="P182" s="818"/>
      <c r="Q182" s="818"/>
      <c r="R182" s="818"/>
      <c r="S182" s="818"/>
      <c r="T182" s="818"/>
      <c r="U182" s="818"/>
      <c r="V182" s="818"/>
      <c r="W182" s="818"/>
      <c r="X182" s="818"/>
      <c r="Y182" s="818"/>
      <c r="Z182" s="818"/>
      <c r="AA182" s="818"/>
      <c r="AB182" s="818"/>
      <c r="AC182" s="818"/>
      <c r="AD182" s="818"/>
      <c r="AE182" s="818"/>
      <c r="AF182" s="818"/>
      <c r="AG182" s="818"/>
      <c r="AH182" s="818"/>
      <c r="AI182" s="818"/>
      <c r="AJ182" s="818"/>
      <c r="AK182" s="818"/>
      <c r="AL182" s="818"/>
      <c r="AM182" s="818"/>
      <c r="AN182" s="818"/>
      <c r="AO182" s="818"/>
      <c r="AP182" s="818"/>
      <c r="AQ182" s="818"/>
      <c r="AR182" s="818"/>
      <c r="AS182" s="818"/>
      <c r="AT182" s="819"/>
      <c r="AU182" s="166"/>
      <c r="AV182" s="166"/>
      <c r="AW182" s="166"/>
      <c r="AX182" s="166"/>
      <c r="AY182" s="166"/>
      <c r="AZ182" s="166"/>
      <c r="BA182" s="166"/>
      <c r="BB182" s="166"/>
      <c r="BC182" s="166"/>
      <c r="BD182" s="166"/>
      <c r="BE182" s="166"/>
      <c r="BF182" s="166"/>
      <c r="BG182" s="166"/>
      <c r="BH182" s="166"/>
      <c r="BI182" s="166"/>
      <c r="BJ182" s="166"/>
      <c r="BK182" s="166"/>
      <c r="BL182" s="166"/>
      <c r="BM182" s="166"/>
      <c r="BN182" s="166"/>
    </row>
    <row r="183" spans="2:66" x14ac:dyDescent="0.25">
      <c r="B183" s="836" t="s">
        <v>442</v>
      </c>
      <c r="C183" s="268">
        <v>0</v>
      </c>
      <c r="D183" s="268">
        <v>0</v>
      </c>
      <c r="E183" s="268">
        <v>0</v>
      </c>
      <c r="F183" s="268">
        <v>0</v>
      </c>
      <c r="G183" s="178">
        <f>G180</f>
        <v>775174.63085549045</v>
      </c>
      <c r="H183" s="178">
        <f t="shared" ref="H183:AT183" si="184">H180</f>
        <v>1961735.3400438563</v>
      </c>
      <c r="I183" s="178">
        <f t="shared" si="184"/>
        <v>2177647.4906712198</v>
      </c>
      <c r="J183" s="178">
        <f t="shared" si="184"/>
        <v>2160605.8066116273</v>
      </c>
      <c r="K183" s="178">
        <f t="shared" si="184"/>
        <v>-3129033.7200595178</v>
      </c>
      <c r="L183" s="178">
        <f t="shared" si="184"/>
        <v>2345004.1227336135</v>
      </c>
      <c r="M183" s="178">
        <f t="shared" si="184"/>
        <v>2560298.4056641534</v>
      </c>
      <c r="N183" s="178">
        <f t="shared" si="184"/>
        <v>2510501.2181618582</v>
      </c>
      <c r="O183" s="178">
        <f t="shared" si="184"/>
        <v>2706637.8584634587</v>
      </c>
      <c r="P183" s="178">
        <f t="shared" si="184"/>
        <v>-3380817.1680932892</v>
      </c>
      <c r="Q183" s="178">
        <f t="shared" si="184"/>
        <v>2860179.8696583956</v>
      </c>
      <c r="R183" s="178">
        <f t="shared" si="184"/>
        <v>2804622.4470910225</v>
      </c>
      <c r="S183" s="178">
        <f t="shared" si="184"/>
        <v>2991089.1074707247</v>
      </c>
      <c r="T183" s="178">
        <f t="shared" si="184"/>
        <v>2902253.1720178463</v>
      </c>
      <c r="U183" s="178">
        <f t="shared" si="184"/>
        <v>-3534757.1874951357</v>
      </c>
      <c r="V183" s="178">
        <f t="shared" si="184"/>
        <v>3002686.7125468487</v>
      </c>
      <c r="W183" s="178">
        <f t="shared" si="184"/>
        <v>3204069.9253192516</v>
      </c>
      <c r="X183" s="178">
        <f t="shared" si="184"/>
        <v>3155112.6445014421</v>
      </c>
      <c r="Y183" s="178">
        <f t="shared" si="184"/>
        <v>3417495.6841872688</v>
      </c>
      <c r="Z183" s="178">
        <f t="shared" si="184"/>
        <v>-3920069.3651852105</v>
      </c>
      <c r="AA183" s="178">
        <f t="shared" si="184"/>
        <v>3642353.5138141597</v>
      </c>
      <c r="AB183" s="178">
        <f t="shared" si="184"/>
        <v>3587186.0821291041</v>
      </c>
      <c r="AC183" s="178">
        <f t="shared" si="184"/>
        <v>3813372.1724495236</v>
      </c>
      <c r="AD183" s="178">
        <f t="shared" si="184"/>
        <v>3689005.5417403914</v>
      </c>
      <c r="AE183" s="178">
        <f t="shared" si="184"/>
        <v>-4081909.6561691426</v>
      </c>
      <c r="AF183" s="178">
        <f t="shared" si="184"/>
        <v>3792527.7758933157</v>
      </c>
      <c r="AG183" s="178">
        <f t="shared" si="184"/>
        <v>4034866.2742005931</v>
      </c>
      <c r="AH183" s="178">
        <f t="shared" si="184"/>
        <v>3897686.204684983</v>
      </c>
      <c r="AI183" s="178">
        <f t="shared" si="184"/>
        <v>4148488.9905423736</v>
      </c>
      <c r="AJ183" s="178">
        <f t="shared" si="184"/>
        <v>-4791153.7285922822</v>
      </c>
      <c r="AK183" s="178">
        <f t="shared" si="184"/>
        <v>4263938.4394626012</v>
      </c>
      <c r="AL183" s="178">
        <f t="shared" si="184"/>
        <v>4112592.8156782649</v>
      </c>
      <c r="AM183" s="178">
        <f t="shared" si="184"/>
        <v>4381133.1222814871</v>
      </c>
      <c r="AN183" s="178">
        <f t="shared" si="184"/>
        <v>4222152.7136136862</v>
      </c>
      <c r="AO183" s="178">
        <f t="shared" si="184"/>
        <v>-5164152.0324967932</v>
      </c>
      <c r="AP183" s="178">
        <f t="shared" si="184"/>
        <v>4332970.3533001468</v>
      </c>
      <c r="AQ183" s="178">
        <f t="shared" si="184"/>
        <v>4620370.8752198741</v>
      </c>
      <c r="AR183" s="178">
        <f t="shared" si="184"/>
        <v>4444918.3694317276</v>
      </c>
      <c r="AS183" s="178">
        <f t="shared" si="184"/>
        <v>4742186.6011101548</v>
      </c>
      <c r="AT183" s="265">
        <f t="shared" si="184"/>
        <v>-6060627.4823376276</v>
      </c>
      <c r="AU183" s="166"/>
      <c r="AV183" s="166"/>
      <c r="AW183" s="166"/>
      <c r="AX183" s="166"/>
      <c r="AY183" s="166"/>
      <c r="AZ183" s="166"/>
      <c r="BA183" s="166"/>
      <c r="BB183" s="166"/>
      <c r="BC183" s="166"/>
      <c r="BD183" s="166"/>
      <c r="BE183" s="166"/>
      <c r="BF183" s="166"/>
      <c r="BG183" s="166"/>
      <c r="BH183" s="166"/>
      <c r="BI183" s="166"/>
      <c r="BJ183" s="166"/>
      <c r="BK183" s="166"/>
      <c r="BL183" s="166"/>
      <c r="BM183" s="166"/>
      <c r="BN183" s="166"/>
    </row>
    <row r="184" spans="2:66" x14ac:dyDescent="0.25">
      <c r="B184" s="836" t="s">
        <v>440</v>
      </c>
      <c r="C184" s="268">
        <v>0</v>
      </c>
      <c r="D184" s="268">
        <v>0</v>
      </c>
      <c r="E184" s="268">
        <v>0</v>
      </c>
      <c r="F184" s="268">
        <v>0</v>
      </c>
      <c r="G184" s="178">
        <f>IF(G183&gt;0,-$C$23*G183,0)</f>
        <v>0</v>
      </c>
      <c r="H184" s="178">
        <f t="shared" ref="H184" si="185">IF(H183&gt;0,-$C$23*H183,0)</f>
        <v>0</v>
      </c>
      <c r="I184" s="178">
        <f t="shared" ref="I184" si="186">IF(I183&gt;0,-$C$23*I183,0)</f>
        <v>0</v>
      </c>
      <c r="J184" s="178">
        <f t="shared" ref="J184" si="187">IF(J183&gt;0,-$C$23*J183,0)</f>
        <v>0</v>
      </c>
      <c r="K184" s="178">
        <f t="shared" ref="K184" si="188">IF(K183&gt;0,-$C$23*K183,0)</f>
        <v>0</v>
      </c>
      <c r="L184" s="178">
        <f t="shared" ref="L184" si="189">IF(L183&gt;0,-$C$23*L183,0)</f>
        <v>0</v>
      </c>
      <c r="M184" s="178">
        <f t="shared" ref="M184" si="190">IF(M183&gt;0,-$C$23*M183,0)</f>
        <v>0</v>
      </c>
      <c r="N184" s="178">
        <f t="shared" ref="N184" si="191">IF(N183&gt;0,-$C$23*N183,0)</f>
        <v>0</v>
      </c>
      <c r="O184" s="178">
        <f t="shared" ref="O184" si="192">IF(O183&gt;0,-$C$23*O183,0)</f>
        <v>0</v>
      </c>
      <c r="P184" s="178">
        <f t="shared" ref="P184" si="193">IF(P183&gt;0,-$C$23*P183,0)</f>
        <v>0</v>
      </c>
      <c r="Q184" s="178">
        <f t="shared" ref="Q184" si="194">IF(Q183&gt;0,-$C$23*Q183,0)</f>
        <v>0</v>
      </c>
      <c r="R184" s="178">
        <f t="shared" ref="R184" si="195">IF(R183&gt;0,-$C$23*R183,0)</f>
        <v>0</v>
      </c>
      <c r="S184" s="178">
        <f t="shared" ref="S184" si="196">IF(S183&gt;0,-$C$23*S183,0)</f>
        <v>0</v>
      </c>
      <c r="T184" s="178">
        <f t="shared" ref="T184" si="197">IF(T183&gt;0,-$C$23*T183,0)</f>
        <v>0</v>
      </c>
      <c r="U184" s="178">
        <f t="shared" ref="U184" si="198">IF(U183&gt;0,-$C$23*U183,0)</f>
        <v>0</v>
      </c>
      <c r="V184" s="178">
        <f t="shared" ref="V184" si="199">IF(V183&gt;0,-$C$23*V183,0)</f>
        <v>0</v>
      </c>
      <c r="W184" s="178">
        <f t="shared" ref="W184" si="200">IF(W183&gt;0,-$C$23*W183,0)</f>
        <v>0</v>
      </c>
      <c r="X184" s="178">
        <f t="shared" ref="X184" si="201">IF(X183&gt;0,-$C$23*X183,0)</f>
        <v>0</v>
      </c>
      <c r="Y184" s="178">
        <f t="shared" ref="Y184" si="202">IF(Y183&gt;0,-$C$23*Y183,0)</f>
        <v>0</v>
      </c>
      <c r="Z184" s="178">
        <f t="shared" ref="Z184" si="203">IF(Z183&gt;0,-$C$23*Z183,0)</f>
        <v>0</v>
      </c>
      <c r="AA184" s="178">
        <f t="shared" ref="AA184" si="204">IF(AA183&gt;0,-$C$23*AA183,0)</f>
        <v>0</v>
      </c>
      <c r="AB184" s="178">
        <f t="shared" ref="AB184" si="205">IF(AB183&gt;0,-$C$23*AB183,0)</f>
        <v>0</v>
      </c>
      <c r="AC184" s="178">
        <f t="shared" ref="AC184" si="206">IF(AC183&gt;0,-$C$23*AC183,0)</f>
        <v>0</v>
      </c>
      <c r="AD184" s="178">
        <f t="shared" ref="AD184" si="207">IF(AD183&gt;0,-$C$23*AD183,0)</f>
        <v>0</v>
      </c>
      <c r="AE184" s="178">
        <f t="shared" ref="AE184" si="208">IF(AE183&gt;0,-$C$23*AE183,0)</f>
        <v>0</v>
      </c>
      <c r="AF184" s="178">
        <f t="shared" ref="AF184" si="209">IF(AF183&gt;0,-$C$23*AF183,0)</f>
        <v>0</v>
      </c>
      <c r="AG184" s="178">
        <f t="shared" ref="AG184" si="210">IF(AG183&gt;0,-$C$23*AG183,0)</f>
        <v>0</v>
      </c>
      <c r="AH184" s="178">
        <f t="shared" ref="AH184" si="211">IF(AH183&gt;0,-$C$23*AH183,0)</f>
        <v>0</v>
      </c>
      <c r="AI184" s="178">
        <f t="shared" ref="AI184" si="212">IF(AI183&gt;0,-$C$23*AI183,0)</f>
        <v>0</v>
      </c>
      <c r="AJ184" s="178">
        <f t="shared" ref="AJ184" si="213">IF(AJ183&gt;0,-$C$23*AJ183,0)</f>
        <v>0</v>
      </c>
      <c r="AK184" s="178">
        <f t="shared" ref="AK184" si="214">IF(AK183&gt;0,-$C$23*AK183,0)</f>
        <v>0</v>
      </c>
      <c r="AL184" s="178">
        <f t="shared" ref="AL184" si="215">IF(AL183&gt;0,-$C$23*AL183,0)</f>
        <v>0</v>
      </c>
      <c r="AM184" s="178">
        <f t="shared" ref="AM184" si="216">IF(AM183&gt;0,-$C$23*AM183,0)</f>
        <v>0</v>
      </c>
      <c r="AN184" s="178">
        <f t="shared" ref="AN184" si="217">IF(AN183&gt;0,-$C$23*AN183,0)</f>
        <v>0</v>
      </c>
      <c r="AO184" s="178">
        <f t="shared" ref="AO184" si="218">IF(AO183&gt;0,-$C$23*AO183,0)</f>
        <v>0</v>
      </c>
      <c r="AP184" s="178">
        <f t="shared" ref="AP184" si="219">IF(AP183&gt;0,-$C$23*AP183,0)</f>
        <v>0</v>
      </c>
      <c r="AQ184" s="178">
        <f t="shared" ref="AQ184" si="220">IF(AQ183&gt;0,-$C$23*AQ183,0)</f>
        <v>0</v>
      </c>
      <c r="AR184" s="178">
        <f t="shared" ref="AR184" si="221">IF(AR183&gt;0,-$C$23*AR183,0)</f>
        <v>0</v>
      </c>
      <c r="AS184" s="178">
        <f t="shared" ref="AS184" si="222">IF(AS183&gt;0,-$C$23*AS183,0)</f>
        <v>0</v>
      </c>
      <c r="AT184" s="265">
        <f t="shared" ref="AT184" si="223">IF(AT183&gt;0,-$C$23*AT183,0)</f>
        <v>0</v>
      </c>
      <c r="AU184" s="166"/>
      <c r="AV184" s="166"/>
      <c r="AW184" s="166"/>
      <c r="AX184" s="166"/>
      <c r="AY184" s="166"/>
      <c r="AZ184" s="166"/>
      <c r="BA184" s="166"/>
      <c r="BB184" s="166"/>
      <c r="BC184" s="166"/>
      <c r="BD184" s="166"/>
      <c r="BE184" s="166"/>
      <c r="BF184" s="166"/>
      <c r="BG184" s="166"/>
      <c r="BH184" s="166"/>
      <c r="BI184" s="166"/>
      <c r="BJ184" s="166"/>
      <c r="BK184" s="166"/>
      <c r="BL184" s="166"/>
      <c r="BM184" s="166"/>
      <c r="BN184" s="166"/>
    </row>
    <row r="185" spans="2:66" ht="14.4" x14ac:dyDescent="0.25">
      <c r="B185" s="840" t="s">
        <v>175</v>
      </c>
      <c r="C185" s="800">
        <v>0</v>
      </c>
      <c r="D185" s="800">
        <v>0</v>
      </c>
      <c r="E185" s="800">
        <v>0</v>
      </c>
      <c r="F185" s="800">
        <v>0</v>
      </c>
      <c r="G185" s="261">
        <f>G167</f>
        <v>-3662844.258584829</v>
      </c>
      <c r="H185" s="261">
        <f t="shared" ref="H185:AT185" si="224">H167</f>
        <v>-3662844.258584829</v>
      </c>
      <c r="I185" s="261">
        <f t="shared" si="224"/>
        <v>-3662844.258584829</v>
      </c>
      <c r="J185" s="261">
        <f t="shared" si="224"/>
        <v>-3662844.258584829</v>
      </c>
      <c r="K185" s="261">
        <f t="shared" si="224"/>
        <v>-3662844.258584829</v>
      </c>
      <c r="L185" s="261">
        <f t="shared" si="224"/>
        <v>-3458479.3385100355</v>
      </c>
      <c r="M185" s="261">
        <f t="shared" si="224"/>
        <v>-3458479.3385100355</v>
      </c>
      <c r="N185" s="261">
        <f t="shared" si="224"/>
        <v>-3458479.3385100355</v>
      </c>
      <c r="O185" s="261">
        <f t="shared" si="224"/>
        <v>-3458479.3385100355</v>
      </c>
      <c r="P185" s="261">
        <f t="shared" si="224"/>
        <v>-3458479.3385100355</v>
      </c>
      <c r="Q185" s="261">
        <f t="shared" si="224"/>
        <v>-2975390.0050588157</v>
      </c>
      <c r="R185" s="261">
        <f t="shared" si="224"/>
        <v>-3593938.4099967871</v>
      </c>
      <c r="S185" s="261">
        <f t="shared" si="224"/>
        <v>-3593938.4099967871</v>
      </c>
      <c r="T185" s="261">
        <f t="shared" si="224"/>
        <v>-3593938.4099967871</v>
      </c>
      <c r="U185" s="261">
        <f t="shared" si="224"/>
        <v>-3593938.4099967871</v>
      </c>
      <c r="V185" s="261">
        <f t="shared" si="224"/>
        <v>-2747877.6604548013</v>
      </c>
      <c r="W185" s="261">
        <f t="shared" si="224"/>
        <v>-2747877.6604548013</v>
      </c>
      <c r="X185" s="261">
        <f t="shared" si="224"/>
        <v>-3923124.2349758497</v>
      </c>
      <c r="Y185" s="261">
        <f t="shared" si="224"/>
        <v>-3923124.2349758497</v>
      </c>
      <c r="Z185" s="261">
        <f t="shared" si="224"/>
        <v>-3923124.2349758497</v>
      </c>
      <c r="AA185" s="261">
        <f t="shared" si="224"/>
        <v>-3923124.2349758497</v>
      </c>
      <c r="AB185" s="261">
        <f t="shared" si="224"/>
        <v>-3923124.2349758497</v>
      </c>
      <c r="AC185" s="261">
        <f t="shared" si="224"/>
        <v>-4072116.8612129036</v>
      </c>
      <c r="AD185" s="261">
        <f t="shared" si="224"/>
        <v>-4072116.8612129036</v>
      </c>
      <c r="AE185" s="261">
        <f t="shared" si="224"/>
        <v>-4072116.8612129036</v>
      </c>
      <c r="AF185" s="261">
        <f t="shared" si="224"/>
        <v>-4072116.8612129036</v>
      </c>
      <c r="AG185" s="261">
        <f t="shared" si="224"/>
        <v>-4072116.8612129036</v>
      </c>
      <c r="AH185" s="261">
        <f t="shared" si="224"/>
        <v>-4072116.8612129036</v>
      </c>
      <c r="AI185" s="261">
        <f t="shared" si="224"/>
        <v>-4072116.8612129036</v>
      </c>
      <c r="AJ185" s="261">
        <f t="shared" si="224"/>
        <v>-4072116.8612129036</v>
      </c>
      <c r="AK185" s="261">
        <f t="shared" si="224"/>
        <v>-4072116.8612129036</v>
      </c>
      <c r="AL185" s="261">
        <f t="shared" si="224"/>
        <v>-4072116.8612129036</v>
      </c>
      <c r="AM185" s="261">
        <f t="shared" si="224"/>
        <v>-2896870.2866918552</v>
      </c>
      <c r="AN185" s="261">
        <f t="shared" si="224"/>
        <v>-2129329.2555168299</v>
      </c>
      <c r="AO185" s="261">
        <f t="shared" si="224"/>
        <v>-4535185.9019710924</v>
      </c>
      <c r="AP185" s="261">
        <f t="shared" si="224"/>
        <v>-4535185.9019710924</v>
      </c>
      <c r="AQ185" s="261">
        <f t="shared" si="224"/>
        <v>-4535185.9019710924</v>
      </c>
      <c r="AR185" s="261">
        <f t="shared" si="224"/>
        <v>-4535185.9019710924</v>
      </c>
      <c r="AS185" s="261">
        <f t="shared" si="224"/>
        <v>-4535185.9019710924</v>
      </c>
      <c r="AT185" s="266">
        <f t="shared" si="224"/>
        <v>-4535185.9019710924</v>
      </c>
      <c r="AU185" s="166"/>
      <c r="AV185" s="166"/>
      <c r="AW185" s="166"/>
      <c r="AX185" s="166"/>
      <c r="AY185" s="166"/>
      <c r="AZ185" s="166"/>
      <c r="BA185" s="166"/>
      <c r="BB185" s="166"/>
      <c r="BC185" s="166"/>
      <c r="BD185" s="166"/>
      <c r="BE185" s="166"/>
      <c r="BF185" s="166"/>
      <c r="BG185" s="166"/>
      <c r="BH185" s="166"/>
      <c r="BI185" s="166"/>
      <c r="BJ185" s="166"/>
      <c r="BK185" s="166"/>
      <c r="BL185" s="166"/>
      <c r="BM185" s="166"/>
      <c r="BN185" s="166"/>
    </row>
    <row r="186" spans="2:66" x14ac:dyDescent="0.25">
      <c r="B186" s="836" t="s">
        <v>444</v>
      </c>
      <c r="C186" s="268">
        <v>0</v>
      </c>
      <c r="D186" s="268">
        <v>0</v>
      </c>
      <c r="E186" s="268">
        <v>0</v>
      </c>
      <c r="F186" s="268">
        <v>0</v>
      </c>
      <c r="G186" s="178">
        <f t="shared" ref="G186" si="225">G183+G184+G185</f>
        <v>-2887669.6277293386</v>
      </c>
      <c r="H186" s="178">
        <f t="shared" ref="H186" si="226">H183+H184+H185</f>
        <v>-1701108.9185409728</v>
      </c>
      <c r="I186" s="178">
        <f t="shared" ref="I186" si="227">I183+I184+I185</f>
        <v>-1485196.7679136093</v>
      </c>
      <c r="J186" s="178">
        <f t="shared" ref="J186" si="228">J183+J184+J185</f>
        <v>-1502238.4519732017</v>
      </c>
      <c r="K186" s="178">
        <f t="shared" ref="K186" si="229">K183+K184+K185</f>
        <v>-6791877.9786443468</v>
      </c>
      <c r="L186" s="178">
        <f t="shared" ref="L186" si="230">L183+L184+L185</f>
        <v>-1113475.2157764221</v>
      </c>
      <c r="M186" s="178">
        <f t="shared" ref="M186" si="231">M183+M184+M185</f>
        <v>-898180.93284588214</v>
      </c>
      <c r="N186" s="178">
        <f t="shared" ref="N186" si="232">N183+N184+N185</f>
        <v>-947978.12034817738</v>
      </c>
      <c r="O186" s="178">
        <f t="shared" ref="O186" si="233">O183+O184+O185</f>
        <v>-751841.48004657682</v>
      </c>
      <c r="P186" s="178">
        <f t="shared" ref="P186" si="234">P183+P184+P185</f>
        <v>-6839296.5066033248</v>
      </c>
      <c r="Q186" s="178">
        <f t="shared" ref="Q186" si="235">Q183+Q184+Q185</f>
        <v>-115210.13540042005</v>
      </c>
      <c r="R186" s="178">
        <f t="shared" ref="R186" si="236">R183+R184+R185</f>
        <v>-789315.96290576458</v>
      </c>
      <c r="S186" s="178">
        <f t="shared" ref="S186" si="237">S183+S184+S185</f>
        <v>-602849.30252606235</v>
      </c>
      <c r="T186" s="178">
        <f t="shared" ref="T186" si="238">T183+T184+T185</f>
        <v>-691685.23797894083</v>
      </c>
      <c r="U186" s="178">
        <f t="shared" ref="U186" si="239">U183+U184+U185</f>
        <v>-7128695.5974919228</v>
      </c>
      <c r="V186" s="178">
        <f t="shared" ref="V186" si="240">V183+V184+V185</f>
        <v>254809.05209204741</v>
      </c>
      <c r="W186" s="178">
        <f t="shared" ref="W186" si="241">W183+W184+W185</f>
        <v>456192.26486445032</v>
      </c>
      <c r="X186" s="178">
        <f t="shared" ref="X186" si="242">X183+X184+X185</f>
        <v>-768011.59047440765</v>
      </c>
      <c r="Y186" s="178">
        <f t="shared" ref="Y186" si="243">Y183+Y184+Y185</f>
        <v>-505628.55078858091</v>
      </c>
      <c r="Z186" s="178">
        <f t="shared" ref="Z186" si="244">Z183+Z184+Z185</f>
        <v>-7843193.6001610607</v>
      </c>
      <c r="AA186" s="178">
        <f t="shared" ref="AA186" si="245">AA183+AA184+AA185</f>
        <v>-280770.72116169007</v>
      </c>
      <c r="AB186" s="178">
        <f t="shared" ref="AB186" si="246">AB183+AB184+AB185</f>
        <v>-335938.15284674568</v>
      </c>
      <c r="AC186" s="178">
        <f t="shared" ref="AC186" si="247">AC183+AC184+AC185</f>
        <v>-258744.68876338005</v>
      </c>
      <c r="AD186" s="178">
        <f t="shared" ref="AD186" si="248">AD183+AD184+AD185</f>
        <v>-383111.31947251223</v>
      </c>
      <c r="AE186" s="178">
        <f t="shared" ref="AE186" si="249">AE183+AE184+AE185</f>
        <v>-8154026.5173820462</v>
      </c>
      <c r="AF186" s="178">
        <f t="shared" ref="AF186" si="250">AF183+AF184+AF185</f>
        <v>-279589.08531958796</v>
      </c>
      <c r="AG186" s="178">
        <f t="shared" ref="AG186" si="251">AG183+AG184+AG185</f>
        <v>-37250.587012310512</v>
      </c>
      <c r="AH186" s="178">
        <f t="shared" ref="AH186" si="252">AH183+AH184+AH185</f>
        <v>-174430.65652792063</v>
      </c>
      <c r="AI186" s="178">
        <f t="shared" ref="AI186" si="253">AI183+AI184+AI185</f>
        <v>76372.129329469986</v>
      </c>
      <c r="AJ186" s="178">
        <f t="shared" ref="AJ186" si="254">AJ183+AJ184+AJ185</f>
        <v>-8863270.5898051858</v>
      </c>
      <c r="AK186" s="178">
        <f t="shared" ref="AK186" si="255">AK183+AK184+AK185</f>
        <v>191821.57824969757</v>
      </c>
      <c r="AL186" s="178">
        <f t="shared" ref="AL186" si="256">AL183+AL184+AL185</f>
        <v>40475.954465361312</v>
      </c>
      <c r="AM186" s="178">
        <f t="shared" ref="AM186" si="257">AM183+AM184+AM185</f>
        <v>1484262.8355896319</v>
      </c>
      <c r="AN186" s="178">
        <f t="shared" ref="AN186" si="258">AN183+AN184+AN185</f>
        <v>2092823.4580968563</v>
      </c>
      <c r="AO186" s="178">
        <f t="shared" ref="AO186" si="259">AO183+AO184+AO185</f>
        <v>-9699337.9344678856</v>
      </c>
      <c r="AP186" s="178">
        <f t="shared" ref="AP186" si="260">AP183+AP184+AP185</f>
        <v>-202215.54867094569</v>
      </c>
      <c r="AQ186" s="178">
        <f t="shared" ref="AQ186" si="261">AQ183+AQ184+AQ185</f>
        <v>85184.973248781636</v>
      </c>
      <c r="AR186" s="178">
        <f t="shared" ref="AR186" si="262">AR183+AR184+AR185</f>
        <v>-90267.532539364882</v>
      </c>
      <c r="AS186" s="178">
        <f t="shared" ref="AS186" si="263">AS183+AS184+AS185</f>
        <v>207000.69913906232</v>
      </c>
      <c r="AT186" s="265">
        <f t="shared" ref="AT186" si="264">AT183+AT184+AT185</f>
        <v>-10595813.38430872</v>
      </c>
      <c r="AU186" s="166"/>
      <c r="AV186" s="166"/>
      <c r="AW186" s="166"/>
      <c r="AX186" s="166"/>
      <c r="AY186" s="166"/>
      <c r="AZ186" s="166"/>
      <c r="BA186" s="166"/>
      <c r="BB186" s="166"/>
      <c r="BC186" s="166"/>
      <c r="BD186" s="166"/>
      <c r="BE186" s="166"/>
      <c r="BF186" s="166"/>
      <c r="BG186" s="166"/>
      <c r="BH186" s="166"/>
      <c r="BI186" s="166"/>
      <c r="BJ186" s="166"/>
      <c r="BK186" s="166"/>
      <c r="BL186" s="166"/>
      <c r="BM186" s="166"/>
      <c r="BN186" s="166"/>
    </row>
    <row r="187" spans="2:66" x14ac:dyDescent="0.25">
      <c r="B187" s="836" t="s">
        <v>443</v>
      </c>
      <c r="C187" s="268">
        <v>0</v>
      </c>
      <c r="D187" s="268">
        <v>0</v>
      </c>
      <c r="E187" s="268">
        <v>0</v>
      </c>
      <c r="F187" s="268">
        <v>0</v>
      </c>
      <c r="G187" s="178">
        <f>IF(G186&gt;0,-$C$24*G186,0)</f>
        <v>0</v>
      </c>
      <c r="H187" s="178">
        <f t="shared" ref="H187" si="265">IF(H186&gt;0,-$C$24*H186,0)</f>
        <v>0</v>
      </c>
      <c r="I187" s="178">
        <f t="shared" ref="I187" si="266">IF(I186&gt;0,-$C$24*I186,0)</f>
        <v>0</v>
      </c>
      <c r="J187" s="178">
        <f t="shared" ref="J187" si="267">IF(J186&gt;0,-$C$24*J186,0)</f>
        <v>0</v>
      </c>
      <c r="K187" s="178">
        <f t="shared" ref="K187" si="268">IF(K186&gt;0,-$C$24*K186,0)</f>
        <v>0</v>
      </c>
      <c r="L187" s="178">
        <f t="shared" ref="L187" si="269">IF(L186&gt;0,-$C$24*L186,0)</f>
        <v>0</v>
      </c>
      <c r="M187" s="178">
        <f t="shared" ref="M187" si="270">IF(M186&gt;0,-$C$24*M186,0)</f>
        <v>0</v>
      </c>
      <c r="N187" s="178">
        <f t="shared" ref="N187" si="271">IF(N186&gt;0,-$C$24*N186,0)</f>
        <v>0</v>
      </c>
      <c r="O187" s="178">
        <f t="shared" ref="O187" si="272">IF(O186&gt;0,-$C$24*O186,0)</f>
        <v>0</v>
      </c>
      <c r="P187" s="178">
        <f t="shared" ref="P187" si="273">IF(P186&gt;0,-$C$24*P186,0)</f>
        <v>0</v>
      </c>
      <c r="Q187" s="178">
        <f t="shared" ref="Q187" si="274">IF(Q186&gt;0,-$C$24*Q186,0)</f>
        <v>0</v>
      </c>
      <c r="R187" s="178">
        <f t="shared" ref="R187" si="275">IF(R186&gt;0,-$C$24*R186,0)</f>
        <v>0</v>
      </c>
      <c r="S187" s="178">
        <f t="shared" ref="S187" si="276">IF(S186&gt;0,-$C$24*S186,0)</f>
        <v>0</v>
      </c>
      <c r="T187" s="178">
        <f t="shared" ref="T187" si="277">IF(T186&gt;0,-$C$24*T186,0)</f>
        <v>0</v>
      </c>
      <c r="U187" s="178">
        <f t="shared" ref="U187" si="278">IF(U186&gt;0,-$C$24*U186,0)</f>
        <v>0</v>
      </c>
      <c r="V187" s="178">
        <f t="shared" ref="V187" si="279">IF(V186&gt;0,-$C$24*V186,0)</f>
        <v>-89183.168232216587</v>
      </c>
      <c r="W187" s="178">
        <f t="shared" ref="W187" si="280">IF(W186&gt;0,-$C$24*W186,0)</f>
        <v>-159667.29270255761</v>
      </c>
      <c r="X187" s="178">
        <f t="shared" ref="X187" si="281">IF(X186&gt;0,-$C$24*X186,0)</f>
        <v>0</v>
      </c>
      <c r="Y187" s="178">
        <f t="shared" ref="Y187" si="282">IF(Y186&gt;0,-$C$24*Y186,0)</f>
        <v>0</v>
      </c>
      <c r="Z187" s="178">
        <f t="shared" ref="Z187" si="283">IF(Z186&gt;0,-$C$24*Z186,0)</f>
        <v>0</v>
      </c>
      <c r="AA187" s="178">
        <f t="shared" ref="AA187" si="284">IF(AA186&gt;0,-$C$24*AA186,0)</f>
        <v>0</v>
      </c>
      <c r="AB187" s="178">
        <f t="shared" ref="AB187" si="285">IF(AB186&gt;0,-$C$24*AB186,0)</f>
        <v>0</v>
      </c>
      <c r="AC187" s="178">
        <f t="shared" ref="AC187" si="286">IF(AC186&gt;0,-$C$24*AC186,0)</f>
        <v>0</v>
      </c>
      <c r="AD187" s="178">
        <f t="shared" ref="AD187" si="287">IF(AD186&gt;0,-$C$24*AD186,0)</f>
        <v>0</v>
      </c>
      <c r="AE187" s="178">
        <f t="shared" ref="AE187" si="288">IF(AE186&gt;0,-$C$24*AE186,0)</f>
        <v>0</v>
      </c>
      <c r="AF187" s="178">
        <f t="shared" ref="AF187" si="289">IF(AF186&gt;0,-$C$24*AF186,0)</f>
        <v>0</v>
      </c>
      <c r="AG187" s="178">
        <f t="shared" ref="AG187" si="290">IF(AG186&gt;0,-$C$24*AG186,0)</f>
        <v>0</v>
      </c>
      <c r="AH187" s="178">
        <f t="shared" ref="AH187" si="291">IF(AH186&gt;0,-$C$24*AH186,0)</f>
        <v>0</v>
      </c>
      <c r="AI187" s="178">
        <f t="shared" ref="AI187" si="292">IF(AI186&gt;0,-$C$24*AI186,0)</f>
        <v>-26730.245265314494</v>
      </c>
      <c r="AJ187" s="178">
        <f t="shared" ref="AJ187" si="293">IF(AJ186&gt;0,-$C$24*AJ186,0)</f>
        <v>0</v>
      </c>
      <c r="AK187" s="178">
        <f t="shared" ref="AK187" si="294">IF(AK186&gt;0,-$C$24*AK186,0)</f>
        <v>-67137.552387394142</v>
      </c>
      <c r="AL187" s="178">
        <f t="shared" ref="AL187" si="295">IF(AL186&gt;0,-$C$24*AL186,0)</f>
        <v>-14166.584062876458</v>
      </c>
      <c r="AM187" s="178">
        <f t="shared" ref="AM187" si="296">IF(AM186&gt;0,-$C$24*AM186,0)</f>
        <v>-519491.99245637114</v>
      </c>
      <c r="AN187" s="178">
        <f t="shared" ref="AN187" si="297">IF(AN186&gt;0,-$C$24*AN186,0)</f>
        <v>-732488.21033389959</v>
      </c>
      <c r="AO187" s="178">
        <f t="shared" ref="AO187" si="298">IF(AO186&gt;0,-$C$24*AO186,0)</f>
        <v>0</v>
      </c>
      <c r="AP187" s="178">
        <f t="shared" ref="AP187" si="299">IF(AP186&gt;0,-$C$24*AP186,0)</f>
        <v>0</v>
      </c>
      <c r="AQ187" s="178">
        <f t="shared" ref="AQ187" si="300">IF(AQ186&gt;0,-$C$24*AQ186,0)</f>
        <v>-29814.74063707357</v>
      </c>
      <c r="AR187" s="178">
        <f t="shared" ref="AR187" si="301">IF(AR186&gt;0,-$C$24*AR186,0)</f>
        <v>0</v>
      </c>
      <c r="AS187" s="178">
        <f t="shared" ref="AS187" si="302">IF(AS186&gt;0,-$C$24*AS186,0)</f>
        <v>-72450.244698671799</v>
      </c>
      <c r="AT187" s="265">
        <f t="shared" ref="AT187" si="303">IF(AT186&gt;0,-$C$24*AT186,0)</f>
        <v>0</v>
      </c>
      <c r="AU187" s="166"/>
      <c r="AV187" s="166"/>
      <c r="AW187" s="166"/>
      <c r="AX187" s="166"/>
      <c r="AY187" s="166"/>
      <c r="AZ187" s="166"/>
      <c r="BA187" s="166"/>
      <c r="BB187" s="166"/>
      <c r="BC187" s="166"/>
      <c r="BD187" s="166"/>
      <c r="BE187" s="166"/>
      <c r="BF187" s="166"/>
      <c r="BG187" s="166"/>
      <c r="BH187" s="166"/>
      <c r="BI187" s="166"/>
      <c r="BJ187" s="166"/>
      <c r="BK187" s="166"/>
      <c r="BL187" s="166"/>
      <c r="BM187" s="166"/>
      <c r="BN187" s="166"/>
    </row>
    <row r="188" spans="2:66" ht="14.4" x14ac:dyDescent="0.25">
      <c r="B188" s="841" t="s">
        <v>445</v>
      </c>
      <c r="C188" s="801">
        <v>0</v>
      </c>
      <c r="D188" s="801">
        <v>0</v>
      </c>
      <c r="E188" s="801">
        <v>0</v>
      </c>
      <c r="F188" s="801">
        <v>0</v>
      </c>
      <c r="G188" s="262">
        <f>G186+G187</f>
        <v>-2887669.6277293386</v>
      </c>
      <c r="H188" s="262">
        <f t="shared" ref="H188" si="304">H186+H187</f>
        <v>-1701108.9185409728</v>
      </c>
      <c r="I188" s="262">
        <f t="shared" ref="I188" si="305">I186+I187</f>
        <v>-1485196.7679136093</v>
      </c>
      <c r="J188" s="262">
        <f t="shared" ref="J188" si="306">J186+J187</f>
        <v>-1502238.4519732017</v>
      </c>
      <c r="K188" s="262">
        <f t="shared" ref="K188" si="307">K186+K187</f>
        <v>-6791877.9786443468</v>
      </c>
      <c r="L188" s="262">
        <f t="shared" ref="L188" si="308">L186+L187</f>
        <v>-1113475.2157764221</v>
      </c>
      <c r="M188" s="262">
        <f t="shared" ref="M188" si="309">M186+M187</f>
        <v>-898180.93284588214</v>
      </c>
      <c r="N188" s="262">
        <f t="shared" ref="N188" si="310">N186+N187</f>
        <v>-947978.12034817738</v>
      </c>
      <c r="O188" s="262">
        <f t="shared" ref="O188" si="311">O186+O187</f>
        <v>-751841.48004657682</v>
      </c>
      <c r="P188" s="262">
        <f t="shared" ref="P188" si="312">P186+P187</f>
        <v>-6839296.5066033248</v>
      </c>
      <c r="Q188" s="262">
        <f t="shared" ref="Q188" si="313">Q186+Q187</f>
        <v>-115210.13540042005</v>
      </c>
      <c r="R188" s="262">
        <f t="shared" ref="R188" si="314">R186+R187</f>
        <v>-789315.96290576458</v>
      </c>
      <c r="S188" s="262">
        <f t="shared" ref="S188" si="315">S186+S187</f>
        <v>-602849.30252606235</v>
      </c>
      <c r="T188" s="262">
        <f t="shared" ref="T188" si="316">T186+T187</f>
        <v>-691685.23797894083</v>
      </c>
      <c r="U188" s="262">
        <f t="shared" ref="U188" si="317">U186+U187</f>
        <v>-7128695.5974919228</v>
      </c>
      <c r="V188" s="262">
        <f t="shared" ref="V188" si="318">V186+V187</f>
        <v>165625.88385983082</v>
      </c>
      <c r="W188" s="262">
        <f t="shared" ref="W188" si="319">W186+W187</f>
        <v>296524.97216189269</v>
      </c>
      <c r="X188" s="262">
        <f t="shared" ref="X188" si="320">X186+X187</f>
        <v>-768011.59047440765</v>
      </c>
      <c r="Y188" s="262">
        <f t="shared" ref="Y188" si="321">Y186+Y187</f>
        <v>-505628.55078858091</v>
      </c>
      <c r="Z188" s="262">
        <f t="shared" ref="Z188" si="322">Z186+Z187</f>
        <v>-7843193.6001610607</v>
      </c>
      <c r="AA188" s="262">
        <f t="shared" ref="AA188" si="323">AA186+AA187</f>
        <v>-280770.72116169007</v>
      </c>
      <c r="AB188" s="262">
        <f t="shared" ref="AB188" si="324">AB186+AB187</f>
        <v>-335938.15284674568</v>
      </c>
      <c r="AC188" s="262">
        <f t="shared" ref="AC188" si="325">AC186+AC187</f>
        <v>-258744.68876338005</v>
      </c>
      <c r="AD188" s="262">
        <f t="shared" ref="AD188" si="326">AD186+AD187</f>
        <v>-383111.31947251223</v>
      </c>
      <c r="AE188" s="262">
        <f t="shared" ref="AE188" si="327">AE186+AE187</f>
        <v>-8154026.5173820462</v>
      </c>
      <c r="AF188" s="262">
        <f t="shared" ref="AF188" si="328">AF186+AF187</f>
        <v>-279589.08531958796</v>
      </c>
      <c r="AG188" s="262">
        <f t="shared" ref="AG188" si="329">AG186+AG187</f>
        <v>-37250.587012310512</v>
      </c>
      <c r="AH188" s="262">
        <f t="shared" ref="AH188" si="330">AH186+AH187</f>
        <v>-174430.65652792063</v>
      </c>
      <c r="AI188" s="262">
        <f t="shared" ref="AI188" si="331">AI186+AI187</f>
        <v>49641.884064155493</v>
      </c>
      <c r="AJ188" s="262">
        <f t="shared" ref="AJ188" si="332">AJ186+AJ187</f>
        <v>-8863270.5898051858</v>
      </c>
      <c r="AK188" s="262">
        <f t="shared" ref="AK188" si="333">AK186+AK187</f>
        <v>124684.02586230343</v>
      </c>
      <c r="AL188" s="262">
        <f t="shared" ref="AL188" si="334">AL186+AL187</f>
        <v>26309.370402484856</v>
      </c>
      <c r="AM188" s="262">
        <f t="shared" ref="AM188" si="335">AM186+AM187</f>
        <v>964770.84313326073</v>
      </c>
      <c r="AN188" s="262">
        <f t="shared" ref="AN188" si="336">AN186+AN187</f>
        <v>1360335.2477629567</v>
      </c>
      <c r="AO188" s="262">
        <f t="shared" ref="AO188" si="337">AO186+AO187</f>
        <v>-9699337.9344678856</v>
      </c>
      <c r="AP188" s="262">
        <f t="shared" ref="AP188" si="338">AP186+AP187</f>
        <v>-202215.54867094569</v>
      </c>
      <c r="AQ188" s="262">
        <f t="shared" ref="AQ188" si="339">AQ186+AQ187</f>
        <v>55370.232611708067</v>
      </c>
      <c r="AR188" s="262">
        <f t="shared" ref="AR188" si="340">AR186+AR187</f>
        <v>-90267.532539364882</v>
      </c>
      <c r="AS188" s="262">
        <f t="shared" ref="AS188" si="341">AS186+AS187</f>
        <v>134550.45444039052</v>
      </c>
      <c r="AT188" s="267">
        <f t="shared" ref="AT188" si="342">AT186+AT187</f>
        <v>-10595813.38430872</v>
      </c>
      <c r="AU188" s="166"/>
      <c r="AV188" s="166"/>
      <c r="AW188" s="166"/>
      <c r="AX188" s="166"/>
      <c r="AY188" s="166"/>
      <c r="AZ188" s="166"/>
      <c r="BA188" s="166"/>
      <c r="BB188" s="166"/>
      <c r="BC188" s="166"/>
      <c r="BD188" s="166"/>
      <c r="BE188" s="166"/>
      <c r="BF188" s="166"/>
      <c r="BG188" s="166"/>
      <c r="BH188" s="166"/>
      <c r="BI188" s="166"/>
      <c r="BJ188" s="166"/>
      <c r="BK188" s="166"/>
      <c r="BL188" s="166"/>
      <c r="BM188" s="166"/>
      <c r="BN188" s="166"/>
    </row>
    <row r="189" spans="2:66" x14ac:dyDescent="0.25">
      <c r="B189" s="836" t="s">
        <v>446</v>
      </c>
      <c r="C189" s="268">
        <v>0</v>
      </c>
      <c r="D189" s="268">
        <v>0</v>
      </c>
      <c r="E189" s="268">
        <v>0</v>
      </c>
      <c r="F189" s="268">
        <v>0</v>
      </c>
      <c r="G189" s="178">
        <f>-G185</f>
        <v>3662844.258584829</v>
      </c>
      <c r="H189" s="178">
        <f t="shared" ref="H189:AT189" si="343">-H185</f>
        <v>3662844.258584829</v>
      </c>
      <c r="I189" s="178">
        <f t="shared" si="343"/>
        <v>3662844.258584829</v>
      </c>
      <c r="J189" s="178">
        <f t="shared" si="343"/>
        <v>3662844.258584829</v>
      </c>
      <c r="K189" s="178">
        <f t="shared" si="343"/>
        <v>3662844.258584829</v>
      </c>
      <c r="L189" s="178">
        <f t="shared" si="343"/>
        <v>3458479.3385100355</v>
      </c>
      <c r="M189" s="178">
        <f t="shared" si="343"/>
        <v>3458479.3385100355</v>
      </c>
      <c r="N189" s="178">
        <f t="shared" si="343"/>
        <v>3458479.3385100355</v>
      </c>
      <c r="O189" s="178">
        <f t="shared" si="343"/>
        <v>3458479.3385100355</v>
      </c>
      <c r="P189" s="178">
        <f t="shared" si="343"/>
        <v>3458479.3385100355</v>
      </c>
      <c r="Q189" s="178">
        <f t="shared" si="343"/>
        <v>2975390.0050588157</v>
      </c>
      <c r="R189" s="178">
        <f t="shared" si="343"/>
        <v>3593938.4099967871</v>
      </c>
      <c r="S189" s="178">
        <f t="shared" si="343"/>
        <v>3593938.4099967871</v>
      </c>
      <c r="T189" s="178">
        <f t="shared" si="343"/>
        <v>3593938.4099967871</v>
      </c>
      <c r="U189" s="178">
        <f t="shared" si="343"/>
        <v>3593938.4099967871</v>
      </c>
      <c r="V189" s="178">
        <f t="shared" si="343"/>
        <v>2747877.6604548013</v>
      </c>
      <c r="W189" s="178">
        <f t="shared" si="343"/>
        <v>2747877.6604548013</v>
      </c>
      <c r="X189" s="178">
        <f t="shared" si="343"/>
        <v>3923124.2349758497</v>
      </c>
      <c r="Y189" s="178">
        <f t="shared" si="343"/>
        <v>3923124.2349758497</v>
      </c>
      <c r="Z189" s="178">
        <f t="shared" si="343"/>
        <v>3923124.2349758497</v>
      </c>
      <c r="AA189" s="178">
        <f t="shared" si="343"/>
        <v>3923124.2349758497</v>
      </c>
      <c r="AB189" s="178">
        <f t="shared" si="343"/>
        <v>3923124.2349758497</v>
      </c>
      <c r="AC189" s="178">
        <f t="shared" si="343"/>
        <v>4072116.8612129036</v>
      </c>
      <c r="AD189" s="178">
        <f t="shared" si="343"/>
        <v>4072116.8612129036</v>
      </c>
      <c r="AE189" s="178">
        <f t="shared" si="343"/>
        <v>4072116.8612129036</v>
      </c>
      <c r="AF189" s="178">
        <f t="shared" si="343"/>
        <v>4072116.8612129036</v>
      </c>
      <c r="AG189" s="178">
        <f t="shared" si="343"/>
        <v>4072116.8612129036</v>
      </c>
      <c r="AH189" s="178">
        <f t="shared" si="343"/>
        <v>4072116.8612129036</v>
      </c>
      <c r="AI189" s="178">
        <f t="shared" si="343"/>
        <v>4072116.8612129036</v>
      </c>
      <c r="AJ189" s="178">
        <f t="shared" si="343"/>
        <v>4072116.8612129036</v>
      </c>
      <c r="AK189" s="178">
        <f t="shared" si="343"/>
        <v>4072116.8612129036</v>
      </c>
      <c r="AL189" s="178">
        <f t="shared" si="343"/>
        <v>4072116.8612129036</v>
      </c>
      <c r="AM189" s="178">
        <f t="shared" si="343"/>
        <v>2896870.2866918552</v>
      </c>
      <c r="AN189" s="178">
        <f t="shared" si="343"/>
        <v>2129329.2555168299</v>
      </c>
      <c r="AO189" s="178">
        <f t="shared" si="343"/>
        <v>4535185.9019710924</v>
      </c>
      <c r="AP189" s="178">
        <f t="shared" si="343"/>
        <v>4535185.9019710924</v>
      </c>
      <c r="AQ189" s="178">
        <f t="shared" si="343"/>
        <v>4535185.9019710924</v>
      </c>
      <c r="AR189" s="178">
        <f t="shared" si="343"/>
        <v>4535185.9019710924</v>
      </c>
      <c r="AS189" s="178">
        <f t="shared" si="343"/>
        <v>4535185.9019710924</v>
      </c>
      <c r="AT189" s="265">
        <f t="shared" si="343"/>
        <v>4535185.9019710924</v>
      </c>
      <c r="AU189" s="166"/>
      <c r="AV189" s="166"/>
      <c r="AW189" s="166"/>
      <c r="AX189" s="166"/>
      <c r="AY189" s="166"/>
      <c r="AZ189" s="166"/>
      <c r="BA189" s="166"/>
      <c r="BB189" s="166"/>
      <c r="BC189" s="166"/>
      <c r="BD189" s="166"/>
      <c r="BE189" s="166"/>
      <c r="BF189" s="166"/>
      <c r="BG189" s="166"/>
      <c r="BH189" s="166"/>
      <c r="BI189" s="166"/>
      <c r="BJ189" s="166"/>
      <c r="BK189" s="166"/>
      <c r="BL189" s="166"/>
      <c r="BM189" s="166"/>
      <c r="BN189" s="166"/>
    </row>
    <row r="190" spans="2:66" ht="15" thickBot="1" x14ac:dyDescent="0.3">
      <c r="B190" s="842" t="s">
        <v>386</v>
      </c>
      <c r="C190" s="828"/>
      <c r="D190" s="828"/>
      <c r="E190" s="828"/>
      <c r="F190" s="828"/>
      <c r="G190" s="828">
        <f>G188+G189</f>
        <v>775174.63085549045</v>
      </c>
      <c r="H190" s="828">
        <f t="shared" ref="H190" si="344">H188+H189</f>
        <v>1961735.3400438563</v>
      </c>
      <c r="I190" s="828">
        <f t="shared" ref="I190" si="345">I188+I189</f>
        <v>2177647.4906712198</v>
      </c>
      <c r="J190" s="828">
        <f t="shared" ref="J190" si="346">J188+J189</f>
        <v>2160605.8066116273</v>
      </c>
      <c r="K190" s="828">
        <f t="shared" ref="K190" si="347">K188+K189</f>
        <v>-3129033.7200595178</v>
      </c>
      <c r="L190" s="828">
        <f t="shared" ref="L190" si="348">L188+L189</f>
        <v>2345004.1227336135</v>
      </c>
      <c r="M190" s="828">
        <f t="shared" ref="M190" si="349">M188+M189</f>
        <v>2560298.4056641534</v>
      </c>
      <c r="N190" s="828">
        <f t="shared" ref="N190" si="350">N188+N189</f>
        <v>2510501.2181618582</v>
      </c>
      <c r="O190" s="828">
        <f t="shared" ref="O190" si="351">O188+O189</f>
        <v>2706637.8584634587</v>
      </c>
      <c r="P190" s="828">
        <f t="shared" ref="P190" si="352">P188+P189</f>
        <v>-3380817.1680932892</v>
      </c>
      <c r="Q190" s="828">
        <f t="shared" ref="Q190" si="353">Q188+Q189</f>
        <v>2860179.8696583956</v>
      </c>
      <c r="R190" s="828">
        <f t="shared" ref="R190" si="354">R188+R189</f>
        <v>2804622.4470910225</v>
      </c>
      <c r="S190" s="828">
        <f t="shared" ref="S190" si="355">S188+S189</f>
        <v>2991089.1074707247</v>
      </c>
      <c r="T190" s="828">
        <f t="shared" ref="T190" si="356">T188+T189</f>
        <v>2902253.1720178463</v>
      </c>
      <c r="U190" s="828">
        <f t="shared" ref="U190" si="357">U188+U189</f>
        <v>-3534757.1874951357</v>
      </c>
      <c r="V190" s="828">
        <f t="shared" ref="V190" si="358">V188+V189</f>
        <v>2913503.5443146322</v>
      </c>
      <c r="W190" s="828">
        <f t="shared" ref="W190" si="359">W188+W189</f>
        <v>3044402.6326166941</v>
      </c>
      <c r="X190" s="828">
        <f t="shared" ref="X190" si="360">X188+X189</f>
        <v>3155112.6445014421</v>
      </c>
      <c r="Y190" s="828">
        <f t="shared" ref="Y190" si="361">Y188+Y189</f>
        <v>3417495.6841872688</v>
      </c>
      <c r="Z190" s="828">
        <f t="shared" ref="Z190" si="362">Z188+Z189</f>
        <v>-3920069.3651852109</v>
      </c>
      <c r="AA190" s="828">
        <f t="shared" ref="AA190" si="363">AA188+AA189</f>
        <v>3642353.5138141597</v>
      </c>
      <c r="AB190" s="828">
        <f t="shared" ref="AB190" si="364">AB188+AB189</f>
        <v>3587186.0821291041</v>
      </c>
      <c r="AC190" s="828">
        <f t="shared" ref="AC190" si="365">AC188+AC189</f>
        <v>3813372.1724495236</v>
      </c>
      <c r="AD190" s="828">
        <f t="shared" ref="AD190" si="366">AD188+AD189</f>
        <v>3689005.5417403914</v>
      </c>
      <c r="AE190" s="828">
        <f t="shared" ref="AE190" si="367">AE188+AE189</f>
        <v>-4081909.6561691426</v>
      </c>
      <c r="AF190" s="828">
        <f t="shared" ref="AF190" si="368">AF188+AF189</f>
        <v>3792527.7758933157</v>
      </c>
      <c r="AG190" s="828">
        <f t="shared" ref="AG190" si="369">AG188+AG189</f>
        <v>4034866.2742005931</v>
      </c>
      <c r="AH190" s="828">
        <f t="shared" ref="AH190" si="370">AH188+AH189</f>
        <v>3897686.204684983</v>
      </c>
      <c r="AI190" s="828">
        <f t="shared" ref="AI190" si="371">AI188+AI189</f>
        <v>4121758.7452770593</v>
      </c>
      <c r="AJ190" s="828">
        <f t="shared" ref="AJ190" si="372">AJ188+AJ189</f>
        <v>-4791153.7285922822</v>
      </c>
      <c r="AK190" s="828">
        <f t="shared" ref="AK190" si="373">AK188+AK189</f>
        <v>4196800.8870752072</v>
      </c>
      <c r="AL190" s="828">
        <f t="shared" ref="AL190" si="374">AL188+AL189</f>
        <v>4098426.2316153883</v>
      </c>
      <c r="AM190" s="828">
        <f t="shared" ref="AM190" si="375">AM188+AM189</f>
        <v>3861641.1298251161</v>
      </c>
      <c r="AN190" s="828">
        <f t="shared" ref="AN190" si="376">AN188+AN189</f>
        <v>3489664.5032797866</v>
      </c>
      <c r="AO190" s="828">
        <f t="shared" ref="AO190" si="377">AO188+AO189</f>
        <v>-5164152.0324967932</v>
      </c>
      <c r="AP190" s="828">
        <f t="shared" ref="AP190" si="378">AP188+AP189</f>
        <v>4332970.3533001468</v>
      </c>
      <c r="AQ190" s="828">
        <f t="shared" ref="AQ190" si="379">AQ188+AQ189</f>
        <v>4590556.1345828008</v>
      </c>
      <c r="AR190" s="828">
        <f t="shared" ref="AR190" si="380">AR188+AR189</f>
        <v>4444918.3694317276</v>
      </c>
      <c r="AS190" s="828">
        <f t="shared" ref="AS190" si="381">AS188+AS189</f>
        <v>4669736.3564114831</v>
      </c>
      <c r="AT190" s="829">
        <f t="shared" ref="AT190" si="382">AT188+AT189</f>
        <v>-6060627.4823376276</v>
      </c>
      <c r="AU190" s="166"/>
      <c r="AV190" s="166"/>
      <c r="AW190" s="166"/>
      <c r="AX190" s="166"/>
      <c r="AY190" s="166"/>
      <c r="AZ190" s="166"/>
      <c r="BA190" s="166"/>
      <c r="BB190" s="166"/>
      <c r="BC190" s="166"/>
      <c r="BD190" s="166"/>
      <c r="BE190" s="166"/>
      <c r="BF190" s="166"/>
      <c r="BG190" s="166"/>
      <c r="BH190" s="166"/>
      <c r="BI190" s="166"/>
      <c r="BJ190" s="166"/>
      <c r="BK190" s="166"/>
      <c r="BL190" s="166"/>
      <c r="BM190" s="166"/>
      <c r="BN190" s="166"/>
    </row>
    <row r="191" spans="2:66" ht="15" thickBot="1" x14ac:dyDescent="0.3">
      <c r="B191" s="839"/>
      <c r="C191" s="811"/>
      <c r="D191" s="811"/>
      <c r="E191" s="811"/>
      <c r="F191" s="811"/>
      <c r="G191" s="811"/>
      <c r="H191" s="811"/>
      <c r="I191" s="811"/>
      <c r="J191" s="811"/>
      <c r="K191" s="811"/>
      <c r="L191" s="811"/>
      <c r="M191" s="811"/>
      <c r="N191" s="811"/>
      <c r="O191" s="811"/>
      <c r="P191" s="811"/>
      <c r="Q191" s="811"/>
      <c r="R191" s="811"/>
      <c r="S191" s="811"/>
      <c r="T191" s="811"/>
      <c r="U191" s="811"/>
      <c r="V191" s="811"/>
      <c r="W191" s="811"/>
      <c r="X191" s="811"/>
      <c r="Y191" s="811"/>
      <c r="Z191" s="811"/>
      <c r="AA191" s="811"/>
      <c r="AB191" s="811"/>
      <c r="AC191" s="811"/>
      <c r="AD191" s="811"/>
      <c r="AE191" s="811"/>
      <c r="AF191" s="811"/>
      <c r="AG191" s="811"/>
      <c r="AH191" s="811"/>
      <c r="AI191" s="811"/>
      <c r="AJ191" s="811"/>
      <c r="AK191" s="811"/>
      <c r="AL191" s="811"/>
      <c r="AM191" s="811"/>
      <c r="AN191" s="811"/>
      <c r="AO191" s="811"/>
      <c r="AP191" s="811"/>
      <c r="AQ191" s="811"/>
      <c r="AR191" s="811"/>
      <c r="AS191" s="811"/>
      <c r="AT191" s="811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6"/>
      <c r="BN191" s="166"/>
    </row>
    <row r="192" spans="2:66" ht="14.4" x14ac:dyDescent="0.25">
      <c r="B192" s="835" t="s">
        <v>447</v>
      </c>
      <c r="C192" s="818"/>
      <c r="D192" s="818"/>
      <c r="E192" s="818"/>
      <c r="F192" s="818"/>
      <c r="G192" s="818"/>
      <c r="H192" s="818"/>
      <c r="I192" s="818"/>
      <c r="J192" s="818"/>
      <c r="K192" s="818"/>
      <c r="L192" s="818"/>
      <c r="M192" s="818"/>
      <c r="N192" s="818"/>
      <c r="O192" s="818"/>
      <c r="P192" s="818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  <c r="AA192" s="818"/>
      <c r="AB192" s="818"/>
      <c r="AC192" s="818"/>
      <c r="AD192" s="818"/>
      <c r="AE192" s="818"/>
      <c r="AF192" s="818"/>
      <c r="AG192" s="818"/>
      <c r="AH192" s="818"/>
      <c r="AI192" s="818"/>
      <c r="AJ192" s="818"/>
      <c r="AK192" s="818"/>
      <c r="AL192" s="818"/>
      <c r="AM192" s="818"/>
      <c r="AN192" s="818"/>
      <c r="AO192" s="818"/>
      <c r="AP192" s="818"/>
      <c r="AQ192" s="818"/>
      <c r="AR192" s="818"/>
      <c r="AS192" s="818"/>
      <c r="AT192" s="819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  <c r="BN192" s="166"/>
    </row>
    <row r="193" spans="2:66" x14ac:dyDescent="0.25">
      <c r="B193" s="836" t="s">
        <v>448</v>
      </c>
      <c r="C193" s="268">
        <f>C117</f>
        <v>-7217680.5455314573</v>
      </c>
      <c r="D193" s="268">
        <f t="shared" ref="D193:E193" si="383">D117</f>
        <v>-25976311.77290494</v>
      </c>
      <c r="E193" s="268">
        <f t="shared" si="383"/>
        <v>-66708323.717887178</v>
      </c>
      <c r="F193" s="268">
        <f>F117</f>
        <v>-27380475.56786824</v>
      </c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265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66"/>
      <c r="BI193" s="166"/>
      <c r="BJ193" s="166"/>
      <c r="BK193" s="166"/>
      <c r="BL193" s="166"/>
      <c r="BM193" s="166"/>
      <c r="BN193" s="166"/>
    </row>
    <row r="194" spans="2:66" x14ac:dyDescent="0.25">
      <c r="B194" s="836" t="s">
        <v>383</v>
      </c>
      <c r="C194" s="178"/>
      <c r="D194" s="178"/>
      <c r="E194" s="178"/>
      <c r="F194" s="178"/>
      <c r="G194" s="268">
        <f t="shared" ref="G194:AT194" si="384">G118</f>
        <v>0</v>
      </c>
      <c r="H194" s="268">
        <f t="shared" si="384"/>
        <v>0</v>
      </c>
      <c r="I194" s="268">
        <f t="shared" si="384"/>
        <v>0</v>
      </c>
      <c r="J194" s="268">
        <f t="shared" si="384"/>
        <v>0</v>
      </c>
      <c r="K194" s="268">
        <f t="shared" si="384"/>
        <v>0</v>
      </c>
      <c r="L194" s="268">
        <f t="shared" si="384"/>
        <v>0</v>
      </c>
      <c r="M194" s="268">
        <f t="shared" si="384"/>
        <v>0</v>
      </c>
      <c r="N194" s="268">
        <f t="shared" si="384"/>
        <v>0</v>
      </c>
      <c r="O194" s="268">
        <f t="shared" si="384"/>
        <v>0</v>
      </c>
      <c r="P194" s="268">
        <f t="shared" si="384"/>
        <v>-2723541.3615541044</v>
      </c>
      <c r="Q194" s="268">
        <f t="shared" si="384"/>
        <v>-3461942.6878256085</v>
      </c>
      <c r="R194" s="268">
        <f t="shared" si="384"/>
        <v>0</v>
      </c>
      <c r="S194" s="268">
        <f t="shared" si="384"/>
        <v>0</v>
      </c>
      <c r="T194" s="268">
        <f t="shared" si="384"/>
        <v>0</v>
      </c>
      <c r="U194" s="268">
        <f t="shared" si="384"/>
        <v>-3273399.4420900545</v>
      </c>
      <c r="V194" s="268">
        <f t="shared" si="384"/>
        <v>-9774797.0868826061</v>
      </c>
      <c r="W194" s="268">
        <f t="shared" si="384"/>
        <v>-4580502.0888430635</v>
      </c>
      <c r="X194" s="268">
        <f t="shared" si="384"/>
        <v>0</v>
      </c>
      <c r="Y194" s="268">
        <f t="shared" si="384"/>
        <v>0</v>
      </c>
      <c r="Z194" s="268">
        <f t="shared" si="384"/>
        <v>0</v>
      </c>
      <c r="AA194" s="268">
        <f t="shared" si="384"/>
        <v>-3379570.3773918124</v>
      </c>
      <c r="AB194" s="268">
        <f t="shared" si="384"/>
        <v>-4295839.9343584403</v>
      </c>
      <c r="AC194" s="268">
        <f t="shared" si="384"/>
        <v>0</v>
      </c>
      <c r="AD194" s="268">
        <f t="shared" si="384"/>
        <v>0</v>
      </c>
      <c r="AE194" s="268">
        <f t="shared" si="384"/>
        <v>0</v>
      </c>
      <c r="AF194" s="268">
        <f t="shared" si="384"/>
        <v>0</v>
      </c>
      <c r="AG194" s="268">
        <f t="shared" si="384"/>
        <v>0</v>
      </c>
      <c r="AH194" s="268">
        <f t="shared" si="384"/>
        <v>0</v>
      </c>
      <c r="AI194" s="268">
        <f t="shared" si="384"/>
        <v>0</v>
      </c>
      <c r="AJ194" s="268">
        <f t="shared" si="384"/>
        <v>0</v>
      </c>
      <c r="AK194" s="268">
        <f t="shared" si="384"/>
        <v>0</v>
      </c>
      <c r="AL194" s="268">
        <f t="shared" si="384"/>
        <v>-8716196.7525265142</v>
      </c>
      <c r="AM194" s="268">
        <f t="shared" si="384"/>
        <v>-18683131.091712683</v>
      </c>
      <c r="AN194" s="268">
        <f t="shared" si="384"/>
        <v>-6282665.206120478</v>
      </c>
      <c r="AO194" s="268">
        <f t="shared" si="384"/>
        <v>0</v>
      </c>
      <c r="AP194" s="268">
        <f t="shared" si="384"/>
        <v>0</v>
      </c>
      <c r="AQ194" s="268">
        <f t="shared" si="384"/>
        <v>0</v>
      </c>
      <c r="AR194" s="268">
        <f t="shared" si="384"/>
        <v>0</v>
      </c>
      <c r="AS194" s="268">
        <f t="shared" si="384"/>
        <v>0</v>
      </c>
      <c r="AT194" s="799">
        <f t="shared" si="384"/>
        <v>0</v>
      </c>
      <c r="AU194" s="166"/>
      <c r="AV194" s="166"/>
      <c r="AW194" s="166"/>
      <c r="AX194" s="166"/>
      <c r="AY194" s="166"/>
      <c r="AZ194" s="166"/>
      <c r="BA194" s="166"/>
      <c r="BB194" s="166"/>
      <c r="BC194" s="166"/>
      <c r="BD194" s="166"/>
      <c r="BE194" s="166"/>
      <c r="BF194" s="166"/>
      <c r="BG194" s="166"/>
      <c r="BH194" s="166"/>
      <c r="BI194" s="166"/>
      <c r="BJ194" s="166"/>
      <c r="BK194" s="166"/>
      <c r="BL194" s="166"/>
      <c r="BM194" s="166"/>
      <c r="BN194" s="166"/>
    </row>
    <row r="195" spans="2:66" x14ac:dyDescent="0.25">
      <c r="B195" s="836" t="s">
        <v>384</v>
      </c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758">
        <f>AJ168</f>
        <v>49512401.003238209</v>
      </c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847">
        <f>AT168</f>
        <v>47624558.670045361</v>
      </c>
      <c r="AU195" s="166"/>
      <c r="AV195" s="166"/>
      <c r="AW195" s="166"/>
      <c r="AX195" s="166"/>
      <c r="AY195" s="166"/>
      <c r="AZ195" s="166"/>
      <c r="BA195" s="166"/>
      <c r="BB195" s="166"/>
      <c r="BC195" s="166"/>
      <c r="BD195" s="166"/>
      <c r="BE195" s="166"/>
      <c r="BF195" s="166"/>
      <c r="BG195" s="166"/>
      <c r="BH195" s="166"/>
      <c r="BI195" s="166"/>
      <c r="BJ195" s="166"/>
      <c r="BK195" s="166"/>
      <c r="BL195" s="166"/>
      <c r="BM195" s="166"/>
      <c r="BN195" s="166"/>
    </row>
    <row r="196" spans="2:66" ht="15" thickBot="1" x14ac:dyDescent="0.3">
      <c r="B196" s="842" t="s">
        <v>385</v>
      </c>
      <c r="C196" s="822">
        <f t="shared" ref="C196:AT196" si="385">C193+C194+C195</f>
        <v>-7217680.5455314573</v>
      </c>
      <c r="D196" s="822">
        <f t="shared" si="385"/>
        <v>-25976311.77290494</v>
      </c>
      <c r="E196" s="822">
        <f t="shared" si="385"/>
        <v>-66708323.717887178</v>
      </c>
      <c r="F196" s="822">
        <f t="shared" si="385"/>
        <v>-27380475.56786824</v>
      </c>
      <c r="G196" s="822">
        <f t="shared" si="385"/>
        <v>0</v>
      </c>
      <c r="H196" s="822">
        <f t="shared" si="385"/>
        <v>0</v>
      </c>
      <c r="I196" s="822">
        <f t="shared" si="385"/>
        <v>0</v>
      </c>
      <c r="J196" s="822">
        <f t="shared" si="385"/>
        <v>0</v>
      </c>
      <c r="K196" s="822">
        <f t="shared" si="385"/>
        <v>0</v>
      </c>
      <c r="L196" s="822">
        <f t="shared" si="385"/>
        <v>0</v>
      </c>
      <c r="M196" s="822">
        <f t="shared" si="385"/>
        <v>0</v>
      </c>
      <c r="N196" s="822">
        <f t="shared" si="385"/>
        <v>0</v>
      </c>
      <c r="O196" s="822">
        <f t="shared" si="385"/>
        <v>0</v>
      </c>
      <c r="P196" s="822">
        <f t="shared" si="385"/>
        <v>-2723541.3615541044</v>
      </c>
      <c r="Q196" s="822">
        <f t="shared" si="385"/>
        <v>-3461942.6878256085</v>
      </c>
      <c r="R196" s="822">
        <f t="shared" si="385"/>
        <v>0</v>
      </c>
      <c r="S196" s="822">
        <f t="shared" si="385"/>
        <v>0</v>
      </c>
      <c r="T196" s="822">
        <f t="shared" si="385"/>
        <v>0</v>
      </c>
      <c r="U196" s="822">
        <f t="shared" si="385"/>
        <v>-3273399.4420900545</v>
      </c>
      <c r="V196" s="822">
        <f t="shared" si="385"/>
        <v>-9774797.0868826061</v>
      </c>
      <c r="W196" s="822">
        <f t="shared" si="385"/>
        <v>-4580502.0888430635</v>
      </c>
      <c r="X196" s="822">
        <f t="shared" si="385"/>
        <v>0</v>
      </c>
      <c r="Y196" s="822">
        <f t="shared" si="385"/>
        <v>0</v>
      </c>
      <c r="Z196" s="822">
        <f t="shared" si="385"/>
        <v>0</v>
      </c>
      <c r="AA196" s="822">
        <f t="shared" si="385"/>
        <v>-3379570.3773918124</v>
      </c>
      <c r="AB196" s="822">
        <f t="shared" si="385"/>
        <v>-4295839.9343584403</v>
      </c>
      <c r="AC196" s="822">
        <f t="shared" si="385"/>
        <v>0</v>
      </c>
      <c r="AD196" s="822">
        <f t="shared" si="385"/>
        <v>0</v>
      </c>
      <c r="AE196" s="822">
        <f t="shared" si="385"/>
        <v>0</v>
      </c>
      <c r="AF196" s="822">
        <f t="shared" si="385"/>
        <v>0</v>
      </c>
      <c r="AG196" s="822">
        <f t="shared" si="385"/>
        <v>0</v>
      </c>
      <c r="AH196" s="822">
        <f t="shared" si="385"/>
        <v>0</v>
      </c>
      <c r="AI196" s="822">
        <f t="shared" si="385"/>
        <v>0</v>
      </c>
      <c r="AJ196" s="822">
        <f t="shared" si="385"/>
        <v>49512401.003238209</v>
      </c>
      <c r="AK196" s="822">
        <f t="shared" si="385"/>
        <v>0</v>
      </c>
      <c r="AL196" s="822">
        <f t="shared" si="385"/>
        <v>-8716196.7525265142</v>
      </c>
      <c r="AM196" s="822">
        <f t="shared" si="385"/>
        <v>-18683131.091712683</v>
      </c>
      <c r="AN196" s="822">
        <f t="shared" si="385"/>
        <v>-6282665.206120478</v>
      </c>
      <c r="AO196" s="822">
        <f t="shared" si="385"/>
        <v>0</v>
      </c>
      <c r="AP196" s="822">
        <f t="shared" si="385"/>
        <v>0</v>
      </c>
      <c r="AQ196" s="822">
        <f t="shared" si="385"/>
        <v>0</v>
      </c>
      <c r="AR196" s="822">
        <f t="shared" si="385"/>
        <v>0</v>
      </c>
      <c r="AS196" s="822">
        <f t="shared" si="385"/>
        <v>0</v>
      </c>
      <c r="AT196" s="823">
        <f t="shared" si="385"/>
        <v>47624558.670045361</v>
      </c>
      <c r="AU196" s="166"/>
      <c r="AV196" s="166"/>
      <c r="AW196" s="166"/>
      <c r="AX196" s="166"/>
      <c r="AY196" s="166"/>
      <c r="AZ196" s="166"/>
      <c r="BA196" s="166"/>
      <c r="BB196" s="166"/>
      <c r="BC196" s="166"/>
      <c r="BD196" s="166"/>
      <c r="BE196" s="166"/>
      <c r="BF196" s="166"/>
      <c r="BG196" s="166"/>
      <c r="BH196" s="166"/>
      <c r="BI196" s="166"/>
      <c r="BJ196" s="166"/>
      <c r="BK196" s="166"/>
      <c r="BL196" s="166"/>
      <c r="BM196" s="166"/>
      <c r="BN196" s="166"/>
    </row>
    <row r="197" spans="2:66" ht="14.4" x14ac:dyDescent="0.25">
      <c r="B197" s="838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66"/>
      <c r="AV197" s="166"/>
      <c r="AW197" s="166"/>
      <c r="AX197" s="166"/>
      <c r="AY197" s="166"/>
      <c r="AZ197" s="166"/>
      <c r="BA197" s="166"/>
      <c r="BB197" s="166"/>
      <c r="BC197" s="166"/>
      <c r="BD197" s="166"/>
      <c r="BE197" s="166"/>
      <c r="BF197" s="166"/>
      <c r="BG197" s="166"/>
      <c r="BH197" s="166"/>
      <c r="BI197" s="166"/>
      <c r="BJ197" s="166"/>
      <c r="BK197" s="166"/>
      <c r="BL197" s="166"/>
      <c r="BM197" s="166"/>
      <c r="BN197" s="166"/>
    </row>
    <row r="198" spans="2:66" ht="14.4" x14ac:dyDescent="0.25">
      <c r="B198" s="838"/>
      <c r="C198" s="178"/>
      <c r="D198" s="178"/>
      <c r="E198" s="884" t="s">
        <v>473</v>
      </c>
      <c r="F198" s="178">
        <f>C196+D196+E196+F196</f>
        <v>-127282791.60419181</v>
      </c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66"/>
      <c r="AV198" s="166"/>
      <c r="AW198" s="166"/>
      <c r="AX198" s="166"/>
      <c r="AY198" s="166"/>
      <c r="AZ198" s="166"/>
      <c r="BA198" s="166"/>
      <c r="BB198" s="166"/>
      <c r="BC198" s="166"/>
      <c r="BD198" s="166"/>
      <c r="BE198" s="166"/>
      <c r="BF198" s="166"/>
      <c r="BG198" s="166"/>
      <c r="BH198" s="166"/>
      <c r="BI198" s="166"/>
      <c r="BJ198" s="166"/>
      <c r="BK198" s="166"/>
      <c r="BL198" s="166"/>
      <c r="BM198" s="166"/>
      <c r="BN198" s="166"/>
    </row>
    <row r="199" spans="2:66" ht="14.4" x14ac:dyDescent="0.25">
      <c r="B199" s="838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66"/>
      <c r="AV199" s="166"/>
      <c r="AW199" s="166"/>
      <c r="AX199" s="166"/>
      <c r="AY199" s="166"/>
      <c r="AZ199" s="166"/>
      <c r="BA199" s="166"/>
      <c r="BB199" s="166"/>
      <c r="BC199" s="166"/>
      <c r="BD199" s="166"/>
      <c r="BE199" s="166"/>
      <c r="BF199" s="166"/>
      <c r="BG199" s="166"/>
      <c r="BH199" s="166"/>
      <c r="BI199" s="166"/>
      <c r="BJ199" s="166"/>
      <c r="BK199" s="166"/>
      <c r="BL199" s="166"/>
      <c r="BM199" s="166"/>
      <c r="BN199" s="166"/>
    </row>
    <row r="200" spans="2:66" ht="14.4" x14ac:dyDescent="0.25">
      <c r="B200" s="844" t="s">
        <v>436</v>
      </c>
      <c r="C200" s="178">
        <f t="shared" ref="C200:AJ200" si="386">C190+C196</f>
        <v>-7217680.5455314573</v>
      </c>
      <c r="D200" s="178">
        <f t="shared" si="386"/>
        <v>-25976311.77290494</v>
      </c>
      <c r="E200" s="178">
        <f t="shared" si="386"/>
        <v>-66708323.717887178</v>
      </c>
      <c r="F200" s="178">
        <f t="shared" si="386"/>
        <v>-27380475.56786824</v>
      </c>
      <c r="G200" s="178">
        <f t="shared" si="386"/>
        <v>775174.63085549045</v>
      </c>
      <c r="H200" s="178">
        <f t="shared" si="386"/>
        <v>1961735.3400438563</v>
      </c>
      <c r="I200" s="178">
        <f t="shared" si="386"/>
        <v>2177647.4906712198</v>
      </c>
      <c r="J200" s="178">
        <f t="shared" si="386"/>
        <v>2160605.8066116273</v>
      </c>
      <c r="K200" s="178">
        <f t="shared" si="386"/>
        <v>-3129033.7200595178</v>
      </c>
      <c r="L200" s="178">
        <f t="shared" si="386"/>
        <v>2345004.1227336135</v>
      </c>
      <c r="M200" s="178">
        <f t="shared" si="386"/>
        <v>2560298.4056641534</v>
      </c>
      <c r="N200" s="178">
        <f t="shared" si="386"/>
        <v>2510501.2181618582</v>
      </c>
      <c r="O200" s="178">
        <f t="shared" si="386"/>
        <v>2706637.8584634587</v>
      </c>
      <c r="P200" s="178">
        <f t="shared" si="386"/>
        <v>-6104358.5296473932</v>
      </c>
      <c r="Q200" s="178">
        <f t="shared" si="386"/>
        <v>-601762.81816721288</v>
      </c>
      <c r="R200" s="178">
        <f t="shared" si="386"/>
        <v>2804622.4470910225</v>
      </c>
      <c r="S200" s="178">
        <f t="shared" si="386"/>
        <v>2991089.1074707247</v>
      </c>
      <c r="T200" s="178">
        <f t="shared" si="386"/>
        <v>2902253.1720178463</v>
      </c>
      <c r="U200" s="178">
        <f t="shared" si="386"/>
        <v>-6808156.6295851897</v>
      </c>
      <c r="V200" s="178">
        <f t="shared" si="386"/>
        <v>-6861293.542567974</v>
      </c>
      <c r="W200" s="178">
        <f t="shared" si="386"/>
        <v>-1536099.4562263694</v>
      </c>
      <c r="X200" s="178">
        <f t="shared" si="386"/>
        <v>3155112.6445014421</v>
      </c>
      <c r="Y200" s="178">
        <f t="shared" si="386"/>
        <v>3417495.6841872688</v>
      </c>
      <c r="Z200" s="178">
        <f t="shared" si="386"/>
        <v>-3920069.3651852109</v>
      </c>
      <c r="AA200" s="178">
        <f t="shared" si="386"/>
        <v>262783.13642234728</v>
      </c>
      <c r="AB200" s="178">
        <f t="shared" si="386"/>
        <v>-708653.85222933628</v>
      </c>
      <c r="AC200" s="178">
        <f t="shared" si="386"/>
        <v>3813372.1724495236</v>
      </c>
      <c r="AD200" s="178">
        <f t="shared" si="386"/>
        <v>3689005.5417403914</v>
      </c>
      <c r="AE200" s="178">
        <f t="shared" si="386"/>
        <v>-4081909.6561691426</v>
      </c>
      <c r="AF200" s="178">
        <f t="shared" si="386"/>
        <v>3792527.7758933157</v>
      </c>
      <c r="AG200" s="178">
        <f t="shared" si="386"/>
        <v>4034866.2742005931</v>
      </c>
      <c r="AH200" s="178">
        <f t="shared" si="386"/>
        <v>3897686.204684983</v>
      </c>
      <c r="AI200" s="178">
        <f t="shared" si="386"/>
        <v>4121758.7452770593</v>
      </c>
      <c r="AJ200" s="178">
        <f t="shared" si="386"/>
        <v>44721247.274645925</v>
      </c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66"/>
      <c r="AV200" s="166"/>
      <c r="AW200" s="166"/>
      <c r="AX200" s="166"/>
      <c r="AY200" s="166"/>
      <c r="AZ200" s="166"/>
      <c r="BA200" s="166"/>
      <c r="BB200" s="166"/>
      <c r="BC200" s="166"/>
      <c r="BD200" s="166"/>
      <c r="BE200" s="166"/>
      <c r="BF200" s="166"/>
      <c r="BG200" s="166"/>
      <c r="BH200" s="166"/>
      <c r="BI200" s="166"/>
      <c r="BJ200" s="166"/>
      <c r="BK200" s="166"/>
      <c r="BL200" s="166"/>
      <c r="BM200" s="166"/>
      <c r="BN200" s="166"/>
    </row>
    <row r="201" spans="2:66" ht="14.4" x14ac:dyDescent="0.25">
      <c r="B201" s="844" t="s">
        <v>438</v>
      </c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848">
        <f>IRR(C200:AJ200)</f>
        <v>-2.2413382902720325E-2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66"/>
      <c r="AV201" s="166"/>
      <c r="AW201" s="166"/>
      <c r="AX201" s="166"/>
      <c r="AY201" s="166"/>
      <c r="AZ201" s="166"/>
      <c r="BA201" s="166"/>
      <c r="BB201" s="166"/>
      <c r="BC201" s="166"/>
      <c r="BD201" s="166"/>
      <c r="BE201" s="166"/>
      <c r="BF201" s="166"/>
      <c r="BG201" s="166"/>
      <c r="BH201" s="166"/>
      <c r="BI201" s="166"/>
      <c r="BJ201" s="166"/>
      <c r="BK201" s="166"/>
      <c r="BL201" s="166"/>
      <c r="BM201" s="166"/>
      <c r="BN201" s="166"/>
    </row>
    <row r="202" spans="2:66" ht="14.4" x14ac:dyDescent="0.25">
      <c r="B202" s="844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66"/>
      <c r="AV202" s="166"/>
      <c r="AW202" s="166"/>
      <c r="AX202" s="166"/>
      <c r="AY202" s="166"/>
      <c r="AZ202" s="166"/>
      <c r="BA202" s="166"/>
      <c r="BB202" s="166"/>
      <c r="BC202" s="166"/>
      <c r="BD202" s="166"/>
      <c r="BE202" s="166"/>
      <c r="BF202" s="166"/>
      <c r="BG202" s="166"/>
      <c r="BH202" s="166"/>
      <c r="BI202" s="166"/>
      <c r="BJ202" s="166"/>
      <c r="BK202" s="166"/>
      <c r="BL202" s="166"/>
      <c r="BM202" s="166"/>
      <c r="BN202" s="166"/>
    </row>
    <row r="203" spans="2:66" ht="14.4" x14ac:dyDescent="0.25">
      <c r="B203" s="844" t="s">
        <v>437</v>
      </c>
      <c r="C203" s="178">
        <f>C190+C196</f>
        <v>-7217680.5455314573</v>
      </c>
      <c r="D203" s="178">
        <f t="shared" ref="D203:AI203" si="387">D190+D196</f>
        <v>-25976311.77290494</v>
      </c>
      <c r="E203" s="178">
        <f t="shared" si="387"/>
        <v>-66708323.717887178</v>
      </c>
      <c r="F203" s="178">
        <f t="shared" si="387"/>
        <v>-27380475.56786824</v>
      </c>
      <c r="G203" s="178">
        <f t="shared" si="387"/>
        <v>775174.63085549045</v>
      </c>
      <c r="H203" s="178">
        <f t="shared" si="387"/>
        <v>1961735.3400438563</v>
      </c>
      <c r="I203" s="178">
        <f t="shared" si="387"/>
        <v>2177647.4906712198</v>
      </c>
      <c r="J203" s="178">
        <f t="shared" si="387"/>
        <v>2160605.8066116273</v>
      </c>
      <c r="K203" s="178">
        <f t="shared" si="387"/>
        <v>-3129033.7200595178</v>
      </c>
      <c r="L203" s="178">
        <f t="shared" si="387"/>
        <v>2345004.1227336135</v>
      </c>
      <c r="M203" s="178">
        <f t="shared" si="387"/>
        <v>2560298.4056641534</v>
      </c>
      <c r="N203" s="178">
        <f t="shared" si="387"/>
        <v>2510501.2181618582</v>
      </c>
      <c r="O203" s="178">
        <f t="shared" si="387"/>
        <v>2706637.8584634587</v>
      </c>
      <c r="P203" s="178">
        <f t="shared" si="387"/>
        <v>-6104358.5296473932</v>
      </c>
      <c r="Q203" s="178">
        <f t="shared" si="387"/>
        <v>-601762.81816721288</v>
      </c>
      <c r="R203" s="178">
        <f t="shared" si="387"/>
        <v>2804622.4470910225</v>
      </c>
      <c r="S203" s="178">
        <f t="shared" si="387"/>
        <v>2991089.1074707247</v>
      </c>
      <c r="T203" s="178">
        <f t="shared" si="387"/>
        <v>2902253.1720178463</v>
      </c>
      <c r="U203" s="178">
        <f t="shared" si="387"/>
        <v>-6808156.6295851897</v>
      </c>
      <c r="V203" s="178">
        <f t="shared" si="387"/>
        <v>-6861293.542567974</v>
      </c>
      <c r="W203" s="178">
        <f t="shared" si="387"/>
        <v>-1536099.4562263694</v>
      </c>
      <c r="X203" s="178">
        <f t="shared" si="387"/>
        <v>3155112.6445014421</v>
      </c>
      <c r="Y203" s="178">
        <f t="shared" si="387"/>
        <v>3417495.6841872688</v>
      </c>
      <c r="Z203" s="178">
        <f t="shared" si="387"/>
        <v>-3920069.3651852109</v>
      </c>
      <c r="AA203" s="178">
        <f t="shared" si="387"/>
        <v>262783.13642234728</v>
      </c>
      <c r="AB203" s="178">
        <f t="shared" si="387"/>
        <v>-708653.85222933628</v>
      </c>
      <c r="AC203" s="178">
        <f t="shared" si="387"/>
        <v>3813372.1724495236</v>
      </c>
      <c r="AD203" s="178">
        <f t="shared" si="387"/>
        <v>3689005.5417403914</v>
      </c>
      <c r="AE203" s="178">
        <f t="shared" si="387"/>
        <v>-4081909.6561691426</v>
      </c>
      <c r="AF203" s="178">
        <f t="shared" si="387"/>
        <v>3792527.7758933157</v>
      </c>
      <c r="AG203" s="178">
        <f t="shared" si="387"/>
        <v>4034866.2742005931</v>
      </c>
      <c r="AH203" s="178">
        <f t="shared" si="387"/>
        <v>3897686.204684983</v>
      </c>
      <c r="AI203" s="178">
        <f t="shared" si="387"/>
        <v>4121758.7452770593</v>
      </c>
      <c r="AJ203" s="178">
        <f>AJ190+AJ194</f>
        <v>-4791153.7285922822</v>
      </c>
      <c r="AK203" s="178">
        <f t="shared" ref="AK203:AT203" si="388">AK190+AK196</f>
        <v>4196800.8870752072</v>
      </c>
      <c r="AL203" s="178">
        <f t="shared" si="388"/>
        <v>-4617770.5209111255</v>
      </c>
      <c r="AM203" s="178">
        <f t="shared" si="388"/>
        <v>-14821489.961887568</v>
      </c>
      <c r="AN203" s="178">
        <f t="shared" si="388"/>
        <v>-2793000.7028406914</v>
      </c>
      <c r="AO203" s="178">
        <f t="shared" si="388"/>
        <v>-5164152.0324967932</v>
      </c>
      <c r="AP203" s="178">
        <f t="shared" si="388"/>
        <v>4332970.3533001468</v>
      </c>
      <c r="AQ203" s="178">
        <f t="shared" si="388"/>
        <v>4590556.1345828008</v>
      </c>
      <c r="AR203" s="178">
        <f t="shared" si="388"/>
        <v>4444918.3694317276</v>
      </c>
      <c r="AS203" s="178">
        <f t="shared" si="388"/>
        <v>4669736.3564114831</v>
      </c>
      <c r="AT203" s="178">
        <f t="shared" si="388"/>
        <v>41563931.187707737</v>
      </c>
      <c r="AU203" s="166"/>
      <c r="AV203" s="166"/>
      <c r="AW203" s="166"/>
      <c r="AX203" s="166"/>
      <c r="AY203" s="166"/>
      <c r="AZ203" s="166"/>
      <c r="BA203" s="166"/>
      <c r="BB203" s="166"/>
      <c r="BC203" s="166"/>
      <c r="BD203" s="166"/>
      <c r="BE203" s="166"/>
      <c r="BF203" s="166"/>
      <c r="BG203" s="166"/>
      <c r="BH203" s="166"/>
      <c r="BI203" s="166"/>
      <c r="BJ203" s="166"/>
      <c r="BK203" s="166"/>
      <c r="BL203" s="166"/>
      <c r="BM203" s="166"/>
      <c r="BN203" s="166"/>
    </row>
    <row r="204" spans="2:66" ht="14.4" x14ac:dyDescent="0.25">
      <c r="B204" s="844" t="s">
        <v>439</v>
      </c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849">
        <f>IRR(C203:AT203)</f>
        <v>-2.2911351209283004E-2</v>
      </c>
      <c r="AU204" s="166"/>
      <c r="AV204" s="166"/>
      <c r="AW204" s="166"/>
      <c r="AX204" s="166"/>
      <c r="AY204" s="166"/>
      <c r="AZ204" s="166"/>
      <c r="BA204" s="166"/>
      <c r="BB204" s="166"/>
      <c r="BC204" s="166"/>
      <c r="BD204" s="166"/>
      <c r="BE204" s="166"/>
      <c r="BF204" s="166"/>
      <c r="BG204" s="166"/>
      <c r="BH204" s="166"/>
      <c r="BI204" s="166"/>
      <c r="BJ204" s="166"/>
      <c r="BK204" s="166"/>
      <c r="BL204" s="166"/>
      <c r="BM204" s="166"/>
      <c r="BN204" s="166"/>
    </row>
    <row r="205" spans="2:66" ht="14.4" x14ac:dyDescent="0.25">
      <c r="B205" s="844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66"/>
      <c r="BI205" s="166"/>
      <c r="BJ205" s="166"/>
      <c r="BK205" s="166"/>
      <c r="BL205" s="166"/>
      <c r="BM205" s="166"/>
      <c r="BN205" s="166"/>
    </row>
    <row r="206" spans="2:66" ht="14.4" x14ac:dyDescent="0.25">
      <c r="B206" s="844" t="s">
        <v>450</v>
      </c>
      <c r="C206" s="178">
        <f>C180</f>
        <v>0</v>
      </c>
      <c r="D206" s="178">
        <f t="shared" ref="D206:AT206" si="389">D180</f>
        <v>0</v>
      </c>
      <c r="E206" s="178">
        <f t="shared" si="389"/>
        <v>0</v>
      </c>
      <c r="F206" s="178">
        <f t="shared" si="389"/>
        <v>0</v>
      </c>
      <c r="G206" s="178">
        <f t="shared" si="389"/>
        <v>775174.63085549045</v>
      </c>
      <c r="H206" s="178">
        <f t="shared" si="389"/>
        <v>1961735.3400438563</v>
      </c>
      <c r="I206" s="178">
        <f t="shared" si="389"/>
        <v>2177647.4906712198</v>
      </c>
      <c r="J206" s="178">
        <f t="shared" si="389"/>
        <v>2160605.8066116273</v>
      </c>
      <c r="K206" s="178">
        <f t="shared" si="389"/>
        <v>-3129033.7200595178</v>
      </c>
      <c r="L206" s="178">
        <f t="shared" si="389"/>
        <v>2345004.1227336135</v>
      </c>
      <c r="M206" s="178">
        <f t="shared" si="389"/>
        <v>2560298.4056641534</v>
      </c>
      <c r="N206" s="178">
        <f t="shared" si="389"/>
        <v>2510501.2181618582</v>
      </c>
      <c r="O206" s="178">
        <f t="shared" si="389"/>
        <v>2706637.8584634587</v>
      </c>
      <c r="P206" s="178">
        <f t="shared" si="389"/>
        <v>-3380817.1680932892</v>
      </c>
      <c r="Q206" s="178">
        <f t="shared" si="389"/>
        <v>2860179.8696583956</v>
      </c>
      <c r="R206" s="178">
        <f t="shared" si="389"/>
        <v>2804622.4470910225</v>
      </c>
      <c r="S206" s="178">
        <f t="shared" si="389"/>
        <v>2991089.1074707247</v>
      </c>
      <c r="T206" s="178">
        <f t="shared" si="389"/>
        <v>2902253.1720178463</v>
      </c>
      <c r="U206" s="178">
        <f t="shared" si="389"/>
        <v>-3534757.1874951357</v>
      </c>
      <c r="V206" s="178">
        <f t="shared" si="389"/>
        <v>3002686.7125468487</v>
      </c>
      <c r="W206" s="178">
        <f t="shared" si="389"/>
        <v>3204069.9253192516</v>
      </c>
      <c r="X206" s="178">
        <f t="shared" si="389"/>
        <v>3155112.6445014421</v>
      </c>
      <c r="Y206" s="178">
        <f t="shared" si="389"/>
        <v>3417495.6841872688</v>
      </c>
      <c r="Z206" s="178">
        <f t="shared" si="389"/>
        <v>-3920069.3651852105</v>
      </c>
      <c r="AA206" s="178">
        <f t="shared" si="389"/>
        <v>3642353.5138141597</v>
      </c>
      <c r="AB206" s="178">
        <f t="shared" si="389"/>
        <v>3587186.0821291041</v>
      </c>
      <c r="AC206" s="178">
        <f t="shared" si="389"/>
        <v>3813372.1724495236</v>
      </c>
      <c r="AD206" s="178">
        <f t="shared" si="389"/>
        <v>3689005.5417403914</v>
      </c>
      <c r="AE206" s="178">
        <f t="shared" si="389"/>
        <v>-4081909.6561691426</v>
      </c>
      <c r="AF206" s="178">
        <f t="shared" si="389"/>
        <v>3792527.7758933157</v>
      </c>
      <c r="AG206" s="178">
        <f t="shared" si="389"/>
        <v>4034866.2742005931</v>
      </c>
      <c r="AH206" s="178">
        <f t="shared" si="389"/>
        <v>3897686.204684983</v>
      </c>
      <c r="AI206" s="178">
        <f t="shared" si="389"/>
        <v>4148488.9905423736</v>
      </c>
      <c r="AJ206" s="178">
        <f t="shared" si="389"/>
        <v>-4791153.7285922822</v>
      </c>
      <c r="AK206" s="178">
        <f t="shared" si="389"/>
        <v>4263938.4394626012</v>
      </c>
      <c r="AL206" s="178">
        <f t="shared" si="389"/>
        <v>4112592.8156782649</v>
      </c>
      <c r="AM206" s="178">
        <f t="shared" si="389"/>
        <v>4381133.1222814871</v>
      </c>
      <c r="AN206" s="178">
        <f t="shared" si="389"/>
        <v>4222152.7136136862</v>
      </c>
      <c r="AO206" s="178">
        <f t="shared" si="389"/>
        <v>-5164152.0324967932</v>
      </c>
      <c r="AP206" s="178">
        <f t="shared" si="389"/>
        <v>4332970.3533001468</v>
      </c>
      <c r="AQ206" s="178">
        <f t="shared" si="389"/>
        <v>4620370.8752198741</v>
      </c>
      <c r="AR206" s="178">
        <f t="shared" si="389"/>
        <v>4444918.3694317276</v>
      </c>
      <c r="AS206" s="178">
        <f t="shared" si="389"/>
        <v>4742186.6011101548</v>
      </c>
      <c r="AT206" s="178">
        <f t="shared" si="389"/>
        <v>-6060627.4823376276</v>
      </c>
      <c r="AU206" s="166"/>
      <c r="AV206" s="166"/>
      <c r="AW206" s="166"/>
      <c r="AX206" s="166"/>
      <c r="AY206" s="166"/>
      <c r="AZ206" s="166"/>
      <c r="BA206" s="166"/>
      <c r="BB206" s="166"/>
      <c r="BC206" s="166"/>
      <c r="BD206" s="166"/>
      <c r="BE206" s="166"/>
      <c r="BF206" s="166"/>
      <c r="BG206" s="166"/>
      <c r="BH206" s="166"/>
      <c r="BI206" s="166"/>
      <c r="BJ206" s="166"/>
      <c r="BK206" s="166"/>
      <c r="BL206" s="166"/>
      <c r="BM206" s="166"/>
      <c r="BN206" s="166"/>
    </row>
    <row r="207" spans="2:66" ht="14.4" x14ac:dyDescent="0.25">
      <c r="B207" s="844" t="s">
        <v>451</v>
      </c>
      <c r="C207" s="178">
        <f>C206+C167</f>
        <v>0</v>
      </c>
      <c r="D207" s="178">
        <f t="shared" ref="D207" si="390">D206+D167</f>
        <v>0</v>
      </c>
      <c r="E207" s="178">
        <f t="shared" ref="E207" si="391">E206+E167</f>
        <v>0</v>
      </c>
      <c r="F207" s="178">
        <f t="shared" ref="F207" si="392">F206+F167</f>
        <v>0</v>
      </c>
      <c r="G207" s="178">
        <f t="shared" ref="G207" si="393">G206+G167</f>
        <v>-2887669.6277293386</v>
      </c>
      <c r="H207" s="178">
        <f t="shared" ref="H207" si="394">H206+H167</f>
        <v>-1701108.9185409728</v>
      </c>
      <c r="I207" s="178">
        <f t="shared" ref="I207" si="395">I206+I167</f>
        <v>-1485196.7679136093</v>
      </c>
      <c r="J207" s="178">
        <f t="shared" ref="J207" si="396">J206+J167</f>
        <v>-1502238.4519732017</v>
      </c>
      <c r="K207" s="178">
        <f t="shared" ref="K207" si="397">K206+K167</f>
        <v>-6791877.9786443468</v>
      </c>
      <c r="L207" s="178">
        <f t="shared" ref="L207" si="398">L206+L167</f>
        <v>-1113475.2157764221</v>
      </c>
      <c r="M207" s="178">
        <f t="shared" ref="M207" si="399">M206+M167</f>
        <v>-898180.93284588214</v>
      </c>
      <c r="N207" s="178">
        <f t="shared" ref="N207" si="400">N206+N167</f>
        <v>-947978.12034817738</v>
      </c>
      <c r="O207" s="178">
        <f t="shared" ref="O207" si="401">O206+O167</f>
        <v>-751841.48004657682</v>
      </c>
      <c r="P207" s="178">
        <f t="shared" ref="P207" si="402">P206+P167</f>
        <v>-6839296.5066033248</v>
      </c>
      <c r="Q207" s="178">
        <f t="shared" ref="Q207" si="403">Q206+Q167</f>
        <v>-115210.13540042005</v>
      </c>
      <c r="R207" s="178">
        <f t="shared" ref="R207" si="404">R206+R167</f>
        <v>-789315.96290576458</v>
      </c>
      <c r="S207" s="178">
        <f t="shared" ref="S207" si="405">S206+S167</f>
        <v>-602849.30252606235</v>
      </c>
      <c r="T207" s="178">
        <f t="shared" ref="T207" si="406">T206+T167</f>
        <v>-691685.23797894083</v>
      </c>
      <c r="U207" s="178">
        <f t="shared" ref="U207" si="407">U206+U167</f>
        <v>-7128695.5974919228</v>
      </c>
      <c r="V207" s="178">
        <f t="shared" ref="V207" si="408">V206+V167</f>
        <v>254809.05209204741</v>
      </c>
      <c r="W207" s="178">
        <f t="shared" ref="W207" si="409">W206+W167</f>
        <v>456192.26486445032</v>
      </c>
      <c r="X207" s="178">
        <f t="shared" ref="X207" si="410">X206+X167</f>
        <v>-768011.59047440765</v>
      </c>
      <c r="Y207" s="178">
        <f t="shared" ref="Y207" si="411">Y206+Y167</f>
        <v>-505628.55078858091</v>
      </c>
      <c r="Z207" s="178">
        <f t="shared" ref="Z207" si="412">Z206+Z167</f>
        <v>-7843193.6001610607</v>
      </c>
      <c r="AA207" s="178">
        <f t="shared" ref="AA207" si="413">AA206+AA167</f>
        <v>-280770.72116169007</v>
      </c>
      <c r="AB207" s="178">
        <f t="shared" ref="AB207" si="414">AB206+AB167</f>
        <v>-335938.15284674568</v>
      </c>
      <c r="AC207" s="178">
        <f t="shared" ref="AC207" si="415">AC206+AC167</f>
        <v>-258744.68876338005</v>
      </c>
      <c r="AD207" s="178">
        <f t="shared" ref="AD207" si="416">AD206+AD167</f>
        <v>-383111.31947251223</v>
      </c>
      <c r="AE207" s="178">
        <f t="shared" ref="AE207" si="417">AE206+AE167</f>
        <v>-8154026.5173820462</v>
      </c>
      <c r="AF207" s="178">
        <f t="shared" ref="AF207" si="418">AF206+AF167</f>
        <v>-279589.08531958796</v>
      </c>
      <c r="AG207" s="178">
        <f t="shared" ref="AG207" si="419">AG206+AG167</f>
        <v>-37250.587012310512</v>
      </c>
      <c r="AH207" s="178">
        <f t="shared" ref="AH207" si="420">AH206+AH167</f>
        <v>-174430.65652792063</v>
      </c>
      <c r="AI207" s="178">
        <f t="shared" ref="AI207" si="421">AI206+AI167</f>
        <v>76372.129329469986</v>
      </c>
      <c r="AJ207" s="178">
        <f t="shared" ref="AJ207" si="422">AJ206+AJ167</f>
        <v>-8863270.5898051858</v>
      </c>
      <c r="AK207" s="178">
        <f t="shared" ref="AK207" si="423">AK206+AK167</f>
        <v>191821.57824969757</v>
      </c>
      <c r="AL207" s="178">
        <f t="shared" ref="AL207" si="424">AL206+AL167</f>
        <v>40475.954465361312</v>
      </c>
      <c r="AM207" s="178">
        <f t="shared" ref="AM207" si="425">AM206+AM167</f>
        <v>1484262.8355896319</v>
      </c>
      <c r="AN207" s="178">
        <f t="shared" ref="AN207" si="426">AN206+AN167</f>
        <v>2092823.4580968563</v>
      </c>
      <c r="AO207" s="178">
        <f t="shared" ref="AO207" si="427">AO206+AO167</f>
        <v>-9699337.9344678856</v>
      </c>
      <c r="AP207" s="178">
        <f t="shared" ref="AP207" si="428">AP206+AP167</f>
        <v>-202215.54867094569</v>
      </c>
      <c r="AQ207" s="178">
        <f t="shared" ref="AQ207" si="429">AQ206+AQ167</f>
        <v>85184.973248781636</v>
      </c>
      <c r="AR207" s="178">
        <f t="shared" ref="AR207" si="430">AR206+AR167</f>
        <v>-90267.532539364882</v>
      </c>
      <c r="AS207" s="178">
        <f t="shared" ref="AS207" si="431">AS206+AS167</f>
        <v>207000.69913906232</v>
      </c>
      <c r="AT207" s="178">
        <f t="shared" ref="AT207" si="432">AT206+AT167</f>
        <v>-10595813.38430872</v>
      </c>
      <c r="AU207" s="166"/>
      <c r="AV207" s="166"/>
      <c r="AW207" s="166"/>
      <c r="AX207" s="166"/>
      <c r="AY207" s="166"/>
      <c r="AZ207" s="166"/>
      <c r="BA207" s="166"/>
      <c r="BB207" s="166"/>
      <c r="BC207" s="166"/>
      <c r="BD207" s="166"/>
      <c r="BE207" s="166"/>
      <c r="BF207" s="166"/>
      <c r="BG207" s="166"/>
      <c r="BH207" s="166"/>
      <c r="BI207" s="166"/>
      <c r="BJ207" s="166"/>
      <c r="BK207" s="166"/>
      <c r="BL207" s="166"/>
      <c r="BM207" s="166"/>
      <c r="BN207" s="166"/>
    </row>
    <row r="208" spans="2:66" ht="14.4" x14ac:dyDescent="0.25">
      <c r="B208" s="844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</row>
    <row r="209" spans="1:66" ht="14.4" x14ac:dyDescent="0.25">
      <c r="B209" s="844" t="s">
        <v>489</v>
      </c>
      <c r="C209" s="908"/>
      <c r="D209" s="908"/>
      <c r="E209" s="908"/>
      <c r="F209" s="908"/>
      <c r="G209" s="909">
        <f>ABS(G178)/ABS(G173)</f>
        <v>1.224389790839163</v>
      </c>
      <c r="H209" s="909">
        <f t="shared" ref="H209:AT209" si="433">ABS(H178)/ABS(H173)</f>
        <v>1.5531702162064824</v>
      </c>
      <c r="I209" s="909">
        <f t="shared" si="433"/>
        <v>1.5999855086166295</v>
      </c>
      <c r="J209" s="909">
        <f t="shared" si="433"/>
        <v>1.5816445909400412</v>
      </c>
      <c r="K209" s="909">
        <f t="shared" si="433"/>
        <v>0.66333928112632889</v>
      </c>
      <c r="L209" s="909">
        <f t="shared" si="433"/>
        <v>1.6026514092373216</v>
      </c>
      <c r="M209" s="909">
        <f t="shared" si="433"/>
        <v>1.6428720978933893</v>
      </c>
      <c r="N209" s="909">
        <f t="shared" si="433"/>
        <v>1.6158855156116625</v>
      </c>
      <c r="O209" s="909">
        <f t="shared" si="433"/>
        <v>1.6487380942378602</v>
      </c>
      <c r="P209" s="909">
        <f t="shared" si="433"/>
        <v>0.67193223851014372</v>
      </c>
      <c r="Q209" s="909">
        <f t="shared" si="433"/>
        <v>1.6543563978473641</v>
      </c>
      <c r="R209" s="909">
        <f t="shared" si="433"/>
        <v>1.6268699690441495</v>
      </c>
      <c r="S209" s="909">
        <f t="shared" si="433"/>
        <v>1.6531434405990237</v>
      </c>
      <c r="T209" s="909">
        <f t="shared" si="433"/>
        <v>1.6191341697118646</v>
      </c>
      <c r="U209" s="909">
        <f t="shared" si="433"/>
        <v>0.69072264835050834</v>
      </c>
      <c r="V209" s="909">
        <f t="shared" si="433"/>
        <v>1.6113392807610845</v>
      </c>
      <c r="W209" s="909">
        <f t="shared" si="433"/>
        <v>1.637274871867815</v>
      </c>
      <c r="X209" s="909">
        <f t="shared" si="433"/>
        <v>1.6130364331005815</v>
      </c>
      <c r="Y209" s="909">
        <f t="shared" si="433"/>
        <v>1.6486644124948624</v>
      </c>
      <c r="Z209" s="909">
        <f t="shared" si="433"/>
        <v>0.69081883361898144</v>
      </c>
      <c r="AA209" s="909">
        <f t="shared" si="433"/>
        <v>1.659717114345945</v>
      </c>
      <c r="AB209" s="909">
        <f t="shared" si="433"/>
        <v>1.6346765169399498</v>
      </c>
      <c r="AC209" s="909">
        <f t="shared" si="433"/>
        <v>1.6590595181593535</v>
      </c>
      <c r="AD209" s="909">
        <f t="shared" si="433"/>
        <v>1.6227815208772263</v>
      </c>
      <c r="AE209" s="909">
        <f t="shared" si="433"/>
        <v>0.70986871646971095</v>
      </c>
      <c r="AF209" s="909">
        <f t="shared" si="433"/>
        <v>1.6108846812131525</v>
      </c>
      <c r="AG209" s="909">
        <f t="shared" si="433"/>
        <v>1.6348230516274156</v>
      </c>
      <c r="AH209" s="909">
        <f t="shared" si="433"/>
        <v>1.5989871707409307</v>
      </c>
      <c r="AI209" s="909">
        <f t="shared" si="433"/>
        <v>1.6227040920367219</v>
      </c>
      <c r="AJ209" s="909">
        <f t="shared" si="433"/>
        <v>0.69319577363267693</v>
      </c>
      <c r="AK209" s="909">
        <f t="shared" si="433"/>
        <v>1.6105862407026161</v>
      </c>
      <c r="AL209" s="909">
        <f t="shared" si="433"/>
        <v>1.5751948274525112</v>
      </c>
      <c r="AM209" s="909">
        <f t="shared" si="433"/>
        <v>1.5984706911664215</v>
      </c>
      <c r="AN209" s="909">
        <f t="shared" si="433"/>
        <v>1.5633023379836917</v>
      </c>
      <c r="AO209" s="909">
        <f t="shared" si="433"/>
        <v>0.70215831584891775</v>
      </c>
      <c r="AP209" s="909">
        <f t="shared" si="433"/>
        <v>1.5514138636361747</v>
      </c>
      <c r="AQ209" s="909">
        <f t="shared" si="433"/>
        <v>1.574251265670723</v>
      </c>
      <c r="AR209" s="909">
        <f t="shared" si="433"/>
        <v>1.5395305726687218</v>
      </c>
      <c r="AS209" s="909">
        <f t="shared" si="433"/>
        <v>1.5621497696419813</v>
      </c>
      <c r="AT209" s="909">
        <f t="shared" si="433"/>
        <v>0.68526762773231398</v>
      </c>
      <c r="AU209" s="166"/>
      <c r="AV209" s="166"/>
      <c r="AW209" s="166"/>
      <c r="AX209" s="166"/>
      <c r="AY209" s="166"/>
      <c r="AZ209" s="166"/>
      <c r="BA209" s="166"/>
      <c r="BB209" s="166"/>
      <c r="BC209" s="166"/>
      <c r="BD209" s="166"/>
      <c r="BE209" s="166"/>
      <c r="BF209" s="166"/>
      <c r="BG209" s="166"/>
      <c r="BH209" s="166"/>
      <c r="BI209" s="166"/>
      <c r="BJ209" s="166"/>
      <c r="BK209" s="166"/>
      <c r="BL209" s="166"/>
      <c r="BM209" s="166"/>
      <c r="BN209" s="166"/>
    </row>
    <row r="210" spans="1:66" ht="14.4" x14ac:dyDescent="0.25">
      <c r="B210" s="844" t="s">
        <v>490</v>
      </c>
      <c r="C210" s="908"/>
      <c r="D210" s="908"/>
      <c r="E210" s="908"/>
      <c r="F210" s="908"/>
      <c r="G210" s="909">
        <f>G209-1</f>
        <v>0.22438979083916299</v>
      </c>
      <c r="H210" s="909">
        <f t="shared" ref="H210" si="434">H209-1</f>
        <v>0.55317021620648243</v>
      </c>
      <c r="I210" s="909">
        <f t="shared" ref="I210" si="435">I209-1</f>
        <v>0.59998550861662947</v>
      </c>
      <c r="J210" s="909">
        <f t="shared" ref="J210" si="436">J209-1</f>
        <v>0.58164459094004117</v>
      </c>
      <c r="K210" s="909">
        <f t="shared" ref="K210" si="437">K209-1</f>
        <v>-0.33666071887367111</v>
      </c>
      <c r="L210" s="909">
        <f t="shared" ref="L210" si="438">L209-1</f>
        <v>0.60265140923732163</v>
      </c>
      <c r="M210" s="909">
        <f t="shared" ref="M210" si="439">M209-1</f>
        <v>0.64287209789338928</v>
      </c>
      <c r="N210" s="909">
        <f t="shared" ref="N210" si="440">N209-1</f>
        <v>0.61588551561166249</v>
      </c>
      <c r="O210" s="909">
        <f t="shared" ref="O210" si="441">O209-1</f>
        <v>0.64873809423786022</v>
      </c>
      <c r="P210" s="909">
        <f t="shared" ref="P210" si="442">P209-1</f>
        <v>-0.32806776148985628</v>
      </c>
      <c r="Q210" s="909">
        <f t="shared" ref="Q210" si="443">Q209-1</f>
        <v>0.6543563978473641</v>
      </c>
      <c r="R210" s="909">
        <f t="shared" ref="R210" si="444">R209-1</f>
        <v>0.62686996904414949</v>
      </c>
      <c r="S210" s="909">
        <f t="shared" ref="S210" si="445">S209-1</f>
        <v>0.65314344059902374</v>
      </c>
      <c r="T210" s="909">
        <f t="shared" ref="T210" si="446">T209-1</f>
        <v>0.61913416971186463</v>
      </c>
      <c r="U210" s="909">
        <f t="shared" ref="U210" si="447">U209-1</f>
        <v>-0.30927735164949166</v>
      </c>
      <c r="V210" s="909">
        <f t="shared" ref="V210" si="448">V209-1</f>
        <v>0.61133928076108446</v>
      </c>
      <c r="W210" s="909">
        <f t="shared" ref="W210" si="449">W209-1</f>
        <v>0.63727487186781495</v>
      </c>
      <c r="X210" s="909">
        <f t="shared" ref="X210" si="450">X209-1</f>
        <v>0.61303643310058153</v>
      </c>
      <c r="Y210" s="909">
        <f t="shared" ref="Y210" si="451">Y209-1</f>
        <v>0.6486644124948624</v>
      </c>
      <c r="Z210" s="909">
        <f t="shared" ref="Z210" si="452">Z209-1</f>
        <v>-0.30918116638101856</v>
      </c>
      <c r="AA210" s="909">
        <f t="shared" ref="AA210" si="453">AA209-1</f>
        <v>0.65971711434594504</v>
      </c>
      <c r="AB210" s="909">
        <f t="shared" ref="AB210" si="454">AB209-1</f>
        <v>0.63467651693994975</v>
      </c>
      <c r="AC210" s="909">
        <f t="shared" ref="AC210" si="455">AC209-1</f>
        <v>0.65905951815935349</v>
      </c>
      <c r="AD210" s="909">
        <f t="shared" ref="AD210" si="456">AD209-1</f>
        <v>0.62278152087722627</v>
      </c>
      <c r="AE210" s="909">
        <f t="shared" ref="AE210" si="457">AE209-1</f>
        <v>-0.29013128353028905</v>
      </c>
      <c r="AF210" s="909">
        <f t="shared" ref="AF210" si="458">AF209-1</f>
        <v>0.61088468121315254</v>
      </c>
      <c r="AG210" s="909">
        <f t="shared" ref="AG210" si="459">AG209-1</f>
        <v>0.63482305162741559</v>
      </c>
      <c r="AH210" s="909">
        <f t="shared" ref="AH210" si="460">AH209-1</f>
        <v>0.59898717074093066</v>
      </c>
      <c r="AI210" s="909">
        <f t="shared" ref="AI210" si="461">AI209-1</f>
        <v>0.62270409203672195</v>
      </c>
      <c r="AJ210" s="909">
        <f t="shared" ref="AJ210" si="462">AJ209-1</f>
        <v>-0.30680422636732307</v>
      </c>
      <c r="AK210" s="909">
        <f t="shared" ref="AK210" si="463">AK209-1</f>
        <v>0.61058624070261613</v>
      </c>
      <c r="AL210" s="909">
        <f t="shared" ref="AL210" si="464">AL209-1</f>
        <v>0.57519482745251116</v>
      </c>
      <c r="AM210" s="909">
        <f t="shared" ref="AM210" si="465">AM209-1</f>
        <v>0.59847069116642149</v>
      </c>
      <c r="AN210" s="909">
        <f t="shared" ref="AN210" si="466">AN209-1</f>
        <v>0.56330233798369167</v>
      </c>
      <c r="AO210" s="909">
        <f t="shared" ref="AO210" si="467">AO209-1</f>
        <v>-0.29784168415108225</v>
      </c>
      <c r="AP210" s="909">
        <f t="shared" ref="AP210" si="468">AP209-1</f>
        <v>0.55141386363617473</v>
      </c>
      <c r="AQ210" s="909">
        <f t="shared" ref="AQ210" si="469">AQ209-1</f>
        <v>0.57425126567072304</v>
      </c>
      <c r="AR210" s="909">
        <f t="shared" ref="AR210" si="470">AR209-1</f>
        <v>0.53953057266872184</v>
      </c>
      <c r="AS210" s="909">
        <f t="shared" ref="AS210" si="471">AS209-1</f>
        <v>0.56214976964198127</v>
      </c>
      <c r="AT210" s="909">
        <f t="shared" ref="AT210" si="472">AT209-1</f>
        <v>-0.31473237226768602</v>
      </c>
      <c r="AU210" s="166"/>
      <c r="AV210" s="166"/>
      <c r="AW210" s="166"/>
      <c r="AX210" s="166"/>
      <c r="AY210" s="166"/>
      <c r="AZ210" s="166"/>
      <c r="BA210" s="166"/>
      <c r="BB210" s="166"/>
      <c r="BC210" s="166"/>
      <c r="BD210" s="166"/>
      <c r="BE210" s="166"/>
      <c r="BF210" s="166"/>
      <c r="BG210" s="166"/>
      <c r="BH210" s="166"/>
      <c r="BI210" s="166"/>
      <c r="BJ210" s="166"/>
      <c r="BK210" s="166"/>
      <c r="BL210" s="166"/>
      <c r="BM210" s="166"/>
      <c r="BN210" s="166"/>
    </row>
    <row r="211" spans="1:66" ht="14.4" x14ac:dyDescent="0.25">
      <c r="B211" s="844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66"/>
      <c r="AV211" s="166"/>
      <c r="AW211" s="166"/>
      <c r="AX211" s="166"/>
      <c r="AY211" s="166"/>
      <c r="AZ211" s="166"/>
      <c r="BA211" s="166"/>
      <c r="BB211" s="166"/>
      <c r="BC211" s="166"/>
      <c r="BD211" s="166"/>
      <c r="BE211" s="166"/>
      <c r="BF211" s="166"/>
      <c r="BG211" s="166"/>
      <c r="BH211" s="166"/>
      <c r="BI211" s="166"/>
      <c r="BJ211" s="166"/>
      <c r="BK211" s="166"/>
      <c r="BL211" s="166"/>
      <c r="BM211" s="166"/>
      <c r="BN211" s="166"/>
    </row>
    <row r="212" spans="1:66" ht="14.4" x14ac:dyDescent="0.25">
      <c r="B212" s="907" t="s">
        <v>404</v>
      </c>
      <c r="C212" s="268">
        <f>C203</f>
        <v>-7217680.5455314573</v>
      </c>
      <c r="D212" s="268">
        <f>D203/((1+$C$26)^D144)</f>
        <v>-22987886.52469464</v>
      </c>
      <c r="E212" s="268">
        <f t="shared" ref="E212:AT212" si="473">E203/((1+$C$26)^E144)</f>
        <v>-52242402.473088883</v>
      </c>
      <c r="F212" s="268">
        <f t="shared" si="473"/>
        <v>-18976043.035551567</v>
      </c>
      <c r="G212" s="268">
        <f t="shared" si="473"/>
        <v>475429.11832562002</v>
      </c>
      <c r="H212" s="268">
        <f t="shared" si="473"/>
        <v>1064751.3476100599</v>
      </c>
      <c r="I212" s="268">
        <f t="shared" si="473"/>
        <v>1045964.4359876737</v>
      </c>
      <c r="J212" s="268">
        <f t="shared" si="473"/>
        <v>918388.49503999075</v>
      </c>
      <c r="K212" s="268">
        <f t="shared" si="473"/>
        <v>-1177016.8914618443</v>
      </c>
      <c r="L212" s="268">
        <f t="shared" si="473"/>
        <v>780616.30667750561</v>
      </c>
      <c r="M212" s="268">
        <f t="shared" si="473"/>
        <v>754234.07803455577</v>
      </c>
      <c r="N212" s="268">
        <f t="shared" si="473"/>
        <v>654481.77595303347</v>
      </c>
      <c r="O212" s="268">
        <f t="shared" si="473"/>
        <v>624437.29007783264</v>
      </c>
      <c r="P212" s="268">
        <f t="shared" si="473"/>
        <v>-1246293.3221279485</v>
      </c>
      <c r="Q212" s="268">
        <f t="shared" si="473"/>
        <v>-108724.43042337948</v>
      </c>
      <c r="R212" s="268">
        <f t="shared" si="473"/>
        <v>448433.19487630489</v>
      </c>
      <c r="S212" s="268">
        <f t="shared" si="473"/>
        <v>423227.86691077112</v>
      </c>
      <c r="T212" s="268">
        <f t="shared" si="473"/>
        <v>363414.08489181736</v>
      </c>
      <c r="U212" s="268">
        <f t="shared" si="473"/>
        <v>-754427.57859842095</v>
      </c>
      <c r="V212" s="268">
        <f t="shared" si="473"/>
        <v>-672845.84318081464</v>
      </c>
      <c r="W212" s="268">
        <f t="shared" si="473"/>
        <v>-133306.23593174107</v>
      </c>
      <c r="X212" s="268">
        <f t="shared" si="473"/>
        <v>242307.89009326181</v>
      </c>
      <c r="Y212" s="268">
        <f t="shared" si="473"/>
        <v>232264.16956651359</v>
      </c>
      <c r="Z212" s="268">
        <f t="shared" si="473"/>
        <v>-235770.54737000525</v>
      </c>
      <c r="AA212" s="268">
        <f t="shared" si="473"/>
        <v>13986.686743769635</v>
      </c>
      <c r="AB212" s="268">
        <f t="shared" si="473"/>
        <v>-33378.980298948678</v>
      </c>
      <c r="AC212" s="268">
        <f t="shared" si="473"/>
        <v>158953.34165837147</v>
      </c>
      <c r="AD212" s="268">
        <f t="shared" si="473"/>
        <v>136079.07033006119</v>
      </c>
      <c r="AE212" s="268">
        <f t="shared" si="473"/>
        <v>-133249.92425449638</v>
      </c>
      <c r="AF212" s="268">
        <f t="shared" si="473"/>
        <v>109560.47567751406</v>
      </c>
      <c r="AG212" s="268">
        <f t="shared" si="473"/>
        <v>103151.5696917114</v>
      </c>
      <c r="AH212" s="268">
        <f t="shared" si="473"/>
        <v>88181.021203105542</v>
      </c>
      <c r="AI212" s="268">
        <f t="shared" si="473"/>
        <v>82522.500047191701</v>
      </c>
      <c r="AJ212" s="268">
        <f t="shared" si="473"/>
        <v>-84889.01041513856</v>
      </c>
      <c r="AK212" s="268">
        <f t="shared" si="473"/>
        <v>65803.847407305671</v>
      </c>
      <c r="AL212" s="268">
        <f t="shared" si="473"/>
        <v>-64074.735932770571</v>
      </c>
      <c r="AM212" s="268">
        <f t="shared" si="473"/>
        <v>-181998.53779715541</v>
      </c>
      <c r="AN212" s="268">
        <f t="shared" si="473"/>
        <v>-30350.694697782557</v>
      </c>
      <c r="AO212" s="268">
        <f t="shared" si="473"/>
        <v>-49661.309490456799</v>
      </c>
      <c r="AP212" s="268">
        <f t="shared" si="473"/>
        <v>36874.523900300956</v>
      </c>
      <c r="AQ212" s="268">
        <f t="shared" si="473"/>
        <v>34572.243493982824</v>
      </c>
      <c r="AR212" s="268">
        <f t="shared" si="473"/>
        <v>29624.266554738821</v>
      </c>
      <c r="AS212" s="268">
        <f t="shared" si="473"/>
        <v>27542.143428534535</v>
      </c>
      <c r="AT212" s="268">
        <f t="shared" si="473"/>
        <v>216941.95390972216</v>
      </c>
      <c r="AU212" s="166"/>
      <c r="AV212" s="166"/>
      <c r="AW212" s="166"/>
      <c r="AX212" s="166"/>
      <c r="AY212" s="166"/>
      <c r="AZ212" s="166"/>
      <c r="BA212" s="166"/>
      <c r="BB212" s="166"/>
      <c r="BC212" s="166"/>
      <c r="BD212" s="166"/>
      <c r="BE212" s="166"/>
      <c r="BF212" s="166"/>
      <c r="BG212" s="166"/>
      <c r="BH212" s="166"/>
      <c r="BI212" s="166"/>
      <c r="BJ212" s="166"/>
      <c r="BK212" s="166"/>
      <c r="BL212" s="166"/>
      <c r="BM212" s="166"/>
      <c r="BN212" s="166"/>
    </row>
    <row r="213" spans="1:66" ht="14.4" x14ac:dyDescent="0.25">
      <c r="B213" s="907" t="s">
        <v>403</v>
      </c>
      <c r="C213" s="824">
        <f>SUM(C212)</f>
        <v>-7217680.5455314573</v>
      </c>
      <c r="D213" s="824">
        <f>SUM(C212:D212)</f>
        <v>-30205567.070226096</v>
      </c>
      <c r="E213" s="824">
        <f>SUM(C212:E212)</f>
        <v>-82447969.543314978</v>
      </c>
      <c r="F213" s="824">
        <f>SUM(C212:F212)</f>
        <v>-101424012.57886654</v>
      </c>
      <c r="G213" s="824">
        <f>SUM(C212:G212)</f>
        <v>-100948583.46054092</v>
      </c>
      <c r="H213" s="824">
        <f>SUM(C212:H212)</f>
        <v>-99883832.112930864</v>
      </c>
      <c r="I213" s="824">
        <f>SUM(C212:I212)</f>
        <v>-98837867.676943183</v>
      </c>
      <c r="J213" s="824">
        <f>SUM(C212:J212)</f>
        <v>-97919479.181903198</v>
      </c>
      <c r="K213" s="824">
        <f>SUM(C212:K212)</f>
        <v>-99096496.073365048</v>
      </c>
      <c r="L213" s="824">
        <f>SUM(C212:L212)</f>
        <v>-98315879.766687542</v>
      </c>
      <c r="M213" s="824">
        <f>SUM(C212:M212)</f>
        <v>-97561645.688652992</v>
      </c>
      <c r="N213" s="824">
        <f>SUM(C212:N212)</f>
        <v>-96907163.912699953</v>
      </c>
      <c r="O213" s="824">
        <f>SUM(C212:O212)</f>
        <v>-96282726.622622117</v>
      </c>
      <c r="P213" s="824">
        <f>SUM(C212:P212)</f>
        <v>-97529019.944750071</v>
      </c>
      <c r="Q213" s="824">
        <f>SUM(C212:Q212)</f>
        <v>-97637744.37517345</v>
      </c>
      <c r="R213" s="824">
        <f>SUM(C212:R212)</f>
        <v>-97189311.180297151</v>
      </c>
      <c r="S213" s="824">
        <f>SUM(C212:S212)</f>
        <v>-96766083.313386381</v>
      </c>
      <c r="T213" s="824">
        <f>SUM(C212:T212)</f>
        <v>-96402669.22849457</v>
      </c>
      <c r="U213" s="824">
        <f>SUM(C212:U212)</f>
        <v>-97157096.807092994</v>
      </c>
      <c r="V213" s="824">
        <f>SUM(C212:V212)</f>
        <v>-97829942.650273815</v>
      </c>
      <c r="W213" s="824">
        <f>SUM(C212:W212)</f>
        <v>-97963248.886205554</v>
      </c>
      <c r="X213" s="824">
        <f>SUM(C212:X212)</f>
        <v>-97720940.996112287</v>
      </c>
      <c r="Y213" s="824">
        <f>SUM(C212:Y212)</f>
        <v>-97488676.826545775</v>
      </c>
      <c r="Z213" s="824">
        <f>SUM(C212:Z212)</f>
        <v>-97724447.373915777</v>
      </c>
      <c r="AA213" s="824">
        <f>SUM(C212:AA212)</f>
        <v>-97710460.687172011</v>
      </c>
      <c r="AB213" s="824">
        <f>SUM(C212:AB212)</f>
        <v>-97743839.667470962</v>
      </c>
      <c r="AC213" s="824">
        <f>SUM(C212:AC212)</f>
        <v>-97584886.325812593</v>
      </c>
      <c r="AD213" s="824">
        <f>SUM(C212:AD212)</f>
        <v>-97448807.255482525</v>
      </c>
      <c r="AE213" s="824">
        <f>SUM(C212:AE212)</f>
        <v>-97582057.179737017</v>
      </c>
      <c r="AF213" s="824">
        <f>SUM(C212:AF212)</f>
        <v>-97472496.704059497</v>
      </c>
      <c r="AG213" s="824">
        <f>SUM(C212:AG212)</f>
        <v>-97369345.134367779</v>
      </c>
      <c r="AH213" s="824">
        <f>SUM(C212:AH212)</f>
        <v>-97281164.113164678</v>
      </c>
      <c r="AI213" s="824">
        <f>SUM(C212:AI212)</f>
        <v>-97198641.613117486</v>
      </c>
      <c r="AJ213" s="824">
        <f>SUM(C212:AJ212)</f>
        <v>-97283530.623532623</v>
      </c>
      <c r="AK213" s="824">
        <f>SUM(C212:AK212)</f>
        <v>-97217726.776125312</v>
      </c>
      <c r="AL213" s="824">
        <f>SUM(C212:AL212)</f>
        <v>-97281801.512058079</v>
      </c>
      <c r="AM213" s="824">
        <f>SUM(C212:AM212)</f>
        <v>-97463800.049855232</v>
      </c>
      <c r="AN213" s="824">
        <f>SUM(C212:AN212)</f>
        <v>-97494150.744553015</v>
      </c>
      <c r="AO213" s="824">
        <f>SUM(C212:AO212)</f>
        <v>-97543812.054043472</v>
      </c>
      <c r="AP213" s="824">
        <f>SUM(C212:AP212)</f>
        <v>-97506937.530143172</v>
      </c>
      <c r="AQ213" s="824">
        <f>SUM(C212:AQ212)</f>
        <v>-97472365.286649182</v>
      </c>
      <c r="AR213" s="824">
        <f>SUM(C212:AR212)</f>
        <v>-97442741.020094439</v>
      </c>
      <c r="AS213" s="824">
        <f>SUM(C212:AS212)</f>
        <v>-97415198.876665905</v>
      </c>
      <c r="AT213" s="824">
        <f>SUM(C212:AT212)</f>
        <v>-97198256.92275618</v>
      </c>
      <c r="AU213" s="166"/>
      <c r="AV213" s="166"/>
      <c r="AW213" s="166"/>
      <c r="AX213" s="166"/>
      <c r="AY213" s="166"/>
      <c r="AZ213" s="166"/>
      <c r="BA213" s="166"/>
      <c r="BB213" s="166"/>
      <c r="BC213" s="166"/>
      <c r="BD213" s="166"/>
      <c r="BE213" s="166"/>
      <c r="BF213" s="166"/>
      <c r="BG213" s="166"/>
      <c r="BH213" s="166"/>
      <c r="BI213" s="166"/>
      <c r="BJ213" s="166"/>
      <c r="BK213" s="166"/>
      <c r="BL213" s="166"/>
      <c r="BM213" s="166"/>
      <c r="BN213" s="166"/>
    </row>
    <row r="214" spans="1:66" ht="14.4" x14ac:dyDescent="0.3">
      <c r="B214" s="180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263"/>
      <c r="AG214" s="263"/>
      <c r="AH214" s="263"/>
      <c r="AI214" s="263"/>
      <c r="AK214" s="263"/>
      <c r="AL214" s="263"/>
      <c r="AM214" s="263"/>
      <c r="AN214" s="263"/>
      <c r="AO214" s="263"/>
      <c r="AP214" s="263"/>
      <c r="AQ214" s="263"/>
      <c r="AR214" s="264"/>
      <c r="AS214" s="264"/>
      <c r="AU214" s="166"/>
      <c r="AV214" s="166"/>
      <c r="AW214" s="166"/>
      <c r="AX214" s="166"/>
      <c r="AY214" s="166"/>
      <c r="AZ214" s="166"/>
      <c r="BA214" s="166"/>
      <c r="BB214" s="166"/>
      <c r="BC214" s="166"/>
      <c r="BD214" s="166"/>
      <c r="BE214" s="166"/>
      <c r="BF214" s="166"/>
      <c r="BG214" s="166"/>
      <c r="BH214" s="166"/>
      <c r="BI214" s="166"/>
      <c r="BJ214" s="166"/>
      <c r="BK214" s="166"/>
      <c r="BL214" s="166"/>
      <c r="BM214" s="166"/>
      <c r="BN214" s="166"/>
    </row>
    <row r="215" spans="1:66" x14ac:dyDescent="0.25">
      <c r="AU215" s="166"/>
      <c r="AV215" s="166"/>
      <c r="AW215" s="166"/>
      <c r="AX215" s="166"/>
      <c r="AY215" s="166"/>
      <c r="AZ215" s="166"/>
      <c r="BA215" s="166"/>
      <c r="BB215" s="166"/>
      <c r="BC215" s="166"/>
      <c r="BD215" s="166"/>
      <c r="BE215" s="166"/>
      <c r="BF215" s="166"/>
      <c r="BG215" s="166"/>
      <c r="BH215" s="166"/>
      <c r="BI215" s="166"/>
      <c r="BJ215" s="166"/>
      <c r="BK215" s="166"/>
      <c r="BL215" s="166"/>
      <c r="BM215" s="166"/>
      <c r="BN215" s="166"/>
    </row>
    <row r="216" spans="1:66" s="304" customFormat="1" ht="14.4" x14ac:dyDescent="0.3">
      <c r="A216" s="306"/>
      <c r="B216" s="759" t="s">
        <v>531</v>
      </c>
      <c r="C216" s="759"/>
      <c r="D216" s="759"/>
      <c r="E216" s="759"/>
      <c r="F216" s="759"/>
      <c r="G216" s="759"/>
      <c r="H216" s="759"/>
      <c r="I216" s="759"/>
      <c r="J216" s="759"/>
      <c r="K216" s="759"/>
      <c r="L216" s="759"/>
      <c r="M216" s="759"/>
      <c r="N216" s="759"/>
      <c r="O216" s="759"/>
      <c r="P216" s="759"/>
      <c r="Q216" s="759"/>
      <c r="R216" s="759"/>
      <c r="S216" s="759"/>
      <c r="T216" s="759"/>
      <c r="U216" s="759"/>
      <c r="V216" s="759"/>
      <c r="W216" s="759"/>
      <c r="X216" s="759"/>
      <c r="Y216" s="759"/>
      <c r="Z216" s="759"/>
      <c r="AA216" s="759"/>
      <c r="AB216" s="759"/>
      <c r="AC216" s="759"/>
      <c r="AD216" s="759"/>
      <c r="AE216" s="759"/>
      <c r="AF216" s="759"/>
      <c r="AG216" s="759"/>
      <c r="AH216" s="759"/>
      <c r="AI216" s="759"/>
      <c r="AJ216" s="759"/>
      <c r="AK216" s="759"/>
      <c r="AL216" s="759"/>
      <c r="AM216" s="759"/>
      <c r="AN216" s="759"/>
      <c r="AO216" s="759"/>
      <c r="AP216" s="759"/>
      <c r="AQ216" s="759"/>
      <c r="AR216" s="759"/>
      <c r="AS216" s="759"/>
      <c r="AT216" s="760"/>
    </row>
    <row r="217" spans="1:66" x14ac:dyDescent="0.25"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  <c r="AG217" s="177"/>
      <c r="AH217" s="177"/>
      <c r="AI217" s="177"/>
      <c r="AJ217" s="13"/>
      <c r="AK217" s="38"/>
      <c r="AL217" s="38"/>
      <c r="AM217" s="38"/>
      <c r="AN217" s="38"/>
      <c r="AO217" s="38"/>
      <c r="AP217" s="38"/>
      <c r="AQ217" s="38"/>
      <c r="AR217" s="38"/>
      <c r="AS217" s="38"/>
      <c r="AT217" s="13"/>
      <c r="AU217" s="166"/>
      <c r="AV217" s="166"/>
      <c r="AW217" s="166"/>
      <c r="AX217" s="166"/>
      <c r="AY217" s="166"/>
      <c r="AZ217" s="166"/>
      <c r="BA217" s="166"/>
      <c r="BB217" s="166"/>
      <c r="BC217" s="166"/>
      <c r="BD217" s="166"/>
      <c r="BE217" s="166"/>
      <c r="BF217" s="166"/>
      <c r="BG217" s="166"/>
      <c r="BH217" s="166"/>
      <c r="BI217" s="166"/>
      <c r="BJ217" s="166"/>
      <c r="BK217" s="166"/>
      <c r="BL217" s="166"/>
      <c r="BM217" s="166"/>
      <c r="BN217" s="166"/>
    </row>
    <row r="218" spans="1:66" ht="14.4" x14ac:dyDescent="0.3">
      <c r="B218" s="813" t="s">
        <v>378</v>
      </c>
      <c r="C218" s="179">
        <v>2015</v>
      </c>
      <c r="D218" s="179">
        <v>2016</v>
      </c>
      <c r="E218" s="179">
        <v>2017</v>
      </c>
      <c r="F218" s="179">
        <v>2018</v>
      </c>
      <c r="G218" s="179">
        <v>2019</v>
      </c>
      <c r="H218" s="179">
        <v>2020</v>
      </c>
      <c r="I218" s="179">
        <v>2021</v>
      </c>
      <c r="J218" s="179">
        <v>2022</v>
      </c>
      <c r="K218" s="179">
        <v>2023</v>
      </c>
      <c r="L218" s="179">
        <v>2024</v>
      </c>
      <c r="M218" s="179">
        <v>2025</v>
      </c>
      <c r="N218" s="179">
        <v>2026</v>
      </c>
      <c r="O218" s="179">
        <v>2027</v>
      </c>
      <c r="P218" s="179">
        <v>2028</v>
      </c>
      <c r="Q218" s="179">
        <v>2029</v>
      </c>
      <c r="R218" s="179">
        <v>2030</v>
      </c>
      <c r="S218" s="179">
        <v>2031</v>
      </c>
      <c r="T218" s="179">
        <v>2032</v>
      </c>
      <c r="U218" s="179">
        <v>2033</v>
      </c>
      <c r="V218" s="179">
        <v>2034</v>
      </c>
      <c r="W218" s="179">
        <v>2035</v>
      </c>
      <c r="X218" s="179">
        <v>2036</v>
      </c>
      <c r="Y218" s="179">
        <v>2037</v>
      </c>
      <c r="Z218" s="179">
        <v>2038</v>
      </c>
      <c r="AA218" s="179">
        <v>2039</v>
      </c>
      <c r="AB218" s="179">
        <v>2040</v>
      </c>
      <c r="AC218" s="179">
        <v>2041</v>
      </c>
      <c r="AD218" s="179">
        <v>2042</v>
      </c>
      <c r="AE218" s="179">
        <v>2043</v>
      </c>
      <c r="AF218" s="179">
        <v>2044</v>
      </c>
      <c r="AG218" s="179">
        <v>2045</v>
      </c>
      <c r="AH218" s="179">
        <v>2046</v>
      </c>
      <c r="AI218" s="179">
        <v>2047</v>
      </c>
      <c r="AJ218" s="179">
        <v>2048</v>
      </c>
      <c r="AK218" s="179">
        <v>2049</v>
      </c>
      <c r="AL218" s="179">
        <v>2050</v>
      </c>
      <c r="AM218" s="179">
        <v>2051</v>
      </c>
      <c r="AN218" s="179">
        <v>2052</v>
      </c>
      <c r="AO218" s="179">
        <v>2053</v>
      </c>
      <c r="AP218" s="179">
        <v>2054</v>
      </c>
      <c r="AQ218" s="179">
        <v>2055</v>
      </c>
      <c r="AR218" s="179">
        <v>2056</v>
      </c>
      <c r="AS218" s="179">
        <v>2057</v>
      </c>
      <c r="AT218" s="179">
        <v>2058</v>
      </c>
      <c r="AU218" s="166"/>
      <c r="AV218" s="166"/>
      <c r="AW218" s="166"/>
      <c r="AX218" s="166"/>
      <c r="AY218" s="166"/>
      <c r="AZ218" s="166"/>
      <c r="BA218" s="166"/>
      <c r="BB218" s="166"/>
      <c r="BC218" s="166"/>
      <c r="BD218" s="166"/>
      <c r="BE218" s="166"/>
      <c r="BF218" s="166"/>
      <c r="BG218" s="166"/>
      <c r="BH218" s="166"/>
      <c r="BI218" s="166"/>
      <c r="BJ218" s="166"/>
      <c r="BK218" s="166"/>
      <c r="BL218" s="166"/>
      <c r="BM218" s="166"/>
      <c r="BN218" s="166"/>
    </row>
    <row r="219" spans="1:66" ht="14.4" x14ac:dyDescent="0.3">
      <c r="B219" s="813"/>
      <c r="C219" s="816" t="s">
        <v>134</v>
      </c>
      <c r="D219" s="816" t="s">
        <v>135</v>
      </c>
      <c r="E219" s="816" t="s">
        <v>136</v>
      </c>
      <c r="F219" s="816" t="s">
        <v>137</v>
      </c>
      <c r="G219" s="816" t="s">
        <v>138</v>
      </c>
      <c r="H219" s="816" t="s">
        <v>139</v>
      </c>
      <c r="I219" s="816" t="s">
        <v>140</v>
      </c>
      <c r="J219" s="816" t="s">
        <v>141</v>
      </c>
      <c r="K219" s="816" t="s">
        <v>142</v>
      </c>
      <c r="L219" s="816" t="s">
        <v>143</v>
      </c>
      <c r="M219" s="816" t="s">
        <v>144</v>
      </c>
      <c r="N219" s="816" t="s">
        <v>145</v>
      </c>
      <c r="O219" s="816" t="s">
        <v>146</v>
      </c>
      <c r="P219" s="816" t="s">
        <v>147</v>
      </c>
      <c r="Q219" s="816" t="s">
        <v>148</v>
      </c>
      <c r="R219" s="816" t="s">
        <v>149</v>
      </c>
      <c r="S219" s="816" t="s">
        <v>150</v>
      </c>
      <c r="T219" s="816" t="s">
        <v>151</v>
      </c>
      <c r="U219" s="816" t="s">
        <v>152</v>
      </c>
      <c r="V219" s="816" t="s">
        <v>153</v>
      </c>
      <c r="W219" s="816" t="s">
        <v>154</v>
      </c>
      <c r="X219" s="816" t="s">
        <v>155</v>
      </c>
      <c r="Y219" s="816" t="s">
        <v>156</v>
      </c>
      <c r="Z219" s="816" t="s">
        <v>157</v>
      </c>
      <c r="AA219" s="816" t="s">
        <v>158</v>
      </c>
      <c r="AB219" s="816" t="s">
        <v>159</v>
      </c>
      <c r="AC219" s="816" t="s">
        <v>160</v>
      </c>
      <c r="AD219" s="816" t="s">
        <v>161</v>
      </c>
      <c r="AE219" s="816" t="s">
        <v>162</v>
      </c>
      <c r="AF219" s="816" t="s">
        <v>163</v>
      </c>
      <c r="AG219" s="816" t="s">
        <v>164</v>
      </c>
      <c r="AH219" s="816" t="s">
        <v>165</v>
      </c>
      <c r="AI219" s="816" t="s">
        <v>166</v>
      </c>
      <c r="AJ219" s="816" t="s">
        <v>167</v>
      </c>
      <c r="AK219" s="816" t="s">
        <v>168</v>
      </c>
      <c r="AL219" s="816" t="s">
        <v>169</v>
      </c>
      <c r="AM219" s="816" t="s">
        <v>170</v>
      </c>
      <c r="AN219" s="816" t="s">
        <v>171</v>
      </c>
      <c r="AO219" s="816" t="s">
        <v>172</v>
      </c>
      <c r="AP219" s="816" t="s">
        <v>173</v>
      </c>
      <c r="AQ219" s="816" t="s">
        <v>174</v>
      </c>
      <c r="AR219" s="816" t="s">
        <v>224</v>
      </c>
      <c r="AS219" s="816" t="s">
        <v>225</v>
      </c>
      <c r="AT219" s="816" t="s">
        <v>226</v>
      </c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66"/>
      <c r="BI219" s="166"/>
      <c r="BJ219" s="166"/>
      <c r="BK219" s="166"/>
      <c r="BL219" s="166"/>
      <c r="BM219" s="166"/>
      <c r="BN219" s="166"/>
    </row>
    <row r="220" spans="1:66" ht="14.4" x14ac:dyDescent="0.3">
      <c r="B220" s="813"/>
      <c r="C220" s="816">
        <v>0</v>
      </c>
      <c r="D220" s="816">
        <v>1</v>
      </c>
      <c r="E220" s="816">
        <v>2</v>
      </c>
      <c r="F220" s="816">
        <v>3</v>
      </c>
      <c r="G220" s="816">
        <v>4</v>
      </c>
      <c r="H220" s="816">
        <v>5</v>
      </c>
      <c r="I220" s="816">
        <v>6</v>
      </c>
      <c r="J220" s="816">
        <v>7</v>
      </c>
      <c r="K220" s="816">
        <v>8</v>
      </c>
      <c r="L220" s="816">
        <v>9</v>
      </c>
      <c r="M220" s="816">
        <v>10</v>
      </c>
      <c r="N220" s="816">
        <v>11</v>
      </c>
      <c r="O220" s="816">
        <v>12</v>
      </c>
      <c r="P220" s="816">
        <v>13</v>
      </c>
      <c r="Q220" s="816">
        <v>14</v>
      </c>
      <c r="R220" s="816">
        <v>15</v>
      </c>
      <c r="S220" s="816">
        <v>16</v>
      </c>
      <c r="T220" s="816">
        <v>17</v>
      </c>
      <c r="U220" s="816">
        <v>18</v>
      </c>
      <c r="V220" s="816">
        <v>19</v>
      </c>
      <c r="W220" s="816">
        <v>20</v>
      </c>
      <c r="X220" s="816">
        <v>21</v>
      </c>
      <c r="Y220" s="816">
        <v>22</v>
      </c>
      <c r="Z220" s="816">
        <v>23</v>
      </c>
      <c r="AA220" s="816">
        <v>24</v>
      </c>
      <c r="AB220" s="816">
        <v>25</v>
      </c>
      <c r="AC220" s="816">
        <v>26</v>
      </c>
      <c r="AD220" s="816">
        <v>27</v>
      </c>
      <c r="AE220" s="816">
        <v>28</v>
      </c>
      <c r="AF220" s="816">
        <v>29</v>
      </c>
      <c r="AG220" s="816">
        <v>30</v>
      </c>
      <c r="AH220" s="816">
        <v>31</v>
      </c>
      <c r="AI220" s="816">
        <v>32</v>
      </c>
      <c r="AJ220" s="816">
        <v>33</v>
      </c>
      <c r="AK220" s="816">
        <v>34</v>
      </c>
      <c r="AL220" s="816">
        <v>35</v>
      </c>
      <c r="AM220" s="816">
        <v>36</v>
      </c>
      <c r="AN220" s="816">
        <v>37</v>
      </c>
      <c r="AO220" s="816">
        <v>38</v>
      </c>
      <c r="AP220" s="816">
        <v>39</v>
      </c>
      <c r="AQ220" s="816">
        <v>40</v>
      </c>
      <c r="AR220" s="816">
        <v>41</v>
      </c>
      <c r="AS220" s="816">
        <v>42</v>
      </c>
      <c r="AT220" s="816">
        <v>43</v>
      </c>
      <c r="AU220" s="166"/>
      <c r="AV220" s="166"/>
      <c r="AW220" s="166"/>
      <c r="AX220" s="166"/>
      <c r="AY220" s="166"/>
      <c r="AZ220" s="166"/>
      <c r="BA220" s="166"/>
      <c r="BB220" s="166"/>
      <c r="BC220" s="166"/>
      <c r="BD220" s="166"/>
      <c r="BE220" s="166"/>
      <c r="BF220" s="166"/>
      <c r="BG220" s="166"/>
      <c r="BH220" s="166"/>
      <c r="BI220" s="166"/>
      <c r="BJ220" s="166"/>
      <c r="BK220" s="166"/>
      <c r="BL220" s="166"/>
      <c r="BM220" s="166"/>
      <c r="BN220" s="166"/>
    </row>
    <row r="221" spans="1:66" ht="14.4" x14ac:dyDescent="0.3">
      <c r="B221" s="813"/>
      <c r="C221" s="816">
        <v>0</v>
      </c>
      <c r="D221" s="816">
        <v>0</v>
      </c>
      <c r="E221" s="816">
        <v>0</v>
      </c>
      <c r="F221" s="816">
        <v>0</v>
      </c>
      <c r="G221" s="816">
        <v>1</v>
      </c>
      <c r="H221" s="816">
        <v>2</v>
      </c>
      <c r="I221" s="816">
        <v>3</v>
      </c>
      <c r="J221" s="816">
        <v>4</v>
      </c>
      <c r="K221" s="816">
        <v>5</v>
      </c>
      <c r="L221" s="816">
        <v>6</v>
      </c>
      <c r="M221" s="816">
        <v>7</v>
      </c>
      <c r="N221" s="816">
        <v>8</v>
      </c>
      <c r="O221" s="816">
        <v>9</v>
      </c>
      <c r="P221" s="816">
        <v>10</v>
      </c>
      <c r="Q221" s="816">
        <v>11</v>
      </c>
      <c r="R221" s="816">
        <v>12</v>
      </c>
      <c r="S221" s="816">
        <v>13</v>
      </c>
      <c r="T221" s="816">
        <v>14</v>
      </c>
      <c r="U221" s="816">
        <v>15</v>
      </c>
      <c r="V221" s="816">
        <v>16</v>
      </c>
      <c r="W221" s="816">
        <v>17</v>
      </c>
      <c r="X221" s="816">
        <v>18</v>
      </c>
      <c r="Y221" s="816">
        <v>19</v>
      </c>
      <c r="Z221" s="816">
        <v>20</v>
      </c>
      <c r="AA221" s="816">
        <v>21</v>
      </c>
      <c r="AB221" s="816">
        <v>22</v>
      </c>
      <c r="AC221" s="816">
        <v>23</v>
      </c>
      <c r="AD221" s="816">
        <v>24</v>
      </c>
      <c r="AE221" s="816">
        <v>25</v>
      </c>
      <c r="AF221" s="816">
        <v>26</v>
      </c>
      <c r="AG221" s="816">
        <v>27</v>
      </c>
      <c r="AH221" s="816">
        <v>28</v>
      </c>
      <c r="AI221" s="816">
        <v>29</v>
      </c>
      <c r="AJ221" s="816">
        <v>30</v>
      </c>
      <c r="AK221" s="816">
        <v>31</v>
      </c>
      <c r="AL221" s="816">
        <v>32</v>
      </c>
      <c r="AM221" s="816">
        <v>33</v>
      </c>
      <c r="AN221" s="816">
        <v>34</v>
      </c>
      <c r="AO221" s="816">
        <v>35</v>
      </c>
      <c r="AP221" s="816">
        <v>36</v>
      </c>
      <c r="AQ221" s="816">
        <v>37</v>
      </c>
      <c r="AR221" s="816">
        <v>38</v>
      </c>
      <c r="AS221" s="816">
        <v>39</v>
      </c>
      <c r="AT221" s="816">
        <v>40</v>
      </c>
      <c r="AU221" s="166"/>
      <c r="AV221" s="166"/>
      <c r="AW221" s="166"/>
      <c r="AX221" s="166"/>
      <c r="AY221" s="166"/>
      <c r="AZ221" s="166"/>
      <c r="BA221" s="166"/>
      <c r="BB221" s="166"/>
      <c r="BC221" s="166"/>
      <c r="BD221" s="166"/>
      <c r="BE221" s="166"/>
      <c r="BF221" s="166"/>
      <c r="BG221" s="166"/>
      <c r="BH221" s="166"/>
      <c r="BI221" s="166"/>
      <c r="BJ221" s="166"/>
      <c r="BK221" s="166"/>
      <c r="BL221" s="166"/>
      <c r="BM221" s="166"/>
      <c r="BN221" s="166"/>
    </row>
    <row r="222" spans="1:66" ht="14.4" x14ac:dyDescent="0.3">
      <c r="B222" s="813"/>
      <c r="C222" s="798"/>
      <c r="D222" s="798"/>
      <c r="E222" s="798"/>
      <c r="F222" s="798"/>
      <c r="G222" s="798"/>
      <c r="H222" s="798"/>
      <c r="I222" s="798"/>
      <c r="J222" s="798"/>
      <c r="K222" s="798"/>
      <c r="L222" s="798"/>
      <c r="M222" s="798"/>
      <c r="N222" s="798"/>
      <c r="O222" s="798"/>
      <c r="P222" s="798"/>
      <c r="Q222" s="798"/>
      <c r="R222" s="798"/>
      <c r="S222" s="798"/>
      <c r="T222" s="798"/>
      <c r="U222" s="798"/>
      <c r="V222" s="798"/>
      <c r="W222" s="798"/>
      <c r="X222" s="798"/>
      <c r="Y222" s="798"/>
      <c r="Z222" s="798"/>
      <c r="AA222" s="798"/>
      <c r="AB222" s="798"/>
      <c r="AC222" s="798"/>
      <c r="AD222" s="798"/>
      <c r="AE222" s="798"/>
      <c r="AF222" s="798"/>
      <c r="AG222" s="798"/>
      <c r="AH222" s="798"/>
      <c r="AI222" s="798"/>
      <c r="AJ222" s="798"/>
      <c r="AK222" s="798"/>
      <c r="AL222" s="798"/>
      <c r="AM222" s="798"/>
      <c r="AN222" s="798"/>
      <c r="AO222" s="798"/>
      <c r="AP222" s="798"/>
      <c r="AQ222" s="798"/>
      <c r="AR222" s="798"/>
      <c r="AS222" s="798"/>
      <c r="AT222" s="798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  <c r="BJ222" s="166"/>
      <c r="BK222" s="166"/>
      <c r="BL222" s="166"/>
      <c r="BM222" s="166"/>
      <c r="BN222" s="166"/>
    </row>
    <row r="223" spans="1:66" ht="14.4" x14ac:dyDescent="0.25">
      <c r="B223" s="830" t="s">
        <v>434</v>
      </c>
      <c r="C223" s="807"/>
      <c r="D223" s="807"/>
      <c r="E223" s="807"/>
      <c r="F223" s="807"/>
      <c r="G223" s="807"/>
      <c r="H223" s="807"/>
      <c r="I223" s="807"/>
      <c r="J223" s="807"/>
      <c r="K223" s="807"/>
      <c r="L223" s="807"/>
      <c r="M223" s="807"/>
      <c r="N223" s="807"/>
      <c r="O223" s="807"/>
      <c r="P223" s="807"/>
      <c r="Q223" s="807"/>
      <c r="R223" s="807"/>
      <c r="S223" s="807"/>
      <c r="T223" s="807"/>
      <c r="U223" s="807"/>
      <c r="V223" s="807"/>
      <c r="W223" s="807"/>
      <c r="X223" s="807"/>
      <c r="Y223" s="807"/>
      <c r="Z223" s="807"/>
      <c r="AA223" s="807"/>
      <c r="AB223" s="807"/>
      <c r="AC223" s="807"/>
      <c r="AD223" s="807"/>
      <c r="AE223" s="807"/>
      <c r="AF223" s="807"/>
      <c r="AG223" s="807"/>
      <c r="AH223" s="807"/>
      <c r="AI223" s="807"/>
      <c r="AJ223" s="807"/>
      <c r="AK223" s="807"/>
      <c r="AL223" s="807"/>
      <c r="AM223" s="807"/>
      <c r="AN223" s="807"/>
      <c r="AO223" s="807"/>
      <c r="AP223" s="807"/>
      <c r="AQ223" s="807"/>
      <c r="AR223" s="807"/>
      <c r="AS223" s="807"/>
      <c r="AT223" s="807"/>
      <c r="AU223" s="166"/>
      <c r="AV223" s="166"/>
      <c r="AW223" s="166"/>
      <c r="AX223" s="166"/>
      <c r="AY223" s="166"/>
      <c r="AZ223" s="166"/>
      <c r="BA223" s="166"/>
      <c r="BB223" s="166"/>
      <c r="BC223" s="166"/>
      <c r="BD223" s="166"/>
      <c r="BE223" s="166"/>
      <c r="BF223" s="166"/>
      <c r="BG223" s="166"/>
      <c r="BH223" s="166"/>
      <c r="BI223" s="166"/>
      <c r="BJ223" s="166"/>
      <c r="BK223" s="166"/>
      <c r="BL223" s="166"/>
      <c r="BM223" s="166"/>
      <c r="BN223" s="166"/>
    </row>
    <row r="224" spans="1:66" x14ac:dyDescent="0.25">
      <c r="B224" s="831" t="s">
        <v>449</v>
      </c>
      <c r="C224" s="178">
        <v>0</v>
      </c>
      <c r="D224" s="178">
        <v>0</v>
      </c>
      <c r="E224" s="178">
        <v>0</v>
      </c>
      <c r="F224" s="178">
        <v>0</v>
      </c>
      <c r="G224" s="268">
        <f>G148</f>
        <v>3454589.5691445097</v>
      </c>
      <c r="H224" s="268">
        <f t="shared" ref="H224:AT224" si="474">H148</f>
        <v>3546350.2599561452</v>
      </c>
      <c r="I224" s="268">
        <f t="shared" si="474"/>
        <v>3629500.1452487805</v>
      </c>
      <c r="J224" s="268">
        <f t="shared" si="474"/>
        <v>3714649.5304283733</v>
      </c>
      <c r="K224" s="268">
        <f t="shared" si="474"/>
        <v>9294323.7646731809</v>
      </c>
      <c r="L224" s="268">
        <f t="shared" si="474"/>
        <v>3891145.174125297</v>
      </c>
      <c r="M224" s="268">
        <f t="shared" si="474"/>
        <v>3982593.760180179</v>
      </c>
      <c r="N224" s="268">
        <f t="shared" si="474"/>
        <v>4076246.5661634705</v>
      </c>
      <c r="O224" s="268">
        <f t="shared" si="474"/>
        <v>4172158.0442154035</v>
      </c>
      <c r="P224" s="268">
        <f t="shared" si="474"/>
        <v>10305240.456239779</v>
      </c>
      <c r="Q224" s="268">
        <f t="shared" si="474"/>
        <v>4370981.7449138239</v>
      </c>
      <c r="R224" s="268">
        <f t="shared" si="474"/>
        <v>4474009.8993217153</v>
      </c>
      <c r="S224" s="268">
        <f t="shared" si="474"/>
        <v>4579528.6633017063</v>
      </c>
      <c r="T224" s="268">
        <f t="shared" si="474"/>
        <v>4687599.7384678498</v>
      </c>
      <c r="U224" s="268">
        <f t="shared" si="474"/>
        <v>11429085.151702685</v>
      </c>
      <c r="V224" s="268">
        <f t="shared" si="474"/>
        <v>4911653.4910183838</v>
      </c>
      <c r="W224" s="268">
        <f t="shared" si="474"/>
        <v>5027767.5564522296</v>
      </c>
      <c r="X224" s="268">
        <f t="shared" si="474"/>
        <v>5146696.7934412798</v>
      </c>
      <c r="Y224" s="268">
        <f t="shared" si="474"/>
        <v>5268511.1412896216</v>
      </c>
      <c r="Z224" s="268">
        <f t="shared" si="474"/>
        <v>12678875.013862662</v>
      </c>
      <c r="AA224" s="268">
        <f t="shared" si="474"/>
        <v>5521083.8624752844</v>
      </c>
      <c r="AB224" s="268">
        <f t="shared" si="474"/>
        <v>5651991.1898182109</v>
      </c>
      <c r="AC224" s="268">
        <f t="shared" si="474"/>
        <v>5786081.6320499461</v>
      </c>
      <c r="AD224" s="268">
        <f t="shared" si="474"/>
        <v>5923434.4919935949</v>
      </c>
      <c r="AE224" s="268">
        <f t="shared" si="474"/>
        <v>14069181.394370388</v>
      </c>
      <c r="AF224" s="268">
        <f t="shared" si="474"/>
        <v>6208254.835203521</v>
      </c>
      <c r="AG224" s="268">
        <f t="shared" si="474"/>
        <v>6355891.2422239808</v>
      </c>
      <c r="AH224" s="268">
        <f t="shared" si="474"/>
        <v>6507128.0239001652</v>
      </c>
      <c r="AI224" s="268">
        <f t="shared" si="474"/>
        <v>6662055.1295457529</v>
      </c>
      <c r="AJ224" s="268">
        <f t="shared" si="474"/>
        <v>15616322.452012271</v>
      </c>
      <c r="AK224" s="268">
        <f t="shared" si="474"/>
        <v>6983351.6630770871</v>
      </c>
      <c r="AL224" s="268">
        <f t="shared" si="474"/>
        <v>7149912.7241678927</v>
      </c>
      <c r="AM224" s="268">
        <f t="shared" si="474"/>
        <v>7320547.5004008031</v>
      </c>
      <c r="AN224" s="268">
        <f t="shared" si="474"/>
        <v>7495358.0500422539</v>
      </c>
      <c r="AO224" s="268">
        <f t="shared" si="474"/>
        <v>17338580.552335452</v>
      </c>
      <c r="AP224" s="268">
        <f t="shared" si="474"/>
        <v>7857927.8452074975</v>
      </c>
      <c r="AQ224" s="268">
        <f t="shared" si="474"/>
        <v>8045904.5568202641</v>
      </c>
      <c r="AR224" s="268">
        <f t="shared" si="474"/>
        <v>8238492.1162956236</v>
      </c>
      <c r="AS224" s="268">
        <f t="shared" si="474"/>
        <v>8435806.3583844062</v>
      </c>
      <c r="AT224" s="268">
        <f t="shared" si="474"/>
        <v>19256447.751688365</v>
      </c>
      <c r="AU224" s="166"/>
      <c r="AV224" s="166"/>
      <c r="AW224" s="166"/>
      <c r="AX224" s="166"/>
      <c r="AY224" s="166"/>
      <c r="AZ224" s="166"/>
      <c r="BA224" s="166"/>
      <c r="BB224" s="166"/>
      <c r="BC224" s="166"/>
      <c r="BD224" s="166"/>
      <c r="BE224" s="166"/>
      <c r="BF224" s="166"/>
      <c r="BG224" s="166"/>
      <c r="BH224" s="166"/>
      <c r="BI224" s="166"/>
      <c r="BJ224" s="166"/>
      <c r="BK224" s="166"/>
      <c r="BL224" s="166"/>
      <c r="BM224" s="166"/>
      <c r="BN224" s="166"/>
    </row>
    <row r="225" spans="2:66" x14ac:dyDescent="0.25">
      <c r="B225" s="832" t="s">
        <v>379</v>
      </c>
      <c r="C225" s="178">
        <v>0</v>
      </c>
      <c r="D225" s="178">
        <v>0</v>
      </c>
      <c r="E225" s="178">
        <v>0</v>
      </c>
      <c r="F225" s="178">
        <v>0</v>
      </c>
      <c r="G225" s="758">
        <f>DEMANDA!C49*PARAMETROS!$C$67</f>
        <v>6160400.0000000009</v>
      </c>
      <c r="H225" s="758">
        <f>DEMANDA!D49*PARAMETROS!$C$67</f>
        <v>8213866.6666666679</v>
      </c>
      <c r="I225" s="758">
        <f>DEMANDA!E49*PARAMETROS!$C$67</f>
        <v>8300853.3333333349</v>
      </c>
      <c r="J225" s="758">
        <f>DEMANDA!F49*PARAMETROS!$C$67</f>
        <v>8387840</v>
      </c>
      <c r="K225" s="758">
        <f>DEMANDA!G49*PARAMETROS!$C$67</f>
        <v>8474826.6666666679</v>
      </c>
      <c r="L225" s="758">
        <f>DEMANDA!H49*PARAMETROS!$C$67</f>
        <v>8561813.333333334</v>
      </c>
      <c r="M225" s="758">
        <f>DEMANDA!I49*PARAMETROS!$C$67</f>
        <v>8648800.0000000019</v>
      </c>
      <c r="N225" s="758">
        <f>DEMANDA!J49*PARAMETROS!$C$67</f>
        <v>8691898.9074397776</v>
      </c>
      <c r="O225" s="758">
        <f>DEMANDA!K49*PARAMETROS!$C$67</f>
        <v>8734997.8148795534</v>
      </c>
      <c r="P225" s="758">
        <f>DEMANDA!L49*PARAMETROS!$C$67</f>
        <v>8778096.7223193292</v>
      </c>
      <c r="Q225" s="758">
        <f>DEMANDA!M49*PARAMETROS!$C$67</f>
        <v>8821195.6297591031</v>
      </c>
      <c r="R225" s="758">
        <f>DEMANDA!N49*PARAMETROS!$C$67</f>
        <v>8864294.5371988844</v>
      </c>
      <c r="S225" s="758">
        <f>DEMANDA!O49*PARAMETROS!$C$67</f>
        <v>8866600.3029387202</v>
      </c>
      <c r="T225" s="758">
        <f>DEMANDA!P49*PARAMETROS!$C$67</f>
        <v>8868906.068678556</v>
      </c>
      <c r="U225" s="758">
        <f>DEMANDA!Q49*PARAMETROS!$C$67</f>
        <v>8871211.8344183918</v>
      </c>
      <c r="V225" s="758">
        <f>DEMANDA!R49*PARAMETROS!$C$67</f>
        <v>8873517.6001582295</v>
      </c>
      <c r="W225" s="758">
        <f>DEMANDA!S49*PARAMETROS!$C$67</f>
        <v>8875823.3658980653</v>
      </c>
      <c r="X225" s="758">
        <f>DEMANDA!T49*PARAMETROS!$C$67</f>
        <v>8941671.0056471322</v>
      </c>
      <c r="Y225" s="758">
        <f>DEMANDA!U49*PARAMETROS!$C$67</f>
        <v>9007518.6453961972</v>
      </c>
      <c r="Z225" s="758">
        <f>DEMANDA!V49*PARAMETROS!$C$67</f>
        <v>9073366.2851452641</v>
      </c>
      <c r="AA225" s="758">
        <f>DEMANDA!W49*PARAMETROS!$C$67</f>
        <v>9139213.9248943292</v>
      </c>
      <c r="AB225" s="758">
        <f>DEMANDA!X49*PARAMETROS!$C$67</f>
        <v>9205061.5646433942</v>
      </c>
      <c r="AC225" s="758">
        <f>DEMANDA!Y49*PARAMETROS!$C$67</f>
        <v>9205061.5646433942</v>
      </c>
      <c r="AD225" s="758">
        <f>DEMANDA!Z49*PARAMETROS!$C$67</f>
        <v>9205061.5646433942</v>
      </c>
      <c r="AE225" s="758">
        <f>DEMANDA!AA49*PARAMETROS!$C$67</f>
        <v>9205061.5646433942</v>
      </c>
      <c r="AF225" s="758">
        <f>DEMANDA!AB49*PARAMETROS!$C$67</f>
        <v>9205061.5646433942</v>
      </c>
      <c r="AG225" s="758">
        <f>DEMANDA!AC49*PARAMETROS!$C$67</f>
        <v>9205061.5646433942</v>
      </c>
      <c r="AH225" s="758">
        <f>DEMANDA!AD49*PARAMETROS!$C$67</f>
        <v>9205061.5646433942</v>
      </c>
      <c r="AI225" s="758">
        <f>DEMANDA!AE49*PARAMETROS!$C$67</f>
        <v>9205061.5646433942</v>
      </c>
      <c r="AJ225" s="758">
        <f>DEMANDA!AF49*PARAMETROS!$C$67</f>
        <v>9205061.5646433942</v>
      </c>
      <c r="AK225" s="758">
        <f>DEMANDA!AG49*PARAMETROS!$C$67</f>
        <v>9205061.5646433942</v>
      </c>
      <c r="AL225" s="758">
        <f>DEMANDA!AH49*PARAMETROS!$C$67</f>
        <v>9205061.5646433942</v>
      </c>
      <c r="AM225" s="758">
        <f>DEMANDA!AI49*PARAMETROS!$C$67</f>
        <v>9205061.5646433942</v>
      </c>
      <c r="AN225" s="758">
        <f>DEMANDA!AJ49*PARAMETROS!$C$67</f>
        <v>9205061.5646433942</v>
      </c>
      <c r="AO225" s="758">
        <f>DEMANDA!AK49*PARAMETROS!$C$67</f>
        <v>9205061.5646433942</v>
      </c>
      <c r="AP225" s="758">
        <f>DEMANDA!AL49*PARAMETROS!$C$67</f>
        <v>9205061.5646433942</v>
      </c>
      <c r="AQ225" s="758">
        <f>DEMANDA!AM49*PARAMETROS!$C$67</f>
        <v>9205061.5646433942</v>
      </c>
      <c r="AR225" s="758">
        <f>DEMANDA!AN49*PARAMETROS!$C$67</f>
        <v>9205061.5646433942</v>
      </c>
      <c r="AS225" s="758">
        <f>DEMANDA!AO49*PARAMETROS!$C$67</f>
        <v>9205061.5646433942</v>
      </c>
      <c r="AT225" s="758">
        <f>DEMANDA!AP49*PARAMETROS!$C$67</f>
        <v>9205061.5646433942</v>
      </c>
      <c r="AU225" s="166"/>
      <c r="AV225" s="166"/>
      <c r="AW225" s="166"/>
      <c r="AX225" s="166"/>
      <c r="AY225" s="166"/>
      <c r="AZ225" s="166"/>
      <c r="BA225" s="166"/>
      <c r="BB225" s="166"/>
      <c r="BC225" s="166"/>
      <c r="BD225" s="166"/>
      <c r="BE225" s="166"/>
      <c r="BF225" s="166"/>
      <c r="BG225" s="166"/>
      <c r="BH225" s="166"/>
      <c r="BI225" s="166"/>
      <c r="BJ225" s="166"/>
      <c r="BK225" s="166"/>
      <c r="BL225" s="166"/>
      <c r="BM225" s="166"/>
      <c r="BN225" s="166"/>
    </row>
    <row r="226" spans="2:66" x14ac:dyDescent="0.25">
      <c r="B226" s="832" t="s">
        <v>395</v>
      </c>
      <c r="C226" s="178">
        <v>0</v>
      </c>
      <c r="D226" s="178">
        <v>0</v>
      </c>
      <c r="E226" s="178">
        <v>0</v>
      </c>
      <c r="F226" s="178">
        <v>0</v>
      </c>
      <c r="G226" s="758">
        <f>'INGRESOS de pasajeros'!C57*PARAMETROS!$C$67</f>
        <v>5014565.6000000006</v>
      </c>
      <c r="H226" s="758">
        <f>'INGRESOS de pasajeros'!D57*PARAMETROS!$C$67</f>
        <v>6686087.4666666677</v>
      </c>
      <c r="I226" s="758">
        <f>'INGRESOS de pasajeros'!E57*PARAMETROS!$C$67</f>
        <v>7064333.3182400009</v>
      </c>
      <c r="J226" s="758">
        <f>'INGRESOS de pasajeros'!F57*PARAMETROS!$C$67</f>
        <v>7138362.1900799992</v>
      </c>
      <c r="K226" s="758">
        <f>'INGRESOS de pasajeros'!G57*PARAMETROS!$C$67</f>
        <v>7503771.6608215664</v>
      </c>
      <c r="L226" s="758">
        <f>'INGRESOS de pasajeros'!H57*PARAMETROS!$C$67</f>
        <v>7580791.2990839034</v>
      </c>
      <c r="M226" s="758">
        <f>'INGRESOS de pasajeros'!I57*PARAMETROS!$C$67</f>
        <v>7967186.4992150292</v>
      </c>
      <c r="N226" s="758">
        <f>'INGRESOS de pasajeros'!J57*PARAMETROS!$C$67</f>
        <v>8006888.7739219368</v>
      </c>
      <c r="O226" s="758">
        <f>'INGRESOS de pasajeros'!K57*PARAMETROS!$C$67</f>
        <v>8371673.3269934468</v>
      </c>
      <c r="P226" s="758">
        <f>'INGRESOS de pasajeros'!L57*PARAMETROS!$C$67</f>
        <v>8412979.5735985152</v>
      </c>
      <c r="Q226" s="758">
        <f>'INGRESOS de pasajeros'!M57*PARAMETROS!$C$67</f>
        <v>8795838.9673398025</v>
      </c>
      <c r="R226" s="758">
        <f>'INGRESOS de pasajeros'!N57*PARAMETROS!$C$67</f>
        <v>8838813.9863077197</v>
      </c>
      <c r="S226" s="758">
        <f>'INGRESOS de pasajeros'!O57*PARAMETROS!$C$67</f>
        <v>9198294.0943016689</v>
      </c>
      <c r="T226" s="758">
        <f>'INGRESOS de pasajeros'!P57*PARAMETROS!$C$67</f>
        <v>9200686.1172487903</v>
      </c>
      <c r="U226" s="758">
        <f>'INGRESOS de pasajeros'!Q57*PARAMETROS!$C$67</f>
        <v>9574882.4970598314</v>
      </c>
      <c r="V226" s="758">
        <f>'INGRESOS de pasajeros'!R57*PARAMETROS!$C$67</f>
        <v>9577371.157734016</v>
      </c>
      <c r="W226" s="758">
        <f>'INGRESOS de pasajeros'!S57*PARAMETROS!$C$67</f>
        <v>9966886.1550718881</v>
      </c>
      <c r="X226" s="758">
        <f>'INGRESOS de pasajeros'!T57*PARAMETROS!$C$67</f>
        <v>10040828.132272638</v>
      </c>
      <c r="Y226" s="758">
        <f>'INGRESOS de pasajeros'!U57*PARAMETROS!$C$67</f>
        <v>10523406.821896119</v>
      </c>
      <c r="Z226" s="758">
        <f>'INGRESOS de pasajeros'!V57*PARAMETROS!$C$67</f>
        <v>10600336.05497578</v>
      </c>
      <c r="AA226" s="758">
        <f>'INGRESOS de pasajeros'!W57*PARAMETROS!$C$67</f>
        <v>11108626.805692878</v>
      </c>
      <c r="AB226" s="758">
        <f>'INGRESOS de pasajeros'!X57*PARAMETROS!$C$67</f>
        <v>11188663.979788953</v>
      </c>
      <c r="AC226" s="758">
        <f>'INGRESOS de pasajeros'!Y57*PARAMETROS!$C$67</f>
        <v>11640686.004572429</v>
      </c>
      <c r="AD226" s="758">
        <f>'INGRESOS de pasajeros'!Z57*PARAMETROS!$C$67</f>
        <v>11640686.004572429</v>
      </c>
      <c r="AE226" s="758">
        <f>'INGRESOS de pasajeros'!AA57*PARAMETROS!$C$67</f>
        <v>12110969.719157152</v>
      </c>
      <c r="AF226" s="758">
        <f>'INGRESOS de pasajeros'!AB57*PARAMETROS!$C$67</f>
        <v>12110969.719157152</v>
      </c>
      <c r="AG226" s="758">
        <f>'INGRESOS de pasajeros'!AC57*PARAMETROS!$C$67</f>
        <v>12600252.895811103</v>
      </c>
      <c r="AH226" s="758">
        <f>'INGRESOS de pasajeros'!AD57*PARAMETROS!$C$67</f>
        <v>12600252.895811103</v>
      </c>
      <c r="AI226" s="758">
        <f>'INGRESOS de pasajeros'!AE57*PARAMETROS!$C$67</f>
        <v>13109303.11280187</v>
      </c>
      <c r="AJ226" s="758">
        <f>'INGRESOS de pasajeros'!AF57*PARAMETROS!$C$67</f>
        <v>13109303.11280187</v>
      </c>
      <c r="AK226" s="758">
        <f>'INGRESOS de pasajeros'!AG57*PARAMETROS!$C$67</f>
        <v>13638918.958559066</v>
      </c>
      <c r="AL226" s="758">
        <f>'INGRESOS de pasajeros'!AH57*PARAMETROS!$C$67</f>
        <v>13638918.958559066</v>
      </c>
      <c r="AM226" s="758">
        <f>'INGRESOS de pasajeros'!AI57*PARAMETROS!$C$67</f>
        <v>14189931.284484848</v>
      </c>
      <c r="AN226" s="758">
        <f>'INGRESOS de pasajeros'!AJ57*PARAMETROS!$C$67</f>
        <v>14189931.284484848</v>
      </c>
      <c r="AO226" s="758">
        <f>'INGRESOS de pasajeros'!AK57*PARAMETROS!$C$67</f>
        <v>14763204.508378042</v>
      </c>
      <c r="AP226" s="758">
        <f>'INGRESOS de pasajeros'!AL57*PARAMETROS!$C$67</f>
        <v>14763204.508378042</v>
      </c>
      <c r="AQ226" s="758">
        <f>'INGRESOS de pasajeros'!AM57*PARAMETROS!$C$67</f>
        <v>15359637.970516512</v>
      </c>
      <c r="AR226" s="758">
        <f>'INGRESOS de pasajeros'!AN57*PARAMETROS!$C$67</f>
        <v>15359637.970516512</v>
      </c>
      <c r="AS226" s="758">
        <f>'INGRESOS de pasajeros'!AO57*PARAMETROS!$C$67</f>
        <v>15980167.344525382</v>
      </c>
      <c r="AT226" s="758">
        <f>'INGRESOS de pasajeros'!AP57*PARAMETROS!$C$67</f>
        <v>15980167.344525382</v>
      </c>
      <c r="AU226" s="166"/>
      <c r="AV226" s="166"/>
      <c r="AW226" s="166"/>
      <c r="AX226" s="166"/>
      <c r="AY226" s="166"/>
      <c r="AZ226" s="166"/>
      <c r="BA226" s="166"/>
      <c r="BB226" s="166"/>
      <c r="BC226" s="166"/>
      <c r="BD226" s="166"/>
      <c r="BE226" s="166"/>
      <c r="BF226" s="166"/>
      <c r="BG226" s="166"/>
      <c r="BH226" s="166"/>
      <c r="BI226" s="166"/>
      <c r="BJ226" s="166"/>
      <c r="BK226" s="166"/>
      <c r="BL226" s="166"/>
      <c r="BM226" s="166"/>
      <c r="BN226" s="166"/>
    </row>
    <row r="227" spans="2:66" x14ac:dyDescent="0.25">
      <c r="B227" s="832" t="s">
        <v>396</v>
      </c>
      <c r="C227" s="178">
        <v>0</v>
      </c>
      <c r="D227" s="178">
        <v>0</v>
      </c>
      <c r="E227" s="178">
        <v>0</v>
      </c>
      <c r="F227" s="178">
        <v>0</v>
      </c>
      <c r="G227" s="178">
        <f>$C$14*$C$15*12</f>
        <v>420000</v>
      </c>
      <c r="H227" s="178">
        <f t="shared" ref="H227:AT227" si="475">$G$75*((1+$C$25)^G221)</f>
        <v>428400</v>
      </c>
      <c r="I227" s="178">
        <f t="shared" si="475"/>
        <v>436968</v>
      </c>
      <c r="J227" s="178">
        <f t="shared" si="475"/>
        <v>445707.36</v>
      </c>
      <c r="K227" s="178">
        <f t="shared" si="475"/>
        <v>454621.50719999999</v>
      </c>
      <c r="L227" s="178">
        <f t="shared" si="475"/>
        <v>463713.93734400003</v>
      </c>
      <c r="M227" s="178">
        <f t="shared" si="475"/>
        <v>472988.21609088004</v>
      </c>
      <c r="N227" s="178">
        <f t="shared" si="475"/>
        <v>482447.98041269754</v>
      </c>
      <c r="O227" s="178">
        <f t="shared" si="475"/>
        <v>492096.9400209515</v>
      </c>
      <c r="P227" s="178">
        <f t="shared" si="475"/>
        <v>501938.87882137054</v>
      </c>
      <c r="Q227" s="178">
        <f t="shared" si="475"/>
        <v>511977.65639779798</v>
      </c>
      <c r="R227" s="178">
        <f t="shared" si="475"/>
        <v>522217.20952575386</v>
      </c>
      <c r="S227" s="178">
        <f t="shared" si="475"/>
        <v>532661.55371626897</v>
      </c>
      <c r="T227" s="178">
        <f t="shared" si="475"/>
        <v>543314.78479059436</v>
      </c>
      <c r="U227" s="178">
        <f t="shared" si="475"/>
        <v>554181.08048640634</v>
      </c>
      <c r="V227" s="178">
        <f t="shared" si="475"/>
        <v>565264.70209613431</v>
      </c>
      <c r="W227" s="178">
        <f t="shared" si="475"/>
        <v>576569.99613805709</v>
      </c>
      <c r="X227" s="178">
        <f t="shared" si="475"/>
        <v>588101.39606081822</v>
      </c>
      <c r="Y227" s="178">
        <f t="shared" si="475"/>
        <v>599863.42398203455</v>
      </c>
      <c r="Z227" s="178">
        <f t="shared" si="475"/>
        <v>611860.69246167527</v>
      </c>
      <c r="AA227" s="178">
        <f t="shared" si="475"/>
        <v>624097.90631090873</v>
      </c>
      <c r="AB227" s="178">
        <f t="shared" si="475"/>
        <v>636579.8644371269</v>
      </c>
      <c r="AC227" s="178">
        <f t="shared" si="475"/>
        <v>649311.46172586945</v>
      </c>
      <c r="AD227" s="178">
        <f t="shared" si="475"/>
        <v>662297.69096038677</v>
      </c>
      <c r="AE227" s="178">
        <f t="shared" si="475"/>
        <v>675543.6447795945</v>
      </c>
      <c r="AF227" s="178">
        <f t="shared" si="475"/>
        <v>689054.51767518639</v>
      </c>
      <c r="AG227" s="178">
        <f t="shared" si="475"/>
        <v>702835.60802869021</v>
      </c>
      <c r="AH227" s="178">
        <f t="shared" si="475"/>
        <v>716892.3201892639</v>
      </c>
      <c r="AI227" s="178">
        <f t="shared" si="475"/>
        <v>731230.1665930493</v>
      </c>
      <c r="AJ227" s="178">
        <f t="shared" si="475"/>
        <v>745854.76992491016</v>
      </c>
      <c r="AK227" s="178">
        <f t="shared" si="475"/>
        <v>760771.86532340851</v>
      </c>
      <c r="AL227" s="178">
        <f t="shared" si="475"/>
        <v>775987.30262987642</v>
      </c>
      <c r="AM227" s="178">
        <f t="shared" si="475"/>
        <v>791507.04868247418</v>
      </c>
      <c r="AN227" s="178">
        <f t="shared" si="475"/>
        <v>807337.18965612364</v>
      </c>
      <c r="AO227" s="178">
        <f t="shared" si="475"/>
        <v>823483.93344924611</v>
      </c>
      <c r="AP227" s="178">
        <f t="shared" si="475"/>
        <v>839953.61211823102</v>
      </c>
      <c r="AQ227" s="178">
        <f t="shared" si="475"/>
        <v>856752.68436059554</v>
      </c>
      <c r="AR227" s="178">
        <f t="shared" si="475"/>
        <v>873887.73804780759</v>
      </c>
      <c r="AS227" s="178">
        <f t="shared" si="475"/>
        <v>891365.49280876387</v>
      </c>
      <c r="AT227" s="178">
        <f t="shared" si="475"/>
        <v>909192.80266493873</v>
      </c>
      <c r="AU227" s="166"/>
      <c r="AV227" s="166"/>
      <c r="AW227" s="166"/>
      <c r="AX227" s="166"/>
      <c r="AY227" s="166"/>
      <c r="AZ227" s="166"/>
      <c r="BA227" s="166"/>
      <c r="BB227" s="166"/>
      <c r="BC227" s="166"/>
      <c r="BD227" s="166"/>
      <c r="BE227" s="166"/>
      <c r="BF227" s="166"/>
      <c r="BG227" s="166"/>
      <c r="BH227" s="166"/>
      <c r="BI227" s="166"/>
      <c r="BJ227" s="166"/>
      <c r="BK227" s="166"/>
      <c r="BL227" s="166"/>
      <c r="BM227" s="166"/>
      <c r="BN227" s="166"/>
    </row>
    <row r="228" spans="2:66" x14ac:dyDescent="0.25">
      <c r="B228" s="832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6"/>
      <c r="BN228" s="166"/>
    </row>
    <row r="229" spans="2:66" x14ac:dyDescent="0.25">
      <c r="B229" s="831" t="str">
        <f>B77</f>
        <v>Activos iniciales - Depreciacion 50 años</v>
      </c>
      <c r="C229" s="965">
        <f t="shared" ref="C229:AT235" si="476">C77</f>
        <v>0</v>
      </c>
      <c r="D229" s="965">
        <f t="shared" si="476"/>
        <v>0</v>
      </c>
      <c r="E229" s="965">
        <f t="shared" si="476"/>
        <v>0</v>
      </c>
      <c r="F229" s="965">
        <f t="shared" si="476"/>
        <v>0</v>
      </c>
      <c r="G229" s="965">
        <f t="shared" si="476"/>
        <v>-686539.32037828083</v>
      </c>
      <c r="H229" s="965">
        <f t="shared" si="476"/>
        <v>-686539.32037828083</v>
      </c>
      <c r="I229" s="965">
        <f t="shared" si="476"/>
        <v>-686539.32037828083</v>
      </c>
      <c r="J229" s="965">
        <f t="shared" si="476"/>
        <v>-686539.32037828083</v>
      </c>
      <c r="K229" s="965">
        <f t="shared" si="476"/>
        <v>-686539.32037828083</v>
      </c>
      <c r="L229" s="965">
        <f t="shared" si="476"/>
        <v>-686539.32037828083</v>
      </c>
      <c r="M229" s="965">
        <f t="shared" si="476"/>
        <v>-686539.32037828083</v>
      </c>
      <c r="N229" s="965">
        <f t="shared" si="476"/>
        <v>-686539.32037828083</v>
      </c>
      <c r="O229" s="965">
        <f t="shared" si="476"/>
        <v>-686539.32037828083</v>
      </c>
      <c r="P229" s="965">
        <f t="shared" si="476"/>
        <v>-686539.32037828083</v>
      </c>
      <c r="Q229" s="965">
        <f t="shared" si="476"/>
        <v>-686539.32037828083</v>
      </c>
      <c r="R229" s="965">
        <f t="shared" si="476"/>
        <v>-686539.32037828083</v>
      </c>
      <c r="S229" s="965">
        <f t="shared" si="476"/>
        <v>-686539.32037828083</v>
      </c>
      <c r="T229" s="965">
        <f t="shared" si="476"/>
        <v>-686539.32037828083</v>
      </c>
      <c r="U229" s="965">
        <f t="shared" si="476"/>
        <v>-686539.32037828083</v>
      </c>
      <c r="V229" s="965">
        <f t="shared" si="476"/>
        <v>-686539.32037828083</v>
      </c>
      <c r="W229" s="965">
        <f t="shared" si="476"/>
        <v>-686539.32037828083</v>
      </c>
      <c r="X229" s="965">
        <f t="shared" si="476"/>
        <v>-686539.32037828083</v>
      </c>
      <c r="Y229" s="965">
        <f t="shared" si="476"/>
        <v>-686539.32037828083</v>
      </c>
      <c r="Z229" s="965">
        <f t="shared" si="476"/>
        <v>-686539.32037828083</v>
      </c>
      <c r="AA229" s="965">
        <f t="shared" si="476"/>
        <v>-686539.32037828083</v>
      </c>
      <c r="AB229" s="965">
        <f t="shared" si="476"/>
        <v>-686539.32037828083</v>
      </c>
      <c r="AC229" s="965">
        <f t="shared" si="476"/>
        <v>-686539.32037828083</v>
      </c>
      <c r="AD229" s="965">
        <f t="shared" si="476"/>
        <v>-686539.32037828083</v>
      </c>
      <c r="AE229" s="965">
        <f t="shared" si="476"/>
        <v>-686539.32037828083</v>
      </c>
      <c r="AF229" s="965">
        <f t="shared" si="476"/>
        <v>-686539.32037828083</v>
      </c>
      <c r="AG229" s="965">
        <f t="shared" si="476"/>
        <v>-686539.32037828083</v>
      </c>
      <c r="AH229" s="965">
        <f t="shared" si="476"/>
        <v>-686539.32037828083</v>
      </c>
      <c r="AI229" s="965">
        <f t="shared" si="476"/>
        <v>-686539.32037828083</v>
      </c>
      <c r="AJ229" s="965">
        <f t="shared" si="476"/>
        <v>-686539.32037828083</v>
      </c>
      <c r="AK229" s="965">
        <f t="shared" si="476"/>
        <v>-686539.32037828083</v>
      </c>
      <c r="AL229" s="965">
        <f t="shared" si="476"/>
        <v>-686539.32037828083</v>
      </c>
      <c r="AM229" s="965">
        <f t="shared" si="476"/>
        <v>-686539.32037828083</v>
      </c>
      <c r="AN229" s="965">
        <f t="shared" si="476"/>
        <v>-686539.32037828083</v>
      </c>
      <c r="AO229" s="965">
        <f t="shared" si="476"/>
        <v>-686539.32037828083</v>
      </c>
      <c r="AP229" s="965">
        <f t="shared" si="476"/>
        <v>-686539.32037828083</v>
      </c>
      <c r="AQ229" s="965">
        <f t="shared" si="476"/>
        <v>-686539.32037828083</v>
      </c>
      <c r="AR229" s="965">
        <f t="shared" si="476"/>
        <v>-686539.32037828083</v>
      </c>
      <c r="AS229" s="965">
        <f t="shared" si="476"/>
        <v>-686539.32037828083</v>
      </c>
      <c r="AT229" s="965">
        <f t="shared" si="476"/>
        <v>-686539.32037828083</v>
      </c>
      <c r="AU229" s="166"/>
      <c r="AV229" s="166"/>
      <c r="AW229" s="166"/>
      <c r="AX229" s="166"/>
      <c r="AY229" s="166"/>
      <c r="AZ229" s="166"/>
      <c r="BA229" s="166"/>
      <c r="BB229" s="166"/>
      <c r="BC229" s="166"/>
      <c r="BD229" s="166"/>
      <c r="BE229" s="166"/>
      <c r="BF229" s="166"/>
      <c r="BG229" s="166"/>
      <c r="BH229" s="166"/>
      <c r="BI229" s="166"/>
      <c r="BJ229" s="166"/>
      <c r="BK229" s="166"/>
      <c r="BL229" s="166"/>
      <c r="BM229" s="166"/>
      <c r="BN229" s="166"/>
    </row>
    <row r="230" spans="2:66" x14ac:dyDescent="0.25">
      <c r="B230" s="831" t="str">
        <f t="shared" ref="B230:Q242" si="477">B78</f>
        <v>Activos iniciales - Depreciacion 40 años</v>
      </c>
      <c r="C230" s="965">
        <f t="shared" si="477"/>
        <v>0</v>
      </c>
      <c r="D230" s="965">
        <f t="shared" si="477"/>
        <v>0</v>
      </c>
      <c r="E230" s="965">
        <f t="shared" si="477"/>
        <v>0</v>
      </c>
      <c r="F230" s="965">
        <f t="shared" si="477"/>
        <v>0</v>
      </c>
      <c r="G230" s="965">
        <f t="shared" si="477"/>
        <v>-1442789.935138549</v>
      </c>
      <c r="H230" s="965">
        <f t="shared" si="477"/>
        <v>-1442789.935138549</v>
      </c>
      <c r="I230" s="965">
        <f t="shared" si="477"/>
        <v>-1442789.935138549</v>
      </c>
      <c r="J230" s="965">
        <f t="shared" si="477"/>
        <v>-1442789.935138549</v>
      </c>
      <c r="K230" s="965">
        <f t="shared" si="477"/>
        <v>-1442789.935138549</v>
      </c>
      <c r="L230" s="965">
        <f t="shared" si="477"/>
        <v>-1442789.935138549</v>
      </c>
      <c r="M230" s="965">
        <f t="shared" si="477"/>
        <v>-1442789.935138549</v>
      </c>
      <c r="N230" s="965">
        <f t="shared" si="477"/>
        <v>-1442789.935138549</v>
      </c>
      <c r="O230" s="965">
        <f t="shared" si="477"/>
        <v>-1442789.935138549</v>
      </c>
      <c r="P230" s="965">
        <f t="shared" si="477"/>
        <v>-1442789.935138549</v>
      </c>
      <c r="Q230" s="965">
        <f t="shared" si="477"/>
        <v>-1442789.935138549</v>
      </c>
      <c r="R230" s="965">
        <f t="shared" si="476"/>
        <v>-1442789.935138549</v>
      </c>
      <c r="S230" s="965">
        <f t="shared" si="476"/>
        <v>-1442789.935138549</v>
      </c>
      <c r="T230" s="965">
        <f t="shared" si="476"/>
        <v>-1442789.935138549</v>
      </c>
      <c r="U230" s="965">
        <f t="shared" si="476"/>
        <v>-1442789.935138549</v>
      </c>
      <c r="V230" s="965">
        <f t="shared" si="476"/>
        <v>-1442789.935138549</v>
      </c>
      <c r="W230" s="965">
        <f t="shared" si="476"/>
        <v>-1442789.935138549</v>
      </c>
      <c r="X230" s="965">
        <f t="shared" si="476"/>
        <v>-1442789.935138549</v>
      </c>
      <c r="Y230" s="965">
        <f t="shared" si="476"/>
        <v>-1442789.935138549</v>
      </c>
      <c r="Z230" s="965">
        <f t="shared" si="476"/>
        <v>-1442789.935138549</v>
      </c>
      <c r="AA230" s="965">
        <f t="shared" si="476"/>
        <v>-1442789.935138549</v>
      </c>
      <c r="AB230" s="965">
        <f t="shared" si="476"/>
        <v>-1442789.935138549</v>
      </c>
      <c r="AC230" s="965">
        <f t="shared" si="476"/>
        <v>-1442789.935138549</v>
      </c>
      <c r="AD230" s="965">
        <f t="shared" si="476"/>
        <v>-1442789.935138549</v>
      </c>
      <c r="AE230" s="965">
        <f t="shared" si="476"/>
        <v>-1442789.935138549</v>
      </c>
      <c r="AF230" s="965">
        <f t="shared" si="476"/>
        <v>-1442789.935138549</v>
      </c>
      <c r="AG230" s="965">
        <f t="shared" si="476"/>
        <v>-1442789.935138549</v>
      </c>
      <c r="AH230" s="965">
        <f t="shared" si="476"/>
        <v>-1442789.935138549</v>
      </c>
      <c r="AI230" s="965">
        <f t="shared" si="476"/>
        <v>-1442789.935138549</v>
      </c>
      <c r="AJ230" s="965">
        <f t="shared" si="476"/>
        <v>-1442789.935138549</v>
      </c>
      <c r="AK230" s="965">
        <f t="shared" si="476"/>
        <v>-1442789.935138549</v>
      </c>
      <c r="AL230" s="965">
        <f t="shared" si="476"/>
        <v>-1442789.935138549</v>
      </c>
      <c r="AM230" s="965">
        <f t="shared" si="476"/>
        <v>-1442789.935138549</v>
      </c>
      <c r="AN230" s="965">
        <f t="shared" si="476"/>
        <v>-1442789.935138549</v>
      </c>
      <c r="AO230" s="965">
        <f t="shared" si="476"/>
        <v>-1442789.935138549</v>
      </c>
      <c r="AP230" s="965">
        <f t="shared" si="476"/>
        <v>-1442789.935138549</v>
      </c>
      <c r="AQ230" s="965">
        <f t="shared" si="476"/>
        <v>-1442789.935138549</v>
      </c>
      <c r="AR230" s="965">
        <f t="shared" si="476"/>
        <v>-1442789.935138549</v>
      </c>
      <c r="AS230" s="965">
        <f t="shared" si="476"/>
        <v>-1442789.935138549</v>
      </c>
      <c r="AT230" s="965">
        <f t="shared" si="476"/>
        <v>-1442789.935138549</v>
      </c>
      <c r="AU230" s="166"/>
      <c r="AV230" s="166"/>
      <c r="AW230" s="166"/>
      <c r="AX230" s="166"/>
      <c r="AY230" s="166"/>
      <c r="AZ230" s="166"/>
      <c r="BA230" s="166"/>
      <c r="BB230" s="166"/>
      <c r="BC230" s="166"/>
      <c r="BD230" s="166"/>
      <c r="BE230" s="166"/>
      <c r="BF230" s="166"/>
      <c r="BG230" s="166"/>
      <c r="BH230" s="166"/>
      <c r="BI230" s="166"/>
      <c r="BJ230" s="166"/>
      <c r="BK230" s="166"/>
      <c r="BL230" s="166"/>
      <c r="BM230" s="166"/>
      <c r="BN230" s="166"/>
    </row>
    <row r="231" spans="2:66" x14ac:dyDescent="0.25">
      <c r="B231" s="831" t="str">
        <f t="shared" si="477"/>
        <v>Activos iniciales - Depreciacion 15 años</v>
      </c>
      <c r="C231" s="965">
        <f t="shared" si="476"/>
        <v>0</v>
      </c>
      <c r="D231" s="965">
        <f t="shared" si="476"/>
        <v>0</v>
      </c>
      <c r="E231" s="965">
        <f t="shared" si="476"/>
        <v>0</v>
      </c>
      <c r="F231" s="965">
        <f t="shared" si="476"/>
        <v>0</v>
      </c>
      <c r="G231" s="965">
        <f t="shared" si="476"/>
        <v>-846060.74954198557</v>
      </c>
      <c r="H231" s="965">
        <f t="shared" si="476"/>
        <v>-846060.74954198557</v>
      </c>
      <c r="I231" s="965">
        <f t="shared" si="476"/>
        <v>-846060.74954198557</v>
      </c>
      <c r="J231" s="965">
        <f t="shared" si="476"/>
        <v>-846060.74954198557</v>
      </c>
      <c r="K231" s="965">
        <f t="shared" si="476"/>
        <v>-846060.74954198557</v>
      </c>
      <c r="L231" s="965">
        <f t="shared" si="476"/>
        <v>-846060.74954198557</v>
      </c>
      <c r="M231" s="965">
        <f t="shared" si="476"/>
        <v>-846060.74954198557</v>
      </c>
      <c r="N231" s="965">
        <f t="shared" si="476"/>
        <v>-846060.74954198557</v>
      </c>
      <c r="O231" s="965">
        <f t="shared" si="476"/>
        <v>-846060.74954198557</v>
      </c>
      <c r="P231" s="965">
        <f t="shared" si="476"/>
        <v>-846060.74954198557</v>
      </c>
      <c r="Q231" s="965">
        <f t="shared" si="476"/>
        <v>-846060.74954198557</v>
      </c>
      <c r="R231" s="965">
        <f t="shared" si="476"/>
        <v>-846060.74954198557</v>
      </c>
      <c r="S231" s="965">
        <f t="shared" si="476"/>
        <v>-846060.74954198557</v>
      </c>
      <c r="T231" s="965">
        <f t="shared" si="476"/>
        <v>-846060.74954198557</v>
      </c>
      <c r="U231" s="965">
        <f t="shared" si="476"/>
        <v>-846060.74954198557</v>
      </c>
      <c r="V231" s="965">
        <f t="shared" si="476"/>
        <v>0</v>
      </c>
      <c r="W231" s="965">
        <f t="shared" si="476"/>
        <v>0</v>
      </c>
      <c r="X231" s="965">
        <f t="shared" si="476"/>
        <v>0</v>
      </c>
      <c r="Y231" s="965">
        <f t="shared" si="476"/>
        <v>0</v>
      </c>
      <c r="Z231" s="965">
        <f t="shared" si="476"/>
        <v>0</v>
      </c>
      <c r="AA231" s="965">
        <f t="shared" si="476"/>
        <v>0</v>
      </c>
      <c r="AB231" s="965">
        <f t="shared" si="476"/>
        <v>0</v>
      </c>
      <c r="AC231" s="965">
        <f t="shared" si="476"/>
        <v>0</v>
      </c>
      <c r="AD231" s="965">
        <f t="shared" si="476"/>
        <v>0</v>
      </c>
      <c r="AE231" s="965">
        <f t="shared" si="476"/>
        <v>0</v>
      </c>
      <c r="AF231" s="965">
        <f t="shared" si="476"/>
        <v>0</v>
      </c>
      <c r="AG231" s="965">
        <f t="shared" si="476"/>
        <v>0</v>
      </c>
      <c r="AH231" s="965">
        <f t="shared" si="476"/>
        <v>0</v>
      </c>
      <c r="AI231" s="965">
        <f t="shared" si="476"/>
        <v>0</v>
      </c>
      <c r="AJ231" s="965">
        <f t="shared" si="476"/>
        <v>0</v>
      </c>
      <c r="AK231" s="965">
        <f t="shared" si="476"/>
        <v>0</v>
      </c>
      <c r="AL231" s="965">
        <f t="shared" si="476"/>
        <v>0</v>
      </c>
      <c r="AM231" s="965">
        <f t="shared" si="476"/>
        <v>0</v>
      </c>
      <c r="AN231" s="965">
        <f t="shared" si="476"/>
        <v>0</v>
      </c>
      <c r="AO231" s="965">
        <f t="shared" si="476"/>
        <v>0</v>
      </c>
      <c r="AP231" s="965">
        <f t="shared" si="476"/>
        <v>0</v>
      </c>
      <c r="AQ231" s="965">
        <f t="shared" si="476"/>
        <v>0</v>
      </c>
      <c r="AR231" s="965">
        <f t="shared" si="476"/>
        <v>0</v>
      </c>
      <c r="AS231" s="965">
        <f t="shared" si="476"/>
        <v>0</v>
      </c>
      <c r="AT231" s="965">
        <f t="shared" si="476"/>
        <v>0</v>
      </c>
      <c r="AU231" s="166"/>
      <c r="AV231" s="166"/>
      <c r="AW231" s="166"/>
      <c r="AX231" s="166"/>
      <c r="AY231" s="166"/>
      <c r="AZ231" s="166"/>
      <c r="BA231" s="166"/>
      <c r="BB231" s="166"/>
      <c r="BC231" s="166"/>
      <c r="BD231" s="166"/>
      <c r="BE231" s="166"/>
      <c r="BF231" s="166"/>
      <c r="BG231" s="166"/>
      <c r="BH231" s="166"/>
      <c r="BI231" s="166"/>
      <c r="BJ231" s="166"/>
      <c r="BK231" s="166"/>
      <c r="BL231" s="166"/>
      <c r="BM231" s="166"/>
      <c r="BN231" s="166"/>
    </row>
    <row r="232" spans="2:66" x14ac:dyDescent="0.25">
      <c r="B232" s="831" t="str">
        <f t="shared" si="477"/>
        <v>Activos iniciales - Depreciacion 10 años</v>
      </c>
      <c r="C232" s="965">
        <f t="shared" si="476"/>
        <v>0</v>
      </c>
      <c r="D232" s="965">
        <f t="shared" si="476"/>
        <v>0</v>
      </c>
      <c r="E232" s="965">
        <f t="shared" si="476"/>
        <v>0</v>
      </c>
      <c r="F232" s="965">
        <f t="shared" si="476"/>
        <v>0</v>
      </c>
      <c r="G232" s="965">
        <f t="shared" si="476"/>
        <v>-483089.33345121983</v>
      </c>
      <c r="H232" s="965">
        <f t="shared" si="476"/>
        <v>-483089.33345121983</v>
      </c>
      <c r="I232" s="965">
        <f t="shared" si="476"/>
        <v>-483089.33345121983</v>
      </c>
      <c r="J232" s="965">
        <f t="shared" si="476"/>
        <v>-483089.33345121983</v>
      </c>
      <c r="K232" s="965">
        <f t="shared" si="476"/>
        <v>-483089.33345121983</v>
      </c>
      <c r="L232" s="965">
        <f t="shared" si="476"/>
        <v>-483089.33345121983</v>
      </c>
      <c r="M232" s="965">
        <f t="shared" si="476"/>
        <v>-483089.33345121983</v>
      </c>
      <c r="N232" s="965">
        <f t="shared" si="476"/>
        <v>-483089.33345121983</v>
      </c>
      <c r="O232" s="965">
        <f t="shared" si="476"/>
        <v>-483089.33345121983</v>
      </c>
      <c r="P232" s="965">
        <f t="shared" si="476"/>
        <v>-483089.33345121983</v>
      </c>
      <c r="Q232" s="965">
        <f t="shared" si="476"/>
        <v>0</v>
      </c>
      <c r="R232" s="965">
        <f t="shared" si="476"/>
        <v>0</v>
      </c>
      <c r="S232" s="965">
        <f t="shared" si="476"/>
        <v>0</v>
      </c>
      <c r="T232" s="965">
        <f t="shared" si="476"/>
        <v>0</v>
      </c>
      <c r="U232" s="965">
        <f t="shared" si="476"/>
        <v>0</v>
      </c>
      <c r="V232" s="965">
        <f t="shared" si="476"/>
        <v>0</v>
      </c>
      <c r="W232" s="965">
        <f t="shared" si="476"/>
        <v>0</v>
      </c>
      <c r="X232" s="965">
        <f t="shared" si="476"/>
        <v>0</v>
      </c>
      <c r="Y232" s="965">
        <f t="shared" si="476"/>
        <v>0</v>
      </c>
      <c r="Z232" s="965">
        <f t="shared" si="476"/>
        <v>0</v>
      </c>
      <c r="AA232" s="965">
        <f t="shared" si="476"/>
        <v>0</v>
      </c>
      <c r="AB232" s="965">
        <f t="shared" si="476"/>
        <v>0</v>
      </c>
      <c r="AC232" s="965">
        <f t="shared" si="476"/>
        <v>0</v>
      </c>
      <c r="AD232" s="965">
        <f t="shared" si="476"/>
        <v>0</v>
      </c>
      <c r="AE232" s="965">
        <f t="shared" si="476"/>
        <v>0</v>
      </c>
      <c r="AF232" s="965">
        <f t="shared" si="476"/>
        <v>0</v>
      </c>
      <c r="AG232" s="965">
        <f t="shared" si="476"/>
        <v>0</v>
      </c>
      <c r="AH232" s="965">
        <f t="shared" si="476"/>
        <v>0</v>
      </c>
      <c r="AI232" s="965">
        <f t="shared" si="476"/>
        <v>0</v>
      </c>
      <c r="AJ232" s="965">
        <f t="shared" si="476"/>
        <v>0</v>
      </c>
      <c r="AK232" s="965">
        <f t="shared" si="476"/>
        <v>0</v>
      </c>
      <c r="AL232" s="965">
        <f t="shared" si="476"/>
        <v>0</v>
      </c>
      <c r="AM232" s="965">
        <f t="shared" si="476"/>
        <v>0</v>
      </c>
      <c r="AN232" s="965">
        <f t="shared" si="476"/>
        <v>0</v>
      </c>
      <c r="AO232" s="965">
        <f t="shared" si="476"/>
        <v>0</v>
      </c>
      <c r="AP232" s="965">
        <f t="shared" si="476"/>
        <v>0</v>
      </c>
      <c r="AQ232" s="965">
        <f t="shared" si="476"/>
        <v>0</v>
      </c>
      <c r="AR232" s="965">
        <f t="shared" si="476"/>
        <v>0</v>
      </c>
      <c r="AS232" s="965">
        <f t="shared" si="476"/>
        <v>0</v>
      </c>
      <c r="AT232" s="965">
        <f t="shared" si="476"/>
        <v>0</v>
      </c>
      <c r="AU232" s="166"/>
      <c r="AV232" s="166"/>
      <c r="AW232" s="166"/>
      <c r="AX232" s="166"/>
      <c r="AY232" s="166"/>
      <c r="AZ232" s="166"/>
      <c r="BA232" s="166"/>
      <c r="BB232" s="166"/>
      <c r="BC232" s="166"/>
      <c r="BD232" s="166"/>
      <c r="BE232" s="166"/>
      <c r="BF232" s="166"/>
      <c r="BG232" s="166"/>
      <c r="BH232" s="166"/>
      <c r="BI232" s="166"/>
      <c r="BJ232" s="166"/>
      <c r="BK232" s="166"/>
      <c r="BL232" s="166"/>
      <c r="BM232" s="166"/>
      <c r="BN232" s="166"/>
    </row>
    <row r="233" spans="2:66" x14ac:dyDescent="0.25">
      <c r="B233" s="831" t="str">
        <f t="shared" si="477"/>
        <v>Activos iniciales - Depreciacion 5 años</v>
      </c>
      <c r="C233" s="965">
        <f t="shared" si="476"/>
        <v>0</v>
      </c>
      <c r="D233" s="965">
        <f t="shared" si="476"/>
        <v>0</v>
      </c>
      <c r="E233" s="965">
        <f t="shared" si="476"/>
        <v>0</v>
      </c>
      <c r="F233" s="965">
        <f t="shared" si="476"/>
        <v>0</v>
      </c>
      <c r="G233" s="965">
        <f t="shared" si="476"/>
        <v>-204364.92007479366</v>
      </c>
      <c r="H233" s="965">
        <f t="shared" si="476"/>
        <v>-204364.92007479366</v>
      </c>
      <c r="I233" s="965">
        <f t="shared" si="476"/>
        <v>-204364.92007479366</v>
      </c>
      <c r="J233" s="965">
        <f t="shared" si="476"/>
        <v>-204364.92007479366</v>
      </c>
      <c r="K233" s="965">
        <f t="shared" si="476"/>
        <v>-204364.92007479366</v>
      </c>
      <c r="L233" s="965">
        <f t="shared" si="476"/>
        <v>0</v>
      </c>
      <c r="M233" s="965">
        <f t="shared" si="476"/>
        <v>0</v>
      </c>
      <c r="N233" s="965">
        <f t="shared" si="476"/>
        <v>0</v>
      </c>
      <c r="O233" s="965">
        <f t="shared" si="476"/>
        <v>0</v>
      </c>
      <c r="P233" s="965">
        <f t="shared" si="476"/>
        <v>0</v>
      </c>
      <c r="Q233" s="965">
        <f t="shared" si="476"/>
        <v>0</v>
      </c>
      <c r="R233" s="965">
        <f t="shared" si="476"/>
        <v>0</v>
      </c>
      <c r="S233" s="965">
        <f t="shared" si="476"/>
        <v>0</v>
      </c>
      <c r="T233" s="965">
        <f t="shared" si="476"/>
        <v>0</v>
      </c>
      <c r="U233" s="965">
        <f t="shared" si="476"/>
        <v>0</v>
      </c>
      <c r="V233" s="965">
        <f t="shared" si="476"/>
        <v>0</v>
      </c>
      <c r="W233" s="965">
        <f t="shared" si="476"/>
        <v>0</v>
      </c>
      <c r="X233" s="965">
        <f t="shared" si="476"/>
        <v>0</v>
      </c>
      <c r="Y233" s="965">
        <f t="shared" si="476"/>
        <v>0</v>
      </c>
      <c r="Z233" s="965">
        <f t="shared" si="476"/>
        <v>0</v>
      </c>
      <c r="AA233" s="965">
        <f t="shared" si="476"/>
        <v>0</v>
      </c>
      <c r="AB233" s="965">
        <f t="shared" si="476"/>
        <v>0</v>
      </c>
      <c r="AC233" s="965">
        <f t="shared" si="476"/>
        <v>0</v>
      </c>
      <c r="AD233" s="965">
        <f t="shared" si="476"/>
        <v>0</v>
      </c>
      <c r="AE233" s="965">
        <f t="shared" si="476"/>
        <v>0</v>
      </c>
      <c r="AF233" s="965">
        <f t="shared" si="476"/>
        <v>0</v>
      </c>
      <c r="AG233" s="965">
        <f t="shared" si="476"/>
        <v>0</v>
      </c>
      <c r="AH233" s="965">
        <f t="shared" si="476"/>
        <v>0</v>
      </c>
      <c r="AI233" s="965">
        <f t="shared" si="476"/>
        <v>0</v>
      </c>
      <c r="AJ233" s="965">
        <f t="shared" si="476"/>
        <v>0</v>
      </c>
      <c r="AK233" s="965">
        <f t="shared" si="476"/>
        <v>0</v>
      </c>
      <c r="AL233" s="965">
        <f t="shared" si="476"/>
        <v>0</v>
      </c>
      <c r="AM233" s="965">
        <f t="shared" si="476"/>
        <v>0</v>
      </c>
      <c r="AN233" s="965">
        <f t="shared" si="476"/>
        <v>0</v>
      </c>
      <c r="AO233" s="965">
        <f t="shared" si="476"/>
        <v>0</v>
      </c>
      <c r="AP233" s="965">
        <f t="shared" si="476"/>
        <v>0</v>
      </c>
      <c r="AQ233" s="965">
        <f t="shared" si="476"/>
        <v>0</v>
      </c>
      <c r="AR233" s="965">
        <f t="shared" si="476"/>
        <v>0</v>
      </c>
      <c r="AS233" s="965">
        <f t="shared" si="476"/>
        <v>0</v>
      </c>
      <c r="AT233" s="965">
        <f t="shared" si="476"/>
        <v>0</v>
      </c>
      <c r="AU233" s="166"/>
      <c r="AV233" s="166"/>
      <c r="AW233" s="166"/>
      <c r="AX233" s="166"/>
      <c r="AY233" s="166"/>
      <c r="AZ233" s="166"/>
      <c r="BA233" s="166"/>
      <c r="BB233" s="166"/>
      <c r="BC233" s="166"/>
      <c r="BD233" s="166"/>
      <c r="BE233" s="166"/>
      <c r="BF233" s="166"/>
      <c r="BG233" s="166"/>
      <c r="BH233" s="166"/>
      <c r="BI233" s="166"/>
      <c r="BJ233" s="166"/>
      <c r="BK233" s="166"/>
      <c r="BL233" s="166"/>
      <c r="BM233" s="166"/>
      <c r="BN233" s="166"/>
    </row>
    <row r="234" spans="2:66" x14ac:dyDescent="0.25">
      <c r="B234" s="831" t="str">
        <f t="shared" si="477"/>
        <v>Activos iniciales - Valor residual</v>
      </c>
      <c r="C234" s="965">
        <f t="shared" si="476"/>
        <v>0</v>
      </c>
      <c r="D234" s="965">
        <f t="shared" si="476"/>
        <v>0</v>
      </c>
      <c r="E234" s="965">
        <f t="shared" si="476"/>
        <v>0</v>
      </c>
      <c r="F234" s="965">
        <f t="shared" si="476"/>
        <v>0</v>
      </c>
      <c r="G234" s="965">
        <f t="shared" si="476"/>
        <v>123619947.34560698</v>
      </c>
      <c r="H234" s="965">
        <f t="shared" si="476"/>
        <v>119957103.08702216</v>
      </c>
      <c r="I234" s="965">
        <f t="shared" si="476"/>
        <v>116294258.82843733</v>
      </c>
      <c r="J234" s="965">
        <f t="shared" si="476"/>
        <v>112631414.5698525</v>
      </c>
      <c r="K234" s="965">
        <f t="shared" si="476"/>
        <v>108968570.31126767</v>
      </c>
      <c r="L234" s="965">
        <f t="shared" si="476"/>
        <v>105510090.97275764</v>
      </c>
      <c r="M234" s="965">
        <f t="shared" si="476"/>
        <v>102051611.6342476</v>
      </c>
      <c r="N234" s="965">
        <f t="shared" si="476"/>
        <v>98593132.295737565</v>
      </c>
      <c r="O234" s="965">
        <f t="shared" si="476"/>
        <v>95134652.957227528</v>
      </c>
      <c r="P234" s="965">
        <f t="shared" si="476"/>
        <v>91676173.618717492</v>
      </c>
      <c r="Q234" s="965">
        <f t="shared" si="476"/>
        <v>88700783.613658682</v>
      </c>
      <c r="R234" s="965">
        <f t="shared" si="476"/>
        <v>85725393.608599871</v>
      </c>
      <c r="S234" s="965">
        <f t="shared" si="476"/>
        <v>82750003.603541061</v>
      </c>
      <c r="T234" s="965">
        <f t="shared" si="476"/>
        <v>79774613.598482251</v>
      </c>
      <c r="U234" s="965">
        <f t="shared" si="476"/>
        <v>76799223.593423441</v>
      </c>
      <c r="V234" s="965">
        <f t="shared" si="476"/>
        <v>74669894.337906614</v>
      </c>
      <c r="W234" s="965">
        <f t="shared" si="476"/>
        <v>72540565.082389787</v>
      </c>
      <c r="X234" s="965">
        <f t="shared" si="476"/>
        <v>70411235.82687296</v>
      </c>
      <c r="Y234" s="965">
        <f t="shared" si="476"/>
        <v>68281906.571356133</v>
      </c>
      <c r="Z234" s="965">
        <f t="shared" si="476"/>
        <v>66152577.315839306</v>
      </c>
      <c r="AA234" s="965">
        <f t="shared" si="476"/>
        <v>64023248.060322478</v>
      </c>
      <c r="AB234" s="965">
        <f t="shared" si="476"/>
        <v>61893918.804805651</v>
      </c>
      <c r="AC234" s="965">
        <f t="shared" si="476"/>
        <v>59764589.549288824</v>
      </c>
      <c r="AD234" s="965">
        <f t="shared" si="476"/>
        <v>57635260.293771997</v>
      </c>
      <c r="AE234" s="965">
        <f t="shared" si="476"/>
        <v>55505931.03825517</v>
      </c>
      <c r="AF234" s="965">
        <f t="shared" si="476"/>
        <v>53376601.782738343</v>
      </c>
      <c r="AG234" s="965">
        <f t="shared" si="476"/>
        <v>51247272.527221516</v>
      </c>
      <c r="AH234" s="965">
        <f t="shared" si="476"/>
        <v>49117943.271704689</v>
      </c>
      <c r="AI234" s="965">
        <f t="shared" si="476"/>
        <v>46988614.016187862</v>
      </c>
      <c r="AJ234" s="965">
        <f t="shared" si="476"/>
        <v>44859284.760671034</v>
      </c>
      <c r="AK234" s="965">
        <f t="shared" si="476"/>
        <v>42729955.505154207</v>
      </c>
      <c r="AL234" s="965">
        <f t="shared" si="476"/>
        <v>40600626.24963738</v>
      </c>
      <c r="AM234" s="965">
        <f t="shared" si="476"/>
        <v>38471296.994120553</v>
      </c>
      <c r="AN234" s="965">
        <f t="shared" si="476"/>
        <v>36341967.738603726</v>
      </c>
      <c r="AO234" s="965">
        <f t="shared" si="476"/>
        <v>34212638.483086899</v>
      </c>
      <c r="AP234" s="965">
        <f t="shared" si="476"/>
        <v>32083309.227570068</v>
      </c>
      <c r="AQ234" s="965">
        <f t="shared" si="476"/>
        <v>29953979.972053237</v>
      </c>
      <c r="AR234" s="965">
        <f t="shared" si="476"/>
        <v>27824650.716536406</v>
      </c>
      <c r="AS234" s="965">
        <f t="shared" si="476"/>
        <v>25695321.461019576</v>
      </c>
      <c r="AT234" s="965">
        <f t="shared" si="476"/>
        <v>23565992.205502745</v>
      </c>
      <c r="AU234" s="166"/>
      <c r="AV234" s="166"/>
      <c r="AW234" s="166"/>
      <c r="AX234" s="166"/>
      <c r="AY234" s="166"/>
      <c r="AZ234" s="166"/>
      <c r="BA234" s="166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66"/>
      <c r="BN234" s="166"/>
    </row>
    <row r="235" spans="2:66" x14ac:dyDescent="0.25">
      <c r="B235" s="831" t="str">
        <f t="shared" si="477"/>
        <v>Activos nuevos 1 - Depreciacion 10 años</v>
      </c>
      <c r="C235" s="965">
        <f t="shared" si="476"/>
        <v>0</v>
      </c>
      <c r="D235" s="965">
        <f t="shared" si="476"/>
        <v>0</v>
      </c>
      <c r="E235" s="965">
        <f t="shared" si="476"/>
        <v>0</v>
      </c>
      <c r="F235" s="965">
        <f t="shared" si="476"/>
        <v>0</v>
      </c>
      <c r="G235" s="965">
        <f t="shared" si="476"/>
        <v>0</v>
      </c>
      <c r="H235" s="965">
        <f t="shared" si="476"/>
        <v>0</v>
      </c>
      <c r="I235" s="965">
        <f t="shared" ref="C235:AT240" si="478">I83</f>
        <v>0</v>
      </c>
      <c r="J235" s="965">
        <f t="shared" si="478"/>
        <v>0</v>
      </c>
      <c r="K235" s="965">
        <f t="shared" si="478"/>
        <v>0</v>
      </c>
      <c r="L235" s="965">
        <f t="shared" si="478"/>
        <v>0</v>
      </c>
      <c r="M235" s="965">
        <f t="shared" si="478"/>
        <v>0</v>
      </c>
      <c r="N235" s="965">
        <f t="shared" si="478"/>
        <v>0</v>
      </c>
      <c r="O235" s="965">
        <f t="shared" si="478"/>
        <v>0</v>
      </c>
      <c r="P235" s="965">
        <f t="shared" si="478"/>
        <v>0</v>
      </c>
      <c r="Q235" s="965">
        <f t="shared" si="478"/>
        <v>0</v>
      </c>
      <c r="R235" s="965">
        <f t="shared" si="478"/>
        <v>-618548.40493797127</v>
      </c>
      <c r="S235" s="965">
        <f t="shared" si="478"/>
        <v>-618548.40493797127</v>
      </c>
      <c r="T235" s="965">
        <f t="shared" si="478"/>
        <v>-618548.40493797127</v>
      </c>
      <c r="U235" s="965">
        <f t="shared" si="478"/>
        <v>-618548.40493797127</v>
      </c>
      <c r="V235" s="965">
        <f t="shared" si="478"/>
        <v>-618548.40493797127</v>
      </c>
      <c r="W235" s="965">
        <f t="shared" si="478"/>
        <v>-618548.40493797127</v>
      </c>
      <c r="X235" s="965">
        <f t="shared" si="478"/>
        <v>-618548.40493797127</v>
      </c>
      <c r="Y235" s="965">
        <f t="shared" si="478"/>
        <v>-618548.40493797127</v>
      </c>
      <c r="Z235" s="965">
        <f t="shared" si="478"/>
        <v>-618548.40493797127</v>
      </c>
      <c r="AA235" s="965">
        <f t="shared" si="478"/>
        <v>-618548.40493797127</v>
      </c>
      <c r="AB235" s="965">
        <f t="shared" si="478"/>
        <v>-618548.40493797127</v>
      </c>
      <c r="AC235" s="965">
        <f t="shared" si="478"/>
        <v>0</v>
      </c>
      <c r="AD235" s="965">
        <f t="shared" si="478"/>
        <v>0</v>
      </c>
      <c r="AE235" s="965">
        <f t="shared" si="478"/>
        <v>0</v>
      </c>
      <c r="AF235" s="965">
        <f t="shared" si="478"/>
        <v>0</v>
      </c>
      <c r="AG235" s="965">
        <f t="shared" si="478"/>
        <v>0</v>
      </c>
      <c r="AH235" s="965">
        <f t="shared" si="478"/>
        <v>0</v>
      </c>
      <c r="AI235" s="965">
        <f t="shared" si="478"/>
        <v>0</v>
      </c>
      <c r="AJ235" s="965">
        <f t="shared" si="478"/>
        <v>0</v>
      </c>
      <c r="AK235" s="965">
        <f t="shared" si="478"/>
        <v>0</v>
      </c>
      <c r="AL235" s="965">
        <f t="shared" si="478"/>
        <v>0</v>
      </c>
      <c r="AM235" s="965">
        <f t="shared" si="478"/>
        <v>0</v>
      </c>
      <c r="AN235" s="965">
        <f t="shared" si="478"/>
        <v>0</v>
      </c>
      <c r="AO235" s="965">
        <f t="shared" si="478"/>
        <v>0</v>
      </c>
      <c r="AP235" s="965">
        <f t="shared" si="478"/>
        <v>0</v>
      </c>
      <c r="AQ235" s="965">
        <f t="shared" si="478"/>
        <v>0</v>
      </c>
      <c r="AR235" s="965">
        <f t="shared" si="478"/>
        <v>0</v>
      </c>
      <c r="AS235" s="965">
        <f t="shared" si="478"/>
        <v>0</v>
      </c>
      <c r="AT235" s="965">
        <f t="shared" si="478"/>
        <v>0</v>
      </c>
      <c r="AU235" s="166"/>
      <c r="AV235" s="166"/>
      <c r="AW235" s="166"/>
      <c r="AX235" s="166"/>
      <c r="AY235" s="166"/>
      <c r="AZ235" s="166"/>
      <c r="BA235" s="166"/>
      <c r="BB235" s="166"/>
      <c r="BC235" s="166"/>
      <c r="BD235" s="166"/>
      <c r="BE235" s="166"/>
      <c r="BF235" s="166"/>
      <c r="BG235" s="166"/>
      <c r="BH235" s="166"/>
      <c r="BI235" s="166"/>
      <c r="BJ235" s="166"/>
      <c r="BK235" s="166"/>
      <c r="BL235" s="166"/>
      <c r="BM235" s="166"/>
      <c r="BN235" s="166"/>
    </row>
    <row r="236" spans="2:66" x14ac:dyDescent="0.25">
      <c r="B236" s="831" t="str">
        <f t="shared" si="477"/>
        <v>Activos nuevos 1 - Valor residual</v>
      </c>
      <c r="C236" s="965">
        <f t="shared" si="478"/>
        <v>0</v>
      </c>
      <c r="D236" s="965">
        <f t="shared" si="478"/>
        <v>0</v>
      </c>
      <c r="E236" s="965">
        <f t="shared" si="478"/>
        <v>0</v>
      </c>
      <c r="F236" s="965">
        <f t="shared" si="478"/>
        <v>0</v>
      </c>
      <c r="G236" s="965">
        <f t="shared" si="478"/>
        <v>0</v>
      </c>
      <c r="H236" s="965">
        <f t="shared" si="478"/>
        <v>0</v>
      </c>
      <c r="I236" s="965">
        <f t="shared" si="478"/>
        <v>0</v>
      </c>
      <c r="J236" s="965">
        <f t="shared" si="478"/>
        <v>0</v>
      </c>
      <c r="K236" s="965">
        <f t="shared" si="478"/>
        <v>0</v>
      </c>
      <c r="L236" s="965">
        <f t="shared" si="478"/>
        <v>0</v>
      </c>
      <c r="M236" s="965">
        <f t="shared" si="478"/>
        <v>0</v>
      </c>
      <c r="N236" s="965">
        <f t="shared" si="478"/>
        <v>0</v>
      </c>
      <c r="O236" s="965">
        <f t="shared" si="478"/>
        <v>0</v>
      </c>
      <c r="P236" s="965">
        <f t="shared" si="478"/>
        <v>0</v>
      </c>
      <c r="Q236" s="965">
        <f t="shared" si="478"/>
        <v>0</v>
      </c>
      <c r="R236" s="965">
        <f t="shared" si="478"/>
        <v>6185484.0493797129</v>
      </c>
      <c r="S236" s="965">
        <f t="shared" si="478"/>
        <v>5566935.6444417415</v>
      </c>
      <c r="T236" s="965">
        <f t="shared" si="478"/>
        <v>4948387.2395037701</v>
      </c>
      <c r="U236" s="965">
        <f t="shared" si="478"/>
        <v>4329838.8345657988</v>
      </c>
      <c r="V236" s="965">
        <f t="shared" si="478"/>
        <v>3711290.4296278274</v>
      </c>
      <c r="W236" s="965">
        <f t="shared" si="478"/>
        <v>3092742.024689856</v>
      </c>
      <c r="X236" s="965">
        <f t="shared" si="478"/>
        <v>2474193.6197518846</v>
      </c>
      <c r="Y236" s="965">
        <f t="shared" si="478"/>
        <v>1855645.2148139132</v>
      </c>
      <c r="Z236" s="965">
        <f t="shared" si="478"/>
        <v>1237096.8098759418</v>
      </c>
      <c r="AA236" s="965">
        <f t="shared" si="478"/>
        <v>618548.40493797057</v>
      </c>
      <c r="AB236" s="965">
        <f t="shared" si="478"/>
        <v>0</v>
      </c>
      <c r="AC236" s="965">
        <f t="shared" si="478"/>
        <v>0</v>
      </c>
      <c r="AD236" s="965">
        <f t="shared" si="478"/>
        <v>0</v>
      </c>
      <c r="AE236" s="965">
        <f t="shared" si="478"/>
        <v>0</v>
      </c>
      <c r="AF236" s="965">
        <f t="shared" si="478"/>
        <v>0</v>
      </c>
      <c r="AG236" s="965">
        <f t="shared" si="478"/>
        <v>0</v>
      </c>
      <c r="AH236" s="965">
        <f t="shared" si="478"/>
        <v>0</v>
      </c>
      <c r="AI236" s="965">
        <f t="shared" si="478"/>
        <v>0</v>
      </c>
      <c r="AJ236" s="965">
        <f t="shared" si="478"/>
        <v>0</v>
      </c>
      <c r="AK236" s="965">
        <f t="shared" si="478"/>
        <v>0</v>
      </c>
      <c r="AL236" s="965">
        <f t="shared" si="478"/>
        <v>0</v>
      </c>
      <c r="AM236" s="965">
        <f t="shared" si="478"/>
        <v>0</v>
      </c>
      <c r="AN236" s="965">
        <f t="shared" si="478"/>
        <v>0</v>
      </c>
      <c r="AO236" s="965">
        <f t="shared" si="478"/>
        <v>0</v>
      </c>
      <c r="AP236" s="965">
        <f t="shared" si="478"/>
        <v>0</v>
      </c>
      <c r="AQ236" s="965">
        <f t="shared" si="478"/>
        <v>0</v>
      </c>
      <c r="AR236" s="965">
        <f t="shared" si="478"/>
        <v>0</v>
      </c>
      <c r="AS236" s="965">
        <f t="shared" si="478"/>
        <v>0</v>
      </c>
      <c r="AT236" s="965">
        <f t="shared" si="478"/>
        <v>0</v>
      </c>
      <c r="AU236" s="166"/>
      <c r="AV236" s="166"/>
      <c r="AW236" s="166"/>
      <c r="AX236" s="166"/>
      <c r="AY236" s="166"/>
      <c r="AZ236" s="166"/>
      <c r="BA236" s="166"/>
      <c r="BB236" s="166"/>
      <c r="BC236" s="166"/>
      <c r="BD236" s="166"/>
      <c r="BE236" s="166"/>
      <c r="BF236" s="166"/>
      <c r="BG236" s="166"/>
      <c r="BH236" s="166"/>
      <c r="BI236" s="166"/>
      <c r="BJ236" s="166"/>
      <c r="BK236" s="166"/>
      <c r="BL236" s="166"/>
      <c r="BM236" s="166"/>
      <c r="BN236" s="166"/>
    </row>
    <row r="237" spans="2:66" x14ac:dyDescent="0.25">
      <c r="B237" s="831" t="str">
        <f t="shared" si="477"/>
        <v>Activos nuevos 2 - Depreciacion 15 años</v>
      </c>
      <c r="C237" s="965">
        <f t="shared" si="478"/>
        <v>0</v>
      </c>
      <c r="D237" s="965">
        <f t="shared" si="478"/>
        <v>0</v>
      </c>
      <c r="E237" s="965">
        <f t="shared" si="478"/>
        <v>0</v>
      </c>
      <c r="F237" s="965">
        <f t="shared" si="478"/>
        <v>0</v>
      </c>
      <c r="G237" s="965">
        <f t="shared" si="478"/>
        <v>0</v>
      </c>
      <c r="H237" s="965">
        <f t="shared" si="478"/>
        <v>0</v>
      </c>
      <c r="I237" s="965">
        <f t="shared" si="478"/>
        <v>0</v>
      </c>
      <c r="J237" s="965">
        <f t="shared" si="478"/>
        <v>0</v>
      </c>
      <c r="K237" s="965">
        <f t="shared" si="478"/>
        <v>0</v>
      </c>
      <c r="L237" s="965">
        <f t="shared" si="478"/>
        <v>0</v>
      </c>
      <c r="M237" s="965">
        <f t="shared" si="478"/>
        <v>0</v>
      </c>
      <c r="N237" s="965">
        <f t="shared" si="478"/>
        <v>0</v>
      </c>
      <c r="O237" s="965">
        <f t="shared" si="478"/>
        <v>0</v>
      </c>
      <c r="P237" s="965">
        <f t="shared" si="478"/>
        <v>0</v>
      </c>
      <c r="Q237" s="965">
        <f t="shared" si="478"/>
        <v>0</v>
      </c>
      <c r="R237" s="965">
        <f t="shared" si="478"/>
        <v>0</v>
      </c>
      <c r="S237" s="965">
        <f t="shared" si="478"/>
        <v>0</v>
      </c>
      <c r="T237" s="965">
        <f t="shared" si="478"/>
        <v>0</v>
      </c>
      <c r="U237" s="965">
        <f t="shared" si="478"/>
        <v>0</v>
      </c>
      <c r="V237" s="965">
        <f t="shared" si="478"/>
        <v>0</v>
      </c>
      <c r="W237" s="965">
        <f t="shared" si="478"/>
        <v>0</v>
      </c>
      <c r="X237" s="965">
        <f t="shared" si="478"/>
        <v>-1175246.5745210485</v>
      </c>
      <c r="Y237" s="965">
        <f t="shared" si="478"/>
        <v>-1175246.5745210485</v>
      </c>
      <c r="Z237" s="965">
        <f t="shared" si="478"/>
        <v>-1175246.5745210485</v>
      </c>
      <c r="AA237" s="965">
        <f t="shared" si="478"/>
        <v>-1175246.5745210485</v>
      </c>
      <c r="AB237" s="965">
        <f t="shared" si="478"/>
        <v>-1175246.5745210485</v>
      </c>
      <c r="AC237" s="965">
        <f t="shared" si="478"/>
        <v>-1175246.5745210485</v>
      </c>
      <c r="AD237" s="965">
        <f t="shared" si="478"/>
        <v>-1175246.5745210485</v>
      </c>
      <c r="AE237" s="965">
        <f t="shared" si="478"/>
        <v>-1175246.5745210485</v>
      </c>
      <c r="AF237" s="965">
        <f t="shared" si="478"/>
        <v>-1175246.5745210485</v>
      </c>
      <c r="AG237" s="965">
        <f t="shared" si="478"/>
        <v>-1175246.5745210485</v>
      </c>
      <c r="AH237" s="965">
        <f t="shared" si="478"/>
        <v>-1175246.5745210485</v>
      </c>
      <c r="AI237" s="965">
        <f t="shared" si="478"/>
        <v>-1175246.5745210485</v>
      </c>
      <c r="AJ237" s="965">
        <f t="shared" si="478"/>
        <v>-1175246.5745210485</v>
      </c>
      <c r="AK237" s="965">
        <f t="shared" si="478"/>
        <v>-1175246.5745210485</v>
      </c>
      <c r="AL237" s="965">
        <f t="shared" si="478"/>
        <v>-1175246.5745210485</v>
      </c>
      <c r="AM237" s="965">
        <f t="shared" si="478"/>
        <v>0</v>
      </c>
      <c r="AN237" s="965">
        <f t="shared" si="478"/>
        <v>0</v>
      </c>
      <c r="AO237" s="965">
        <f t="shared" si="478"/>
        <v>0</v>
      </c>
      <c r="AP237" s="965">
        <f t="shared" si="478"/>
        <v>0</v>
      </c>
      <c r="AQ237" s="965">
        <f t="shared" si="478"/>
        <v>0</v>
      </c>
      <c r="AR237" s="965">
        <f t="shared" si="478"/>
        <v>0</v>
      </c>
      <c r="AS237" s="965">
        <f t="shared" si="478"/>
        <v>0</v>
      </c>
      <c r="AT237" s="965">
        <f t="shared" si="478"/>
        <v>0</v>
      </c>
      <c r="AU237" s="166"/>
      <c r="AV237" s="166"/>
      <c r="AW237" s="166"/>
      <c r="AX237" s="166"/>
      <c r="AY237" s="166"/>
      <c r="AZ237" s="166"/>
      <c r="BA237" s="166"/>
      <c r="BB237" s="166"/>
      <c r="BC237" s="166"/>
      <c r="BD237" s="166"/>
      <c r="BE237" s="166"/>
      <c r="BF237" s="166"/>
      <c r="BG237" s="166"/>
      <c r="BH237" s="166"/>
      <c r="BI237" s="166"/>
      <c r="BJ237" s="166"/>
      <c r="BK237" s="166"/>
      <c r="BL237" s="166"/>
      <c r="BM237" s="166"/>
      <c r="BN237" s="166"/>
    </row>
    <row r="238" spans="2:66" x14ac:dyDescent="0.25">
      <c r="B238" s="831" t="str">
        <f t="shared" si="477"/>
        <v>Activos nuevos 2 - Valor residual</v>
      </c>
      <c r="C238" s="965">
        <f t="shared" si="478"/>
        <v>0</v>
      </c>
      <c r="D238" s="965">
        <f t="shared" si="478"/>
        <v>0</v>
      </c>
      <c r="E238" s="965">
        <f t="shared" si="478"/>
        <v>0</v>
      </c>
      <c r="F238" s="965">
        <f t="shared" si="478"/>
        <v>0</v>
      </c>
      <c r="G238" s="965">
        <f t="shared" si="478"/>
        <v>0</v>
      </c>
      <c r="H238" s="965">
        <f t="shared" si="478"/>
        <v>0</v>
      </c>
      <c r="I238" s="965">
        <f t="shared" si="478"/>
        <v>0</v>
      </c>
      <c r="J238" s="965">
        <f t="shared" si="478"/>
        <v>0</v>
      </c>
      <c r="K238" s="965">
        <f t="shared" si="478"/>
        <v>0</v>
      </c>
      <c r="L238" s="965">
        <f t="shared" si="478"/>
        <v>0</v>
      </c>
      <c r="M238" s="965">
        <f t="shared" si="478"/>
        <v>0</v>
      </c>
      <c r="N238" s="965">
        <f t="shared" si="478"/>
        <v>0</v>
      </c>
      <c r="O238" s="965">
        <f t="shared" si="478"/>
        <v>0</v>
      </c>
      <c r="P238" s="965">
        <f t="shared" si="478"/>
        <v>0</v>
      </c>
      <c r="Q238" s="965">
        <f t="shared" si="478"/>
        <v>0</v>
      </c>
      <c r="R238" s="965">
        <f t="shared" si="478"/>
        <v>0</v>
      </c>
      <c r="S238" s="965">
        <f t="shared" si="478"/>
        <v>0</v>
      </c>
      <c r="T238" s="965">
        <f t="shared" si="478"/>
        <v>0</v>
      </c>
      <c r="U238" s="965">
        <f t="shared" si="478"/>
        <v>0</v>
      </c>
      <c r="V238" s="965">
        <f t="shared" si="478"/>
        <v>0</v>
      </c>
      <c r="W238" s="965">
        <f t="shared" si="478"/>
        <v>0</v>
      </c>
      <c r="X238" s="965">
        <f t="shared" si="478"/>
        <v>16453452.043294678</v>
      </c>
      <c r="Y238" s="965">
        <f t="shared" si="478"/>
        <v>15278205.46877363</v>
      </c>
      <c r="Z238" s="965">
        <f t="shared" si="478"/>
        <v>14102958.894252582</v>
      </c>
      <c r="AA238" s="965">
        <f t="shared" si="478"/>
        <v>12927712.319731534</v>
      </c>
      <c r="AB238" s="965">
        <f t="shared" si="478"/>
        <v>11752465.745210486</v>
      </c>
      <c r="AC238" s="965">
        <f t="shared" si="478"/>
        <v>10577219.170689438</v>
      </c>
      <c r="AD238" s="965">
        <f t="shared" si="478"/>
        <v>9401972.5961683895</v>
      </c>
      <c r="AE238" s="965">
        <f t="shared" si="478"/>
        <v>8226726.0216473415</v>
      </c>
      <c r="AF238" s="965">
        <f t="shared" si="478"/>
        <v>7051479.4471262936</v>
      </c>
      <c r="AG238" s="965">
        <f t="shared" si="478"/>
        <v>5876232.8726052456</v>
      </c>
      <c r="AH238" s="965">
        <f t="shared" si="478"/>
        <v>4700986.2980841976</v>
      </c>
      <c r="AI238" s="965">
        <f t="shared" si="478"/>
        <v>3525739.7235631491</v>
      </c>
      <c r="AJ238" s="965">
        <f t="shared" si="478"/>
        <v>2350493.1490421006</v>
      </c>
      <c r="AK238" s="965">
        <f t="shared" si="478"/>
        <v>1175246.5745210522</v>
      </c>
      <c r="AL238" s="965">
        <f t="shared" si="478"/>
        <v>3.7252902984619141E-9</v>
      </c>
      <c r="AM238" s="965">
        <f t="shared" si="478"/>
        <v>0</v>
      </c>
      <c r="AN238" s="965">
        <f t="shared" si="478"/>
        <v>0</v>
      </c>
      <c r="AO238" s="965">
        <f t="shared" si="478"/>
        <v>0</v>
      </c>
      <c r="AP238" s="965">
        <f t="shared" si="478"/>
        <v>0</v>
      </c>
      <c r="AQ238" s="965">
        <f t="shared" si="478"/>
        <v>0</v>
      </c>
      <c r="AR238" s="965">
        <f t="shared" si="478"/>
        <v>0</v>
      </c>
      <c r="AS238" s="965">
        <f t="shared" si="478"/>
        <v>0</v>
      </c>
      <c r="AT238" s="965">
        <f t="shared" si="478"/>
        <v>0</v>
      </c>
      <c r="AU238" s="166"/>
      <c r="AV238" s="166"/>
      <c r="AW238" s="166"/>
      <c r="AX238" s="166"/>
      <c r="AY238" s="166"/>
      <c r="AZ238" s="166"/>
      <c r="BA238" s="166"/>
      <c r="BB238" s="166"/>
      <c r="BC238" s="166"/>
      <c r="BD238" s="166"/>
      <c r="BE238" s="166"/>
      <c r="BF238" s="166"/>
      <c r="BG238" s="166"/>
      <c r="BH238" s="166"/>
      <c r="BI238" s="166"/>
      <c r="BJ238" s="166"/>
      <c r="BK238" s="166"/>
      <c r="BL238" s="166"/>
      <c r="BM238" s="166"/>
      <c r="BN238" s="166"/>
    </row>
    <row r="239" spans="2:66" x14ac:dyDescent="0.25">
      <c r="B239" s="831" t="str">
        <f t="shared" si="477"/>
        <v>Activos nuevos 3 - Depreciacion 10 años</v>
      </c>
      <c r="C239" s="965">
        <f t="shared" si="478"/>
        <v>0</v>
      </c>
      <c r="D239" s="965">
        <f t="shared" si="478"/>
        <v>0</v>
      </c>
      <c r="E239" s="965">
        <f t="shared" si="478"/>
        <v>0</v>
      </c>
      <c r="F239" s="965">
        <f t="shared" si="478"/>
        <v>0</v>
      </c>
      <c r="G239" s="965">
        <f t="shared" si="478"/>
        <v>0</v>
      </c>
      <c r="H239" s="965">
        <f t="shared" si="478"/>
        <v>0</v>
      </c>
      <c r="I239" s="965">
        <f t="shared" si="478"/>
        <v>0</v>
      </c>
      <c r="J239" s="965">
        <f t="shared" si="478"/>
        <v>0</v>
      </c>
      <c r="K239" s="965">
        <f t="shared" si="478"/>
        <v>0</v>
      </c>
      <c r="L239" s="965">
        <f t="shared" si="478"/>
        <v>0</v>
      </c>
      <c r="M239" s="965">
        <f t="shared" si="478"/>
        <v>0</v>
      </c>
      <c r="N239" s="965">
        <f t="shared" si="478"/>
        <v>0</v>
      </c>
      <c r="O239" s="965">
        <f t="shared" si="478"/>
        <v>0</v>
      </c>
      <c r="P239" s="965">
        <f t="shared" si="478"/>
        <v>0</v>
      </c>
      <c r="Q239" s="965">
        <f t="shared" si="478"/>
        <v>0</v>
      </c>
      <c r="R239" s="965">
        <f t="shared" si="478"/>
        <v>0</v>
      </c>
      <c r="S239" s="965">
        <f t="shared" si="478"/>
        <v>0</v>
      </c>
      <c r="T239" s="965">
        <f t="shared" si="478"/>
        <v>0</v>
      </c>
      <c r="U239" s="965">
        <f t="shared" si="478"/>
        <v>0</v>
      </c>
      <c r="V239" s="965">
        <f t="shared" si="478"/>
        <v>0</v>
      </c>
      <c r="W239" s="965">
        <f t="shared" si="478"/>
        <v>0</v>
      </c>
      <c r="X239" s="965">
        <f t="shared" si="478"/>
        <v>0</v>
      </c>
      <c r="Y239" s="965">
        <f t="shared" si="478"/>
        <v>0</v>
      </c>
      <c r="Z239" s="965">
        <f t="shared" si="478"/>
        <v>0</v>
      </c>
      <c r="AA239" s="965">
        <f t="shared" si="478"/>
        <v>0</v>
      </c>
      <c r="AB239" s="965">
        <f t="shared" si="478"/>
        <v>0</v>
      </c>
      <c r="AC239" s="965">
        <f t="shared" si="478"/>
        <v>-767541.03117502527</v>
      </c>
      <c r="AD239" s="965">
        <f t="shared" si="478"/>
        <v>-767541.03117502527</v>
      </c>
      <c r="AE239" s="965">
        <f t="shared" si="478"/>
        <v>-767541.03117502527</v>
      </c>
      <c r="AF239" s="965">
        <f t="shared" si="478"/>
        <v>-767541.03117502527</v>
      </c>
      <c r="AG239" s="965">
        <f t="shared" si="478"/>
        <v>-767541.03117502527</v>
      </c>
      <c r="AH239" s="965">
        <f t="shared" si="478"/>
        <v>-767541.03117502527</v>
      </c>
      <c r="AI239" s="965">
        <f t="shared" si="478"/>
        <v>-767541.03117502527</v>
      </c>
      <c r="AJ239" s="965">
        <f t="shared" si="478"/>
        <v>-767541.03117502527</v>
      </c>
      <c r="AK239" s="965">
        <f t="shared" si="478"/>
        <v>-767541.03117502527</v>
      </c>
      <c r="AL239" s="965">
        <f t="shared" si="478"/>
        <v>-767541.03117502527</v>
      </c>
      <c r="AM239" s="965">
        <f t="shared" si="478"/>
        <v>-767541.03117502527</v>
      </c>
      <c r="AN239" s="965">
        <f t="shared" si="478"/>
        <v>0</v>
      </c>
      <c r="AO239" s="965">
        <f t="shared" si="478"/>
        <v>0</v>
      </c>
      <c r="AP239" s="965">
        <f t="shared" si="478"/>
        <v>0</v>
      </c>
      <c r="AQ239" s="965">
        <f t="shared" si="478"/>
        <v>0</v>
      </c>
      <c r="AR239" s="965">
        <f t="shared" si="478"/>
        <v>0</v>
      </c>
      <c r="AS239" s="965">
        <f t="shared" si="478"/>
        <v>0</v>
      </c>
      <c r="AT239" s="965">
        <f t="shared" si="478"/>
        <v>0</v>
      </c>
      <c r="AU239" s="166"/>
      <c r="AV239" s="166"/>
      <c r="AW239" s="166"/>
      <c r="AX239" s="166"/>
      <c r="AY239" s="166"/>
      <c r="AZ239" s="166"/>
      <c r="BA239" s="166"/>
      <c r="BB239" s="166"/>
      <c r="BC239" s="166"/>
      <c r="BD239" s="166"/>
      <c r="BE239" s="166"/>
      <c r="BF239" s="166"/>
      <c r="BG239" s="166"/>
      <c r="BH239" s="166"/>
      <c r="BI239" s="166"/>
      <c r="BJ239" s="166"/>
      <c r="BK239" s="166"/>
      <c r="BL239" s="166"/>
      <c r="BM239" s="166"/>
      <c r="BN239" s="166"/>
    </row>
    <row r="240" spans="2:66" x14ac:dyDescent="0.25">
      <c r="B240" s="831" t="str">
        <f t="shared" si="477"/>
        <v>Activos nuevos 3 - Valor residual</v>
      </c>
      <c r="C240" s="965">
        <f t="shared" si="478"/>
        <v>0</v>
      </c>
      <c r="D240" s="965">
        <f t="shared" si="478"/>
        <v>0</v>
      </c>
      <c r="E240" s="965">
        <f t="shared" si="478"/>
        <v>0</v>
      </c>
      <c r="F240" s="965">
        <f t="shared" si="478"/>
        <v>0</v>
      </c>
      <c r="G240" s="965">
        <f t="shared" si="478"/>
        <v>0</v>
      </c>
      <c r="H240" s="965">
        <f t="shared" si="478"/>
        <v>0</v>
      </c>
      <c r="I240" s="965">
        <f t="shared" si="478"/>
        <v>0</v>
      </c>
      <c r="J240" s="965">
        <f t="shared" si="478"/>
        <v>0</v>
      </c>
      <c r="K240" s="965">
        <f t="shared" si="478"/>
        <v>0</v>
      </c>
      <c r="L240" s="965">
        <f t="shared" si="478"/>
        <v>0</v>
      </c>
      <c r="M240" s="965">
        <f t="shared" si="478"/>
        <v>0</v>
      </c>
      <c r="N240" s="965">
        <f t="shared" si="478"/>
        <v>0</v>
      </c>
      <c r="O240" s="965">
        <f t="shared" si="478"/>
        <v>0</v>
      </c>
      <c r="P240" s="965">
        <f t="shared" si="478"/>
        <v>0</v>
      </c>
      <c r="Q240" s="965">
        <f t="shared" si="478"/>
        <v>0</v>
      </c>
      <c r="R240" s="965">
        <f t="shared" si="478"/>
        <v>0</v>
      </c>
      <c r="S240" s="965">
        <f t="shared" si="478"/>
        <v>0</v>
      </c>
      <c r="T240" s="965">
        <f t="shared" si="478"/>
        <v>0</v>
      </c>
      <c r="U240" s="965">
        <f t="shared" si="478"/>
        <v>0</v>
      </c>
      <c r="V240" s="965">
        <f t="shared" si="478"/>
        <v>0</v>
      </c>
      <c r="W240" s="965">
        <f t="shared" si="478"/>
        <v>0</v>
      </c>
      <c r="X240" s="965">
        <f t="shared" si="478"/>
        <v>0</v>
      </c>
      <c r="Y240" s="965">
        <f t="shared" si="478"/>
        <v>0</v>
      </c>
      <c r="Z240" s="965">
        <f t="shared" si="478"/>
        <v>0</v>
      </c>
      <c r="AA240" s="965">
        <f t="shared" si="478"/>
        <v>0</v>
      </c>
      <c r="AB240" s="965">
        <f t="shared" si="478"/>
        <v>0</v>
      </c>
      <c r="AC240" s="965">
        <f t="shared" si="478"/>
        <v>7675410.3117502527</v>
      </c>
      <c r="AD240" s="965">
        <f t="shared" si="478"/>
        <v>6907869.280575227</v>
      </c>
      <c r="AE240" s="965">
        <f t="shared" si="478"/>
        <v>6140328.2494002022</v>
      </c>
      <c r="AF240" s="965">
        <f t="shared" si="478"/>
        <v>5372787.2182251774</v>
      </c>
      <c r="AG240" s="965">
        <f t="shared" si="478"/>
        <v>4605246.1870501526</v>
      </c>
      <c r="AH240" s="965">
        <f t="shared" si="478"/>
        <v>3837705.1558751273</v>
      </c>
      <c r="AI240" s="965">
        <f t="shared" si="478"/>
        <v>3070164.124700102</v>
      </c>
      <c r="AJ240" s="965">
        <f t="shared" si="478"/>
        <v>2302623.0935250768</v>
      </c>
      <c r="AK240" s="965">
        <f t="shared" si="478"/>
        <v>1535082.0623500515</v>
      </c>
      <c r="AL240" s="965">
        <f t="shared" si="478"/>
        <v>767541.0311750262</v>
      </c>
      <c r="AM240" s="965">
        <f t="shared" si="478"/>
        <v>9.3132257461547852E-10</v>
      </c>
      <c r="AN240" s="965">
        <f t="shared" si="478"/>
        <v>0</v>
      </c>
      <c r="AO240" s="965">
        <f t="shared" si="478"/>
        <v>0</v>
      </c>
      <c r="AP240" s="965">
        <f t="shared" si="478"/>
        <v>0</v>
      </c>
      <c r="AQ240" s="965">
        <f t="shared" si="478"/>
        <v>0</v>
      </c>
      <c r="AR240" s="965">
        <f t="shared" ref="C240:AT242" si="479">AR88</f>
        <v>0</v>
      </c>
      <c r="AS240" s="965">
        <f t="shared" si="479"/>
        <v>0</v>
      </c>
      <c r="AT240" s="965">
        <f t="shared" si="479"/>
        <v>0</v>
      </c>
      <c r="AU240" s="166"/>
      <c r="AV240" s="166"/>
      <c r="AW240" s="166"/>
      <c r="AX240" s="166"/>
      <c r="AY240" s="166"/>
      <c r="AZ240" s="166"/>
      <c r="BA240" s="166"/>
      <c r="BB240" s="166"/>
      <c r="BC240" s="166"/>
      <c r="BD240" s="166"/>
      <c r="BE240" s="166"/>
      <c r="BF240" s="166"/>
      <c r="BG240" s="166"/>
      <c r="BH240" s="166"/>
      <c r="BI240" s="166"/>
      <c r="BJ240" s="166"/>
      <c r="BK240" s="166"/>
      <c r="BL240" s="166"/>
      <c r="BM240" s="166"/>
      <c r="BN240" s="166"/>
    </row>
    <row r="241" spans="2:66" x14ac:dyDescent="0.25">
      <c r="B241" s="831" t="str">
        <f t="shared" si="477"/>
        <v>Activos nuevos 4 - Depreciacion 15 años</v>
      </c>
      <c r="C241" s="965">
        <f t="shared" si="479"/>
        <v>0</v>
      </c>
      <c r="D241" s="965">
        <f t="shared" si="479"/>
        <v>0</v>
      </c>
      <c r="E241" s="965">
        <f t="shared" si="479"/>
        <v>0</v>
      </c>
      <c r="F241" s="965">
        <f t="shared" si="479"/>
        <v>0</v>
      </c>
      <c r="G241" s="965">
        <f t="shared" si="479"/>
        <v>0</v>
      </c>
      <c r="H241" s="965">
        <f t="shared" si="479"/>
        <v>0</v>
      </c>
      <c r="I241" s="965">
        <f t="shared" si="479"/>
        <v>0</v>
      </c>
      <c r="J241" s="965">
        <f t="shared" si="479"/>
        <v>0</v>
      </c>
      <c r="K241" s="965">
        <f t="shared" si="479"/>
        <v>0</v>
      </c>
      <c r="L241" s="965">
        <f t="shared" si="479"/>
        <v>0</v>
      </c>
      <c r="M241" s="965">
        <f t="shared" si="479"/>
        <v>0</v>
      </c>
      <c r="N241" s="965">
        <f t="shared" si="479"/>
        <v>0</v>
      </c>
      <c r="O241" s="965">
        <f t="shared" si="479"/>
        <v>0</v>
      </c>
      <c r="P241" s="965">
        <f t="shared" si="479"/>
        <v>0</v>
      </c>
      <c r="Q241" s="965">
        <f t="shared" si="479"/>
        <v>0</v>
      </c>
      <c r="R241" s="965">
        <f t="shared" si="479"/>
        <v>0</v>
      </c>
      <c r="S241" s="965">
        <f t="shared" si="479"/>
        <v>0</v>
      </c>
      <c r="T241" s="965">
        <f t="shared" si="479"/>
        <v>0</v>
      </c>
      <c r="U241" s="965">
        <f t="shared" si="479"/>
        <v>0</v>
      </c>
      <c r="V241" s="965">
        <f t="shared" si="479"/>
        <v>0</v>
      </c>
      <c r="W241" s="965">
        <f t="shared" si="479"/>
        <v>0</v>
      </c>
      <c r="X241" s="965">
        <f t="shared" si="479"/>
        <v>0</v>
      </c>
      <c r="Y241" s="965">
        <f t="shared" si="479"/>
        <v>0</v>
      </c>
      <c r="Z241" s="965">
        <f t="shared" si="479"/>
        <v>0</v>
      </c>
      <c r="AA241" s="965">
        <f t="shared" si="479"/>
        <v>0</v>
      </c>
      <c r="AB241" s="965">
        <f t="shared" si="479"/>
        <v>0</v>
      </c>
      <c r="AC241" s="965">
        <f t="shared" si="479"/>
        <v>0</v>
      </c>
      <c r="AD241" s="965">
        <f t="shared" si="479"/>
        <v>0</v>
      </c>
      <c r="AE241" s="965">
        <f t="shared" si="479"/>
        <v>0</v>
      </c>
      <c r="AF241" s="965">
        <f t="shared" si="479"/>
        <v>0</v>
      </c>
      <c r="AG241" s="965">
        <f t="shared" si="479"/>
        <v>0</v>
      </c>
      <c r="AH241" s="965">
        <f t="shared" si="479"/>
        <v>0</v>
      </c>
      <c r="AI241" s="965">
        <f t="shared" si="479"/>
        <v>0</v>
      </c>
      <c r="AJ241" s="965">
        <f t="shared" si="479"/>
        <v>0</v>
      </c>
      <c r="AK241" s="965">
        <f t="shared" si="479"/>
        <v>0</v>
      </c>
      <c r="AL241" s="965">
        <f t="shared" si="479"/>
        <v>0</v>
      </c>
      <c r="AM241" s="965">
        <f t="shared" si="479"/>
        <v>0</v>
      </c>
      <c r="AN241" s="965">
        <f t="shared" si="479"/>
        <v>0</v>
      </c>
      <c r="AO241" s="965">
        <f t="shared" si="479"/>
        <v>-2405856.6464542625</v>
      </c>
      <c r="AP241" s="965">
        <f t="shared" si="479"/>
        <v>-2405856.6464542625</v>
      </c>
      <c r="AQ241" s="965">
        <f t="shared" si="479"/>
        <v>-2405856.6464542625</v>
      </c>
      <c r="AR241" s="965">
        <f t="shared" si="479"/>
        <v>-2405856.6464542625</v>
      </c>
      <c r="AS241" s="965">
        <f t="shared" si="479"/>
        <v>-2405856.6464542625</v>
      </c>
      <c r="AT241" s="965">
        <f t="shared" si="479"/>
        <v>-2405856.6464542625</v>
      </c>
      <c r="AU241" s="166"/>
      <c r="AV241" s="166"/>
      <c r="AW241" s="166"/>
      <c r="AX241" s="166"/>
      <c r="AY241" s="166"/>
      <c r="AZ241" s="166"/>
      <c r="BA241" s="166"/>
      <c r="BB241" s="166"/>
      <c r="BC241" s="166"/>
      <c r="BD241" s="166"/>
      <c r="BE241" s="166"/>
      <c r="BF241" s="166"/>
      <c r="BG241" s="166"/>
      <c r="BH241" s="166"/>
      <c r="BI241" s="166"/>
      <c r="BJ241" s="166"/>
      <c r="BK241" s="166"/>
      <c r="BL241" s="166"/>
      <c r="BM241" s="166"/>
      <c r="BN241" s="166"/>
    </row>
    <row r="242" spans="2:66" x14ac:dyDescent="0.25">
      <c r="B242" s="846" t="str">
        <f t="shared" si="477"/>
        <v>Activos nuevos 4 - Valor residual</v>
      </c>
      <c r="C242" s="968">
        <f t="shared" si="479"/>
        <v>0</v>
      </c>
      <c r="D242" s="968">
        <f t="shared" si="479"/>
        <v>0</v>
      </c>
      <c r="E242" s="968">
        <f t="shared" si="479"/>
        <v>0</v>
      </c>
      <c r="F242" s="968">
        <f t="shared" si="479"/>
        <v>0</v>
      </c>
      <c r="G242" s="968">
        <f t="shared" si="479"/>
        <v>0</v>
      </c>
      <c r="H242" s="968">
        <f t="shared" si="479"/>
        <v>0</v>
      </c>
      <c r="I242" s="968">
        <f t="shared" si="479"/>
        <v>0</v>
      </c>
      <c r="J242" s="968">
        <f t="shared" si="479"/>
        <v>0</v>
      </c>
      <c r="K242" s="968">
        <f t="shared" si="479"/>
        <v>0</v>
      </c>
      <c r="L242" s="968">
        <f t="shared" si="479"/>
        <v>0</v>
      </c>
      <c r="M242" s="968">
        <f t="shared" si="479"/>
        <v>0</v>
      </c>
      <c r="N242" s="968">
        <f t="shared" si="479"/>
        <v>0</v>
      </c>
      <c r="O242" s="968">
        <f t="shared" si="479"/>
        <v>0</v>
      </c>
      <c r="P242" s="968">
        <f t="shared" si="479"/>
        <v>0</v>
      </c>
      <c r="Q242" s="968">
        <f t="shared" si="479"/>
        <v>0</v>
      </c>
      <c r="R242" s="968">
        <f t="shared" si="479"/>
        <v>0</v>
      </c>
      <c r="S242" s="968">
        <f t="shared" si="479"/>
        <v>0</v>
      </c>
      <c r="T242" s="968">
        <f t="shared" si="479"/>
        <v>0</v>
      </c>
      <c r="U242" s="968">
        <f t="shared" si="479"/>
        <v>0</v>
      </c>
      <c r="V242" s="968">
        <f t="shared" si="479"/>
        <v>0</v>
      </c>
      <c r="W242" s="968">
        <f t="shared" si="479"/>
        <v>0</v>
      </c>
      <c r="X242" s="968">
        <f t="shared" si="479"/>
        <v>0</v>
      </c>
      <c r="Y242" s="968">
        <f t="shared" si="479"/>
        <v>0</v>
      </c>
      <c r="Z242" s="968">
        <f t="shared" si="479"/>
        <v>0</v>
      </c>
      <c r="AA242" s="968">
        <f t="shared" si="479"/>
        <v>0</v>
      </c>
      <c r="AB242" s="968">
        <f t="shared" si="479"/>
        <v>0</v>
      </c>
      <c r="AC242" s="968">
        <f t="shared" si="479"/>
        <v>0</v>
      </c>
      <c r="AD242" s="968">
        <f t="shared" si="479"/>
        <v>0</v>
      </c>
      <c r="AE242" s="968">
        <f t="shared" si="479"/>
        <v>0</v>
      </c>
      <c r="AF242" s="968">
        <f t="shared" si="479"/>
        <v>0</v>
      </c>
      <c r="AG242" s="968">
        <f t="shared" si="479"/>
        <v>0</v>
      </c>
      <c r="AH242" s="968">
        <f t="shared" si="479"/>
        <v>0</v>
      </c>
      <c r="AI242" s="968">
        <f t="shared" si="479"/>
        <v>0</v>
      </c>
      <c r="AJ242" s="968">
        <f t="shared" si="479"/>
        <v>0</v>
      </c>
      <c r="AK242" s="968">
        <f t="shared" si="479"/>
        <v>0</v>
      </c>
      <c r="AL242" s="968">
        <f t="shared" si="479"/>
        <v>0</v>
      </c>
      <c r="AM242" s="968">
        <f t="shared" si="479"/>
        <v>0</v>
      </c>
      <c r="AN242" s="968">
        <f t="shared" si="479"/>
        <v>0</v>
      </c>
      <c r="AO242" s="968">
        <f t="shared" si="479"/>
        <v>36087849.696813934</v>
      </c>
      <c r="AP242" s="968">
        <f t="shared" si="479"/>
        <v>33681993.050359674</v>
      </c>
      <c r="AQ242" s="968">
        <f t="shared" si="479"/>
        <v>31276136.40390541</v>
      </c>
      <c r="AR242" s="968">
        <f t="shared" si="479"/>
        <v>28870279.757451147</v>
      </c>
      <c r="AS242" s="968">
        <f t="shared" si="479"/>
        <v>26464423.110996883</v>
      </c>
      <c r="AT242" s="968">
        <f t="shared" si="479"/>
        <v>24058566.46454262</v>
      </c>
      <c r="AU242" s="166"/>
      <c r="AV242" s="166"/>
      <c r="AW242" s="166"/>
      <c r="AX242" s="166"/>
      <c r="AY242" s="166"/>
      <c r="AZ242" s="166"/>
      <c r="BA242" s="166"/>
      <c r="BB242" s="166"/>
      <c r="BC242" s="166"/>
      <c r="BD242" s="166"/>
      <c r="BE242" s="166"/>
      <c r="BF242" s="166"/>
      <c r="BG242" s="166"/>
      <c r="BH242" s="166"/>
      <c r="BI242" s="166"/>
      <c r="BJ242" s="166"/>
      <c r="BK242" s="166"/>
      <c r="BL242" s="166"/>
      <c r="BM242" s="166"/>
      <c r="BN242" s="166"/>
    </row>
    <row r="243" spans="2:66" x14ac:dyDescent="0.25">
      <c r="B243" s="845" t="s">
        <v>441</v>
      </c>
      <c r="C243" s="824">
        <v>0</v>
      </c>
      <c r="D243" s="824">
        <v>0</v>
      </c>
      <c r="E243" s="824">
        <v>0</v>
      </c>
      <c r="F243" s="824">
        <v>0</v>
      </c>
      <c r="G243" s="824">
        <f>SUM(G229:G233)+G235+G237+G239+G241</f>
        <v>-3662844.258584829</v>
      </c>
      <c r="H243" s="824">
        <f t="shared" ref="H243:AT243" si="480">SUM(H229:H233)+H235+H237+H239+H241</f>
        <v>-3662844.258584829</v>
      </c>
      <c r="I243" s="824">
        <f t="shared" si="480"/>
        <v>-3662844.258584829</v>
      </c>
      <c r="J243" s="824">
        <f t="shared" si="480"/>
        <v>-3662844.258584829</v>
      </c>
      <c r="K243" s="824">
        <f t="shared" si="480"/>
        <v>-3662844.258584829</v>
      </c>
      <c r="L243" s="824">
        <f t="shared" si="480"/>
        <v>-3458479.3385100355</v>
      </c>
      <c r="M243" s="824">
        <f t="shared" si="480"/>
        <v>-3458479.3385100355</v>
      </c>
      <c r="N243" s="824">
        <f t="shared" si="480"/>
        <v>-3458479.3385100355</v>
      </c>
      <c r="O243" s="824">
        <f t="shared" si="480"/>
        <v>-3458479.3385100355</v>
      </c>
      <c r="P243" s="824">
        <f t="shared" si="480"/>
        <v>-3458479.3385100355</v>
      </c>
      <c r="Q243" s="824">
        <f t="shared" si="480"/>
        <v>-2975390.0050588157</v>
      </c>
      <c r="R243" s="824">
        <f t="shared" si="480"/>
        <v>-3593938.4099967871</v>
      </c>
      <c r="S243" s="824">
        <f t="shared" si="480"/>
        <v>-3593938.4099967871</v>
      </c>
      <c r="T243" s="824">
        <f t="shared" si="480"/>
        <v>-3593938.4099967871</v>
      </c>
      <c r="U243" s="824">
        <f t="shared" si="480"/>
        <v>-3593938.4099967871</v>
      </c>
      <c r="V243" s="824">
        <f t="shared" si="480"/>
        <v>-2747877.6604548013</v>
      </c>
      <c r="W243" s="824">
        <f t="shared" si="480"/>
        <v>-2747877.6604548013</v>
      </c>
      <c r="X243" s="824">
        <f t="shared" si="480"/>
        <v>-3923124.2349758497</v>
      </c>
      <c r="Y243" s="824">
        <f t="shared" si="480"/>
        <v>-3923124.2349758497</v>
      </c>
      <c r="Z243" s="824">
        <f t="shared" si="480"/>
        <v>-3923124.2349758497</v>
      </c>
      <c r="AA243" s="824">
        <f t="shared" si="480"/>
        <v>-3923124.2349758497</v>
      </c>
      <c r="AB243" s="824">
        <f t="shared" si="480"/>
        <v>-3923124.2349758497</v>
      </c>
      <c r="AC243" s="824">
        <f t="shared" si="480"/>
        <v>-4072116.8612129036</v>
      </c>
      <c r="AD243" s="824">
        <f t="shared" si="480"/>
        <v>-4072116.8612129036</v>
      </c>
      <c r="AE243" s="824">
        <f t="shared" si="480"/>
        <v>-4072116.8612129036</v>
      </c>
      <c r="AF243" s="824">
        <f t="shared" si="480"/>
        <v>-4072116.8612129036</v>
      </c>
      <c r="AG243" s="824">
        <f t="shared" si="480"/>
        <v>-4072116.8612129036</v>
      </c>
      <c r="AH243" s="824">
        <f t="shared" si="480"/>
        <v>-4072116.8612129036</v>
      </c>
      <c r="AI243" s="824">
        <f t="shared" si="480"/>
        <v>-4072116.8612129036</v>
      </c>
      <c r="AJ243" s="824">
        <f t="shared" si="480"/>
        <v>-4072116.8612129036</v>
      </c>
      <c r="AK243" s="824">
        <f t="shared" si="480"/>
        <v>-4072116.8612129036</v>
      </c>
      <c r="AL243" s="824">
        <f t="shared" si="480"/>
        <v>-4072116.8612129036</v>
      </c>
      <c r="AM243" s="824">
        <f t="shared" si="480"/>
        <v>-2896870.2866918552</v>
      </c>
      <c r="AN243" s="824">
        <f t="shared" si="480"/>
        <v>-2129329.2555168299</v>
      </c>
      <c r="AO243" s="824">
        <f t="shared" si="480"/>
        <v>-4535185.9019710924</v>
      </c>
      <c r="AP243" s="824">
        <f t="shared" si="480"/>
        <v>-4535185.9019710924</v>
      </c>
      <c r="AQ243" s="824">
        <f t="shared" si="480"/>
        <v>-4535185.9019710924</v>
      </c>
      <c r="AR243" s="824">
        <f t="shared" si="480"/>
        <v>-4535185.9019710924</v>
      </c>
      <c r="AS243" s="824">
        <f t="shared" si="480"/>
        <v>-4535185.9019710924</v>
      </c>
      <c r="AT243" s="824">
        <f t="shared" si="480"/>
        <v>-4535185.9019710924</v>
      </c>
      <c r="AU243" s="166"/>
      <c r="AV243" s="166"/>
      <c r="AW243" s="166"/>
      <c r="AX243" s="166"/>
      <c r="AY243" s="166"/>
      <c r="AZ243" s="166"/>
      <c r="BA243" s="166"/>
      <c r="BB243" s="166"/>
      <c r="BC243" s="166"/>
      <c r="BD243" s="166"/>
      <c r="BE243" s="166"/>
      <c r="BF243" s="166"/>
      <c r="BG243" s="166"/>
      <c r="BH243" s="166"/>
      <c r="BI243" s="166"/>
      <c r="BJ243" s="166"/>
      <c r="BK243" s="166"/>
      <c r="BL243" s="166"/>
      <c r="BM243" s="166"/>
      <c r="BN243" s="166"/>
    </row>
    <row r="244" spans="2:66" x14ac:dyDescent="0.25">
      <c r="B244" s="833" t="s">
        <v>435</v>
      </c>
      <c r="C244" s="824">
        <f>C234+C238+C242</f>
        <v>0</v>
      </c>
      <c r="D244" s="824">
        <f t="shared" ref="D244:F244" si="481">D234+D238+D242</f>
        <v>0</v>
      </c>
      <c r="E244" s="824">
        <f t="shared" si="481"/>
        <v>0</v>
      </c>
      <c r="F244" s="824">
        <f t="shared" si="481"/>
        <v>0</v>
      </c>
      <c r="G244" s="824">
        <f>G234+G236+G238+G240+G242</f>
        <v>123619947.34560698</v>
      </c>
      <c r="H244" s="824">
        <f t="shared" ref="H244:AT244" si="482">H234+H236+H238+H240+H242</f>
        <v>119957103.08702216</v>
      </c>
      <c r="I244" s="824">
        <f t="shared" si="482"/>
        <v>116294258.82843733</v>
      </c>
      <c r="J244" s="824">
        <f t="shared" si="482"/>
        <v>112631414.5698525</v>
      </c>
      <c r="K244" s="824">
        <f t="shared" si="482"/>
        <v>108968570.31126767</v>
      </c>
      <c r="L244" s="824">
        <f t="shared" si="482"/>
        <v>105510090.97275764</v>
      </c>
      <c r="M244" s="824">
        <f t="shared" si="482"/>
        <v>102051611.6342476</v>
      </c>
      <c r="N244" s="824">
        <f t="shared" si="482"/>
        <v>98593132.295737565</v>
      </c>
      <c r="O244" s="824">
        <f t="shared" si="482"/>
        <v>95134652.957227528</v>
      </c>
      <c r="P244" s="824">
        <f t="shared" si="482"/>
        <v>91676173.618717492</v>
      </c>
      <c r="Q244" s="824">
        <f t="shared" si="482"/>
        <v>88700783.613658682</v>
      </c>
      <c r="R244" s="824">
        <f t="shared" si="482"/>
        <v>91910877.657979578</v>
      </c>
      <c r="S244" s="824">
        <f t="shared" si="482"/>
        <v>88316939.2479828</v>
      </c>
      <c r="T244" s="824">
        <f t="shared" si="482"/>
        <v>84723000.837986022</v>
      </c>
      <c r="U244" s="824">
        <f t="shared" si="482"/>
        <v>81129062.427989244</v>
      </c>
      <c r="V244" s="824">
        <f t="shared" si="482"/>
        <v>78381184.767534435</v>
      </c>
      <c r="W244" s="824">
        <f t="shared" si="482"/>
        <v>75633307.10707964</v>
      </c>
      <c r="X244" s="824">
        <f t="shared" si="482"/>
        <v>89338881.489919528</v>
      </c>
      <c r="Y244" s="824">
        <f t="shared" si="482"/>
        <v>85415757.254943684</v>
      </c>
      <c r="Z244" s="824">
        <f t="shared" si="482"/>
        <v>81492633.019967824</v>
      </c>
      <c r="AA244" s="824">
        <f t="shared" si="482"/>
        <v>77569508.78499198</v>
      </c>
      <c r="AB244" s="824">
        <f t="shared" si="482"/>
        <v>73646384.550016135</v>
      </c>
      <c r="AC244" s="824">
        <f t="shared" si="482"/>
        <v>78017219.031728506</v>
      </c>
      <c r="AD244" s="824">
        <f t="shared" si="482"/>
        <v>73945102.170515612</v>
      </c>
      <c r="AE244" s="824">
        <f t="shared" si="482"/>
        <v>69872985.309302717</v>
      </c>
      <c r="AF244" s="824">
        <f t="shared" si="482"/>
        <v>65800868.448089808</v>
      </c>
      <c r="AG244" s="824">
        <f t="shared" si="482"/>
        <v>61728751.586876914</v>
      </c>
      <c r="AH244" s="824">
        <f t="shared" si="482"/>
        <v>57656634.725664012</v>
      </c>
      <c r="AI244" s="824">
        <f t="shared" si="482"/>
        <v>53584517.86445111</v>
      </c>
      <c r="AJ244" s="824">
        <f t="shared" si="482"/>
        <v>49512401.003238209</v>
      </c>
      <c r="AK244" s="824">
        <f t="shared" si="482"/>
        <v>45440284.142025307</v>
      </c>
      <c r="AL244" s="824">
        <f t="shared" si="482"/>
        <v>41368167.280812405</v>
      </c>
      <c r="AM244" s="824">
        <f t="shared" si="482"/>
        <v>38471296.994120553</v>
      </c>
      <c r="AN244" s="824">
        <f t="shared" si="482"/>
        <v>36341967.738603726</v>
      </c>
      <c r="AO244" s="824">
        <f t="shared" si="482"/>
        <v>70300488.179900825</v>
      </c>
      <c r="AP244" s="824">
        <f t="shared" si="482"/>
        <v>65765302.277929738</v>
      </c>
      <c r="AQ244" s="824">
        <f t="shared" si="482"/>
        <v>61230116.375958651</v>
      </c>
      <c r="AR244" s="824">
        <f t="shared" si="482"/>
        <v>56694930.47398755</v>
      </c>
      <c r="AS244" s="824">
        <f t="shared" si="482"/>
        <v>52159744.572016463</v>
      </c>
      <c r="AT244" s="824">
        <f t="shared" si="482"/>
        <v>47624558.670045361</v>
      </c>
      <c r="AU244" s="166"/>
      <c r="AV244" s="166"/>
      <c r="AW244" s="166"/>
      <c r="AX244" s="166"/>
      <c r="AY244" s="166"/>
      <c r="AZ244" s="166"/>
      <c r="BA244" s="166"/>
      <c r="BB244" s="166"/>
      <c r="BC244" s="166"/>
      <c r="BD244" s="166"/>
      <c r="BE244" s="166"/>
      <c r="BF244" s="166"/>
      <c r="BG244" s="166"/>
      <c r="BH244" s="166"/>
      <c r="BI244" s="166"/>
      <c r="BJ244" s="166"/>
      <c r="BK244" s="166"/>
      <c r="BL244" s="166"/>
      <c r="BM244" s="166"/>
      <c r="BN244" s="166"/>
    </row>
    <row r="245" spans="2:66" x14ac:dyDescent="0.25">
      <c r="B245" s="481"/>
      <c r="C245" s="382"/>
      <c r="D245" s="382"/>
      <c r="E245" s="382"/>
      <c r="F245" s="382"/>
      <c r="G245" s="382"/>
      <c r="H245" s="382"/>
      <c r="I245" s="382"/>
      <c r="J245" s="382"/>
      <c r="K245" s="382"/>
      <c r="L245" s="382"/>
      <c r="M245" s="382"/>
      <c r="N245" s="382"/>
      <c r="O245" s="382"/>
      <c r="P245" s="382"/>
      <c r="Q245" s="382"/>
      <c r="R245" s="382"/>
      <c r="S245" s="382"/>
      <c r="T245" s="382"/>
      <c r="U245" s="382"/>
      <c r="V245" s="382"/>
      <c r="W245" s="382"/>
      <c r="X245" s="382"/>
      <c r="Y245" s="382"/>
      <c r="Z245" s="382"/>
      <c r="AA245" s="382"/>
      <c r="AB245" s="382"/>
      <c r="AC245" s="382"/>
      <c r="AD245" s="382"/>
      <c r="AE245" s="382"/>
      <c r="AF245" s="382"/>
      <c r="AG245" s="382"/>
      <c r="AH245" s="382"/>
      <c r="AI245" s="382"/>
      <c r="AJ245" s="382"/>
      <c r="AK245" s="382"/>
      <c r="AL245" s="382"/>
      <c r="AM245" s="382"/>
      <c r="AN245" s="382"/>
      <c r="AO245" s="382"/>
      <c r="AP245" s="382"/>
      <c r="AQ245" s="382"/>
      <c r="AR245" s="382"/>
      <c r="AS245" s="382"/>
      <c r="AT245" s="382"/>
      <c r="AU245" s="166"/>
      <c r="AV245" s="166"/>
      <c r="AW245" s="166"/>
      <c r="AX245" s="166"/>
      <c r="AY245" s="166"/>
      <c r="AZ245" s="166"/>
      <c r="BA245" s="166"/>
      <c r="BB245" s="166"/>
      <c r="BC245" s="166"/>
      <c r="BD245" s="166"/>
      <c r="BE245" s="166"/>
      <c r="BF245" s="166"/>
      <c r="BG245" s="166"/>
      <c r="BH245" s="166"/>
      <c r="BI245" s="166"/>
      <c r="BJ245" s="166"/>
      <c r="BK245" s="166"/>
      <c r="BL245" s="166"/>
      <c r="BM245" s="166"/>
      <c r="BN245" s="166"/>
    </row>
    <row r="246" spans="2:66" ht="13.8" thickBot="1" x14ac:dyDescent="0.3">
      <c r="B246" s="834"/>
      <c r="C246" s="178"/>
      <c r="D246" s="178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78"/>
      <c r="V246" s="178"/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66"/>
      <c r="AV246" s="166"/>
      <c r="AW246" s="166"/>
      <c r="AX246" s="166"/>
      <c r="AY246" s="166"/>
      <c r="AZ246" s="166"/>
      <c r="BA246" s="166"/>
      <c r="BB246" s="166"/>
      <c r="BC246" s="166"/>
      <c r="BD246" s="166"/>
      <c r="BE246" s="166"/>
      <c r="BF246" s="166"/>
      <c r="BG246" s="166"/>
      <c r="BH246" s="166"/>
      <c r="BI246" s="166"/>
      <c r="BJ246" s="166"/>
      <c r="BK246" s="166"/>
      <c r="BL246" s="166"/>
      <c r="BM246" s="166"/>
      <c r="BN246" s="166"/>
    </row>
    <row r="247" spans="2:66" ht="14.4" x14ac:dyDescent="0.25">
      <c r="B247" s="835" t="s">
        <v>390</v>
      </c>
      <c r="C247" s="818"/>
      <c r="D247" s="818"/>
      <c r="E247" s="818"/>
      <c r="F247" s="818"/>
      <c r="G247" s="818"/>
      <c r="H247" s="818"/>
      <c r="I247" s="818"/>
      <c r="J247" s="818"/>
      <c r="K247" s="818"/>
      <c r="L247" s="818"/>
      <c r="M247" s="818"/>
      <c r="N247" s="818"/>
      <c r="O247" s="818"/>
      <c r="P247" s="818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  <c r="AA247" s="818"/>
      <c r="AB247" s="818"/>
      <c r="AC247" s="818"/>
      <c r="AD247" s="818"/>
      <c r="AE247" s="818"/>
      <c r="AF247" s="818"/>
      <c r="AG247" s="818"/>
      <c r="AH247" s="818"/>
      <c r="AI247" s="818"/>
      <c r="AJ247" s="818"/>
      <c r="AK247" s="818"/>
      <c r="AL247" s="818"/>
      <c r="AM247" s="818"/>
      <c r="AN247" s="818"/>
      <c r="AO247" s="818"/>
      <c r="AP247" s="818"/>
      <c r="AQ247" s="818"/>
      <c r="AR247" s="818"/>
      <c r="AS247" s="818"/>
      <c r="AT247" s="819"/>
      <c r="AU247" s="166"/>
      <c r="AV247" s="166"/>
      <c r="AW247" s="166"/>
      <c r="AX247" s="166"/>
      <c r="AY247" s="166"/>
      <c r="AZ247" s="166"/>
      <c r="BA247" s="166"/>
      <c r="BB247" s="166"/>
      <c r="BC247" s="166"/>
      <c r="BD247" s="166"/>
      <c r="BE247" s="166"/>
      <c r="BF247" s="166"/>
      <c r="BG247" s="166"/>
      <c r="BH247" s="166"/>
      <c r="BI247" s="166"/>
      <c r="BJ247" s="166"/>
      <c r="BK247" s="166"/>
      <c r="BL247" s="166"/>
      <c r="BM247" s="166"/>
      <c r="BN247" s="166"/>
    </row>
    <row r="248" spans="2:66" x14ac:dyDescent="0.25">
      <c r="B248" s="836" t="s">
        <v>391</v>
      </c>
      <c r="C248" s="268">
        <v>0</v>
      </c>
      <c r="D248" s="268">
        <v>0</v>
      </c>
      <c r="E248" s="268">
        <v>0</v>
      </c>
      <c r="F248" s="268">
        <v>0</v>
      </c>
      <c r="G248" s="268">
        <f>-G224</f>
        <v>-3454589.5691445097</v>
      </c>
      <c r="H248" s="268">
        <f t="shared" ref="H248:AT248" si="483">-H224</f>
        <v>-3546350.2599561452</v>
      </c>
      <c r="I248" s="268">
        <f t="shared" si="483"/>
        <v>-3629500.1452487805</v>
      </c>
      <c r="J248" s="268">
        <f t="shared" si="483"/>
        <v>-3714649.5304283733</v>
      </c>
      <c r="K248" s="268">
        <f t="shared" si="483"/>
        <v>-9294323.7646731809</v>
      </c>
      <c r="L248" s="268">
        <f t="shared" si="483"/>
        <v>-3891145.174125297</v>
      </c>
      <c r="M248" s="268">
        <f t="shared" si="483"/>
        <v>-3982593.760180179</v>
      </c>
      <c r="N248" s="268">
        <f t="shared" si="483"/>
        <v>-4076246.5661634705</v>
      </c>
      <c r="O248" s="268">
        <f t="shared" si="483"/>
        <v>-4172158.0442154035</v>
      </c>
      <c r="P248" s="268">
        <f t="shared" si="483"/>
        <v>-10305240.456239779</v>
      </c>
      <c r="Q248" s="268">
        <f t="shared" si="483"/>
        <v>-4370981.7449138239</v>
      </c>
      <c r="R248" s="268">
        <f t="shared" si="483"/>
        <v>-4474009.8993217153</v>
      </c>
      <c r="S248" s="268">
        <f t="shared" si="483"/>
        <v>-4579528.6633017063</v>
      </c>
      <c r="T248" s="268">
        <f t="shared" si="483"/>
        <v>-4687599.7384678498</v>
      </c>
      <c r="U248" s="268">
        <f t="shared" si="483"/>
        <v>-11429085.151702685</v>
      </c>
      <c r="V248" s="268">
        <f t="shared" si="483"/>
        <v>-4911653.4910183838</v>
      </c>
      <c r="W248" s="268">
        <f t="shared" si="483"/>
        <v>-5027767.5564522296</v>
      </c>
      <c r="X248" s="268">
        <f t="shared" si="483"/>
        <v>-5146696.7934412798</v>
      </c>
      <c r="Y248" s="268">
        <f t="shared" si="483"/>
        <v>-5268511.1412896216</v>
      </c>
      <c r="Z248" s="268">
        <f t="shared" si="483"/>
        <v>-12678875.013862662</v>
      </c>
      <c r="AA248" s="268">
        <f t="shared" si="483"/>
        <v>-5521083.8624752844</v>
      </c>
      <c r="AB248" s="268">
        <f t="shared" si="483"/>
        <v>-5651991.1898182109</v>
      </c>
      <c r="AC248" s="268">
        <f t="shared" si="483"/>
        <v>-5786081.6320499461</v>
      </c>
      <c r="AD248" s="268">
        <f t="shared" si="483"/>
        <v>-5923434.4919935949</v>
      </c>
      <c r="AE248" s="268">
        <f t="shared" si="483"/>
        <v>-14069181.394370388</v>
      </c>
      <c r="AF248" s="268">
        <f t="shared" si="483"/>
        <v>-6208254.835203521</v>
      </c>
      <c r="AG248" s="268">
        <f t="shared" si="483"/>
        <v>-6355891.2422239808</v>
      </c>
      <c r="AH248" s="268">
        <f t="shared" si="483"/>
        <v>-6507128.0239001652</v>
      </c>
      <c r="AI248" s="268">
        <f t="shared" si="483"/>
        <v>-6662055.1295457529</v>
      </c>
      <c r="AJ248" s="268">
        <f t="shared" si="483"/>
        <v>-15616322.452012271</v>
      </c>
      <c r="AK248" s="268">
        <f t="shared" si="483"/>
        <v>-6983351.6630770871</v>
      </c>
      <c r="AL248" s="268">
        <f t="shared" si="483"/>
        <v>-7149912.7241678927</v>
      </c>
      <c r="AM248" s="268">
        <f t="shared" si="483"/>
        <v>-7320547.5004008031</v>
      </c>
      <c r="AN248" s="268">
        <f t="shared" si="483"/>
        <v>-7495358.0500422539</v>
      </c>
      <c r="AO248" s="268">
        <f t="shared" si="483"/>
        <v>-17338580.552335452</v>
      </c>
      <c r="AP248" s="268">
        <f t="shared" si="483"/>
        <v>-7857927.8452074975</v>
      </c>
      <c r="AQ248" s="268">
        <f t="shared" si="483"/>
        <v>-8045904.5568202641</v>
      </c>
      <c r="AR248" s="268">
        <f t="shared" si="483"/>
        <v>-8238492.1162956236</v>
      </c>
      <c r="AS248" s="268">
        <f t="shared" si="483"/>
        <v>-8435806.3583844062</v>
      </c>
      <c r="AT248" s="799">
        <f t="shared" si="483"/>
        <v>-19256447.751688365</v>
      </c>
      <c r="AU248" s="166"/>
      <c r="AV248" s="166"/>
      <c r="AW248" s="166"/>
      <c r="AX248" s="166"/>
      <c r="AY248" s="166"/>
      <c r="AZ248" s="166"/>
      <c r="BA248" s="166"/>
      <c r="BB248" s="166"/>
      <c r="BC248" s="166"/>
      <c r="BD248" s="166"/>
      <c r="BE248" s="166"/>
      <c r="BF248" s="166"/>
      <c r="BG248" s="166"/>
      <c r="BH248" s="166"/>
      <c r="BI248" s="166"/>
      <c r="BJ248" s="166"/>
      <c r="BK248" s="166"/>
      <c r="BL248" s="166"/>
      <c r="BM248" s="166"/>
      <c r="BN248" s="166"/>
    </row>
    <row r="249" spans="2:66" ht="15" thickBot="1" x14ac:dyDescent="0.3">
      <c r="B249" s="842" t="s">
        <v>389</v>
      </c>
      <c r="C249" s="820"/>
      <c r="D249" s="820"/>
      <c r="E249" s="820"/>
      <c r="F249" s="820"/>
      <c r="G249" s="820">
        <f>G248</f>
        <v>-3454589.5691445097</v>
      </c>
      <c r="H249" s="820">
        <f t="shared" ref="H249" si="484">H248</f>
        <v>-3546350.2599561452</v>
      </c>
      <c r="I249" s="820">
        <f t="shared" ref="I249" si="485">I248</f>
        <v>-3629500.1452487805</v>
      </c>
      <c r="J249" s="820">
        <f t="shared" ref="J249" si="486">J248</f>
        <v>-3714649.5304283733</v>
      </c>
      <c r="K249" s="820">
        <f t="shared" ref="K249" si="487">K248</f>
        <v>-9294323.7646731809</v>
      </c>
      <c r="L249" s="820">
        <f t="shared" ref="L249" si="488">L248</f>
        <v>-3891145.174125297</v>
      </c>
      <c r="M249" s="820">
        <f t="shared" ref="M249" si="489">M248</f>
        <v>-3982593.760180179</v>
      </c>
      <c r="N249" s="820">
        <f t="shared" ref="N249" si="490">N248</f>
        <v>-4076246.5661634705</v>
      </c>
      <c r="O249" s="820">
        <f t="shared" ref="O249" si="491">O248</f>
        <v>-4172158.0442154035</v>
      </c>
      <c r="P249" s="820">
        <f t="shared" ref="P249" si="492">P248</f>
        <v>-10305240.456239779</v>
      </c>
      <c r="Q249" s="820">
        <f t="shared" ref="Q249" si="493">Q248</f>
        <v>-4370981.7449138239</v>
      </c>
      <c r="R249" s="820">
        <f t="shared" ref="R249" si="494">R248</f>
        <v>-4474009.8993217153</v>
      </c>
      <c r="S249" s="820">
        <f t="shared" ref="S249" si="495">S248</f>
        <v>-4579528.6633017063</v>
      </c>
      <c r="T249" s="820">
        <f t="shared" ref="T249" si="496">T248</f>
        <v>-4687599.7384678498</v>
      </c>
      <c r="U249" s="820">
        <f t="shared" ref="U249" si="497">U248</f>
        <v>-11429085.151702685</v>
      </c>
      <c r="V249" s="820">
        <f t="shared" ref="V249" si="498">V248</f>
        <v>-4911653.4910183838</v>
      </c>
      <c r="W249" s="820">
        <f t="shared" ref="W249" si="499">W248</f>
        <v>-5027767.5564522296</v>
      </c>
      <c r="X249" s="820">
        <f t="shared" ref="X249" si="500">X248</f>
        <v>-5146696.7934412798</v>
      </c>
      <c r="Y249" s="820">
        <f t="shared" ref="Y249" si="501">Y248</f>
        <v>-5268511.1412896216</v>
      </c>
      <c r="Z249" s="820">
        <f t="shared" ref="Z249" si="502">Z248</f>
        <v>-12678875.013862662</v>
      </c>
      <c r="AA249" s="820">
        <f t="shared" ref="AA249" si="503">AA248</f>
        <v>-5521083.8624752844</v>
      </c>
      <c r="AB249" s="820">
        <f t="shared" ref="AB249" si="504">AB248</f>
        <v>-5651991.1898182109</v>
      </c>
      <c r="AC249" s="820">
        <f t="shared" ref="AC249" si="505">AC248</f>
        <v>-5786081.6320499461</v>
      </c>
      <c r="AD249" s="820">
        <f t="shared" ref="AD249" si="506">AD248</f>
        <v>-5923434.4919935949</v>
      </c>
      <c r="AE249" s="820">
        <f t="shared" ref="AE249" si="507">AE248</f>
        <v>-14069181.394370388</v>
      </c>
      <c r="AF249" s="820">
        <f t="shared" ref="AF249" si="508">AF248</f>
        <v>-6208254.835203521</v>
      </c>
      <c r="AG249" s="820">
        <f t="shared" ref="AG249" si="509">AG248</f>
        <v>-6355891.2422239808</v>
      </c>
      <c r="AH249" s="820">
        <f t="shared" ref="AH249" si="510">AH248</f>
        <v>-6507128.0239001652</v>
      </c>
      <c r="AI249" s="820">
        <f t="shared" ref="AI249" si="511">AI248</f>
        <v>-6662055.1295457529</v>
      </c>
      <c r="AJ249" s="820">
        <f t="shared" ref="AJ249" si="512">AJ248</f>
        <v>-15616322.452012271</v>
      </c>
      <c r="AK249" s="820">
        <f t="shared" ref="AK249" si="513">AK248</f>
        <v>-6983351.6630770871</v>
      </c>
      <c r="AL249" s="820">
        <f t="shared" ref="AL249" si="514">AL248</f>
        <v>-7149912.7241678927</v>
      </c>
      <c r="AM249" s="820">
        <f t="shared" ref="AM249" si="515">AM248</f>
        <v>-7320547.5004008031</v>
      </c>
      <c r="AN249" s="820">
        <f t="shared" ref="AN249" si="516">AN248</f>
        <v>-7495358.0500422539</v>
      </c>
      <c r="AO249" s="820">
        <f t="shared" ref="AO249" si="517">AO248</f>
        <v>-17338580.552335452</v>
      </c>
      <c r="AP249" s="820">
        <f t="shared" ref="AP249" si="518">AP248</f>
        <v>-7857927.8452074975</v>
      </c>
      <c r="AQ249" s="820">
        <f t="shared" ref="AQ249" si="519">AQ248</f>
        <v>-8045904.5568202641</v>
      </c>
      <c r="AR249" s="820">
        <f t="shared" ref="AR249" si="520">AR248</f>
        <v>-8238492.1162956236</v>
      </c>
      <c r="AS249" s="820">
        <f t="shared" ref="AS249" si="521">AS248</f>
        <v>-8435806.3583844062</v>
      </c>
      <c r="AT249" s="821">
        <f t="shared" ref="AT249" si="522">AT248</f>
        <v>-19256447.751688365</v>
      </c>
      <c r="AU249" s="166"/>
      <c r="AV249" s="166"/>
      <c r="AW249" s="166"/>
      <c r="AX249" s="166"/>
      <c r="AY249" s="166"/>
      <c r="AZ249" s="166"/>
      <c r="BA249" s="166"/>
      <c r="BB249" s="166"/>
      <c r="BC249" s="166"/>
      <c r="BD249" s="166"/>
      <c r="BE249" s="166"/>
      <c r="BF249" s="166"/>
      <c r="BG249" s="166"/>
      <c r="BH249" s="166"/>
      <c r="BI249" s="166"/>
      <c r="BJ249" s="166"/>
      <c r="BK249" s="166"/>
      <c r="BL249" s="166"/>
      <c r="BM249" s="166"/>
      <c r="BN249" s="166"/>
    </row>
    <row r="250" spans="2:66" ht="15" thickBot="1" x14ac:dyDescent="0.3">
      <c r="B250" s="837"/>
      <c r="C250" s="824"/>
      <c r="D250" s="824"/>
      <c r="E250" s="824"/>
      <c r="F250" s="824"/>
      <c r="G250" s="824"/>
      <c r="H250" s="824"/>
      <c r="I250" s="824"/>
      <c r="J250" s="824"/>
      <c r="K250" s="824"/>
      <c r="L250" s="824"/>
      <c r="M250" s="824"/>
      <c r="N250" s="824"/>
      <c r="O250" s="824"/>
      <c r="P250" s="824"/>
      <c r="Q250" s="824"/>
      <c r="R250" s="824"/>
      <c r="S250" s="824"/>
      <c r="T250" s="824"/>
      <c r="U250" s="824"/>
      <c r="V250" s="824"/>
      <c r="W250" s="824"/>
      <c r="X250" s="824"/>
      <c r="Y250" s="824"/>
      <c r="Z250" s="824"/>
      <c r="AA250" s="824"/>
      <c r="AB250" s="824"/>
      <c r="AC250" s="824"/>
      <c r="AD250" s="824"/>
      <c r="AE250" s="824"/>
      <c r="AF250" s="824"/>
      <c r="AG250" s="824"/>
      <c r="AH250" s="824"/>
      <c r="AI250" s="824"/>
      <c r="AJ250" s="824"/>
      <c r="AK250" s="824"/>
      <c r="AL250" s="824"/>
      <c r="AM250" s="824"/>
      <c r="AN250" s="824"/>
      <c r="AO250" s="824"/>
      <c r="AP250" s="824"/>
      <c r="AQ250" s="824"/>
      <c r="AR250" s="824"/>
      <c r="AS250" s="824"/>
      <c r="AT250" s="824"/>
      <c r="AU250" s="166"/>
      <c r="AV250" s="166"/>
      <c r="AW250" s="166"/>
      <c r="AX250" s="166"/>
      <c r="AY250" s="166"/>
      <c r="AZ250" s="166"/>
      <c r="BA250" s="166"/>
      <c r="BB250" s="166"/>
      <c r="BC250" s="166"/>
      <c r="BD250" s="166"/>
      <c r="BE250" s="166"/>
      <c r="BF250" s="166"/>
      <c r="BG250" s="166"/>
      <c r="BH250" s="166"/>
      <c r="BI250" s="166"/>
      <c r="BJ250" s="166"/>
      <c r="BK250" s="166"/>
      <c r="BL250" s="166"/>
      <c r="BM250" s="166"/>
      <c r="BN250" s="166"/>
    </row>
    <row r="251" spans="2:66" ht="14.4" x14ac:dyDescent="0.25">
      <c r="B251" s="835" t="s">
        <v>392</v>
      </c>
      <c r="C251" s="818"/>
      <c r="D251" s="818"/>
      <c r="E251" s="818"/>
      <c r="F251" s="818"/>
      <c r="G251" s="818"/>
      <c r="H251" s="818"/>
      <c r="I251" s="818"/>
      <c r="J251" s="818"/>
      <c r="K251" s="818"/>
      <c r="L251" s="818"/>
      <c r="M251" s="818"/>
      <c r="N251" s="818"/>
      <c r="O251" s="818"/>
      <c r="P251" s="818"/>
      <c r="Q251" s="818"/>
      <c r="R251" s="818"/>
      <c r="S251" s="818"/>
      <c r="T251" s="818"/>
      <c r="U251" s="818"/>
      <c r="V251" s="818"/>
      <c r="W251" s="818"/>
      <c r="X251" s="818"/>
      <c r="Y251" s="818"/>
      <c r="Z251" s="818"/>
      <c r="AA251" s="818"/>
      <c r="AB251" s="818"/>
      <c r="AC251" s="818"/>
      <c r="AD251" s="818"/>
      <c r="AE251" s="818"/>
      <c r="AF251" s="818"/>
      <c r="AG251" s="818"/>
      <c r="AH251" s="818"/>
      <c r="AI251" s="818"/>
      <c r="AJ251" s="818"/>
      <c r="AK251" s="818"/>
      <c r="AL251" s="818"/>
      <c r="AM251" s="818"/>
      <c r="AN251" s="818"/>
      <c r="AO251" s="818"/>
      <c r="AP251" s="818"/>
      <c r="AQ251" s="818"/>
      <c r="AR251" s="818"/>
      <c r="AS251" s="818"/>
      <c r="AT251" s="819"/>
      <c r="AU251" s="166"/>
      <c r="AV251" s="166"/>
      <c r="AW251" s="166"/>
      <c r="AX251" s="166"/>
      <c r="AY251" s="166"/>
      <c r="AZ251" s="166"/>
      <c r="BA251" s="166"/>
      <c r="BB251" s="166"/>
      <c r="BC251" s="166"/>
      <c r="BD251" s="166"/>
      <c r="BE251" s="166"/>
      <c r="BF251" s="166"/>
      <c r="BG251" s="166"/>
      <c r="BH251" s="166"/>
      <c r="BI251" s="166"/>
      <c r="BJ251" s="166"/>
      <c r="BK251" s="166"/>
      <c r="BL251" s="166"/>
      <c r="BM251" s="166"/>
      <c r="BN251" s="166"/>
    </row>
    <row r="252" spans="2:66" x14ac:dyDescent="0.25">
      <c r="B252" s="836" t="s">
        <v>393</v>
      </c>
      <c r="C252" s="268">
        <v>0</v>
      </c>
      <c r="D252" s="268">
        <v>0</v>
      </c>
      <c r="E252" s="268">
        <v>0</v>
      </c>
      <c r="F252" s="268">
        <v>0</v>
      </c>
      <c r="G252" s="178">
        <f>G226</f>
        <v>5014565.6000000006</v>
      </c>
      <c r="H252" s="178">
        <f t="shared" ref="H252:AT252" si="523">H226</f>
        <v>6686087.4666666677</v>
      </c>
      <c r="I252" s="178">
        <f t="shared" si="523"/>
        <v>7064333.3182400009</v>
      </c>
      <c r="J252" s="178">
        <f t="shared" si="523"/>
        <v>7138362.1900799992</v>
      </c>
      <c r="K252" s="178">
        <f t="shared" si="523"/>
        <v>7503771.6608215664</v>
      </c>
      <c r="L252" s="178">
        <f t="shared" si="523"/>
        <v>7580791.2990839034</v>
      </c>
      <c r="M252" s="178">
        <f t="shared" si="523"/>
        <v>7967186.4992150292</v>
      </c>
      <c r="N252" s="178">
        <f t="shared" si="523"/>
        <v>8006888.7739219368</v>
      </c>
      <c r="O252" s="178">
        <f t="shared" si="523"/>
        <v>8371673.3269934468</v>
      </c>
      <c r="P252" s="178">
        <f t="shared" si="523"/>
        <v>8412979.5735985152</v>
      </c>
      <c r="Q252" s="178">
        <f t="shared" si="523"/>
        <v>8795838.9673398025</v>
      </c>
      <c r="R252" s="178">
        <f t="shared" si="523"/>
        <v>8838813.9863077197</v>
      </c>
      <c r="S252" s="178">
        <f t="shared" si="523"/>
        <v>9198294.0943016689</v>
      </c>
      <c r="T252" s="178">
        <f t="shared" si="523"/>
        <v>9200686.1172487903</v>
      </c>
      <c r="U252" s="178">
        <f t="shared" si="523"/>
        <v>9574882.4970598314</v>
      </c>
      <c r="V252" s="178">
        <f t="shared" si="523"/>
        <v>9577371.157734016</v>
      </c>
      <c r="W252" s="178">
        <f t="shared" si="523"/>
        <v>9966886.1550718881</v>
      </c>
      <c r="X252" s="178">
        <f t="shared" si="523"/>
        <v>10040828.132272638</v>
      </c>
      <c r="Y252" s="178">
        <f t="shared" si="523"/>
        <v>10523406.821896119</v>
      </c>
      <c r="Z252" s="178">
        <f t="shared" si="523"/>
        <v>10600336.05497578</v>
      </c>
      <c r="AA252" s="178">
        <f t="shared" si="523"/>
        <v>11108626.805692878</v>
      </c>
      <c r="AB252" s="178">
        <f t="shared" si="523"/>
        <v>11188663.979788953</v>
      </c>
      <c r="AC252" s="178">
        <f t="shared" si="523"/>
        <v>11640686.004572429</v>
      </c>
      <c r="AD252" s="178">
        <f t="shared" si="523"/>
        <v>11640686.004572429</v>
      </c>
      <c r="AE252" s="178">
        <f t="shared" si="523"/>
        <v>12110969.719157152</v>
      </c>
      <c r="AF252" s="178">
        <f t="shared" si="523"/>
        <v>12110969.719157152</v>
      </c>
      <c r="AG252" s="178">
        <f t="shared" si="523"/>
        <v>12600252.895811103</v>
      </c>
      <c r="AH252" s="178">
        <f t="shared" si="523"/>
        <v>12600252.895811103</v>
      </c>
      <c r="AI252" s="178">
        <f t="shared" si="523"/>
        <v>13109303.11280187</v>
      </c>
      <c r="AJ252" s="178">
        <f t="shared" si="523"/>
        <v>13109303.11280187</v>
      </c>
      <c r="AK252" s="178">
        <f t="shared" si="523"/>
        <v>13638918.958559066</v>
      </c>
      <c r="AL252" s="178">
        <f t="shared" si="523"/>
        <v>13638918.958559066</v>
      </c>
      <c r="AM252" s="178">
        <f t="shared" si="523"/>
        <v>14189931.284484848</v>
      </c>
      <c r="AN252" s="178">
        <f t="shared" si="523"/>
        <v>14189931.284484848</v>
      </c>
      <c r="AO252" s="178">
        <f t="shared" si="523"/>
        <v>14763204.508378042</v>
      </c>
      <c r="AP252" s="178">
        <f t="shared" si="523"/>
        <v>14763204.508378042</v>
      </c>
      <c r="AQ252" s="178">
        <f t="shared" si="523"/>
        <v>15359637.970516512</v>
      </c>
      <c r="AR252" s="178">
        <f t="shared" si="523"/>
        <v>15359637.970516512</v>
      </c>
      <c r="AS252" s="178">
        <f t="shared" si="523"/>
        <v>15980167.344525382</v>
      </c>
      <c r="AT252" s="265">
        <f t="shared" si="523"/>
        <v>15980167.344525382</v>
      </c>
      <c r="AU252" s="166"/>
      <c r="AV252" s="166"/>
      <c r="AW252" s="166"/>
      <c r="AX252" s="166"/>
      <c r="AY252" s="166"/>
      <c r="AZ252" s="166"/>
      <c r="BA252" s="166"/>
      <c r="BB252" s="166"/>
      <c r="BC252" s="166"/>
      <c r="BD252" s="166"/>
      <c r="BE252" s="166"/>
      <c r="BF252" s="166"/>
      <c r="BG252" s="166"/>
      <c r="BH252" s="166"/>
      <c r="BI252" s="166"/>
      <c r="BJ252" s="166"/>
      <c r="BK252" s="166"/>
      <c r="BL252" s="166"/>
      <c r="BM252" s="166"/>
      <c r="BN252" s="166"/>
    </row>
    <row r="253" spans="2:66" x14ac:dyDescent="0.25">
      <c r="B253" s="836" t="s">
        <v>394</v>
      </c>
      <c r="C253" s="268">
        <v>0</v>
      </c>
      <c r="D253" s="268">
        <v>0</v>
      </c>
      <c r="E253" s="268">
        <v>0</v>
      </c>
      <c r="F253" s="268">
        <v>0</v>
      </c>
      <c r="G253" s="178">
        <f>G227</f>
        <v>420000</v>
      </c>
      <c r="H253" s="178">
        <f t="shared" ref="H253:AT253" si="524">H227</f>
        <v>428400</v>
      </c>
      <c r="I253" s="178">
        <f t="shared" si="524"/>
        <v>436968</v>
      </c>
      <c r="J253" s="178">
        <f t="shared" si="524"/>
        <v>445707.36</v>
      </c>
      <c r="K253" s="178">
        <f t="shared" si="524"/>
        <v>454621.50719999999</v>
      </c>
      <c r="L253" s="178">
        <f t="shared" si="524"/>
        <v>463713.93734400003</v>
      </c>
      <c r="M253" s="178">
        <f t="shared" si="524"/>
        <v>472988.21609088004</v>
      </c>
      <c r="N253" s="178">
        <f t="shared" si="524"/>
        <v>482447.98041269754</v>
      </c>
      <c r="O253" s="178">
        <f t="shared" si="524"/>
        <v>492096.9400209515</v>
      </c>
      <c r="P253" s="178">
        <f t="shared" si="524"/>
        <v>501938.87882137054</v>
      </c>
      <c r="Q253" s="178">
        <f t="shared" si="524"/>
        <v>511977.65639779798</v>
      </c>
      <c r="R253" s="178">
        <f t="shared" si="524"/>
        <v>522217.20952575386</v>
      </c>
      <c r="S253" s="178">
        <f t="shared" si="524"/>
        <v>532661.55371626897</v>
      </c>
      <c r="T253" s="178">
        <f t="shared" si="524"/>
        <v>543314.78479059436</v>
      </c>
      <c r="U253" s="178">
        <f t="shared" si="524"/>
        <v>554181.08048640634</v>
      </c>
      <c r="V253" s="178">
        <f t="shared" si="524"/>
        <v>565264.70209613431</v>
      </c>
      <c r="W253" s="178">
        <f t="shared" si="524"/>
        <v>576569.99613805709</v>
      </c>
      <c r="X253" s="178">
        <f t="shared" si="524"/>
        <v>588101.39606081822</v>
      </c>
      <c r="Y253" s="178">
        <f t="shared" si="524"/>
        <v>599863.42398203455</v>
      </c>
      <c r="Z253" s="178">
        <f t="shared" si="524"/>
        <v>611860.69246167527</v>
      </c>
      <c r="AA253" s="178">
        <f t="shared" si="524"/>
        <v>624097.90631090873</v>
      </c>
      <c r="AB253" s="178">
        <f t="shared" si="524"/>
        <v>636579.8644371269</v>
      </c>
      <c r="AC253" s="178">
        <f t="shared" si="524"/>
        <v>649311.46172586945</v>
      </c>
      <c r="AD253" s="178">
        <f t="shared" si="524"/>
        <v>662297.69096038677</v>
      </c>
      <c r="AE253" s="178">
        <f t="shared" si="524"/>
        <v>675543.6447795945</v>
      </c>
      <c r="AF253" s="178">
        <f t="shared" si="524"/>
        <v>689054.51767518639</v>
      </c>
      <c r="AG253" s="178">
        <f t="shared" si="524"/>
        <v>702835.60802869021</v>
      </c>
      <c r="AH253" s="178">
        <f t="shared" si="524"/>
        <v>716892.3201892639</v>
      </c>
      <c r="AI253" s="178">
        <f t="shared" si="524"/>
        <v>731230.1665930493</v>
      </c>
      <c r="AJ253" s="178">
        <f t="shared" si="524"/>
        <v>745854.76992491016</v>
      </c>
      <c r="AK253" s="178">
        <f t="shared" si="524"/>
        <v>760771.86532340851</v>
      </c>
      <c r="AL253" s="178">
        <f t="shared" si="524"/>
        <v>775987.30262987642</v>
      </c>
      <c r="AM253" s="178">
        <f t="shared" si="524"/>
        <v>791507.04868247418</v>
      </c>
      <c r="AN253" s="178">
        <f t="shared" si="524"/>
        <v>807337.18965612364</v>
      </c>
      <c r="AO253" s="178">
        <f t="shared" si="524"/>
        <v>823483.93344924611</v>
      </c>
      <c r="AP253" s="178">
        <f t="shared" si="524"/>
        <v>839953.61211823102</v>
      </c>
      <c r="AQ253" s="178">
        <f t="shared" si="524"/>
        <v>856752.68436059554</v>
      </c>
      <c r="AR253" s="178">
        <f t="shared" si="524"/>
        <v>873887.73804780759</v>
      </c>
      <c r="AS253" s="178">
        <f t="shared" si="524"/>
        <v>891365.49280876387</v>
      </c>
      <c r="AT253" s="265">
        <f t="shared" si="524"/>
        <v>909192.80266493873</v>
      </c>
      <c r="AU253" s="166"/>
      <c r="AV253" s="166"/>
      <c r="AW253" s="166"/>
      <c r="AX253" s="166"/>
      <c r="AY253" s="166"/>
      <c r="AZ253" s="166"/>
      <c r="BA253" s="166"/>
      <c r="BB253" s="166"/>
      <c r="BC253" s="166"/>
      <c r="BD253" s="166"/>
      <c r="BE253" s="166"/>
      <c r="BF253" s="166"/>
      <c r="BG253" s="166"/>
      <c r="BH253" s="166"/>
      <c r="BI253" s="166"/>
      <c r="BJ253" s="166"/>
      <c r="BK253" s="166"/>
      <c r="BL253" s="166"/>
      <c r="BM253" s="166"/>
      <c r="BN253" s="166"/>
    </row>
    <row r="254" spans="2:66" ht="15" thickBot="1" x14ac:dyDescent="0.3">
      <c r="B254" s="842" t="s">
        <v>388</v>
      </c>
      <c r="C254" s="822">
        <v>0</v>
      </c>
      <c r="D254" s="822">
        <v>0</v>
      </c>
      <c r="E254" s="822">
        <v>0</v>
      </c>
      <c r="F254" s="822">
        <v>0</v>
      </c>
      <c r="G254" s="822">
        <f>G252+G253</f>
        <v>5434565.6000000006</v>
      </c>
      <c r="H254" s="822">
        <f t="shared" ref="H254" si="525">H252+H253</f>
        <v>7114487.4666666677</v>
      </c>
      <c r="I254" s="822">
        <f t="shared" ref="I254" si="526">I252+I253</f>
        <v>7501301.3182400009</v>
      </c>
      <c r="J254" s="822">
        <f t="shared" ref="J254" si="527">J252+J253</f>
        <v>7584069.5500799995</v>
      </c>
      <c r="K254" s="822">
        <f t="shared" ref="K254" si="528">K252+K253</f>
        <v>7958393.1680215662</v>
      </c>
      <c r="L254" s="822">
        <f t="shared" ref="L254" si="529">L252+L253</f>
        <v>8044505.2364279032</v>
      </c>
      <c r="M254" s="822">
        <f t="shared" ref="M254" si="530">M252+M253</f>
        <v>8440174.7153059095</v>
      </c>
      <c r="N254" s="822">
        <f t="shared" ref="N254" si="531">N252+N253</f>
        <v>8489336.7543346342</v>
      </c>
      <c r="O254" s="822">
        <f t="shared" ref="O254" si="532">O252+O253</f>
        <v>8863770.2670143992</v>
      </c>
      <c r="P254" s="822">
        <f t="shared" ref="P254" si="533">P252+P253</f>
        <v>8914918.4524198864</v>
      </c>
      <c r="Q254" s="822">
        <f t="shared" ref="Q254" si="534">Q252+Q253</f>
        <v>9307816.6237375997</v>
      </c>
      <c r="R254" s="822">
        <f t="shared" ref="R254" si="535">R252+R253</f>
        <v>9361031.1958334744</v>
      </c>
      <c r="S254" s="822">
        <f t="shared" ref="S254" si="536">S252+S253</f>
        <v>9730955.6480179373</v>
      </c>
      <c r="T254" s="822">
        <f t="shared" ref="T254" si="537">T252+T253</f>
        <v>9744000.9020393845</v>
      </c>
      <c r="U254" s="822">
        <f t="shared" ref="U254" si="538">U252+U253</f>
        <v>10129063.577546237</v>
      </c>
      <c r="V254" s="822">
        <f t="shared" ref="V254" si="539">V252+V253</f>
        <v>10142635.85983015</v>
      </c>
      <c r="W254" s="822">
        <f t="shared" ref="W254" si="540">W252+W253</f>
        <v>10543456.151209945</v>
      </c>
      <c r="X254" s="822">
        <f t="shared" ref="X254" si="541">X252+X253</f>
        <v>10628929.528333457</v>
      </c>
      <c r="Y254" s="822">
        <f t="shared" ref="Y254" si="542">Y252+Y253</f>
        <v>11123270.245878154</v>
      </c>
      <c r="Z254" s="822">
        <f t="shared" ref="Z254" si="543">Z252+Z253</f>
        <v>11212196.747437455</v>
      </c>
      <c r="AA254" s="822">
        <f t="shared" ref="AA254" si="544">AA252+AA253</f>
        <v>11732724.712003786</v>
      </c>
      <c r="AB254" s="822">
        <f t="shared" ref="AB254" si="545">AB252+AB253</f>
        <v>11825243.844226081</v>
      </c>
      <c r="AC254" s="822">
        <f t="shared" ref="AC254" si="546">AC252+AC253</f>
        <v>12289997.466298299</v>
      </c>
      <c r="AD254" s="822">
        <f t="shared" ref="AD254" si="547">AD252+AD253</f>
        <v>12302983.695532816</v>
      </c>
      <c r="AE254" s="822">
        <f t="shared" ref="AE254" si="548">AE252+AE253</f>
        <v>12786513.363936746</v>
      </c>
      <c r="AF254" s="822">
        <f t="shared" ref="AF254" si="549">AF252+AF253</f>
        <v>12800024.236832337</v>
      </c>
      <c r="AG254" s="822">
        <f t="shared" ref="AG254" si="550">AG252+AG253</f>
        <v>13303088.503839793</v>
      </c>
      <c r="AH254" s="822">
        <f t="shared" ref="AH254" si="551">AH252+AH253</f>
        <v>13317145.216000367</v>
      </c>
      <c r="AI254" s="822">
        <f t="shared" ref="AI254" si="552">AI252+AI253</f>
        <v>13840533.279394919</v>
      </c>
      <c r="AJ254" s="822">
        <f t="shared" ref="AJ254" si="553">AJ252+AJ253</f>
        <v>13855157.882726781</v>
      </c>
      <c r="AK254" s="822">
        <f t="shared" ref="AK254" si="554">AK252+AK253</f>
        <v>14399690.823882475</v>
      </c>
      <c r="AL254" s="822">
        <f t="shared" ref="AL254" si="555">AL252+AL253</f>
        <v>14414906.261188943</v>
      </c>
      <c r="AM254" s="822">
        <f t="shared" ref="AM254" si="556">AM252+AM253</f>
        <v>14981438.333167322</v>
      </c>
      <c r="AN254" s="822">
        <f t="shared" ref="AN254" si="557">AN252+AN253</f>
        <v>14997268.474140972</v>
      </c>
      <c r="AO254" s="822">
        <f t="shared" ref="AO254" si="558">AO252+AO253</f>
        <v>15586688.441827288</v>
      </c>
      <c r="AP254" s="822">
        <f t="shared" ref="AP254" si="559">AP252+AP253</f>
        <v>15603158.120496273</v>
      </c>
      <c r="AQ254" s="822">
        <f t="shared" ref="AQ254" si="560">AQ252+AQ253</f>
        <v>16216390.654877108</v>
      </c>
      <c r="AR254" s="822">
        <f t="shared" ref="AR254" si="561">AR252+AR253</f>
        <v>16233525.708564321</v>
      </c>
      <c r="AS254" s="822">
        <f t="shared" ref="AS254" si="562">AS252+AS253</f>
        <v>16871532.837334145</v>
      </c>
      <c r="AT254" s="823">
        <f t="shared" ref="AT254" si="563">AT252+AT253</f>
        <v>16889360.147190321</v>
      </c>
      <c r="AU254" s="166"/>
      <c r="AV254" s="166"/>
      <c r="AW254" s="166"/>
      <c r="AX254" s="166"/>
      <c r="AY254" s="166"/>
      <c r="AZ254" s="166"/>
      <c r="BA254" s="166"/>
      <c r="BB254" s="166"/>
      <c r="BC254" s="166"/>
      <c r="BD254" s="166"/>
      <c r="BE254" s="166"/>
      <c r="BF254" s="166"/>
      <c r="BG254" s="166"/>
      <c r="BH254" s="166"/>
      <c r="BI254" s="166"/>
      <c r="BJ254" s="166"/>
      <c r="BK254" s="166"/>
      <c r="BL254" s="166"/>
      <c r="BM254" s="166"/>
      <c r="BN254" s="166"/>
    </row>
    <row r="255" spans="2:66" ht="15" thickBot="1" x14ac:dyDescent="0.3">
      <c r="B255" s="838"/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78"/>
      <c r="V255" s="178"/>
      <c r="W255" s="178"/>
      <c r="X255" s="178"/>
      <c r="Y255" s="178"/>
      <c r="Z255" s="178"/>
      <c r="AA255" s="178"/>
      <c r="AB255" s="178"/>
      <c r="AC255" s="178"/>
      <c r="AD255" s="178"/>
      <c r="AE255" s="178"/>
      <c r="AF255" s="178"/>
      <c r="AG255" s="178"/>
      <c r="AH255" s="178"/>
      <c r="AI255" s="178"/>
      <c r="AJ255" s="178"/>
      <c r="AK255" s="178"/>
      <c r="AL255" s="178"/>
      <c r="AM255" s="178"/>
      <c r="AN255" s="178"/>
      <c r="AO255" s="178"/>
      <c r="AP255" s="178"/>
      <c r="AQ255" s="178"/>
      <c r="AR255" s="178"/>
      <c r="AS255" s="178"/>
      <c r="AT255" s="178"/>
      <c r="AU255" s="166"/>
      <c r="AV255" s="166"/>
      <c r="AW255" s="166"/>
      <c r="AX255" s="166"/>
      <c r="AY255" s="166"/>
      <c r="AZ255" s="166"/>
      <c r="BA255" s="166"/>
      <c r="BB255" s="166"/>
      <c r="BC255" s="166"/>
      <c r="BD255" s="166"/>
      <c r="BE255" s="166"/>
      <c r="BF255" s="166"/>
      <c r="BG255" s="166"/>
      <c r="BH255" s="166"/>
      <c r="BI255" s="166"/>
      <c r="BJ255" s="166"/>
      <c r="BK255" s="166"/>
      <c r="BL255" s="166"/>
      <c r="BM255" s="166"/>
      <c r="BN255" s="166"/>
    </row>
    <row r="256" spans="2:66" ht="15" thickBot="1" x14ac:dyDescent="0.3">
      <c r="B256" s="843" t="s">
        <v>387</v>
      </c>
      <c r="C256" s="825"/>
      <c r="D256" s="825"/>
      <c r="E256" s="825"/>
      <c r="F256" s="825"/>
      <c r="G256" s="826">
        <f>G254+G249</f>
        <v>1979976.0308554908</v>
      </c>
      <c r="H256" s="826">
        <f t="shared" ref="H256:AT256" si="564">H254+H249</f>
        <v>3568137.2067105225</v>
      </c>
      <c r="I256" s="826">
        <f t="shared" si="564"/>
        <v>3871801.1729912204</v>
      </c>
      <c r="J256" s="826">
        <f t="shared" si="564"/>
        <v>3869420.0196516262</v>
      </c>
      <c r="K256" s="826">
        <f t="shared" si="564"/>
        <v>-1335930.5966516146</v>
      </c>
      <c r="L256" s="826">
        <f t="shared" si="564"/>
        <v>4153360.0623026062</v>
      </c>
      <c r="M256" s="826">
        <f t="shared" si="564"/>
        <v>4457580.9551257305</v>
      </c>
      <c r="N256" s="826">
        <f t="shared" si="564"/>
        <v>4413090.1881711632</v>
      </c>
      <c r="O256" s="826">
        <f t="shared" si="564"/>
        <v>4691612.2227989957</v>
      </c>
      <c r="P256" s="826">
        <f t="shared" si="564"/>
        <v>-1390322.0038198922</v>
      </c>
      <c r="Q256" s="826">
        <f t="shared" si="564"/>
        <v>4936834.8788237758</v>
      </c>
      <c r="R256" s="826">
        <f t="shared" si="564"/>
        <v>4887021.2965117591</v>
      </c>
      <c r="S256" s="826">
        <f t="shared" si="564"/>
        <v>5151426.984716231</v>
      </c>
      <c r="T256" s="826">
        <f t="shared" si="564"/>
        <v>5056401.1635715347</v>
      </c>
      <c r="U256" s="826">
        <f t="shared" si="564"/>
        <v>-1300021.5741564482</v>
      </c>
      <c r="V256" s="826">
        <f t="shared" si="564"/>
        <v>5230982.3688117666</v>
      </c>
      <c r="W256" s="826">
        <f t="shared" si="564"/>
        <v>5515688.5947577152</v>
      </c>
      <c r="X256" s="826">
        <f t="shared" si="564"/>
        <v>5482232.7348921774</v>
      </c>
      <c r="Y256" s="826">
        <f t="shared" si="564"/>
        <v>5854759.1045885328</v>
      </c>
      <c r="Z256" s="826">
        <f t="shared" si="564"/>
        <v>-1466678.2664252073</v>
      </c>
      <c r="AA256" s="826">
        <f t="shared" si="564"/>
        <v>6211640.8495285017</v>
      </c>
      <c r="AB256" s="826">
        <f t="shared" si="564"/>
        <v>6173252.65440787</v>
      </c>
      <c r="AC256" s="826">
        <f t="shared" si="564"/>
        <v>6503915.8342483528</v>
      </c>
      <c r="AD256" s="826">
        <f t="shared" si="564"/>
        <v>6379549.2035392206</v>
      </c>
      <c r="AE256" s="826">
        <f t="shared" si="564"/>
        <v>-1282668.0304336417</v>
      </c>
      <c r="AF256" s="826">
        <f t="shared" si="564"/>
        <v>6591769.4016288165</v>
      </c>
      <c r="AG256" s="826">
        <f t="shared" si="564"/>
        <v>6947197.2616158118</v>
      </c>
      <c r="AH256" s="826">
        <f t="shared" si="564"/>
        <v>6810017.1921002017</v>
      </c>
      <c r="AI256" s="826">
        <f t="shared" si="564"/>
        <v>7178478.1498491662</v>
      </c>
      <c r="AJ256" s="826">
        <f t="shared" si="564"/>
        <v>-1761164.5692854896</v>
      </c>
      <c r="AK256" s="826">
        <f t="shared" si="564"/>
        <v>7416339.1608053884</v>
      </c>
      <c r="AL256" s="826">
        <f t="shared" si="564"/>
        <v>7264993.5370210502</v>
      </c>
      <c r="AM256" s="826">
        <f t="shared" si="564"/>
        <v>7660890.8327665189</v>
      </c>
      <c r="AN256" s="826">
        <f t="shared" si="564"/>
        <v>7501910.424098718</v>
      </c>
      <c r="AO256" s="826">
        <f t="shared" si="564"/>
        <v>-1751892.1105081644</v>
      </c>
      <c r="AP256" s="826">
        <f t="shared" si="564"/>
        <v>7745230.2752887756</v>
      </c>
      <c r="AQ256" s="826">
        <f t="shared" si="564"/>
        <v>8170486.0980568435</v>
      </c>
      <c r="AR256" s="826">
        <f t="shared" si="564"/>
        <v>7995033.592268697</v>
      </c>
      <c r="AS256" s="826">
        <f t="shared" si="564"/>
        <v>8435726.4789497387</v>
      </c>
      <c r="AT256" s="827">
        <f t="shared" si="564"/>
        <v>-2367087.6044980437</v>
      </c>
      <c r="AU256" s="166"/>
      <c r="AV256" s="166"/>
      <c r="AW256" s="166"/>
      <c r="AX256" s="166"/>
      <c r="AY256" s="166"/>
      <c r="AZ256" s="166"/>
      <c r="BA256" s="166"/>
      <c r="BB256" s="166"/>
      <c r="BC256" s="166"/>
      <c r="BD256" s="166"/>
      <c r="BE256" s="166"/>
      <c r="BF256" s="166"/>
      <c r="BG256" s="166"/>
      <c r="BH256" s="166"/>
      <c r="BI256" s="166"/>
      <c r="BJ256" s="166"/>
      <c r="BK256" s="166"/>
      <c r="BL256" s="166"/>
      <c r="BM256" s="166"/>
      <c r="BN256" s="166"/>
    </row>
    <row r="257" spans="2:66" ht="15" thickBot="1" x14ac:dyDescent="0.3">
      <c r="B257" s="839"/>
      <c r="C257" s="801"/>
      <c r="D257" s="801"/>
      <c r="E257" s="801"/>
      <c r="F257" s="801"/>
      <c r="G257" s="824"/>
      <c r="H257" s="824"/>
      <c r="I257" s="824"/>
      <c r="J257" s="824"/>
      <c r="K257" s="824"/>
      <c r="L257" s="824"/>
      <c r="M257" s="824"/>
      <c r="N257" s="824"/>
      <c r="O257" s="824"/>
      <c r="P257" s="824"/>
      <c r="Q257" s="824"/>
      <c r="R257" s="824"/>
      <c r="S257" s="824"/>
      <c r="T257" s="824"/>
      <c r="U257" s="824"/>
      <c r="V257" s="824"/>
      <c r="W257" s="824"/>
      <c r="X257" s="824"/>
      <c r="Y257" s="824"/>
      <c r="Z257" s="824"/>
      <c r="AA257" s="824"/>
      <c r="AB257" s="824"/>
      <c r="AC257" s="824"/>
      <c r="AD257" s="824"/>
      <c r="AE257" s="824"/>
      <c r="AF257" s="824"/>
      <c r="AG257" s="824"/>
      <c r="AH257" s="824"/>
      <c r="AI257" s="824"/>
      <c r="AJ257" s="824"/>
      <c r="AK257" s="824"/>
      <c r="AL257" s="824"/>
      <c r="AM257" s="824"/>
      <c r="AN257" s="824"/>
      <c r="AO257" s="824"/>
      <c r="AP257" s="824"/>
      <c r="AQ257" s="824"/>
      <c r="AR257" s="824"/>
      <c r="AS257" s="824"/>
      <c r="AT257" s="824"/>
      <c r="AU257" s="166"/>
      <c r="AV257" s="166"/>
      <c r="AW257" s="166"/>
      <c r="AX257" s="166"/>
      <c r="AY257" s="166"/>
      <c r="AZ257" s="166"/>
      <c r="BA257" s="166"/>
      <c r="BB257" s="166"/>
      <c r="BC257" s="166"/>
      <c r="BD257" s="166"/>
      <c r="BE257" s="166"/>
      <c r="BF257" s="166"/>
      <c r="BG257" s="166"/>
      <c r="BH257" s="166"/>
      <c r="BI257" s="166"/>
      <c r="BJ257" s="166"/>
      <c r="BK257" s="166"/>
      <c r="BL257" s="166"/>
      <c r="BM257" s="166"/>
      <c r="BN257" s="166"/>
    </row>
    <row r="258" spans="2:66" ht="14.4" x14ac:dyDescent="0.25">
      <c r="B258" s="835" t="s">
        <v>397</v>
      </c>
      <c r="C258" s="818"/>
      <c r="D258" s="818"/>
      <c r="E258" s="818"/>
      <c r="F258" s="818"/>
      <c r="G258" s="818"/>
      <c r="H258" s="818"/>
      <c r="I258" s="818"/>
      <c r="J258" s="818"/>
      <c r="K258" s="818"/>
      <c r="L258" s="818"/>
      <c r="M258" s="818"/>
      <c r="N258" s="818"/>
      <c r="O258" s="818"/>
      <c r="P258" s="818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  <c r="AA258" s="818"/>
      <c r="AB258" s="818"/>
      <c r="AC258" s="818"/>
      <c r="AD258" s="818"/>
      <c r="AE258" s="818"/>
      <c r="AF258" s="818"/>
      <c r="AG258" s="818"/>
      <c r="AH258" s="818"/>
      <c r="AI258" s="818"/>
      <c r="AJ258" s="818"/>
      <c r="AK258" s="818"/>
      <c r="AL258" s="818"/>
      <c r="AM258" s="818"/>
      <c r="AN258" s="818"/>
      <c r="AO258" s="818"/>
      <c r="AP258" s="818"/>
      <c r="AQ258" s="818"/>
      <c r="AR258" s="818"/>
      <c r="AS258" s="818"/>
      <c r="AT258" s="819"/>
      <c r="AU258" s="166"/>
      <c r="AV258" s="166"/>
      <c r="AW258" s="166"/>
      <c r="AX258" s="166"/>
      <c r="AY258" s="166"/>
      <c r="AZ258" s="166"/>
      <c r="BA258" s="166"/>
      <c r="BB258" s="166"/>
      <c r="BC258" s="166"/>
      <c r="BD258" s="166"/>
      <c r="BE258" s="166"/>
      <c r="BF258" s="166"/>
      <c r="BG258" s="166"/>
      <c r="BH258" s="166"/>
      <c r="BI258" s="166"/>
      <c r="BJ258" s="166"/>
      <c r="BK258" s="166"/>
      <c r="BL258" s="166"/>
      <c r="BM258" s="166"/>
      <c r="BN258" s="166"/>
    </row>
    <row r="259" spans="2:66" x14ac:dyDescent="0.25">
      <c r="B259" s="836" t="s">
        <v>442</v>
      </c>
      <c r="C259" s="268">
        <v>0</v>
      </c>
      <c r="D259" s="268">
        <v>0</v>
      </c>
      <c r="E259" s="268">
        <v>0</v>
      </c>
      <c r="F259" s="268">
        <v>0</v>
      </c>
      <c r="G259" s="178">
        <f>G256</f>
        <v>1979976.0308554908</v>
      </c>
      <c r="H259" s="178">
        <f t="shared" ref="H259:AT259" si="565">H256</f>
        <v>3568137.2067105225</v>
      </c>
      <c r="I259" s="178">
        <f t="shared" si="565"/>
        <v>3871801.1729912204</v>
      </c>
      <c r="J259" s="178">
        <f t="shared" si="565"/>
        <v>3869420.0196516262</v>
      </c>
      <c r="K259" s="178">
        <f t="shared" si="565"/>
        <v>-1335930.5966516146</v>
      </c>
      <c r="L259" s="178">
        <f t="shared" si="565"/>
        <v>4153360.0623026062</v>
      </c>
      <c r="M259" s="178">
        <f t="shared" si="565"/>
        <v>4457580.9551257305</v>
      </c>
      <c r="N259" s="178">
        <f t="shared" si="565"/>
        <v>4413090.1881711632</v>
      </c>
      <c r="O259" s="178">
        <f t="shared" si="565"/>
        <v>4691612.2227989957</v>
      </c>
      <c r="P259" s="178">
        <f t="shared" si="565"/>
        <v>-1390322.0038198922</v>
      </c>
      <c r="Q259" s="178">
        <f t="shared" si="565"/>
        <v>4936834.8788237758</v>
      </c>
      <c r="R259" s="178">
        <f t="shared" si="565"/>
        <v>4887021.2965117591</v>
      </c>
      <c r="S259" s="178">
        <f t="shared" si="565"/>
        <v>5151426.984716231</v>
      </c>
      <c r="T259" s="178">
        <f t="shared" si="565"/>
        <v>5056401.1635715347</v>
      </c>
      <c r="U259" s="178">
        <f t="shared" si="565"/>
        <v>-1300021.5741564482</v>
      </c>
      <c r="V259" s="178">
        <f t="shared" si="565"/>
        <v>5230982.3688117666</v>
      </c>
      <c r="W259" s="178">
        <f t="shared" si="565"/>
        <v>5515688.5947577152</v>
      </c>
      <c r="X259" s="178">
        <f t="shared" si="565"/>
        <v>5482232.7348921774</v>
      </c>
      <c r="Y259" s="178">
        <f t="shared" si="565"/>
        <v>5854759.1045885328</v>
      </c>
      <c r="Z259" s="178">
        <f t="shared" si="565"/>
        <v>-1466678.2664252073</v>
      </c>
      <c r="AA259" s="178">
        <f t="shared" si="565"/>
        <v>6211640.8495285017</v>
      </c>
      <c r="AB259" s="178">
        <f t="shared" si="565"/>
        <v>6173252.65440787</v>
      </c>
      <c r="AC259" s="178">
        <f t="shared" si="565"/>
        <v>6503915.8342483528</v>
      </c>
      <c r="AD259" s="178">
        <f t="shared" si="565"/>
        <v>6379549.2035392206</v>
      </c>
      <c r="AE259" s="178">
        <f t="shared" si="565"/>
        <v>-1282668.0304336417</v>
      </c>
      <c r="AF259" s="178">
        <f t="shared" si="565"/>
        <v>6591769.4016288165</v>
      </c>
      <c r="AG259" s="178">
        <f t="shared" si="565"/>
        <v>6947197.2616158118</v>
      </c>
      <c r="AH259" s="178">
        <f t="shared" si="565"/>
        <v>6810017.1921002017</v>
      </c>
      <c r="AI259" s="178">
        <f t="shared" si="565"/>
        <v>7178478.1498491662</v>
      </c>
      <c r="AJ259" s="178">
        <f t="shared" si="565"/>
        <v>-1761164.5692854896</v>
      </c>
      <c r="AK259" s="178">
        <f t="shared" si="565"/>
        <v>7416339.1608053884</v>
      </c>
      <c r="AL259" s="178">
        <f t="shared" si="565"/>
        <v>7264993.5370210502</v>
      </c>
      <c r="AM259" s="178">
        <f t="shared" si="565"/>
        <v>7660890.8327665189</v>
      </c>
      <c r="AN259" s="178">
        <f t="shared" si="565"/>
        <v>7501910.424098718</v>
      </c>
      <c r="AO259" s="178">
        <f t="shared" si="565"/>
        <v>-1751892.1105081644</v>
      </c>
      <c r="AP259" s="178">
        <f t="shared" si="565"/>
        <v>7745230.2752887756</v>
      </c>
      <c r="AQ259" s="178">
        <f t="shared" si="565"/>
        <v>8170486.0980568435</v>
      </c>
      <c r="AR259" s="178">
        <f t="shared" si="565"/>
        <v>7995033.592268697</v>
      </c>
      <c r="AS259" s="178">
        <f t="shared" si="565"/>
        <v>8435726.4789497387</v>
      </c>
      <c r="AT259" s="265">
        <f t="shared" si="565"/>
        <v>-2367087.6044980437</v>
      </c>
      <c r="AU259" s="166"/>
      <c r="AV259" s="166"/>
      <c r="AW259" s="166"/>
      <c r="AX259" s="166"/>
      <c r="AY259" s="166"/>
      <c r="AZ259" s="166"/>
      <c r="BA259" s="166"/>
      <c r="BB259" s="166"/>
      <c r="BC259" s="166"/>
      <c r="BD259" s="166"/>
      <c r="BE259" s="166"/>
      <c r="BF259" s="166"/>
      <c r="BG259" s="166"/>
      <c r="BH259" s="166"/>
      <c r="BI259" s="166"/>
      <c r="BJ259" s="166"/>
      <c r="BK259" s="166"/>
      <c r="BL259" s="166"/>
      <c r="BM259" s="166"/>
      <c r="BN259" s="166"/>
    </row>
    <row r="260" spans="2:66" x14ac:dyDescent="0.25">
      <c r="B260" s="836" t="s">
        <v>440</v>
      </c>
      <c r="C260" s="268">
        <v>0</v>
      </c>
      <c r="D260" s="268">
        <v>0</v>
      </c>
      <c r="E260" s="268">
        <v>0</v>
      </c>
      <c r="F260" s="268">
        <v>0</v>
      </c>
      <c r="G260" s="178">
        <f>IF(G259&gt;0,-$C$23*G259,0)</f>
        <v>0</v>
      </c>
      <c r="H260" s="178">
        <f t="shared" ref="H260" si="566">IF(H259&gt;0,-$C$23*H259,0)</f>
        <v>0</v>
      </c>
      <c r="I260" s="178">
        <f t="shared" ref="I260" si="567">IF(I259&gt;0,-$C$23*I259,0)</f>
        <v>0</v>
      </c>
      <c r="J260" s="178">
        <f t="shared" ref="J260" si="568">IF(J259&gt;0,-$C$23*J259,0)</f>
        <v>0</v>
      </c>
      <c r="K260" s="178">
        <f t="shared" ref="K260" si="569">IF(K259&gt;0,-$C$23*K259,0)</f>
        <v>0</v>
      </c>
      <c r="L260" s="178">
        <f t="shared" ref="L260" si="570">IF(L259&gt;0,-$C$23*L259,0)</f>
        <v>0</v>
      </c>
      <c r="M260" s="178">
        <f t="shared" ref="M260" si="571">IF(M259&gt;0,-$C$23*M259,0)</f>
        <v>0</v>
      </c>
      <c r="N260" s="178">
        <f t="shared" ref="N260" si="572">IF(N259&gt;0,-$C$23*N259,0)</f>
        <v>0</v>
      </c>
      <c r="O260" s="178">
        <f t="shared" ref="O260" si="573">IF(O259&gt;0,-$C$23*O259,0)</f>
        <v>0</v>
      </c>
      <c r="P260" s="178">
        <f t="shared" ref="P260" si="574">IF(P259&gt;0,-$C$23*P259,0)</f>
        <v>0</v>
      </c>
      <c r="Q260" s="178">
        <f t="shared" ref="Q260" si="575">IF(Q259&gt;0,-$C$23*Q259,0)</f>
        <v>0</v>
      </c>
      <c r="R260" s="178">
        <f t="shared" ref="R260" si="576">IF(R259&gt;0,-$C$23*R259,0)</f>
        <v>0</v>
      </c>
      <c r="S260" s="178">
        <f t="shared" ref="S260" si="577">IF(S259&gt;0,-$C$23*S259,0)</f>
        <v>0</v>
      </c>
      <c r="T260" s="178">
        <f t="shared" ref="T260" si="578">IF(T259&gt;0,-$C$23*T259,0)</f>
        <v>0</v>
      </c>
      <c r="U260" s="178">
        <f t="shared" ref="U260" si="579">IF(U259&gt;0,-$C$23*U259,0)</f>
        <v>0</v>
      </c>
      <c r="V260" s="178">
        <f t="shared" ref="V260" si="580">IF(V259&gt;0,-$C$23*V259,0)</f>
        <v>0</v>
      </c>
      <c r="W260" s="178">
        <f t="shared" ref="W260" si="581">IF(W259&gt;0,-$C$23*W259,0)</f>
        <v>0</v>
      </c>
      <c r="X260" s="178">
        <f t="shared" ref="X260" si="582">IF(X259&gt;0,-$C$23*X259,0)</f>
        <v>0</v>
      </c>
      <c r="Y260" s="178">
        <f t="shared" ref="Y260" si="583">IF(Y259&gt;0,-$C$23*Y259,0)</f>
        <v>0</v>
      </c>
      <c r="Z260" s="178">
        <f t="shared" ref="Z260" si="584">IF(Z259&gt;0,-$C$23*Z259,0)</f>
        <v>0</v>
      </c>
      <c r="AA260" s="178">
        <f t="shared" ref="AA260" si="585">IF(AA259&gt;0,-$C$23*AA259,0)</f>
        <v>0</v>
      </c>
      <c r="AB260" s="178">
        <f t="shared" ref="AB260" si="586">IF(AB259&gt;0,-$C$23*AB259,0)</f>
        <v>0</v>
      </c>
      <c r="AC260" s="178">
        <f t="shared" ref="AC260" si="587">IF(AC259&gt;0,-$C$23*AC259,0)</f>
        <v>0</v>
      </c>
      <c r="AD260" s="178">
        <f t="shared" ref="AD260" si="588">IF(AD259&gt;0,-$C$23*AD259,0)</f>
        <v>0</v>
      </c>
      <c r="AE260" s="178">
        <f t="shared" ref="AE260" si="589">IF(AE259&gt;0,-$C$23*AE259,0)</f>
        <v>0</v>
      </c>
      <c r="AF260" s="178">
        <f t="shared" ref="AF260" si="590">IF(AF259&gt;0,-$C$23*AF259,0)</f>
        <v>0</v>
      </c>
      <c r="AG260" s="178">
        <f t="shared" ref="AG260" si="591">IF(AG259&gt;0,-$C$23*AG259,0)</f>
        <v>0</v>
      </c>
      <c r="AH260" s="178">
        <f t="shared" ref="AH260" si="592">IF(AH259&gt;0,-$C$23*AH259,0)</f>
        <v>0</v>
      </c>
      <c r="AI260" s="178">
        <f t="shared" ref="AI260" si="593">IF(AI259&gt;0,-$C$23*AI259,0)</f>
        <v>0</v>
      </c>
      <c r="AJ260" s="178">
        <f t="shared" ref="AJ260" si="594">IF(AJ259&gt;0,-$C$23*AJ259,0)</f>
        <v>0</v>
      </c>
      <c r="AK260" s="178">
        <f t="shared" ref="AK260" si="595">IF(AK259&gt;0,-$C$23*AK259,0)</f>
        <v>0</v>
      </c>
      <c r="AL260" s="178">
        <f t="shared" ref="AL260" si="596">IF(AL259&gt;0,-$C$23*AL259,0)</f>
        <v>0</v>
      </c>
      <c r="AM260" s="178">
        <f t="shared" ref="AM260" si="597">IF(AM259&gt;0,-$C$23*AM259,0)</f>
        <v>0</v>
      </c>
      <c r="AN260" s="178">
        <f t="shared" ref="AN260" si="598">IF(AN259&gt;0,-$C$23*AN259,0)</f>
        <v>0</v>
      </c>
      <c r="AO260" s="178">
        <f t="shared" ref="AO260" si="599">IF(AO259&gt;0,-$C$23*AO259,0)</f>
        <v>0</v>
      </c>
      <c r="AP260" s="178">
        <f t="shared" ref="AP260" si="600">IF(AP259&gt;0,-$C$23*AP259,0)</f>
        <v>0</v>
      </c>
      <c r="AQ260" s="178">
        <f t="shared" ref="AQ260" si="601">IF(AQ259&gt;0,-$C$23*AQ259,0)</f>
        <v>0</v>
      </c>
      <c r="AR260" s="178">
        <f t="shared" ref="AR260" si="602">IF(AR259&gt;0,-$C$23*AR259,0)</f>
        <v>0</v>
      </c>
      <c r="AS260" s="178">
        <f t="shared" ref="AS260" si="603">IF(AS259&gt;0,-$C$23*AS259,0)</f>
        <v>0</v>
      </c>
      <c r="AT260" s="265">
        <f t="shared" ref="AT260" si="604">IF(AT259&gt;0,-$C$23*AT259,0)</f>
        <v>0</v>
      </c>
      <c r="AU260" s="166"/>
      <c r="AV260" s="166"/>
      <c r="AW260" s="166"/>
      <c r="AX260" s="166"/>
      <c r="AY260" s="166"/>
      <c r="AZ260" s="166"/>
      <c r="BA260" s="166"/>
      <c r="BB260" s="166"/>
      <c r="BC260" s="166"/>
      <c r="BD260" s="166"/>
      <c r="BE260" s="166"/>
      <c r="BF260" s="166"/>
      <c r="BG260" s="166"/>
      <c r="BH260" s="166"/>
      <c r="BI260" s="166"/>
      <c r="BJ260" s="166"/>
      <c r="BK260" s="166"/>
      <c r="BL260" s="166"/>
      <c r="BM260" s="166"/>
      <c r="BN260" s="166"/>
    </row>
    <row r="261" spans="2:66" ht="14.4" x14ac:dyDescent="0.25">
      <c r="B261" s="840" t="s">
        <v>175</v>
      </c>
      <c r="C261" s="800">
        <v>0</v>
      </c>
      <c r="D261" s="800">
        <v>0</v>
      </c>
      <c r="E261" s="800">
        <v>0</v>
      </c>
      <c r="F261" s="800">
        <v>0</v>
      </c>
      <c r="G261" s="261">
        <f>G243</f>
        <v>-3662844.258584829</v>
      </c>
      <c r="H261" s="261">
        <f t="shared" ref="H261:AT261" si="605">H243</f>
        <v>-3662844.258584829</v>
      </c>
      <c r="I261" s="261">
        <f t="shared" si="605"/>
        <v>-3662844.258584829</v>
      </c>
      <c r="J261" s="261">
        <f t="shared" si="605"/>
        <v>-3662844.258584829</v>
      </c>
      <c r="K261" s="261">
        <f t="shared" si="605"/>
        <v>-3662844.258584829</v>
      </c>
      <c r="L261" s="261">
        <f t="shared" si="605"/>
        <v>-3458479.3385100355</v>
      </c>
      <c r="M261" s="261">
        <f t="shared" si="605"/>
        <v>-3458479.3385100355</v>
      </c>
      <c r="N261" s="261">
        <f t="shared" si="605"/>
        <v>-3458479.3385100355</v>
      </c>
      <c r="O261" s="261">
        <f t="shared" si="605"/>
        <v>-3458479.3385100355</v>
      </c>
      <c r="P261" s="261">
        <f t="shared" si="605"/>
        <v>-3458479.3385100355</v>
      </c>
      <c r="Q261" s="261">
        <f t="shared" si="605"/>
        <v>-2975390.0050588157</v>
      </c>
      <c r="R261" s="261">
        <f t="shared" si="605"/>
        <v>-3593938.4099967871</v>
      </c>
      <c r="S261" s="261">
        <f t="shared" si="605"/>
        <v>-3593938.4099967871</v>
      </c>
      <c r="T261" s="261">
        <f t="shared" si="605"/>
        <v>-3593938.4099967871</v>
      </c>
      <c r="U261" s="261">
        <f t="shared" si="605"/>
        <v>-3593938.4099967871</v>
      </c>
      <c r="V261" s="261">
        <f t="shared" si="605"/>
        <v>-2747877.6604548013</v>
      </c>
      <c r="W261" s="261">
        <f t="shared" si="605"/>
        <v>-2747877.6604548013</v>
      </c>
      <c r="X261" s="261">
        <f t="shared" si="605"/>
        <v>-3923124.2349758497</v>
      </c>
      <c r="Y261" s="261">
        <f t="shared" si="605"/>
        <v>-3923124.2349758497</v>
      </c>
      <c r="Z261" s="261">
        <f t="shared" si="605"/>
        <v>-3923124.2349758497</v>
      </c>
      <c r="AA261" s="261">
        <f t="shared" si="605"/>
        <v>-3923124.2349758497</v>
      </c>
      <c r="AB261" s="261">
        <f t="shared" si="605"/>
        <v>-3923124.2349758497</v>
      </c>
      <c r="AC261" s="261">
        <f t="shared" si="605"/>
        <v>-4072116.8612129036</v>
      </c>
      <c r="AD261" s="261">
        <f t="shared" si="605"/>
        <v>-4072116.8612129036</v>
      </c>
      <c r="AE261" s="261">
        <f t="shared" si="605"/>
        <v>-4072116.8612129036</v>
      </c>
      <c r="AF261" s="261">
        <f t="shared" si="605"/>
        <v>-4072116.8612129036</v>
      </c>
      <c r="AG261" s="261">
        <f t="shared" si="605"/>
        <v>-4072116.8612129036</v>
      </c>
      <c r="AH261" s="261">
        <f t="shared" si="605"/>
        <v>-4072116.8612129036</v>
      </c>
      <c r="AI261" s="261">
        <f t="shared" si="605"/>
        <v>-4072116.8612129036</v>
      </c>
      <c r="AJ261" s="261">
        <f t="shared" si="605"/>
        <v>-4072116.8612129036</v>
      </c>
      <c r="AK261" s="261">
        <f t="shared" si="605"/>
        <v>-4072116.8612129036</v>
      </c>
      <c r="AL261" s="261">
        <f t="shared" si="605"/>
        <v>-4072116.8612129036</v>
      </c>
      <c r="AM261" s="261">
        <f t="shared" si="605"/>
        <v>-2896870.2866918552</v>
      </c>
      <c r="AN261" s="261">
        <f t="shared" si="605"/>
        <v>-2129329.2555168299</v>
      </c>
      <c r="AO261" s="261">
        <f t="shared" si="605"/>
        <v>-4535185.9019710924</v>
      </c>
      <c r="AP261" s="261">
        <f t="shared" si="605"/>
        <v>-4535185.9019710924</v>
      </c>
      <c r="AQ261" s="261">
        <f t="shared" si="605"/>
        <v>-4535185.9019710924</v>
      </c>
      <c r="AR261" s="261">
        <f t="shared" si="605"/>
        <v>-4535185.9019710924</v>
      </c>
      <c r="AS261" s="261">
        <f t="shared" si="605"/>
        <v>-4535185.9019710924</v>
      </c>
      <c r="AT261" s="266">
        <f t="shared" si="605"/>
        <v>-4535185.9019710924</v>
      </c>
      <c r="AU261" s="166"/>
      <c r="AV261" s="166"/>
      <c r="AW261" s="166"/>
      <c r="AX261" s="166"/>
      <c r="AY261" s="166"/>
      <c r="AZ261" s="166"/>
      <c r="BA261" s="166"/>
      <c r="BB261" s="166"/>
      <c r="BC261" s="166"/>
      <c r="BD261" s="166"/>
      <c r="BE261" s="166"/>
      <c r="BF261" s="166"/>
      <c r="BG261" s="166"/>
      <c r="BH261" s="166"/>
      <c r="BI261" s="166"/>
      <c r="BJ261" s="166"/>
      <c r="BK261" s="166"/>
      <c r="BL261" s="166"/>
      <c r="BM261" s="166"/>
      <c r="BN261" s="166"/>
    </row>
    <row r="262" spans="2:66" x14ac:dyDescent="0.25">
      <c r="B262" s="836" t="s">
        <v>444</v>
      </c>
      <c r="C262" s="268">
        <v>0</v>
      </c>
      <c r="D262" s="268">
        <v>0</v>
      </c>
      <c r="E262" s="268">
        <v>0</v>
      </c>
      <c r="F262" s="268">
        <v>0</v>
      </c>
      <c r="G262" s="178">
        <f t="shared" ref="G262" si="606">G259+G260+G261</f>
        <v>-1682868.2277293382</v>
      </c>
      <c r="H262" s="178">
        <f t="shared" ref="H262" si="607">H259+H260+H261</f>
        <v>-94707.051874306519</v>
      </c>
      <c r="I262" s="178">
        <f t="shared" ref="I262" si="608">I259+I260+I261</f>
        <v>208956.91440639133</v>
      </c>
      <c r="J262" s="178">
        <f t="shared" ref="J262" si="609">J259+J260+J261</f>
        <v>206575.76106679719</v>
      </c>
      <c r="K262" s="178">
        <f t="shared" ref="K262" si="610">K259+K260+K261</f>
        <v>-4998774.8552364437</v>
      </c>
      <c r="L262" s="178">
        <f t="shared" ref="L262" si="611">L259+L260+L261</f>
        <v>694880.72379257064</v>
      </c>
      <c r="M262" s="178">
        <f t="shared" ref="M262" si="612">M259+M260+M261</f>
        <v>999101.61661569495</v>
      </c>
      <c r="N262" s="178">
        <f t="shared" ref="N262" si="613">N259+N260+N261</f>
        <v>954610.84966112766</v>
      </c>
      <c r="O262" s="178">
        <f t="shared" ref="O262" si="614">O259+O260+O261</f>
        <v>1233132.8842889601</v>
      </c>
      <c r="P262" s="178">
        <f t="shared" ref="P262" si="615">P259+P260+P261</f>
        <v>-4848801.3423299277</v>
      </c>
      <c r="Q262" s="178">
        <f t="shared" ref="Q262" si="616">Q259+Q260+Q261</f>
        <v>1961444.8737649601</v>
      </c>
      <c r="R262" s="178">
        <f t="shared" ref="R262" si="617">R259+R260+R261</f>
        <v>1293082.886514972</v>
      </c>
      <c r="S262" s="178">
        <f t="shared" ref="S262" si="618">S259+S260+S261</f>
        <v>1557488.5747194439</v>
      </c>
      <c r="T262" s="178">
        <f t="shared" ref="T262" si="619">T259+T260+T261</f>
        <v>1462462.7535747476</v>
      </c>
      <c r="U262" s="178">
        <f t="shared" ref="U262" si="620">U259+U260+U261</f>
        <v>-4893959.9841532353</v>
      </c>
      <c r="V262" s="178">
        <f t="shared" ref="V262" si="621">V259+V260+V261</f>
        <v>2483104.7083569653</v>
      </c>
      <c r="W262" s="178">
        <f t="shared" ref="W262" si="622">W259+W260+W261</f>
        <v>2767810.934302914</v>
      </c>
      <c r="X262" s="178">
        <f t="shared" ref="X262" si="623">X259+X260+X261</f>
        <v>1559108.4999163277</v>
      </c>
      <c r="Y262" s="178">
        <f t="shared" ref="Y262" si="624">Y259+Y260+Y261</f>
        <v>1931634.8696126831</v>
      </c>
      <c r="Z262" s="178">
        <f t="shared" ref="Z262" si="625">Z259+Z260+Z261</f>
        <v>-5389802.5014010575</v>
      </c>
      <c r="AA262" s="178">
        <f t="shared" ref="AA262" si="626">AA259+AA260+AA261</f>
        <v>2288516.614552652</v>
      </c>
      <c r="AB262" s="178">
        <f t="shared" ref="AB262" si="627">AB259+AB260+AB261</f>
        <v>2250128.4194320203</v>
      </c>
      <c r="AC262" s="178">
        <f t="shared" ref="AC262" si="628">AC259+AC260+AC261</f>
        <v>2431798.9730354492</v>
      </c>
      <c r="AD262" s="178">
        <f t="shared" ref="AD262" si="629">AD259+AD260+AD261</f>
        <v>2307432.342326317</v>
      </c>
      <c r="AE262" s="178">
        <f t="shared" ref="AE262" si="630">AE259+AE260+AE261</f>
        <v>-5354784.8916465454</v>
      </c>
      <c r="AF262" s="178">
        <f t="shared" ref="AF262" si="631">AF259+AF260+AF261</f>
        <v>2519652.5404159129</v>
      </c>
      <c r="AG262" s="178">
        <f t="shared" ref="AG262" si="632">AG259+AG260+AG261</f>
        <v>2875080.4004029082</v>
      </c>
      <c r="AH262" s="178">
        <f t="shared" ref="AH262" si="633">AH259+AH260+AH261</f>
        <v>2737900.3308872981</v>
      </c>
      <c r="AI262" s="178">
        <f t="shared" ref="AI262" si="634">AI259+AI260+AI261</f>
        <v>3106361.2886362625</v>
      </c>
      <c r="AJ262" s="178">
        <f t="shared" ref="AJ262" si="635">AJ259+AJ260+AJ261</f>
        <v>-5833281.4304983933</v>
      </c>
      <c r="AK262" s="178">
        <f t="shared" ref="AK262" si="636">AK259+AK260+AK261</f>
        <v>3344222.2995924847</v>
      </c>
      <c r="AL262" s="178">
        <f t="shared" ref="AL262" si="637">AL259+AL260+AL261</f>
        <v>3192876.6758081466</v>
      </c>
      <c r="AM262" s="178">
        <f t="shared" ref="AM262" si="638">AM259+AM260+AM261</f>
        <v>4764020.5460746642</v>
      </c>
      <c r="AN262" s="178">
        <f t="shared" ref="AN262" si="639">AN259+AN260+AN261</f>
        <v>5372581.1685818881</v>
      </c>
      <c r="AO262" s="178">
        <f t="shared" ref="AO262" si="640">AO259+AO260+AO261</f>
        <v>-6287078.0124792568</v>
      </c>
      <c r="AP262" s="178">
        <f t="shared" ref="AP262" si="641">AP259+AP260+AP261</f>
        <v>3210044.3733176831</v>
      </c>
      <c r="AQ262" s="178">
        <f t="shared" ref="AQ262" si="642">AQ259+AQ260+AQ261</f>
        <v>3635300.1960857511</v>
      </c>
      <c r="AR262" s="178">
        <f t="shared" ref="AR262" si="643">AR259+AR260+AR261</f>
        <v>3459847.6902976045</v>
      </c>
      <c r="AS262" s="178">
        <f t="shared" ref="AS262" si="644">AS259+AS260+AS261</f>
        <v>3900540.5769786462</v>
      </c>
      <c r="AT262" s="265">
        <f t="shared" ref="AT262" si="645">AT259+AT260+AT261</f>
        <v>-6902273.5064691361</v>
      </c>
      <c r="AU262" s="166"/>
      <c r="AV262" s="166"/>
      <c r="AW262" s="166"/>
      <c r="AX262" s="166"/>
      <c r="AY262" s="166"/>
      <c r="AZ262" s="166"/>
      <c r="BA262" s="166"/>
      <c r="BB262" s="166"/>
      <c r="BC262" s="166"/>
      <c r="BD262" s="166"/>
      <c r="BE262" s="166"/>
      <c r="BF262" s="166"/>
      <c r="BG262" s="166"/>
      <c r="BH262" s="166"/>
      <c r="BI262" s="166"/>
      <c r="BJ262" s="166"/>
      <c r="BK262" s="166"/>
      <c r="BL262" s="166"/>
      <c r="BM262" s="166"/>
      <c r="BN262" s="166"/>
    </row>
    <row r="263" spans="2:66" x14ac:dyDescent="0.25">
      <c r="B263" s="836" t="s">
        <v>443</v>
      </c>
      <c r="C263" s="268">
        <v>0</v>
      </c>
      <c r="D263" s="268">
        <v>0</v>
      </c>
      <c r="E263" s="268">
        <v>0</v>
      </c>
      <c r="F263" s="268">
        <v>0</v>
      </c>
      <c r="G263" s="178">
        <f>IF(G262&gt;0,-$C$24*G262,0)</f>
        <v>0</v>
      </c>
      <c r="H263" s="178">
        <f t="shared" ref="H263" si="646">IF(H262&gt;0,-$C$24*H262,0)</f>
        <v>0</v>
      </c>
      <c r="I263" s="178">
        <f t="shared" ref="I263" si="647">IF(I262&gt;0,-$C$24*I262,0)</f>
        <v>-73134.920042236961</v>
      </c>
      <c r="J263" s="178">
        <f t="shared" ref="J263" si="648">IF(J262&gt;0,-$C$24*J262,0)</f>
        <v>-72301.51637337901</v>
      </c>
      <c r="K263" s="178">
        <f t="shared" ref="K263" si="649">IF(K262&gt;0,-$C$24*K262,0)</f>
        <v>0</v>
      </c>
      <c r="L263" s="178">
        <f t="shared" ref="L263" si="650">IF(L262&gt;0,-$C$24*L262,0)</f>
        <v>-243208.2533273997</v>
      </c>
      <c r="M263" s="178">
        <f t="shared" ref="M263" si="651">IF(M262&gt;0,-$C$24*M262,0)</f>
        <v>-349685.56581549323</v>
      </c>
      <c r="N263" s="178">
        <f t="shared" ref="N263" si="652">IF(N262&gt;0,-$C$24*N262,0)</f>
        <v>-334113.79738139466</v>
      </c>
      <c r="O263" s="178">
        <f t="shared" ref="O263" si="653">IF(O262&gt;0,-$C$24*O262,0)</f>
        <v>-431596.50950113602</v>
      </c>
      <c r="P263" s="178">
        <f t="shared" ref="P263" si="654">IF(P262&gt;0,-$C$24*P262,0)</f>
        <v>0</v>
      </c>
      <c r="Q263" s="178">
        <f t="shared" ref="Q263" si="655">IF(Q262&gt;0,-$C$24*Q262,0)</f>
        <v>-686505.70581773599</v>
      </c>
      <c r="R263" s="178">
        <f t="shared" ref="R263" si="656">IF(R262&gt;0,-$C$24*R262,0)</f>
        <v>-452579.01028024015</v>
      </c>
      <c r="S263" s="178">
        <f t="shared" ref="S263" si="657">IF(S262&gt;0,-$C$24*S262,0)</f>
        <v>-545121.00115180539</v>
      </c>
      <c r="T263" s="178">
        <f t="shared" ref="T263" si="658">IF(T262&gt;0,-$C$24*T262,0)</f>
        <v>-511861.96375116165</v>
      </c>
      <c r="U263" s="178">
        <f t="shared" ref="U263" si="659">IF(U262&gt;0,-$C$24*U262,0)</f>
        <v>0</v>
      </c>
      <c r="V263" s="178">
        <f t="shared" ref="V263" si="660">IF(V262&gt;0,-$C$24*V262,0)</f>
        <v>-869086.64792493777</v>
      </c>
      <c r="W263" s="178">
        <f t="shared" ref="W263" si="661">IF(W262&gt;0,-$C$24*W262,0)</f>
        <v>-968733.82700601977</v>
      </c>
      <c r="X263" s="178">
        <f t="shared" ref="X263" si="662">IF(X262&gt;0,-$C$24*X262,0)</f>
        <v>-545687.97497071465</v>
      </c>
      <c r="Y263" s="178">
        <f t="shared" ref="Y263" si="663">IF(Y262&gt;0,-$C$24*Y262,0)</f>
        <v>-676072.20436443901</v>
      </c>
      <c r="Z263" s="178">
        <f t="shared" ref="Z263" si="664">IF(Z262&gt;0,-$C$24*Z262,0)</f>
        <v>0</v>
      </c>
      <c r="AA263" s="178">
        <f t="shared" ref="AA263" si="665">IF(AA262&gt;0,-$C$24*AA262,0)</f>
        <v>-800980.81509342813</v>
      </c>
      <c r="AB263" s="178">
        <f t="shared" ref="AB263" si="666">IF(AB262&gt;0,-$C$24*AB262,0)</f>
        <v>-787544.94680120703</v>
      </c>
      <c r="AC263" s="178">
        <f t="shared" ref="AC263" si="667">IF(AC262&gt;0,-$C$24*AC262,0)</f>
        <v>-851129.64056240721</v>
      </c>
      <c r="AD263" s="178">
        <f t="shared" ref="AD263" si="668">IF(AD262&gt;0,-$C$24*AD262,0)</f>
        <v>-807601.31981421087</v>
      </c>
      <c r="AE263" s="178">
        <f t="shared" ref="AE263" si="669">IF(AE262&gt;0,-$C$24*AE262,0)</f>
        <v>0</v>
      </c>
      <c r="AF263" s="178">
        <f t="shared" ref="AF263" si="670">IF(AF262&gt;0,-$C$24*AF262,0)</f>
        <v>-881878.38914556941</v>
      </c>
      <c r="AG263" s="178">
        <f t="shared" ref="AG263" si="671">IF(AG262&gt;0,-$C$24*AG262,0)</f>
        <v>-1006278.1401410179</v>
      </c>
      <c r="AH263" s="178">
        <f t="shared" ref="AH263" si="672">IF(AH262&gt;0,-$C$24*AH262,0)</f>
        <v>-958265.11581055424</v>
      </c>
      <c r="AI263" s="178">
        <f t="shared" ref="AI263" si="673">IF(AI262&gt;0,-$C$24*AI262,0)</f>
        <v>-1087226.4510226918</v>
      </c>
      <c r="AJ263" s="178">
        <f t="shared" ref="AJ263" si="674">IF(AJ262&gt;0,-$C$24*AJ262,0)</f>
        <v>0</v>
      </c>
      <c r="AK263" s="178">
        <f t="shared" ref="AK263" si="675">IF(AK262&gt;0,-$C$24*AK262,0)</f>
        <v>-1170477.8048573695</v>
      </c>
      <c r="AL263" s="178">
        <f t="shared" ref="AL263" si="676">IF(AL262&gt;0,-$C$24*AL262,0)</f>
        <v>-1117506.8365328512</v>
      </c>
      <c r="AM263" s="178">
        <f t="shared" ref="AM263" si="677">IF(AM262&gt;0,-$C$24*AM262,0)</f>
        <v>-1667407.1911261324</v>
      </c>
      <c r="AN263" s="178">
        <f t="shared" ref="AN263" si="678">IF(AN262&gt;0,-$C$24*AN262,0)</f>
        <v>-1880403.4090036608</v>
      </c>
      <c r="AO263" s="178">
        <f t="shared" ref="AO263" si="679">IF(AO262&gt;0,-$C$24*AO262,0)</f>
        <v>0</v>
      </c>
      <c r="AP263" s="178">
        <f t="shared" ref="AP263" si="680">IF(AP262&gt;0,-$C$24*AP262,0)</f>
        <v>-1123515.530661189</v>
      </c>
      <c r="AQ263" s="178">
        <f t="shared" ref="AQ263" si="681">IF(AQ262&gt;0,-$C$24*AQ262,0)</f>
        <v>-1272355.0686300127</v>
      </c>
      <c r="AR263" s="178">
        <f t="shared" ref="AR263" si="682">IF(AR262&gt;0,-$C$24*AR262,0)</f>
        <v>-1210946.6916041614</v>
      </c>
      <c r="AS263" s="178">
        <f t="shared" ref="AS263" si="683">IF(AS262&gt;0,-$C$24*AS262,0)</f>
        <v>-1365189.201942526</v>
      </c>
      <c r="AT263" s="265">
        <f t="shared" ref="AT263" si="684">IF(AT262&gt;0,-$C$24*AT262,0)</f>
        <v>0</v>
      </c>
      <c r="AU263" s="166"/>
      <c r="AV263" s="166"/>
      <c r="AW263" s="166"/>
      <c r="AX263" s="166"/>
      <c r="AY263" s="166"/>
      <c r="AZ263" s="166"/>
      <c r="BA263" s="166"/>
      <c r="BB263" s="166"/>
      <c r="BC263" s="166"/>
      <c r="BD263" s="166"/>
      <c r="BE263" s="166"/>
      <c r="BF263" s="166"/>
      <c r="BG263" s="166"/>
      <c r="BH263" s="166"/>
      <c r="BI263" s="166"/>
      <c r="BJ263" s="166"/>
      <c r="BK263" s="166"/>
      <c r="BL263" s="166"/>
      <c r="BM263" s="166"/>
      <c r="BN263" s="166"/>
    </row>
    <row r="264" spans="2:66" ht="14.4" x14ac:dyDescent="0.25">
      <c r="B264" s="841" t="s">
        <v>445</v>
      </c>
      <c r="C264" s="801">
        <v>0</v>
      </c>
      <c r="D264" s="801">
        <v>0</v>
      </c>
      <c r="E264" s="801">
        <v>0</v>
      </c>
      <c r="F264" s="801">
        <v>0</v>
      </c>
      <c r="G264" s="262">
        <f>G262+G263</f>
        <v>-1682868.2277293382</v>
      </c>
      <c r="H264" s="262">
        <f t="shared" ref="H264" si="685">H262+H263</f>
        <v>-94707.051874306519</v>
      </c>
      <c r="I264" s="262">
        <f t="shared" ref="I264" si="686">I262+I263</f>
        <v>135821.99436415435</v>
      </c>
      <c r="J264" s="262">
        <f t="shared" ref="J264" si="687">J262+J263</f>
        <v>134274.24469341818</v>
      </c>
      <c r="K264" s="262">
        <f t="shared" ref="K264" si="688">K262+K263</f>
        <v>-4998774.8552364437</v>
      </c>
      <c r="L264" s="262">
        <f t="shared" ref="L264" si="689">L262+L263</f>
        <v>451672.47046517092</v>
      </c>
      <c r="M264" s="262">
        <f t="shared" ref="M264" si="690">M262+M263</f>
        <v>649416.05080020172</v>
      </c>
      <c r="N264" s="262">
        <f t="shared" ref="N264" si="691">N262+N263</f>
        <v>620497.052279733</v>
      </c>
      <c r="O264" s="262">
        <f t="shared" ref="O264" si="692">O262+O263</f>
        <v>801536.37478782411</v>
      </c>
      <c r="P264" s="262">
        <f t="shared" ref="P264" si="693">P262+P263</f>
        <v>-4848801.3423299277</v>
      </c>
      <c r="Q264" s="262">
        <f t="shared" ref="Q264" si="694">Q262+Q263</f>
        <v>1274939.1679472241</v>
      </c>
      <c r="R264" s="262">
        <f t="shared" ref="R264" si="695">R262+R263</f>
        <v>840503.87623473187</v>
      </c>
      <c r="S264" s="262">
        <f t="shared" ref="S264" si="696">S262+S263</f>
        <v>1012367.5735676385</v>
      </c>
      <c r="T264" s="262">
        <f t="shared" ref="T264" si="697">T262+T263</f>
        <v>950600.78982358589</v>
      </c>
      <c r="U264" s="262">
        <f t="shared" ref="U264" si="698">U262+U263</f>
        <v>-4893959.9841532353</v>
      </c>
      <c r="V264" s="262">
        <f t="shared" ref="V264" si="699">V262+V263</f>
        <v>1614018.0604320276</v>
      </c>
      <c r="W264" s="262">
        <f t="shared" ref="W264" si="700">W262+W263</f>
        <v>1799077.1072968943</v>
      </c>
      <c r="X264" s="262">
        <f t="shared" ref="X264" si="701">X262+X263</f>
        <v>1013420.524945613</v>
      </c>
      <c r="Y264" s="262">
        <f t="shared" ref="Y264" si="702">Y262+Y263</f>
        <v>1255562.6652482441</v>
      </c>
      <c r="Z264" s="262">
        <f t="shared" ref="Z264" si="703">Z262+Z263</f>
        <v>-5389802.5014010575</v>
      </c>
      <c r="AA264" s="262">
        <f t="shared" ref="AA264" si="704">AA262+AA263</f>
        <v>1487535.7994592239</v>
      </c>
      <c r="AB264" s="262">
        <f t="shared" ref="AB264" si="705">AB262+AB263</f>
        <v>1462583.4726308133</v>
      </c>
      <c r="AC264" s="262">
        <f t="shared" ref="AC264" si="706">AC262+AC263</f>
        <v>1580669.332473042</v>
      </c>
      <c r="AD264" s="262">
        <f t="shared" ref="AD264" si="707">AD262+AD263</f>
        <v>1499831.0225121062</v>
      </c>
      <c r="AE264" s="262">
        <f t="shared" ref="AE264" si="708">AE262+AE263</f>
        <v>-5354784.8916465454</v>
      </c>
      <c r="AF264" s="262">
        <f t="shared" ref="AF264" si="709">AF262+AF263</f>
        <v>1637774.1512703435</v>
      </c>
      <c r="AG264" s="262">
        <f t="shared" ref="AG264" si="710">AG262+AG263</f>
        <v>1868802.2602618905</v>
      </c>
      <c r="AH264" s="262">
        <f t="shared" ref="AH264" si="711">AH262+AH263</f>
        <v>1779635.2150767439</v>
      </c>
      <c r="AI264" s="262">
        <f t="shared" ref="AI264" si="712">AI262+AI263</f>
        <v>2019134.8376135707</v>
      </c>
      <c r="AJ264" s="262">
        <f t="shared" ref="AJ264" si="713">AJ262+AJ263</f>
        <v>-5833281.4304983933</v>
      </c>
      <c r="AK264" s="262">
        <f t="shared" ref="AK264" si="714">AK262+AK263</f>
        <v>2173744.4947351152</v>
      </c>
      <c r="AL264" s="262">
        <f t="shared" ref="AL264" si="715">AL262+AL263</f>
        <v>2075369.8392752954</v>
      </c>
      <c r="AM264" s="262">
        <f t="shared" ref="AM264" si="716">AM262+AM263</f>
        <v>3096613.3549485318</v>
      </c>
      <c r="AN264" s="262">
        <f t="shared" ref="AN264" si="717">AN262+AN263</f>
        <v>3492177.7595782271</v>
      </c>
      <c r="AO264" s="262">
        <f t="shared" ref="AO264" si="718">AO262+AO263</f>
        <v>-6287078.0124792568</v>
      </c>
      <c r="AP264" s="262">
        <f t="shared" ref="AP264" si="719">AP262+AP263</f>
        <v>2086528.8426564941</v>
      </c>
      <c r="AQ264" s="262">
        <f t="shared" ref="AQ264" si="720">AQ262+AQ263</f>
        <v>2362945.1274557384</v>
      </c>
      <c r="AR264" s="262">
        <f t="shared" ref="AR264" si="721">AR262+AR263</f>
        <v>2248900.9986934429</v>
      </c>
      <c r="AS264" s="262">
        <f t="shared" ref="AS264" si="722">AS262+AS263</f>
        <v>2535351.3750361204</v>
      </c>
      <c r="AT264" s="267">
        <f t="shared" ref="AT264" si="723">AT262+AT263</f>
        <v>-6902273.5064691361</v>
      </c>
      <c r="AU264" s="166"/>
      <c r="AV264" s="166"/>
      <c r="AW264" s="166"/>
      <c r="AX264" s="166"/>
      <c r="AY264" s="166"/>
      <c r="AZ264" s="166"/>
      <c r="BA264" s="166"/>
      <c r="BB264" s="166"/>
      <c r="BC264" s="166"/>
      <c r="BD264" s="166"/>
      <c r="BE264" s="166"/>
      <c r="BF264" s="166"/>
      <c r="BG264" s="166"/>
      <c r="BH264" s="166"/>
      <c r="BI264" s="166"/>
      <c r="BJ264" s="166"/>
      <c r="BK264" s="166"/>
      <c r="BL264" s="166"/>
      <c r="BM264" s="166"/>
      <c r="BN264" s="166"/>
    </row>
    <row r="265" spans="2:66" x14ac:dyDescent="0.25">
      <c r="B265" s="836" t="s">
        <v>446</v>
      </c>
      <c r="C265" s="268">
        <v>0</v>
      </c>
      <c r="D265" s="268">
        <v>0</v>
      </c>
      <c r="E265" s="268">
        <v>0</v>
      </c>
      <c r="F265" s="268">
        <v>0</v>
      </c>
      <c r="G265" s="178">
        <f>-G261</f>
        <v>3662844.258584829</v>
      </c>
      <c r="H265" s="178">
        <f t="shared" ref="H265:AT265" si="724">-H261</f>
        <v>3662844.258584829</v>
      </c>
      <c r="I265" s="178">
        <f t="shared" si="724"/>
        <v>3662844.258584829</v>
      </c>
      <c r="J265" s="178">
        <f t="shared" si="724"/>
        <v>3662844.258584829</v>
      </c>
      <c r="K265" s="178">
        <f t="shared" si="724"/>
        <v>3662844.258584829</v>
      </c>
      <c r="L265" s="178">
        <f t="shared" si="724"/>
        <v>3458479.3385100355</v>
      </c>
      <c r="M265" s="178">
        <f t="shared" si="724"/>
        <v>3458479.3385100355</v>
      </c>
      <c r="N265" s="178">
        <f t="shared" si="724"/>
        <v>3458479.3385100355</v>
      </c>
      <c r="O265" s="178">
        <f t="shared" si="724"/>
        <v>3458479.3385100355</v>
      </c>
      <c r="P265" s="178">
        <f t="shared" si="724"/>
        <v>3458479.3385100355</v>
      </c>
      <c r="Q265" s="178">
        <f t="shared" si="724"/>
        <v>2975390.0050588157</v>
      </c>
      <c r="R265" s="178">
        <f t="shared" si="724"/>
        <v>3593938.4099967871</v>
      </c>
      <c r="S265" s="178">
        <f t="shared" si="724"/>
        <v>3593938.4099967871</v>
      </c>
      <c r="T265" s="178">
        <f t="shared" si="724"/>
        <v>3593938.4099967871</v>
      </c>
      <c r="U265" s="178">
        <f t="shared" si="724"/>
        <v>3593938.4099967871</v>
      </c>
      <c r="V265" s="178">
        <f t="shared" si="724"/>
        <v>2747877.6604548013</v>
      </c>
      <c r="W265" s="178">
        <f t="shared" si="724"/>
        <v>2747877.6604548013</v>
      </c>
      <c r="X265" s="178">
        <f t="shared" si="724"/>
        <v>3923124.2349758497</v>
      </c>
      <c r="Y265" s="178">
        <f t="shared" si="724"/>
        <v>3923124.2349758497</v>
      </c>
      <c r="Z265" s="178">
        <f t="shared" si="724"/>
        <v>3923124.2349758497</v>
      </c>
      <c r="AA265" s="178">
        <f t="shared" si="724"/>
        <v>3923124.2349758497</v>
      </c>
      <c r="AB265" s="178">
        <f t="shared" si="724"/>
        <v>3923124.2349758497</v>
      </c>
      <c r="AC265" s="178">
        <f t="shared" si="724"/>
        <v>4072116.8612129036</v>
      </c>
      <c r="AD265" s="178">
        <f t="shared" si="724"/>
        <v>4072116.8612129036</v>
      </c>
      <c r="AE265" s="178">
        <f t="shared" si="724"/>
        <v>4072116.8612129036</v>
      </c>
      <c r="AF265" s="178">
        <f t="shared" si="724"/>
        <v>4072116.8612129036</v>
      </c>
      <c r="AG265" s="178">
        <f t="shared" si="724"/>
        <v>4072116.8612129036</v>
      </c>
      <c r="AH265" s="178">
        <f t="shared" si="724"/>
        <v>4072116.8612129036</v>
      </c>
      <c r="AI265" s="178">
        <f t="shared" si="724"/>
        <v>4072116.8612129036</v>
      </c>
      <c r="AJ265" s="178">
        <f t="shared" si="724"/>
        <v>4072116.8612129036</v>
      </c>
      <c r="AK265" s="178">
        <f t="shared" si="724"/>
        <v>4072116.8612129036</v>
      </c>
      <c r="AL265" s="178">
        <f t="shared" si="724"/>
        <v>4072116.8612129036</v>
      </c>
      <c r="AM265" s="178">
        <f t="shared" si="724"/>
        <v>2896870.2866918552</v>
      </c>
      <c r="AN265" s="178">
        <f t="shared" si="724"/>
        <v>2129329.2555168299</v>
      </c>
      <c r="AO265" s="178">
        <f t="shared" si="724"/>
        <v>4535185.9019710924</v>
      </c>
      <c r="AP265" s="178">
        <f t="shared" si="724"/>
        <v>4535185.9019710924</v>
      </c>
      <c r="AQ265" s="178">
        <f t="shared" si="724"/>
        <v>4535185.9019710924</v>
      </c>
      <c r="AR265" s="178">
        <f t="shared" si="724"/>
        <v>4535185.9019710924</v>
      </c>
      <c r="AS265" s="178">
        <f t="shared" si="724"/>
        <v>4535185.9019710924</v>
      </c>
      <c r="AT265" s="265">
        <f t="shared" si="724"/>
        <v>4535185.9019710924</v>
      </c>
      <c r="AU265" s="166"/>
      <c r="AV265" s="166"/>
      <c r="AW265" s="166"/>
      <c r="AX265" s="166"/>
      <c r="AY265" s="166"/>
      <c r="AZ265" s="166"/>
      <c r="BA265" s="166"/>
      <c r="BB265" s="166"/>
      <c r="BC265" s="166"/>
      <c r="BD265" s="166"/>
      <c r="BE265" s="166"/>
      <c r="BF265" s="166"/>
      <c r="BG265" s="166"/>
      <c r="BH265" s="166"/>
      <c r="BI265" s="166"/>
      <c r="BJ265" s="166"/>
      <c r="BK265" s="166"/>
      <c r="BL265" s="166"/>
      <c r="BM265" s="166"/>
      <c r="BN265" s="166"/>
    </row>
    <row r="266" spans="2:66" ht="15" thickBot="1" x14ac:dyDescent="0.3">
      <c r="B266" s="842" t="s">
        <v>386</v>
      </c>
      <c r="C266" s="828"/>
      <c r="D266" s="828"/>
      <c r="E266" s="828"/>
      <c r="F266" s="828"/>
      <c r="G266" s="828">
        <f>G264+G265</f>
        <v>1979976.0308554908</v>
      </c>
      <c r="H266" s="828">
        <f t="shared" ref="H266" si="725">H264+H265</f>
        <v>3568137.2067105225</v>
      </c>
      <c r="I266" s="828">
        <f t="shared" ref="I266" si="726">I264+I265</f>
        <v>3798666.2529489836</v>
      </c>
      <c r="J266" s="828">
        <f t="shared" ref="J266" si="727">J264+J265</f>
        <v>3797118.5032782471</v>
      </c>
      <c r="K266" s="828">
        <f t="shared" ref="K266" si="728">K264+K265</f>
        <v>-1335930.5966516146</v>
      </c>
      <c r="L266" s="828">
        <f t="shared" ref="L266" si="729">L264+L265</f>
        <v>3910151.8089752067</v>
      </c>
      <c r="M266" s="828">
        <f t="shared" ref="M266" si="730">M264+M265</f>
        <v>4107895.389310237</v>
      </c>
      <c r="N266" s="828">
        <f t="shared" ref="N266" si="731">N264+N265</f>
        <v>4078976.3907897687</v>
      </c>
      <c r="O266" s="828">
        <f t="shared" ref="O266" si="732">O264+O265</f>
        <v>4260015.7132978598</v>
      </c>
      <c r="P266" s="828">
        <f t="shared" ref="P266" si="733">P264+P265</f>
        <v>-1390322.0038198922</v>
      </c>
      <c r="Q266" s="828">
        <f t="shared" ref="Q266" si="734">Q264+Q265</f>
        <v>4250329.17300604</v>
      </c>
      <c r="R266" s="828">
        <f t="shared" ref="R266" si="735">R264+R265</f>
        <v>4434442.2862315187</v>
      </c>
      <c r="S266" s="828">
        <f t="shared" ref="S266" si="736">S264+S265</f>
        <v>4606305.9835644253</v>
      </c>
      <c r="T266" s="828">
        <f t="shared" ref="T266" si="737">T264+T265</f>
        <v>4544539.1998203732</v>
      </c>
      <c r="U266" s="828">
        <f t="shared" ref="U266" si="738">U264+U265</f>
        <v>-1300021.5741564482</v>
      </c>
      <c r="V266" s="828">
        <f t="shared" ref="V266" si="739">V264+V265</f>
        <v>4361895.7208868284</v>
      </c>
      <c r="W266" s="828">
        <f t="shared" ref="W266" si="740">W264+W265</f>
        <v>4546954.7677516956</v>
      </c>
      <c r="X266" s="828">
        <f t="shared" ref="X266" si="741">X264+X265</f>
        <v>4936544.7599214632</v>
      </c>
      <c r="Y266" s="828">
        <f t="shared" ref="Y266" si="742">Y264+Y265</f>
        <v>5178686.9002240933</v>
      </c>
      <c r="Z266" s="828">
        <f t="shared" ref="Z266" si="743">Z264+Z265</f>
        <v>-1466678.2664252077</v>
      </c>
      <c r="AA266" s="828">
        <f t="shared" ref="AA266" si="744">AA264+AA265</f>
        <v>5410660.0344350738</v>
      </c>
      <c r="AB266" s="828">
        <f t="shared" ref="AB266" si="745">AB264+AB265</f>
        <v>5385707.707606663</v>
      </c>
      <c r="AC266" s="828">
        <f t="shared" ref="AC266" si="746">AC264+AC265</f>
        <v>5652786.1936859451</v>
      </c>
      <c r="AD266" s="828">
        <f t="shared" ref="AD266" si="747">AD264+AD265</f>
        <v>5571947.8837250099</v>
      </c>
      <c r="AE266" s="828">
        <f t="shared" ref="AE266" si="748">AE264+AE265</f>
        <v>-1282668.0304336417</v>
      </c>
      <c r="AF266" s="828">
        <f t="shared" ref="AF266" si="749">AF264+AF265</f>
        <v>5709891.0124832466</v>
      </c>
      <c r="AG266" s="828">
        <f t="shared" ref="AG266" si="750">AG264+AG265</f>
        <v>5940919.1214747941</v>
      </c>
      <c r="AH266" s="828">
        <f t="shared" ref="AH266" si="751">AH264+AH265</f>
        <v>5851752.0762896473</v>
      </c>
      <c r="AI266" s="828">
        <f t="shared" ref="AI266" si="752">AI264+AI265</f>
        <v>6091251.6988264741</v>
      </c>
      <c r="AJ266" s="828">
        <f t="shared" ref="AJ266" si="753">AJ264+AJ265</f>
        <v>-1761164.5692854896</v>
      </c>
      <c r="AK266" s="828">
        <f t="shared" ref="AK266" si="754">AK264+AK265</f>
        <v>6245861.3559480188</v>
      </c>
      <c r="AL266" s="828">
        <f t="shared" ref="AL266" si="755">AL264+AL265</f>
        <v>6147486.7004881985</v>
      </c>
      <c r="AM266" s="828">
        <f t="shared" ref="AM266" si="756">AM264+AM265</f>
        <v>5993483.6416403875</v>
      </c>
      <c r="AN266" s="828">
        <f t="shared" ref="AN266" si="757">AN264+AN265</f>
        <v>5621507.015095057</v>
      </c>
      <c r="AO266" s="828">
        <f t="shared" ref="AO266" si="758">AO264+AO265</f>
        <v>-1751892.1105081644</v>
      </c>
      <c r="AP266" s="828">
        <f t="shared" ref="AP266" si="759">AP264+AP265</f>
        <v>6621714.7446275866</v>
      </c>
      <c r="AQ266" s="828">
        <f t="shared" ref="AQ266" si="760">AQ264+AQ265</f>
        <v>6898131.0294268308</v>
      </c>
      <c r="AR266" s="828">
        <f t="shared" ref="AR266" si="761">AR264+AR265</f>
        <v>6784086.9006645354</v>
      </c>
      <c r="AS266" s="828">
        <f t="shared" ref="AS266" si="762">AS264+AS265</f>
        <v>7070537.2770072129</v>
      </c>
      <c r="AT266" s="829">
        <f t="shared" ref="AT266" si="763">AT264+AT265</f>
        <v>-2367087.6044980437</v>
      </c>
      <c r="AU266" s="166"/>
      <c r="AV266" s="166"/>
      <c r="AW266" s="166"/>
      <c r="AX266" s="166"/>
      <c r="AY266" s="166"/>
      <c r="AZ266" s="166"/>
      <c r="BA266" s="166"/>
      <c r="BB266" s="166"/>
      <c r="BC266" s="166"/>
      <c r="BD266" s="166"/>
      <c r="BE266" s="166"/>
      <c r="BF266" s="166"/>
      <c r="BG266" s="166"/>
      <c r="BH266" s="166"/>
      <c r="BI266" s="166"/>
      <c r="BJ266" s="166"/>
      <c r="BK266" s="166"/>
      <c r="BL266" s="166"/>
      <c r="BM266" s="166"/>
      <c r="BN266" s="166"/>
    </row>
    <row r="267" spans="2:66" ht="15" thickBot="1" x14ac:dyDescent="0.3">
      <c r="B267" s="839"/>
      <c r="C267" s="811"/>
      <c r="D267" s="811"/>
      <c r="E267" s="811"/>
      <c r="F267" s="811"/>
      <c r="G267" s="811"/>
      <c r="H267" s="811"/>
      <c r="I267" s="811"/>
      <c r="J267" s="811"/>
      <c r="K267" s="811"/>
      <c r="L267" s="811"/>
      <c r="M267" s="811"/>
      <c r="N267" s="811"/>
      <c r="O267" s="811"/>
      <c r="P267" s="811"/>
      <c r="Q267" s="811"/>
      <c r="R267" s="811"/>
      <c r="S267" s="811"/>
      <c r="T267" s="811"/>
      <c r="U267" s="811"/>
      <c r="V267" s="811"/>
      <c r="W267" s="811"/>
      <c r="X267" s="811"/>
      <c r="Y267" s="811"/>
      <c r="Z267" s="811"/>
      <c r="AA267" s="811"/>
      <c r="AB267" s="811"/>
      <c r="AC267" s="811"/>
      <c r="AD267" s="811"/>
      <c r="AE267" s="811"/>
      <c r="AF267" s="811"/>
      <c r="AG267" s="811"/>
      <c r="AH267" s="811"/>
      <c r="AI267" s="811"/>
      <c r="AJ267" s="811"/>
      <c r="AK267" s="811"/>
      <c r="AL267" s="811"/>
      <c r="AM267" s="811"/>
      <c r="AN267" s="811"/>
      <c r="AO267" s="811"/>
      <c r="AP267" s="811"/>
      <c r="AQ267" s="811"/>
      <c r="AR267" s="811"/>
      <c r="AS267" s="811"/>
      <c r="AT267" s="811"/>
      <c r="AU267" s="166"/>
      <c r="AV267" s="166"/>
      <c r="AW267" s="166"/>
      <c r="AX267" s="166"/>
      <c r="AY267" s="166"/>
      <c r="AZ267" s="166"/>
      <c r="BA267" s="166"/>
      <c r="BB267" s="166"/>
      <c r="BC267" s="166"/>
      <c r="BD267" s="166"/>
      <c r="BE267" s="166"/>
      <c r="BF267" s="166"/>
      <c r="BG267" s="166"/>
      <c r="BH267" s="166"/>
      <c r="BI267" s="166"/>
      <c r="BJ267" s="166"/>
      <c r="BK267" s="166"/>
      <c r="BL267" s="166"/>
      <c r="BM267" s="166"/>
      <c r="BN267" s="166"/>
    </row>
    <row r="268" spans="2:66" ht="14.4" x14ac:dyDescent="0.25">
      <c r="B268" s="835" t="s">
        <v>447</v>
      </c>
      <c r="C268" s="818"/>
      <c r="D268" s="818"/>
      <c r="E268" s="818"/>
      <c r="F268" s="818"/>
      <c r="G268" s="818"/>
      <c r="H268" s="818"/>
      <c r="I268" s="818"/>
      <c r="J268" s="818"/>
      <c r="K268" s="818"/>
      <c r="L268" s="818"/>
      <c r="M268" s="818"/>
      <c r="N268" s="818"/>
      <c r="O268" s="818"/>
      <c r="P268" s="818"/>
      <c r="Q268" s="818"/>
      <c r="R268" s="818"/>
      <c r="S268" s="818"/>
      <c r="T268" s="818"/>
      <c r="U268" s="818"/>
      <c r="V268" s="818"/>
      <c r="W268" s="818"/>
      <c r="X268" s="818"/>
      <c r="Y268" s="818"/>
      <c r="Z268" s="818"/>
      <c r="AA268" s="818"/>
      <c r="AB268" s="818"/>
      <c r="AC268" s="818"/>
      <c r="AD268" s="818"/>
      <c r="AE268" s="818"/>
      <c r="AF268" s="818"/>
      <c r="AG268" s="818"/>
      <c r="AH268" s="818"/>
      <c r="AI268" s="818"/>
      <c r="AJ268" s="818"/>
      <c r="AK268" s="818"/>
      <c r="AL268" s="818"/>
      <c r="AM268" s="818"/>
      <c r="AN268" s="818"/>
      <c r="AO268" s="818"/>
      <c r="AP268" s="818"/>
      <c r="AQ268" s="818"/>
      <c r="AR268" s="818"/>
      <c r="AS268" s="818"/>
      <c r="AT268" s="819"/>
      <c r="AU268" s="166"/>
      <c r="AV268" s="166"/>
      <c r="AW268" s="166"/>
      <c r="AX268" s="166"/>
      <c r="AY268" s="166"/>
      <c r="AZ268" s="166"/>
      <c r="BA268" s="166"/>
      <c r="BB268" s="166"/>
      <c r="BC268" s="166"/>
      <c r="BD268" s="166"/>
      <c r="BE268" s="166"/>
      <c r="BF268" s="166"/>
      <c r="BG268" s="166"/>
      <c r="BH268" s="166"/>
      <c r="BI268" s="166"/>
      <c r="BJ268" s="166"/>
      <c r="BK268" s="166"/>
      <c r="BL268" s="166"/>
      <c r="BM268" s="166"/>
      <c r="BN268" s="166"/>
    </row>
    <row r="269" spans="2:66" x14ac:dyDescent="0.25">
      <c r="B269" s="836" t="s">
        <v>448</v>
      </c>
      <c r="C269" s="268">
        <f>C193</f>
        <v>-7217680.5455314573</v>
      </c>
      <c r="D269" s="268">
        <f t="shared" ref="D269:F269" si="764">D193</f>
        <v>-25976311.77290494</v>
      </c>
      <c r="E269" s="268">
        <f t="shared" si="764"/>
        <v>-66708323.717887178</v>
      </c>
      <c r="F269" s="268">
        <f t="shared" si="764"/>
        <v>-27380475.56786824</v>
      </c>
      <c r="G269" s="178"/>
      <c r="H269" s="178"/>
      <c r="I269" s="178"/>
      <c r="J269" s="178"/>
      <c r="K269" s="178"/>
      <c r="L269" s="178"/>
      <c r="M269" s="178"/>
      <c r="N269" s="178"/>
      <c r="O269" s="178"/>
      <c r="P269" s="178"/>
      <c r="Q269" s="178"/>
      <c r="R269" s="178"/>
      <c r="S269" s="178"/>
      <c r="T269" s="178"/>
      <c r="U269" s="178"/>
      <c r="V269" s="178"/>
      <c r="W269" s="178"/>
      <c r="X269" s="178"/>
      <c r="Y269" s="178"/>
      <c r="Z269" s="178"/>
      <c r="AA269" s="178"/>
      <c r="AB269" s="178"/>
      <c r="AC269" s="178"/>
      <c r="AD269" s="178"/>
      <c r="AE269" s="178"/>
      <c r="AF269" s="178"/>
      <c r="AG269" s="178"/>
      <c r="AH269" s="178"/>
      <c r="AI269" s="178"/>
      <c r="AJ269" s="178"/>
      <c r="AK269" s="178"/>
      <c r="AL269" s="178"/>
      <c r="AM269" s="178"/>
      <c r="AN269" s="178"/>
      <c r="AO269" s="178"/>
      <c r="AP269" s="178"/>
      <c r="AQ269" s="178"/>
      <c r="AR269" s="178"/>
      <c r="AS269" s="178"/>
      <c r="AT269" s="265"/>
      <c r="AU269" s="166"/>
      <c r="AV269" s="166"/>
      <c r="AW269" s="166"/>
      <c r="AX269" s="166"/>
      <c r="AY269" s="166"/>
      <c r="AZ269" s="166"/>
      <c r="BA269" s="166"/>
      <c r="BB269" s="166"/>
      <c r="BC269" s="166"/>
      <c r="BD269" s="166"/>
      <c r="BE269" s="166"/>
      <c r="BF269" s="166"/>
      <c r="BG269" s="166"/>
      <c r="BH269" s="166"/>
      <c r="BI269" s="166"/>
      <c r="BJ269" s="166"/>
      <c r="BK269" s="166"/>
      <c r="BL269" s="166"/>
      <c r="BM269" s="166"/>
      <c r="BN269" s="166"/>
    </row>
    <row r="270" spans="2:66" x14ac:dyDescent="0.25">
      <c r="B270" s="836" t="s">
        <v>383</v>
      </c>
      <c r="C270" s="178"/>
      <c r="D270" s="178"/>
      <c r="E270" s="178"/>
      <c r="F270" s="178"/>
      <c r="G270" s="268">
        <f t="shared" ref="G270:AT270" si="765">G194</f>
        <v>0</v>
      </c>
      <c r="H270" s="268">
        <f t="shared" si="765"/>
        <v>0</v>
      </c>
      <c r="I270" s="268">
        <f t="shared" si="765"/>
        <v>0</v>
      </c>
      <c r="J270" s="268">
        <f t="shared" si="765"/>
        <v>0</v>
      </c>
      <c r="K270" s="268">
        <f t="shared" si="765"/>
        <v>0</v>
      </c>
      <c r="L270" s="268">
        <f t="shared" si="765"/>
        <v>0</v>
      </c>
      <c r="M270" s="268">
        <f t="shared" si="765"/>
        <v>0</v>
      </c>
      <c r="N270" s="268">
        <f t="shared" si="765"/>
        <v>0</v>
      </c>
      <c r="O270" s="268">
        <f t="shared" si="765"/>
        <v>0</v>
      </c>
      <c r="P270" s="268">
        <f t="shared" si="765"/>
        <v>-2723541.3615541044</v>
      </c>
      <c r="Q270" s="268">
        <f t="shared" si="765"/>
        <v>-3461942.6878256085</v>
      </c>
      <c r="R270" s="268">
        <f t="shared" si="765"/>
        <v>0</v>
      </c>
      <c r="S270" s="268">
        <f t="shared" si="765"/>
        <v>0</v>
      </c>
      <c r="T270" s="268">
        <f t="shared" si="765"/>
        <v>0</v>
      </c>
      <c r="U270" s="268">
        <f t="shared" si="765"/>
        <v>-3273399.4420900545</v>
      </c>
      <c r="V270" s="268">
        <f t="shared" si="765"/>
        <v>-9774797.0868826061</v>
      </c>
      <c r="W270" s="268">
        <f t="shared" si="765"/>
        <v>-4580502.0888430635</v>
      </c>
      <c r="X270" s="268">
        <f t="shared" si="765"/>
        <v>0</v>
      </c>
      <c r="Y270" s="268">
        <f t="shared" si="765"/>
        <v>0</v>
      </c>
      <c r="Z270" s="268">
        <f t="shared" si="765"/>
        <v>0</v>
      </c>
      <c r="AA270" s="268">
        <f t="shared" si="765"/>
        <v>-3379570.3773918124</v>
      </c>
      <c r="AB270" s="268">
        <f t="shared" si="765"/>
        <v>-4295839.9343584403</v>
      </c>
      <c r="AC270" s="268">
        <f t="shared" si="765"/>
        <v>0</v>
      </c>
      <c r="AD270" s="268">
        <f t="shared" si="765"/>
        <v>0</v>
      </c>
      <c r="AE270" s="268">
        <f t="shared" si="765"/>
        <v>0</v>
      </c>
      <c r="AF270" s="268">
        <f t="shared" si="765"/>
        <v>0</v>
      </c>
      <c r="AG270" s="268">
        <f t="shared" si="765"/>
        <v>0</v>
      </c>
      <c r="AH270" s="268">
        <f t="shared" si="765"/>
        <v>0</v>
      </c>
      <c r="AI270" s="268">
        <f t="shared" si="765"/>
        <v>0</v>
      </c>
      <c r="AJ270" s="268">
        <f t="shared" si="765"/>
        <v>0</v>
      </c>
      <c r="AK270" s="268">
        <f t="shared" si="765"/>
        <v>0</v>
      </c>
      <c r="AL270" s="268">
        <f t="shared" si="765"/>
        <v>-8716196.7525265142</v>
      </c>
      <c r="AM270" s="268">
        <f t="shared" si="765"/>
        <v>-18683131.091712683</v>
      </c>
      <c r="AN270" s="268">
        <f t="shared" si="765"/>
        <v>-6282665.206120478</v>
      </c>
      <c r="AO270" s="268">
        <f t="shared" si="765"/>
        <v>0</v>
      </c>
      <c r="AP270" s="268">
        <f t="shared" si="765"/>
        <v>0</v>
      </c>
      <c r="AQ270" s="268">
        <f t="shared" si="765"/>
        <v>0</v>
      </c>
      <c r="AR270" s="268">
        <f t="shared" si="765"/>
        <v>0</v>
      </c>
      <c r="AS270" s="268">
        <f t="shared" si="765"/>
        <v>0</v>
      </c>
      <c r="AT270" s="799">
        <f t="shared" si="765"/>
        <v>0</v>
      </c>
      <c r="AU270" s="166"/>
      <c r="AV270" s="166"/>
      <c r="AW270" s="166"/>
      <c r="AX270" s="166"/>
      <c r="AY270" s="166"/>
      <c r="AZ270" s="166"/>
      <c r="BA270" s="166"/>
      <c r="BB270" s="166"/>
      <c r="BC270" s="166"/>
      <c r="BD270" s="166"/>
      <c r="BE270" s="166"/>
      <c r="BF270" s="166"/>
      <c r="BG270" s="166"/>
      <c r="BH270" s="166"/>
      <c r="BI270" s="166"/>
      <c r="BJ270" s="166"/>
      <c r="BK270" s="166"/>
      <c r="BL270" s="166"/>
      <c r="BM270" s="166"/>
      <c r="BN270" s="166"/>
    </row>
    <row r="271" spans="2:66" x14ac:dyDescent="0.25">
      <c r="B271" s="836" t="s">
        <v>384</v>
      </c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  <c r="Y271" s="178"/>
      <c r="Z271" s="178"/>
      <c r="AA271" s="178"/>
      <c r="AB271" s="178"/>
      <c r="AC271" s="178"/>
      <c r="AD271" s="178"/>
      <c r="AE271" s="178"/>
      <c r="AF271" s="178"/>
      <c r="AG271" s="178"/>
      <c r="AH271" s="178"/>
      <c r="AI271" s="178"/>
      <c r="AJ271" s="758">
        <f>AJ244</f>
        <v>49512401.003238209</v>
      </c>
      <c r="AK271" s="178"/>
      <c r="AL271" s="178"/>
      <c r="AM271" s="178"/>
      <c r="AN271" s="178"/>
      <c r="AO271" s="178"/>
      <c r="AP271" s="178"/>
      <c r="AQ271" s="178"/>
      <c r="AR271" s="178"/>
      <c r="AS271" s="178"/>
      <c r="AT271" s="847">
        <f>AT244</f>
        <v>47624558.670045361</v>
      </c>
      <c r="AU271" s="166"/>
      <c r="AV271" s="166"/>
      <c r="AW271" s="166"/>
      <c r="AX271" s="166"/>
      <c r="AY271" s="166"/>
      <c r="AZ271" s="166"/>
      <c r="BA271" s="166"/>
      <c r="BB271" s="166"/>
      <c r="BC271" s="166"/>
      <c r="BD271" s="166"/>
      <c r="BE271" s="166"/>
      <c r="BF271" s="166"/>
      <c r="BG271" s="166"/>
      <c r="BH271" s="166"/>
      <c r="BI271" s="166"/>
      <c r="BJ271" s="166"/>
      <c r="BK271" s="166"/>
      <c r="BL271" s="166"/>
      <c r="BM271" s="166"/>
      <c r="BN271" s="166"/>
    </row>
    <row r="272" spans="2:66" ht="15" thickBot="1" x14ac:dyDescent="0.3">
      <c r="B272" s="842" t="s">
        <v>385</v>
      </c>
      <c r="C272" s="822">
        <f t="shared" ref="C272:AT272" si="766">C269+C270+C271</f>
        <v>-7217680.5455314573</v>
      </c>
      <c r="D272" s="822">
        <f t="shared" si="766"/>
        <v>-25976311.77290494</v>
      </c>
      <c r="E272" s="822">
        <f t="shared" si="766"/>
        <v>-66708323.717887178</v>
      </c>
      <c r="F272" s="822">
        <f t="shared" si="766"/>
        <v>-27380475.56786824</v>
      </c>
      <c r="G272" s="822">
        <f t="shared" si="766"/>
        <v>0</v>
      </c>
      <c r="H272" s="822">
        <f t="shared" si="766"/>
        <v>0</v>
      </c>
      <c r="I272" s="822">
        <f t="shared" si="766"/>
        <v>0</v>
      </c>
      <c r="J272" s="822">
        <f t="shared" si="766"/>
        <v>0</v>
      </c>
      <c r="K272" s="822">
        <f t="shared" si="766"/>
        <v>0</v>
      </c>
      <c r="L272" s="822">
        <f t="shared" si="766"/>
        <v>0</v>
      </c>
      <c r="M272" s="822">
        <f t="shared" si="766"/>
        <v>0</v>
      </c>
      <c r="N272" s="822">
        <f t="shared" si="766"/>
        <v>0</v>
      </c>
      <c r="O272" s="822">
        <f t="shared" si="766"/>
        <v>0</v>
      </c>
      <c r="P272" s="822">
        <f t="shared" si="766"/>
        <v>-2723541.3615541044</v>
      </c>
      <c r="Q272" s="822">
        <f t="shared" si="766"/>
        <v>-3461942.6878256085</v>
      </c>
      <c r="R272" s="822">
        <f t="shared" si="766"/>
        <v>0</v>
      </c>
      <c r="S272" s="822">
        <f t="shared" si="766"/>
        <v>0</v>
      </c>
      <c r="T272" s="822">
        <f t="shared" si="766"/>
        <v>0</v>
      </c>
      <c r="U272" s="822">
        <f t="shared" si="766"/>
        <v>-3273399.4420900545</v>
      </c>
      <c r="V272" s="822">
        <f t="shared" si="766"/>
        <v>-9774797.0868826061</v>
      </c>
      <c r="W272" s="822">
        <f t="shared" si="766"/>
        <v>-4580502.0888430635</v>
      </c>
      <c r="X272" s="822">
        <f t="shared" si="766"/>
        <v>0</v>
      </c>
      <c r="Y272" s="822">
        <f t="shared" si="766"/>
        <v>0</v>
      </c>
      <c r="Z272" s="822">
        <f t="shared" si="766"/>
        <v>0</v>
      </c>
      <c r="AA272" s="822">
        <f t="shared" si="766"/>
        <v>-3379570.3773918124</v>
      </c>
      <c r="AB272" s="822">
        <f t="shared" si="766"/>
        <v>-4295839.9343584403</v>
      </c>
      <c r="AC272" s="822">
        <f t="shared" si="766"/>
        <v>0</v>
      </c>
      <c r="AD272" s="822">
        <f t="shared" si="766"/>
        <v>0</v>
      </c>
      <c r="AE272" s="822">
        <f t="shared" si="766"/>
        <v>0</v>
      </c>
      <c r="AF272" s="822">
        <f t="shared" si="766"/>
        <v>0</v>
      </c>
      <c r="AG272" s="822">
        <f t="shared" si="766"/>
        <v>0</v>
      </c>
      <c r="AH272" s="822">
        <f t="shared" si="766"/>
        <v>0</v>
      </c>
      <c r="AI272" s="822">
        <f t="shared" si="766"/>
        <v>0</v>
      </c>
      <c r="AJ272" s="822">
        <f t="shared" si="766"/>
        <v>49512401.003238209</v>
      </c>
      <c r="AK272" s="822">
        <f t="shared" si="766"/>
        <v>0</v>
      </c>
      <c r="AL272" s="822">
        <f t="shared" si="766"/>
        <v>-8716196.7525265142</v>
      </c>
      <c r="AM272" s="822">
        <f t="shared" si="766"/>
        <v>-18683131.091712683</v>
      </c>
      <c r="AN272" s="822">
        <f t="shared" si="766"/>
        <v>-6282665.206120478</v>
      </c>
      <c r="AO272" s="822">
        <f t="shared" si="766"/>
        <v>0</v>
      </c>
      <c r="AP272" s="822">
        <f t="shared" si="766"/>
        <v>0</v>
      </c>
      <c r="AQ272" s="822">
        <f t="shared" si="766"/>
        <v>0</v>
      </c>
      <c r="AR272" s="822">
        <f t="shared" si="766"/>
        <v>0</v>
      </c>
      <c r="AS272" s="822">
        <f t="shared" si="766"/>
        <v>0</v>
      </c>
      <c r="AT272" s="823">
        <f t="shared" si="766"/>
        <v>47624558.670045361</v>
      </c>
      <c r="AU272" s="166"/>
      <c r="AV272" s="166"/>
      <c r="AW272" s="166"/>
      <c r="AX272" s="166"/>
      <c r="AY272" s="166"/>
      <c r="AZ272" s="166"/>
      <c r="BA272" s="166"/>
      <c r="BB272" s="166"/>
      <c r="BC272" s="166"/>
      <c r="BD272" s="166"/>
      <c r="BE272" s="166"/>
      <c r="BF272" s="166"/>
      <c r="BG272" s="166"/>
      <c r="BH272" s="166"/>
      <c r="BI272" s="166"/>
      <c r="BJ272" s="166"/>
      <c r="BK272" s="166"/>
      <c r="BL272" s="166"/>
      <c r="BM272" s="166"/>
      <c r="BN272" s="166"/>
    </row>
    <row r="273" spans="2:66" ht="14.4" x14ac:dyDescent="0.25">
      <c r="B273" s="838"/>
      <c r="C273" s="178"/>
      <c r="D273" s="178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8"/>
      <c r="AB273" s="178"/>
      <c r="AC273" s="178"/>
      <c r="AD273" s="178"/>
      <c r="AE273" s="178"/>
      <c r="AF273" s="178"/>
      <c r="AG273" s="178"/>
      <c r="AH273" s="178"/>
      <c r="AI273" s="178"/>
      <c r="AJ273" s="178"/>
      <c r="AK273" s="178"/>
      <c r="AL273" s="178"/>
      <c r="AM273" s="178"/>
      <c r="AN273" s="178"/>
      <c r="AO273" s="178"/>
      <c r="AP273" s="178"/>
      <c r="AQ273" s="178"/>
      <c r="AR273" s="178"/>
      <c r="AS273" s="178"/>
      <c r="AT273" s="178"/>
      <c r="AU273" s="166"/>
      <c r="AV273" s="166"/>
      <c r="AW273" s="166"/>
      <c r="AX273" s="166"/>
      <c r="AY273" s="166"/>
      <c r="AZ273" s="166"/>
      <c r="BA273" s="166"/>
      <c r="BB273" s="166"/>
      <c r="BC273" s="166"/>
      <c r="BD273" s="166"/>
      <c r="BE273" s="166"/>
      <c r="BF273" s="166"/>
      <c r="BG273" s="166"/>
      <c r="BH273" s="166"/>
      <c r="BI273" s="166"/>
      <c r="BJ273" s="166"/>
      <c r="BK273" s="166"/>
      <c r="BL273" s="166"/>
      <c r="BM273" s="166"/>
      <c r="BN273" s="166"/>
    </row>
    <row r="274" spans="2:66" ht="14.4" x14ac:dyDescent="0.25">
      <c r="B274" s="838"/>
      <c r="C274" s="178"/>
      <c r="D274" s="178"/>
      <c r="E274" s="884" t="s">
        <v>473</v>
      </c>
      <c r="F274" s="178">
        <f>C272+D272+E272+F272</f>
        <v>-127282791.60419181</v>
      </c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78"/>
      <c r="V274" s="178"/>
      <c r="W274" s="178"/>
      <c r="X274" s="178"/>
      <c r="Y274" s="178"/>
      <c r="Z274" s="178"/>
      <c r="AA274" s="178"/>
      <c r="AB274" s="178"/>
      <c r="AC274" s="178"/>
      <c r="AD274" s="178"/>
      <c r="AE274" s="178"/>
      <c r="AF274" s="178"/>
      <c r="AG274" s="178"/>
      <c r="AH274" s="178"/>
      <c r="AI274" s="178"/>
      <c r="AJ274" s="178"/>
      <c r="AK274" s="178"/>
      <c r="AL274" s="178"/>
      <c r="AM274" s="178"/>
      <c r="AN274" s="178"/>
      <c r="AO274" s="178"/>
      <c r="AP274" s="178"/>
      <c r="AQ274" s="178"/>
      <c r="AR274" s="178"/>
      <c r="AS274" s="178"/>
      <c r="AT274" s="178"/>
      <c r="AU274" s="166"/>
      <c r="AV274" s="166"/>
      <c r="AW274" s="166"/>
      <c r="AX274" s="166"/>
      <c r="AY274" s="166"/>
      <c r="AZ274" s="166"/>
      <c r="BA274" s="166"/>
      <c r="BB274" s="166"/>
      <c r="BC274" s="166"/>
      <c r="BD274" s="166"/>
      <c r="BE274" s="166"/>
      <c r="BF274" s="166"/>
      <c r="BG274" s="166"/>
      <c r="BH274" s="166"/>
      <c r="BI274" s="166"/>
      <c r="BJ274" s="166"/>
      <c r="BK274" s="166"/>
      <c r="BL274" s="166"/>
      <c r="BM274" s="166"/>
      <c r="BN274" s="166"/>
    </row>
    <row r="275" spans="2:66" ht="14.4" x14ac:dyDescent="0.25">
      <c r="B275" s="838"/>
      <c r="C275" s="178"/>
      <c r="D275" s="178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8"/>
      <c r="AC275" s="178"/>
      <c r="AD275" s="178"/>
      <c r="AE275" s="178"/>
      <c r="AF275" s="178"/>
      <c r="AG275" s="178"/>
      <c r="AH275" s="178"/>
      <c r="AI275" s="178"/>
      <c r="AJ275" s="178"/>
      <c r="AK275" s="178"/>
      <c r="AL275" s="178"/>
      <c r="AM275" s="178"/>
      <c r="AN275" s="178"/>
      <c r="AO275" s="178"/>
      <c r="AP275" s="178"/>
      <c r="AQ275" s="178"/>
      <c r="AR275" s="178"/>
      <c r="AS275" s="178"/>
      <c r="AT275" s="178"/>
      <c r="AU275" s="166"/>
      <c r="AV275" s="166"/>
      <c r="AW275" s="166"/>
      <c r="AX275" s="166"/>
      <c r="AY275" s="166"/>
      <c r="AZ275" s="166"/>
      <c r="BA275" s="166"/>
      <c r="BB275" s="166"/>
      <c r="BC275" s="166"/>
      <c r="BD275" s="166"/>
      <c r="BE275" s="166"/>
      <c r="BF275" s="166"/>
      <c r="BG275" s="166"/>
      <c r="BH275" s="166"/>
      <c r="BI275" s="166"/>
      <c r="BJ275" s="166"/>
      <c r="BK275" s="166"/>
      <c r="BL275" s="166"/>
      <c r="BM275" s="166"/>
      <c r="BN275" s="166"/>
    </row>
    <row r="276" spans="2:66" ht="14.4" x14ac:dyDescent="0.25">
      <c r="B276" s="844" t="s">
        <v>436</v>
      </c>
      <c r="C276" s="178">
        <f t="shared" ref="C276:AJ276" si="767">C266+C272</f>
        <v>-7217680.5455314573</v>
      </c>
      <c r="D276" s="178">
        <f t="shared" si="767"/>
        <v>-25976311.77290494</v>
      </c>
      <c r="E276" s="178">
        <f t="shared" si="767"/>
        <v>-66708323.717887178</v>
      </c>
      <c r="F276" s="178">
        <f t="shared" si="767"/>
        <v>-27380475.56786824</v>
      </c>
      <c r="G276" s="178">
        <f t="shared" si="767"/>
        <v>1979976.0308554908</v>
      </c>
      <c r="H276" s="178">
        <f t="shared" si="767"/>
        <v>3568137.2067105225</v>
      </c>
      <c r="I276" s="178">
        <f t="shared" si="767"/>
        <v>3798666.2529489836</v>
      </c>
      <c r="J276" s="178">
        <f t="shared" si="767"/>
        <v>3797118.5032782471</v>
      </c>
      <c r="K276" s="178">
        <f t="shared" si="767"/>
        <v>-1335930.5966516146</v>
      </c>
      <c r="L276" s="178">
        <f t="shared" si="767"/>
        <v>3910151.8089752067</v>
      </c>
      <c r="M276" s="178">
        <f t="shared" si="767"/>
        <v>4107895.389310237</v>
      </c>
      <c r="N276" s="178">
        <f t="shared" si="767"/>
        <v>4078976.3907897687</v>
      </c>
      <c r="O276" s="178">
        <f t="shared" si="767"/>
        <v>4260015.7132978598</v>
      </c>
      <c r="P276" s="178">
        <f t="shared" si="767"/>
        <v>-4113863.3653739966</v>
      </c>
      <c r="Q276" s="178">
        <f t="shared" si="767"/>
        <v>788386.48518043151</v>
      </c>
      <c r="R276" s="178">
        <f t="shared" si="767"/>
        <v>4434442.2862315187</v>
      </c>
      <c r="S276" s="178">
        <f t="shared" si="767"/>
        <v>4606305.9835644253</v>
      </c>
      <c r="T276" s="178">
        <f t="shared" si="767"/>
        <v>4544539.1998203732</v>
      </c>
      <c r="U276" s="178">
        <f t="shared" si="767"/>
        <v>-4573421.0162465032</v>
      </c>
      <c r="V276" s="178">
        <f t="shared" si="767"/>
        <v>-5412901.3659957778</v>
      </c>
      <c r="W276" s="178">
        <f t="shared" si="767"/>
        <v>-33547.321091367863</v>
      </c>
      <c r="X276" s="178">
        <f t="shared" si="767"/>
        <v>4936544.7599214632</v>
      </c>
      <c r="Y276" s="178">
        <f t="shared" si="767"/>
        <v>5178686.9002240933</v>
      </c>
      <c r="Z276" s="178">
        <f t="shared" si="767"/>
        <v>-1466678.2664252077</v>
      </c>
      <c r="AA276" s="178">
        <f t="shared" si="767"/>
        <v>2031089.6570432615</v>
      </c>
      <c r="AB276" s="178">
        <f t="shared" si="767"/>
        <v>1089867.7732482227</v>
      </c>
      <c r="AC276" s="178">
        <f t="shared" si="767"/>
        <v>5652786.1936859451</v>
      </c>
      <c r="AD276" s="178">
        <f t="shared" si="767"/>
        <v>5571947.8837250099</v>
      </c>
      <c r="AE276" s="178">
        <f t="shared" si="767"/>
        <v>-1282668.0304336417</v>
      </c>
      <c r="AF276" s="178">
        <f t="shared" si="767"/>
        <v>5709891.0124832466</v>
      </c>
      <c r="AG276" s="178">
        <f t="shared" si="767"/>
        <v>5940919.1214747941</v>
      </c>
      <c r="AH276" s="178">
        <f t="shared" si="767"/>
        <v>5851752.0762896473</v>
      </c>
      <c r="AI276" s="178">
        <f t="shared" si="767"/>
        <v>6091251.6988264741</v>
      </c>
      <c r="AJ276" s="178">
        <f t="shared" si="767"/>
        <v>47751236.433952719</v>
      </c>
      <c r="AK276" s="178"/>
      <c r="AL276" s="178"/>
      <c r="AM276" s="178"/>
      <c r="AN276" s="178"/>
      <c r="AO276" s="178"/>
      <c r="AP276" s="178"/>
      <c r="AQ276" s="178"/>
      <c r="AR276" s="178"/>
      <c r="AS276" s="178"/>
      <c r="AT276" s="178"/>
      <c r="AU276" s="166"/>
      <c r="AV276" s="166"/>
      <c r="AW276" s="166"/>
      <c r="AX276" s="166"/>
      <c r="AY276" s="166"/>
      <c r="AZ276" s="166"/>
      <c r="BA276" s="166"/>
      <c r="BB276" s="166"/>
      <c r="BC276" s="166"/>
      <c r="BD276" s="166"/>
      <c r="BE276" s="166"/>
      <c r="BF276" s="166"/>
      <c r="BG276" s="166"/>
      <c r="BH276" s="166"/>
      <c r="BI276" s="166"/>
      <c r="BJ276" s="166"/>
      <c r="BK276" s="166"/>
      <c r="BL276" s="166"/>
      <c r="BM276" s="166"/>
      <c r="BN276" s="166"/>
    </row>
    <row r="277" spans="2:66" ht="14.4" x14ac:dyDescent="0.25">
      <c r="B277" s="844" t="s">
        <v>438</v>
      </c>
      <c r="C277" s="178"/>
      <c r="D277" s="178"/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78"/>
      <c r="V277" s="178"/>
      <c r="W277" s="178"/>
      <c r="X277" s="178"/>
      <c r="Y277" s="178"/>
      <c r="Z277" s="178"/>
      <c r="AA277" s="178"/>
      <c r="AB277" s="178"/>
      <c r="AC277" s="178"/>
      <c r="AD277" s="178"/>
      <c r="AE277" s="178"/>
      <c r="AF277" s="178"/>
      <c r="AG277" s="178"/>
      <c r="AH277" s="178"/>
      <c r="AI277" s="178"/>
      <c r="AJ277" s="848">
        <f>IRR(C276:AJ276)</f>
        <v>-2.0109298470197823E-3</v>
      </c>
      <c r="AK277" s="178"/>
      <c r="AL277" s="178"/>
      <c r="AM277" s="178"/>
      <c r="AN277" s="178"/>
      <c r="AO277" s="178"/>
      <c r="AP277" s="178"/>
      <c r="AQ277" s="178"/>
      <c r="AR277" s="178"/>
      <c r="AS277" s="178"/>
      <c r="AT277" s="178"/>
      <c r="AU277" s="166"/>
      <c r="AV277" s="166"/>
      <c r="AW277" s="166"/>
      <c r="AX277" s="166"/>
      <c r="AY277" s="166"/>
      <c r="AZ277" s="166"/>
      <c r="BA277" s="166"/>
      <c r="BB277" s="166"/>
      <c r="BC277" s="166"/>
      <c r="BD277" s="166"/>
      <c r="BE277" s="166"/>
      <c r="BF277" s="166"/>
      <c r="BG277" s="166"/>
      <c r="BH277" s="166"/>
      <c r="BI277" s="166"/>
      <c r="BJ277" s="166"/>
      <c r="BK277" s="166"/>
      <c r="BL277" s="166"/>
      <c r="BM277" s="166"/>
      <c r="BN277" s="166"/>
    </row>
    <row r="278" spans="2:66" ht="14.4" x14ac:dyDescent="0.25">
      <c r="B278" s="844"/>
      <c r="C278" s="178"/>
      <c r="D278" s="178"/>
      <c r="E278" s="178"/>
      <c r="F278" s="178"/>
      <c r="G278" s="178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  <c r="Y278" s="178"/>
      <c r="Z278" s="178"/>
      <c r="AA278" s="178"/>
      <c r="AB278" s="178"/>
      <c r="AC278" s="178"/>
      <c r="AD278" s="178"/>
      <c r="AE278" s="178"/>
      <c r="AF278" s="178"/>
      <c r="AG278" s="178"/>
      <c r="AH278" s="178"/>
      <c r="AI278" s="178"/>
      <c r="AJ278" s="178"/>
      <c r="AK278" s="178"/>
      <c r="AL278" s="178"/>
      <c r="AM278" s="178"/>
      <c r="AN278" s="178"/>
      <c r="AO278" s="178"/>
      <c r="AP278" s="178"/>
      <c r="AQ278" s="178"/>
      <c r="AR278" s="178"/>
      <c r="AS278" s="178"/>
      <c r="AT278" s="178"/>
      <c r="AU278" s="166"/>
      <c r="AV278" s="166"/>
      <c r="AW278" s="166"/>
      <c r="AX278" s="166"/>
      <c r="AY278" s="166"/>
      <c r="AZ278" s="166"/>
      <c r="BA278" s="166"/>
      <c r="BB278" s="166"/>
      <c r="BC278" s="166"/>
      <c r="BD278" s="166"/>
      <c r="BE278" s="166"/>
      <c r="BF278" s="166"/>
      <c r="BG278" s="166"/>
      <c r="BH278" s="166"/>
      <c r="BI278" s="166"/>
      <c r="BJ278" s="166"/>
      <c r="BK278" s="166"/>
      <c r="BL278" s="166"/>
      <c r="BM278" s="166"/>
      <c r="BN278" s="166"/>
    </row>
    <row r="279" spans="2:66" ht="14.4" x14ac:dyDescent="0.25">
      <c r="B279" s="844" t="s">
        <v>437</v>
      </c>
      <c r="C279" s="178">
        <f>C266+C272</f>
        <v>-7217680.5455314573</v>
      </c>
      <c r="D279" s="178">
        <f t="shared" ref="D279:AI279" si="768">D266+D272</f>
        <v>-25976311.77290494</v>
      </c>
      <c r="E279" s="178">
        <f t="shared" si="768"/>
        <v>-66708323.717887178</v>
      </c>
      <c r="F279" s="178">
        <f t="shared" si="768"/>
        <v>-27380475.56786824</v>
      </c>
      <c r="G279" s="178">
        <f t="shared" si="768"/>
        <v>1979976.0308554908</v>
      </c>
      <c r="H279" s="178">
        <f t="shared" si="768"/>
        <v>3568137.2067105225</v>
      </c>
      <c r="I279" s="178">
        <f t="shared" si="768"/>
        <v>3798666.2529489836</v>
      </c>
      <c r="J279" s="178">
        <f t="shared" si="768"/>
        <v>3797118.5032782471</v>
      </c>
      <c r="K279" s="178">
        <f t="shared" si="768"/>
        <v>-1335930.5966516146</v>
      </c>
      <c r="L279" s="178">
        <f t="shared" si="768"/>
        <v>3910151.8089752067</v>
      </c>
      <c r="M279" s="178">
        <f t="shared" si="768"/>
        <v>4107895.389310237</v>
      </c>
      <c r="N279" s="178">
        <f t="shared" si="768"/>
        <v>4078976.3907897687</v>
      </c>
      <c r="O279" s="178">
        <f t="shared" si="768"/>
        <v>4260015.7132978598</v>
      </c>
      <c r="P279" s="178">
        <f t="shared" si="768"/>
        <v>-4113863.3653739966</v>
      </c>
      <c r="Q279" s="178">
        <f t="shared" si="768"/>
        <v>788386.48518043151</v>
      </c>
      <c r="R279" s="178">
        <f t="shared" si="768"/>
        <v>4434442.2862315187</v>
      </c>
      <c r="S279" s="178">
        <f t="shared" si="768"/>
        <v>4606305.9835644253</v>
      </c>
      <c r="T279" s="178">
        <f t="shared" si="768"/>
        <v>4544539.1998203732</v>
      </c>
      <c r="U279" s="178">
        <f t="shared" si="768"/>
        <v>-4573421.0162465032</v>
      </c>
      <c r="V279" s="178">
        <f t="shared" si="768"/>
        <v>-5412901.3659957778</v>
      </c>
      <c r="W279" s="178">
        <f t="shared" si="768"/>
        <v>-33547.321091367863</v>
      </c>
      <c r="X279" s="178">
        <f t="shared" si="768"/>
        <v>4936544.7599214632</v>
      </c>
      <c r="Y279" s="178">
        <f t="shared" si="768"/>
        <v>5178686.9002240933</v>
      </c>
      <c r="Z279" s="178">
        <f t="shared" si="768"/>
        <v>-1466678.2664252077</v>
      </c>
      <c r="AA279" s="178">
        <f t="shared" si="768"/>
        <v>2031089.6570432615</v>
      </c>
      <c r="AB279" s="178">
        <f t="shared" si="768"/>
        <v>1089867.7732482227</v>
      </c>
      <c r="AC279" s="178">
        <f t="shared" si="768"/>
        <v>5652786.1936859451</v>
      </c>
      <c r="AD279" s="178">
        <f t="shared" si="768"/>
        <v>5571947.8837250099</v>
      </c>
      <c r="AE279" s="178">
        <f t="shared" si="768"/>
        <v>-1282668.0304336417</v>
      </c>
      <c r="AF279" s="178">
        <f t="shared" si="768"/>
        <v>5709891.0124832466</v>
      </c>
      <c r="AG279" s="178">
        <f t="shared" si="768"/>
        <v>5940919.1214747941</v>
      </c>
      <c r="AH279" s="178">
        <f t="shared" si="768"/>
        <v>5851752.0762896473</v>
      </c>
      <c r="AI279" s="178">
        <f t="shared" si="768"/>
        <v>6091251.6988264741</v>
      </c>
      <c r="AJ279" s="178">
        <f>AJ266+AJ270</f>
        <v>-1761164.5692854896</v>
      </c>
      <c r="AK279" s="178">
        <f t="shared" ref="AK279:AT279" si="769">AK266+AK272</f>
        <v>6245861.3559480188</v>
      </c>
      <c r="AL279" s="178">
        <f t="shared" si="769"/>
        <v>-2568710.0520383157</v>
      </c>
      <c r="AM279" s="178">
        <f t="shared" si="769"/>
        <v>-12689647.450072296</v>
      </c>
      <c r="AN279" s="178">
        <f t="shared" si="769"/>
        <v>-661158.19102542102</v>
      </c>
      <c r="AO279" s="178">
        <f t="shared" si="769"/>
        <v>-1751892.1105081644</v>
      </c>
      <c r="AP279" s="178">
        <f t="shared" si="769"/>
        <v>6621714.7446275866</v>
      </c>
      <c r="AQ279" s="178">
        <f t="shared" si="769"/>
        <v>6898131.0294268308</v>
      </c>
      <c r="AR279" s="178">
        <f t="shared" si="769"/>
        <v>6784086.9006645354</v>
      </c>
      <c r="AS279" s="178">
        <f t="shared" si="769"/>
        <v>7070537.2770072129</v>
      </c>
      <c r="AT279" s="178">
        <f t="shared" si="769"/>
        <v>45257471.065547317</v>
      </c>
      <c r="AU279" s="166"/>
      <c r="AV279" s="166"/>
      <c r="AW279" s="166"/>
      <c r="AX279" s="166"/>
      <c r="AY279" s="166"/>
      <c r="AZ279" s="166"/>
      <c r="BA279" s="166"/>
      <c r="BB279" s="166"/>
      <c r="BC279" s="166"/>
      <c r="BD279" s="166"/>
      <c r="BE279" s="166"/>
      <c r="BF279" s="166"/>
      <c r="BG279" s="166"/>
      <c r="BH279" s="166"/>
      <c r="BI279" s="166"/>
      <c r="BJ279" s="166"/>
      <c r="BK279" s="166"/>
      <c r="BL279" s="166"/>
      <c r="BM279" s="166"/>
      <c r="BN279" s="166"/>
    </row>
    <row r="280" spans="2:66" ht="14.4" x14ac:dyDescent="0.25">
      <c r="B280" s="844" t="s">
        <v>439</v>
      </c>
      <c r="C280" s="178"/>
      <c r="D280" s="178"/>
      <c r="E280" s="178"/>
      <c r="F280" s="178"/>
      <c r="G280" s="178"/>
      <c r="H280" s="178"/>
      <c r="I280" s="178"/>
      <c r="J280" s="178"/>
      <c r="K280" s="178"/>
      <c r="L280" s="178"/>
      <c r="M280" s="178"/>
      <c r="N280" s="178"/>
      <c r="O280" s="178"/>
      <c r="P280" s="178"/>
      <c r="Q280" s="178"/>
      <c r="R280" s="178"/>
      <c r="S280" s="178"/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849">
        <f>IRR(C279:AT279)</f>
        <v>1.5957916948787787E-3</v>
      </c>
      <c r="AU280" s="166"/>
      <c r="AV280" s="166"/>
      <c r="AW280" s="166"/>
      <c r="AX280" s="166"/>
      <c r="AY280" s="166"/>
      <c r="AZ280" s="166"/>
      <c r="BA280" s="166"/>
      <c r="BB280" s="166"/>
      <c r="BC280" s="166"/>
      <c r="BD280" s="166"/>
      <c r="BE280" s="166"/>
      <c r="BF280" s="166"/>
      <c r="BG280" s="166"/>
      <c r="BH280" s="166"/>
      <c r="BI280" s="166"/>
      <c r="BJ280" s="166"/>
      <c r="BK280" s="166"/>
      <c r="BL280" s="166"/>
      <c r="BM280" s="166"/>
      <c r="BN280" s="166"/>
    </row>
    <row r="281" spans="2:66" ht="14.4" x14ac:dyDescent="0.25">
      <c r="B281" s="844"/>
      <c r="C281" s="178"/>
      <c r="D281" s="178"/>
      <c r="E281" s="178"/>
      <c r="F281" s="178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  <c r="AU281" s="166"/>
      <c r="AV281" s="166"/>
      <c r="AW281" s="166"/>
      <c r="AX281" s="166"/>
      <c r="AY281" s="166"/>
      <c r="AZ281" s="166"/>
      <c r="BA281" s="166"/>
      <c r="BB281" s="166"/>
      <c r="BC281" s="166"/>
      <c r="BD281" s="166"/>
      <c r="BE281" s="166"/>
      <c r="BF281" s="166"/>
      <c r="BG281" s="166"/>
      <c r="BH281" s="166"/>
      <c r="BI281" s="166"/>
      <c r="BJ281" s="166"/>
      <c r="BK281" s="166"/>
      <c r="BL281" s="166"/>
      <c r="BM281" s="166"/>
      <c r="BN281" s="166"/>
    </row>
    <row r="282" spans="2:66" ht="14.4" x14ac:dyDescent="0.25">
      <c r="B282" s="844" t="s">
        <v>450</v>
      </c>
      <c r="C282" s="178">
        <f>C256</f>
        <v>0</v>
      </c>
      <c r="D282" s="178">
        <f t="shared" ref="D282:AT282" si="770">D256</f>
        <v>0</v>
      </c>
      <c r="E282" s="178">
        <f t="shared" si="770"/>
        <v>0</v>
      </c>
      <c r="F282" s="178">
        <f t="shared" si="770"/>
        <v>0</v>
      </c>
      <c r="G282" s="178">
        <f t="shared" si="770"/>
        <v>1979976.0308554908</v>
      </c>
      <c r="H282" s="178">
        <f t="shared" si="770"/>
        <v>3568137.2067105225</v>
      </c>
      <c r="I282" s="178">
        <f t="shared" si="770"/>
        <v>3871801.1729912204</v>
      </c>
      <c r="J282" s="178">
        <f t="shared" si="770"/>
        <v>3869420.0196516262</v>
      </c>
      <c r="K282" s="178">
        <f t="shared" si="770"/>
        <v>-1335930.5966516146</v>
      </c>
      <c r="L282" s="178">
        <f t="shared" si="770"/>
        <v>4153360.0623026062</v>
      </c>
      <c r="M282" s="178">
        <f t="shared" si="770"/>
        <v>4457580.9551257305</v>
      </c>
      <c r="N282" s="178">
        <f t="shared" si="770"/>
        <v>4413090.1881711632</v>
      </c>
      <c r="O282" s="178">
        <f t="shared" si="770"/>
        <v>4691612.2227989957</v>
      </c>
      <c r="P282" s="178">
        <f t="shared" si="770"/>
        <v>-1390322.0038198922</v>
      </c>
      <c r="Q282" s="178">
        <f t="shared" si="770"/>
        <v>4936834.8788237758</v>
      </c>
      <c r="R282" s="178">
        <f t="shared" si="770"/>
        <v>4887021.2965117591</v>
      </c>
      <c r="S282" s="178">
        <f t="shared" si="770"/>
        <v>5151426.984716231</v>
      </c>
      <c r="T282" s="178">
        <f t="shared" si="770"/>
        <v>5056401.1635715347</v>
      </c>
      <c r="U282" s="178">
        <f t="shared" si="770"/>
        <v>-1300021.5741564482</v>
      </c>
      <c r="V282" s="178">
        <f t="shared" si="770"/>
        <v>5230982.3688117666</v>
      </c>
      <c r="W282" s="178">
        <f t="shared" si="770"/>
        <v>5515688.5947577152</v>
      </c>
      <c r="X282" s="178">
        <f t="shared" si="770"/>
        <v>5482232.7348921774</v>
      </c>
      <c r="Y282" s="178">
        <f t="shared" si="770"/>
        <v>5854759.1045885328</v>
      </c>
      <c r="Z282" s="178">
        <f t="shared" si="770"/>
        <v>-1466678.2664252073</v>
      </c>
      <c r="AA282" s="178">
        <f t="shared" si="770"/>
        <v>6211640.8495285017</v>
      </c>
      <c r="AB282" s="178">
        <f t="shared" si="770"/>
        <v>6173252.65440787</v>
      </c>
      <c r="AC282" s="178">
        <f t="shared" si="770"/>
        <v>6503915.8342483528</v>
      </c>
      <c r="AD282" s="178">
        <f t="shared" si="770"/>
        <v>6379549.2035392206</v>
      </c>
      <c r="AE282" s="178">
        <f t="shared" si="770"/>
        <v>-1282668.0304336417</v>
      </c>
      <c r="AF282" s="178">
        <f t="shared" si="770"/>
        <v>6591769.4016288165</v>
      </c>
      <c r="AG282" s="178">
        <f t="shared" si="770"/>
        <v>6947197.2616158118</v>
      </c>
      <c r="AH282" s="178">
        <f t="shared" si="770"/>
        <v>6810017.1921002017</v>
      </c>
      <c r="AI282" s="178">
        <f t="shared" si="770"/>
        <v>7178478.1498491662</v>
      </c>
      <c r="AJ282" s="178">
        <f t="shared" si="770"/>
        <v>-1761164.5692854896</v>
      </c>
      <c r="AK282" s="178">
        <f t="shared" si="770"/>
        <v>7416339.1608053884</v>
      </c>
      <c r="AL282" s="178">
        <f t="shared" si="770"/>
        <v>7264993.5370210502</v>
      </c>
      <c r="AM282" s="178">
        <f t="shared" si="770"/>
        <v>7660890.8327665189</v>
      </c>
      <c r="AN282" s="178">
        <f t="shared" si="770"/>
        <v>7501910.424098718</v>
      </c>
      <c r="AO282" s="178">
        <f t="shared" si="770"/>
        <v>-1751892.1105081644</v>
      </c>
      <c r="AP282" s="178">
        <f t="shared" si="770"/>
        <v>7745230.2752887756</v>
      </c>
      <c r="AQ282" s="178">
        <f t="shared" si="770"/>
        <v>8170486.0980568435</v>
      </c>
      <c r="AR282" s="178">
        <f t="shared" si="770"/>
        <v>7995033.592268697</v>
      </c>
      <c r="AS282" s="178">
        <f t="shared" si="770"/>
        <v>8435726.4789497387</v>
      </c>
      <c r="AT282" s="178">
        <f t="shared" si="770"/>
        <v>-2367087.6044980437</v>
      </c>
      <c r="AU282" s="166"/>
      <c r="AV282" s="166"/>
      <c r="AW282" s="166"/>
      <c r="AX282" s="166"/>
      <c r="AY282" s="166"/>
      <c r="AZ282" s="166"/>
      <c r="BA282" s="166"/>
      <c r="BB282" s="166"/>
      <c r="BC282" s="166"/>
      <c r="BD282" s="166"/>
      <c r="BE282" s="166"/>
      <c r="BF282" s="166"/>
      <c r="BG282" s="166"/>
      <c r="BH282" s="166"/>
      <c r="BI282" s="166"/>
      <c r="BJ282" s="166"/>
      <c r="BK282" s="166"/>
      <c r="BL282" s="166"/>
      <c r="BM282" s="166"/>
      <c r="BN282" s="166"/>
    </row>
    <row r="283" spans="2:66" ht="14.4" x14ac:dyDescent="0.25">
      <c r="B283" s="844" t="s">
        <v>451</v>
      </c>
      <c r="C283" s="178">
        <f>C282+C243</f>
        <v>0</v>
      </c>
      <c r="D283" s="178">
        <f t="shared" ref="D283" si="771">D282+D243</f>
        <v>0</v>
      </c>
      <c r="E283" s="178">
        <f t="shared" ref="E283" si="772">E282+E243</f>
        <v>0</v>
      </c>
      <c r="F283" s="178">
        <f t="shared" ref="F283" si="773">F282+F243</f>
        <v>0</v>
      </c>
      <c r="G283" s="178">
        <f t="shared" ref="G283" si="774">G282+G243</f>
        <v>-1682868.2277293382</v>
      </c>
      <c r="H283" s="178">
        <f t="shared" ref="H283" si="775">H282+H243</f>
        <v>-94707.051874306519</v>
      </c>
      <c r="I283" s="178">
        <f t="shared" ref="I283" si="776">I282+I243</f>
        <v>208956.91440639133</v>
      </c>
      <c r="J283" s="178">
        <f t="shared" ref="J283" si="777">J282+J243</f>
        <v>206575.76106679719</v>
      </c>
      <c r="K283" s="178">
        <f t="shared" ref="K283" si="778">K282+K243</f>
        <v>-4998774.8552364437</v>
      </c>
      <c r="L283" s="178">
        <f t="shared" ref="L283" si="779">L282+L243</f>
        <v>694880.72379257064</v>
      </c>
      <c r="M283" s="178">
        <f t="shared" ref="M283" si="780">M282+M243</f>
        <v>999101.61661569495</v>
      </c>
      <c r="N283" s="178">
        <f t="shared" ref="N283" si="781">N282+N243</f>
        <v>954610.84966112766</v>
      </c>
      <c r="O283" s="178">
        <f t="shared" ref="O283" si="782">O282+O243</f>
        <v>1233132.8842889601</v>
      </c>
      <c r="P283" s="178">
        <f t="shared" ref="P283" si="783">P282+P243</f>
        <v>-4848801.3423299277</v>
      </c>
      <c r="Q283" s="178">
        <f t="shared" ref="Q283" si="784">Q282+Q243</f>
        <v>1961444.8737649601</v>
      </c>
      <c r="R283" s="178">
        <f t="shared" ref="R283" si="785">R282+R243</f>
        <v>1293082.886514972</v>
      </c>
      <c r="S283" s="178">
        <f t="shared" ref="S283" si="786">S282+S243</f>
        <v>1557488.5747194439</v>
      </c>
      <c r="T283" s="178">
        <f t="shared" ref="T283" si="787">T282+T243</f>
        <v>1462462.7535747476</v>
      </c>
      <c r="U283" s="178">
        <f t="shared" ref="U283" si="788">U282+U243</f>
        <v>-4893959.9841532353</v>
      </c>
      <c r="V283" s="178">
        <f t="shared" ref="V283" si="789">V282+V243</f>
        <v>2483104.7083569653</v>
      </c>
      <c r="W283" s="178">
        <f t="shared" ref="W283" si="790">W282+W243</f>
        <v>2767810.934302914</v>
      </c>
      <c r="X283" s="178">
        <f t="shared" ref="X283" si="791">X282+X243</f>
        <v>1559108.4999163277</v>
      </c>
      <c r="Y283" s="178">
        <f t="shared" ref="Y283" si="792">Y282+Y243</f>
        <v>1931634.8696126831</v>
      </c>
      <c r="Z283" s="178">
        <f t="shared" ref="Z283" si="793">Z282+Z243</f>
        <v>-5389802.5014010575</v>
      </c>
      <c r="AA283" s="178">
        <f t="shared" ref="AA283" si="794">AA282+AA243</f>
        <v>2288516.614552652</v>
      </c>
      <c r="AB283" s="178">
        <f t="shared" ref="AB283" si="795">AB282+AB243</f>
        <v>2250128.4194320203</v>
      </c>
      <c r="AC283" s="178">
        <f t="shared" ref="AC283" si="796">AC282+AC243</f>
        <v>2431798.9730354492</v>
      </c>
      <c r="AD283" s="178">
        <f t="shared" ref="AD283" si="797">AD282+AD243</f>
        <v>2307432.342326317</v>
      </c>
      <c r="AE283" s="178">
        <f t="shared" ref="AE283" si="798">AE282+AE243</f>
        <v>-5354784.8916465454</v>
      </c>
      <c r="AF283" s="178">
        <f t="shared" ref="AF283" si="799">AF282+AF243</f>
        <v>2519652.5404159129</v>
      </c>
      <c r="AG283" s="178">
        <f t="shared" ref="AG283" si="800">AG282+AG243</f>
        <v>2875080.4004029082</v>
      </c>
      <c r="AH283" s="178">
        <f t="shared" ref="AH283" si="801">AH282+AH243</f>
        <v>2737900.3308872981</v>
      </c>
      <c r="AI283" s="178">
        <f t="shared" ref="AI283" si="802">AI282+AI243</f>
        <v>3106361.2886362625</v>
      </c>
      <c r="AJ283" s="178">
        <f t="shared" ref="AJ283" si="803">AJ282+AJ243</f>
        <v>-5833281.4304983933</v>
      </c>
      <c r="AK283" s="178">
        <f t="shared" ref="AK283" si="804">AK282+AK243</f>
        <v>3344222.2995924847</v>
      </c>
      <c r="AL283" s="178">
        <f t="shared" ref="AL283" si="805">AL282+AL243</f>
        <v>3192876.6758081466</v>
      </c>
      <c r="AM283" s="178">
        <f t="shared" ref="AM283" si="806">AM282+AM243</f>
        <v>4764020.5460746642</v>
      </c>
      <c r="AN283" s="178">
        <f t="shared" ref="AN283" si="807">AN282+AN243</f>
        <v>5372581.1685818881</v>
      </c>
      <c r="AO283" s="178">
        <f t="shared" ref="AO283" si="808">AO282+AO243</f>
        <v>-6287078.0124792568</v>
      </c>
      <c r="AP283" s="178">
        <f t="shared" ref="AP283" si="809">AP282+AP243</f>
        <v>3210044.3733176831</v>
      </c>
      <c r="AQ283" s="178">
        <f t="shared" ref="AQ283" si="810">AQ282+AQ243</f>
        <v>3635300.1960857511</v>
      </c>
      <c r="AR283" s="178">
        <f t="shared" ref="AR283" si="811">AR282+AR243</f>
        <v>3459847.6902976045</v>
      </c>
      <c r="AS283" s="178">
        <f t="shared" ref="AS283" si="812">AS282+AS243</f>
        <v>3900540.5769786462</v>
      </c>
      <c r="AT283" s="178">
        <f t="shared" ref="AT283" si="813">AT282+AT243</f>
        <v>-6902273.5064691361</v>
      </c>
      <c r="AU283" s="166"/>
      <c r="AV283" s="166"/>
      <c r="AW283" s="166"/>
      <c r="AX283" s="166"/>
      <c r="AY283" s="166"/>
      <c r="AZ283" s="166"/>
      <c r="BA283" s="166"/>
      <c r="BB283" s="166"/>
      <c r="BC283" s="166"/>
      <c r="BD283" s="166"/>
      <c r="BE283" s="166"/>
      <c r="BF283" s="166"/>
      <c r="BG283" s="166"/>
      <c r="BH283" s="166"/>
      <c r="BI283" s="166"/>
      <c r="BJ283" s="166"/>
      <c r="BK283" s="166"/>
      <c r="BL283" s="166"/>
      <c r="BM283" s="166"/>
      <c r="BN283" s="166"/>
    </row>
    <row r="284" spans="2:66" ht="14.4" x14ac:dyDescent="0.25">
      <c r="B284" s="844"/>
      <c r="C284" s="178"/>
      <c r="D284" s="178"/>
      <c r="E284" s="178"/>
      <c r="F284" s="178"/>
      <c r="G284" s="178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/>
      <c r="AS284" s="178"/>
      <c r="AT284" s="178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</row>
    <row r="285" spans="2:66" ht="14.4" x14ac:dyDescent="0.25">
      <c r="B285" s="844" t="s">
        <v>489</v>
      </c>
      <c r="C285" s="908"/>
      <c r="D285" s="908"/>
      <c r="E285" s="908"/>
      <c r="F285" s="908"/>
      <c r="G285" s="909">
        <f>ABS(G254)/ABS(G249)</f>
        <v>1.5731436372471332</v>
      </c>
      <c r="H285" s="909">
        <f t="shared" ref="H285:AT285" si="814">ABS(H254)/ABS(H249)</f>
        <v>2.0061434841900381</v>
      </c>
      <c r="I285" s="909">
        <f t="shared" si="814"/>
        <v>2.066758787173387</v>
      </c>
      <c r="J285" s="909">
        <f t="shared" si="814"/>
        <v>2.0416648967703299</v>
      </c>
      <c r="K285" s="909">
        <f t="shared" si="814"/>
        <v>0.85626381967353482</v>
      </c>
      <c r="L285" s="909">
        <f t="shared" si="814"/>
        <v>2.0673875880861354</v>
      </c>
      <c r="M285" s="909">
        <f t="shared" si="814"/>
        <v>2.1192657909763968</v>
      </c>
      <c r="N285" s="909">
        <f t="shared" si="814"/>
        <v>2.0826357327851066</v>
      </c>
      <c r="O285" s="909">
        <f t="shared" si="814"/>
        <v>2.1245049140225651</v>
      </c>
      <c r="P285" s="909">
        <f t="shared" si="814"/>
        <v>0.8650859230579081</v>
      </c>
      <c r="Q285" s="909">
        <f t="shared" si="814"/>
        <v>2.1294567598156617</v>
      </c>
      <c r="R285" s="909">
        <f t="shared" si="814"/>
        <v>2.0923134741504836</v>
      </c>
      <c r="S285" s="909">
        <f t="shared" si="814"/>
        <v>2.1248814809256382</v>
      </c>
      <c r="T285" s="909">
        <f t="shared" si="814"/>
        <v>2.0786759633245113</v>
      </c>
      <c r="U285" s="909">
        <f t="shared" si="814"/>
        <v>0.88625322526687333</v>
      </c>
      <c r="V285" s="909">
        <f t="shared" si="814"/>
        <v>2.0650145370346906</v>
      </c>
      <c r="W285" s="909">
        <f t="shared" si="814"/>
        <v>2.0970452656824454</v>
      </c>
      <c r="X285" s="909">
        <f t="shared" si="814"/>
        <v>2.0651944256515149</v>
      </c>
      <c r="Y285" s="909">
        <f t="shared" si="814"/>
        <v>2.111273934433668</v>
      </c>
      <c r="Z285" s="909">
        <f t="shared" si="814"/>
        <v>0.88432110381862827</v>
      </c>
      <c r="AA285" s="909">
        <f t="shared" si="814"/>
        <v>2.1250763444740755</v>
      </c>
      <c r="AB285" s="909">
        <f t="shared" si="814"/>
        <v>2.0922261636799235</v>
      </c>
      <c r="AC285" s="909">
        <f t="shared" si="814"/>
        <v>2.124062232067764</v>
      </c>
      <c r="AD285" s="909">
        <f t="shared" si="814"/>
        <v>2.0770017313709017</v>
      </c>
      <c r="AE285" s="909">
        <f t="shared" si="814"/>
        <v>0.90883136733549508</v>
      </c>
      <c r="AF285" s="909">
        <f t="shared" si="814"/>
        <v>2.0617749394323508</v>
      </c>
      <c r="AG285" s="909">
        <f t="shared" si="814"/>
        <v>2.0930327466057976</v>
      </c>
      <c r="AH285" s="909">
        <f t="shared" si="814"/>
        <v>2.0465472889249372</v>
      </c>
      <c r="AI285" s="909">
        <f t="shared" si="814"/>
        <v>2.077517073975133</v>
      </c>
      <c r="AJ285" s="909">
        <f t="shared" si="814"/>
        <v>0.88722283529317425</v>
      </c>
      <c r="AK285" s="909">
        <f t="shared" si="814"/>
        <v>2.0620028202242238</v>
      </c>
      <c r="AL285" s="909">
        <f t="shared" si="814"/>
        <v>2.0160954150480976</v>
      </c>
      <c r="AM285" s="909">
        <f t="shared" si="814"/>
        <v>2.0464915134212411</v>
      </c>
      <c r="AN285" s="909">
        <f t="shared" si="814"/>
        <v>2.0008741909342711</v>
      </c>
      <c r="AO285" s="909">
        <f t="shared" si="814"/>
        <v>0.89895988860101983</v>
      </c>
      <c r="AP285" s="909">
        <f t="shared" si="814"/>
        <v>1.9856581057832625</v>
      </c>
      <c r="AQ285" s="909">
        <f t="shared" si="814"/>
        <v>2.0154838452726831</v>
      </c>
      <c r="AR285" s="909">
        <f t="shared" si="814"/>
        <v>1.9704486548520974</v>
      </c>
      <c r="AS285" s="909">
        <f t="shared" si="814"/>
        <v>1.999990530907032</v>
      </c>
      <c r="AT285" s="909">
        <f t="shared" si="814"/>
        <v>0.8770755834605839</v>
      </c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</row>
    <row r="286" spans="2:66" ht="14.4" x14ac:dyDescent="0.25">
      <c r="B286" s="844" t="s">
        <v>490</v>
      </c>
      <c r="C286" s="908"/>
      <c r="D286" s="908"/>
      <c r="E286" s="908"/>
      <c r="F286" s="908"/>
      <c r="G286" s="909">
        <f>G285-1</f>
        <v>0.57314363724713324</v>
      </c>
      <c r="H286" s="909">
        <f t="shared" ref="H286" si="815">H285-1</f>
        <v>1.0061434841900381</v>
      </c>
      <c r="I286" s="909">
        <f t="shared" ref="I286" si="816">I285-1</f>
        <v>1.066758787173387</v>
      </c>
      <c r="J286" s="909">
        <f t="shared" ref="J286" si="817">J285-1</f>
        <v>1.0416648967703299</v>
      </c>
      <c r="K286" s="909">
        <f t="shared" ref="K286" si="818">K285-1</f>
        <v>-0.14373618032646518</v>
      </c>
      <c r="L286" s="909">
        <f t="shared" ref="L286" si="819">L285-1</f>
        <v>1.0673875880861354</v>
      </c>
      <c r="M286" s="909">
        <f t="shared" ref="M286" si="820">M285-1</f>
        <v>1.1192657909763968</v>
      </c>
      <c r="N286" s="909">
        <f t="shared" ref="N286" si="821">N285-1</f>
        <v>1.0826357327851066</v>
      </c>
      <c r="O286" s="909">
        <f t="shared" ref="O286" si="822">O285-1</f>
        <v>1.1245049140225651</v>
      </c>
      <c r="P286" s="909">
        <f t="shared" ref="P286" si="823">P285-1</f>
        <v>-0.1349140769420919</v>
      </c>
      <c r="Q286" s="909">
        <f t="shared" ref="Q286" si="824">Q285-1</f>
        <v>1.1294567598156617</v>
      </c>
      <c r="R286" s="909">
        <f t="shared" ref="R286" si="825">R285-1</f>
        <v>1.0923134741504836</v>
      </c>
      <c r="S286" s="909">
        <f t="shared" ref="S286" si="826">S285-1</f>
        <v>1.1248814809256382</v>
      </c>
      <c r="T286" s="909">
        <f t="shared" ref="T286" si="827">T285-1</f>
        <v>1.0786759633245113</v>
      </c>
      <c r="U286" s="909">
        <f t="shared" ref="U286" si="828">U285-1</f>
        <v>-0.11374677473312667</v>
      </c>
      <c r="V286" s="909">
        <f t="shared" ref="V286" si="829">V285-1</f>
        <v>1.0650145370346906</v>
      </c>
      <c r="W286" s="909">
        <f t="shared" ref="W286" si="830">W285-1</f>
        <v>1.0970452656824454</v>
      </c>
      <c r="X286" s="909">
        <f t="shared" ref="X286" si="831">X285-1</f>
        <v>1.0651944256515149</v>
      </c>
      <c r="Y286" s="909">
        <f t="shared" ref="Y286" si="832">Y285-1</f>
        <v>1.111273934433668</v>
      </c>
      <c r="Z286" s="909">
        <f t="shared" ref="Z286" si="833">Z285-1</f>
        <v>-0.11567889618137173</v>
      </c>
      <c r="AA286" s="909">
        <f t="shared" ref="AA286" si="834">AA285-1</f>
        <v>1.1250763444740755</v>
      </c>
      <c r="AB286" s="909">
        <f t="shared" ref="AB286" si="835">AB285-1</f>
        <v>1.0922261636799235</v>
      </c>
      <c r="AC286" s="909">
        <f t="shared" ref="AC286" si="836">AC285-1</f>
        <v>1.124062232067764</v>
      </c>
      <c r="AD286" s="909">
        <f t="shared" ref="AD286" si="837">AD285-1</f>
        <v>1.0770017313709017</v>
      </c>
      <c r="AE286" s="909">
        <f t="shared" ref="AE286" si="838">AE285-1</f>
        <v>-9.1168632664504923E-2</v>
      </c>
      <c r="AF286" s="909">
        <f t="shared" ref="AF286" si="839">AF285-1</f>
        <v>1.0617749394323508</v>
      </c>
      <c r="AG286" s="909">
        <f t="shared" ref="AG286" si="840">AG285-1</f>
        <v>1.0930327466057976</v>
      </c>
      <c r="AH286" s="909">
        <f t="shared" ref="AH286" si="841">AH285-1</f>
        <v>1.0465472889249372</v>
      </c>
      <c r="AI286" s="909">
        <f t="shared" ref="AI286" si="842">AI285-1</f>
        <v>1.077517073975133</v>
      </c>
      <c r="AJ286" s="909">
        <f t="shared" ref="AJ286" si="843">AJ285-1</f>
        <v>-0.11277716470682575</v>
      </c>
      <c r="AK286" s="909">
        <f t="shared" ref="AK286" si="844">AK285-1</f>
        <v>1.0620028202242238</v>
      </c>
      <c r="AL286" s="909">
        <f t="shared" ref="AL286" si="845">AL285-1</f>
        <v>1.0160954150480976</v>
      </c>
      <c r="AM286" s="909">
        <f t="shared" ref="AM286" si="846">AM285-1</f>
        <v>1.0464915134212411</v>
      </c>
      <c r="AN286" s="909">
        <f t="shared" ref="AN286" si="847">AN285-1</f>
        <v>1.0008741909342711</v>
      </c>
      <c r="AO286" s="909">
        <f t="shared" ref="AO286" si="848">AO285-1</f>
        <v>-0.10104011139898017</v>
      </c>
      <c r="AP286" s="909">
        <f t="shared" ref="AP286" si="849">AP285-1</f>
        <v>0.98565810578326252</v>
      </c>
      <c r="AQ286" s="909">
        <f t="shared" ref="AQ286" si="850">AQ285-1</f>
        <v>1.0154838452726831</v>
      </c>
      <c r="AR286" s="909">
        <f t="shared" ref="AR286" si="851">AR285-1</f>
        <v>0.97044865485209741</v>
      </c>
      <c r="AS286" s="909">
        <f t="shared" ref="AS286" si="852">AS285-1</f>
        <v>0.99999053090703205</v>
      </c>
      <c r="AT286" s="909">
        <f t="shared" ref="AT286" si="853">AT285-1</f>
        <v>-0.1229244165394161</v>
      </c>
      <c r="AU286" s="166"/>
      <c r="AV286" s="166"/>
      <c r="AW286" s="166"/>
      <c r="AX286" s="166"/>
      <c r="AY286" s="166"/>
      <c r="AZ286" s="166"/>
      <c r="BA286" s="166"/>
      <c r="BB286" s="166"/>
      <c r="BC286" s="166"/>
      <c r="BD286" s="166"/>
      <c r="BE286" s="166"/>
      <c r="BF286" s="166"/>
      <c r="BG286" s="166"/>
      <c r="BH286" s="166"/>
      <c r="BI286" s="166"/>
      <c r="BJ286" s="166"/>
      <c r="BK286" s="166"/>
      <c r="BL286" s="166"/>
      <c r="BM286" s="166"/>
      <c r="BN286" s="166"/>
    </row>
    <row r="287" spans="2:66" ht="14.4" x14ac:dyDescent="0.25">
      <c r="B287" s="844"/>
      <c r="C287" s="178"/>
      <c r="D287" s="178"/>
      <c r="E287" s="178"/>
      <c r="F287" s="178"/>
      <c r="G287" s="178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66"/>
      <c r="AV287" s="166"/>
      <c r="AW287" s="166"/>
      <c r="AX287" s="166"/>
      <c r="AY287" s="166"/>
      <c r="AZ287" s="166"/>
      <c r="BA287" s="166"/>
      <c r="BB287" s="166"/>
      <c r="BC287" s="166"/>
      <c r="BD287" s="166"/>
      <c r="BE287" s="166"/>
      <c r="BF287" s="166"/>
      <c r="BG287" s="166"/>
      <c r="BH287" s="166"/>
      <c r="BI287" s="166"/>
      <c r="BJ287" s="166"/>
      <c r="BK287" s="166"/>
      <c r="BL287" s="166"/>
      <c r="BM287" s="166"/>
      <c r="BN287" s="166"/>
    </row>
    <row r="288" spans="2:66" ht="14.4" x14ac:dyDescent="0.25">
      <c r="B288" s="907" t="s">
        <v>404</v>
      </c>
      <c r="C288" s="268">
        <f>C279/((1+$C$26)^C220)</f>
        <v>-7217680.5455314573</v>
      </c>
      <c r="D288" s="268">
        <f>D279/((1+$C$26)^D220)</f>
        <v>-22987886.52469464</v>
      </c>
      <c r="E288" s="268">
        <f t="shared" ref="E288:AT288" si="854">E279/((1+$C$26)^E220)</f>
        <v>-52242402.473088883</v>
      </c>
      <c r="F288" s="268">
        <f t="shared" si="854"/>
        <v>-18976043.035551567</v>
      </c>
      <c r="G288" s="268">
        <f t="shared" si="854"/>
        <v>1214356.3800799523</v>
      </c>
      <c r="H288" s="268">
        <f t="shared" si="854"/>
        <v>1936641.9219514546</v>
      </c>
      <c r="I288" s="268">
        <f t="shared" si="854"/>
        <v>1824569.7808264212</v>
      </c>
      <c r="J288" s="268">
        <f t="shared" si="854"/>
        <v>1614005.635383839</v>
      </c>
      <c r="K288" s="268">
        <f t="shared" si="854"/>
        <v>-502523.46850699373</v>
      </c>
      <c r="L288" s="268">
        <f t="shared" si="854"/>
        <v>1301630.2334310778</v>
      </c>
      <c r="M288" s="268">
        <f t="shared" si="854"/>
        <v>1210138.11701183</v>
      </c>
      <c r="N288" s="268">
        <f t="shared" si="854"/>
        <v>1063379.5725736492</v>
      </c>
      <c r="O288" s="268">
        <f t="shared" si="854"/>
        <v>982810.70715933526</v>
      </c>
      <c r="P288" s="268">
        <f t="shared" si="854"/>
        <v>-839904.86723730771</v>
      </c>
      <c r="Q288" s="268">
        <f t="shared" si="854"/>
        <v>142442.95088852471</v>
      </c>
      <c r="R288" s="268">
        <f t="shared" si="854"/>
        <v>709026.31617026648</v>
      </c>
      <c r="S288" s="268">
        <f t="shared" si="854"/>
        <v>651774.98419992288</v>
      </c>
      <c r="T288" s="268">
        <f t="shared" si="854"/>
        <v>569057.71366921847</v>
      </c>
      <c r="U288" s="268">
        <f t="shared" si="854"/>
        <v>-506791.35791389708</v>
      </c>
      <c r="V288" s="268">
        <f t="shared" si="854"/>
        <v>-530810.72265200072</v>
      </c>
      <c r="W288" s="268">
        <f t="shared" si="854"/>
        <v>-2911.3135104350463</v>
      </c>
      <c r="X288" s="268">
        <f t="shared" si="854"/>
        <v>379119.18841063452</v>
      </c>
      <c r="Y288" s="268">
        <f t="shared" si="854"/>
        <v>351960.47734339151</v>
      </c>
      <c r="Z288" s="268">
        <f t="shared" si="854"/>
        <v>-88212.606838507738</v>
      </c>
      <c r="AA288" s="268">
        <f t="shared" si="854"/>
        <v>108105.16674828279</v>
      </c>
      <c r="AB288" s="268">
        <f t="shared" si="854"/>
        <v>51334.900413324125</v>
      </c>
      <c r="AC288" s="268">
        <f t="shared" si="854"/>
        <v>235625.90131073308</v>
      </c>
      <c r="AD288" s="268">
        <f t="shared" si="854"/>
        <v>205536.55432762977</v>
      </c>
      <c r="AE288" s="268">
        <f t="shared" si="854"/>
        <v>-41871.435748372322</v>
      </c>
      <c r="AF288" s="268">
        <f t="shared" si="854"/>
        <v>164950.24225552948</v>
      </c>
      <c r="AG288" s="268">
        <f t="shared" si="854"/>
        <v>151879.91153759908</v>
      </c>
      <c r="AH288" s="268">
        <f t="shared" si="854"/>
        <v>132389.69142625461</v>
      </c>
      <c r="AI288" s="268">
        <f t="shared" si="854"/>
        <v>121954.08554172322</v>
      </c>
      <c r="AJ288" s="268">
        <f t="shared" si="854"/>
        <v>-31204.074411691956</v>
      </c>
      <c r="AK288" s="268">
        <f t="shared" si="854"/>
        <v>97932.143709686905</v>
      </c>
      <c r="AL288" s="268">
        <f t="shared" si="854"/>
        <v>-35642.615311194269</v>
      </c>
      <c r="AM288" s="268">
        <f t="shared" si="854"/>
        <v>-155820.85789035185</v>
      </c>
      <c r="AN288" s="268">
        <f t="shared" si="854"/>
        <v>-7184.6062846820996</v>
      </c>
      <c r="AO288" s="268">
        <f t="shared" si="854"/>
        <v>-16847.152397210048</v>
      </c>
      <c r="AP288" s="268">
        <f t="shared" si="854"/>
        <v>56352.23846518463</v>
      </c>
      <c r="AQ288" s="268">
        <f t="shared" si="854"/>
        <v>51950.974699150844</v>
      </c>
      <c r="AR288" s="268">
        <f t="shared" si="854"/>
        <v>45214.238366652418</v>
      </c>
      <c r="AS288" s="268">
        <f t="shared" si="854"/>
        <v>41702.086999571278</v>
      </c>
      <c r="AT288" s="268">
        <f t="shared" si="854"/>
        <v>236220.29777770952</v>
      </c>
      <c r="AU288" s="166"/>
      <c r="AV288" s="166"/>
      <c r="AW288" s="166"/>
      <c r="AX288" s="166"/>
      <c r="AY288" s="166"/>
      <c r="AZ288" s="166"/>
      <c r="BA288" s="166"/>
      <c r="BB288" s="166"/>
      <c r="BC288" s="166"/>
      <c r="BD288" s="166"/>
      <c r="BE288" s="166"/>
      <c r="BF288" s="166"/>
      <c r="BG288" s="166"/>
      <c r="BH288" s="166"/>
      <c r="BI288" s="166"/>
      <c r="BJ288" s="166"/>
      <c r="BK288" s="166"/>
      <c r="BL288" s="166"/>
      <c r="BM288" s="166"/>
      <c r="BN288" s="166"/>
    </row>
    <row r="289" spans="2:66" ht="14.4" x14ac:dyDescent="0.25">
      <c r="B289" s="907" t="s">
        <v>403</v>
      </c>
      <c r="C289" s="824">
        <f>SUM(C288)</f>
        <v>-7217680.5455314573</v>
      </c>
      <c r="D289" s="824">
        <f>SUM(C288:D288)</f>
        <v>-30205567.070226096</v>
      </c>
      <c r="E289" s="824">
        <f>SUM(C288:E288)</f>
        <v>-82447969.543314978</v>
      </c>
      <c r="F289" s="824">
        <f>SUM(C288:F288)</f>
        <v>-101424012.57886654</v>
      </c>
      <c r="G289" s="824">
        <f>SUM(C288:G288)</f>
        <v>-100209656.19878659</v>
      </c>
      <c r="H289" s="824">
        <f>SUM(C288:H288)</f>
        <v>-98273014.276835129</v>
      </c>
      <c r="I289" s="824">
        <f>SUM(C288:I288)</f>
        <v>-96448444.496008709</v>
      </c>
      <c r="J289" s="824">
        <f>SUM(C288:J288)</f>
        <v>-94834438.860624865</v>
      </c>
      <c r="K289" s="824">
        <f>SUM(C288:K288)</f>
        <v>-95336962.329131857</v>
      </c>
      <c r="L289" s="824">
        <f>SUM(C288:L288)</f>
        <v>-94035332.095700786</v>
      </c>
      <c r="M289" s="824">
        <f>SUM(C288:M288)</f>
        <v>-92825193.978688955</v>
      </c>
      <c r="N289" s="824">
        <f>SUM(C288:N288)</f>
        <v>-91761814.406115308</v>
      </c>
      <c r="O289" s="824">
        <f>SUM(C288:O288)</f>
        <v>-90779003.698955968</v>
      </c>
      <c r="P289" s="824">
        <f>SUM(C288:P288)</f>
        <v>-91618908.566193283</v>
      </c>
      <c r="Q289" s="824">
        <f>SUM(C288:Q288)</f>
        <v>-91476465.615304753</v>
      </c>
      <c r="R289" s="824">
        <f>SUM(C288:R288)</f>
        <v>-90767439.299134493</v>
      </c>
      <c r="S289" s="824">
        <f>SUM(C288:S288)</f>
        <v>-90115664.314934567</v>
      </c>
      <c r="T289" s="824">
        <f>SUM(C288:T288)</f>
        <v>-89546606.601265341</v>
      </c>
      <c r="U289" s="824">
        <f>SUM(C288:U288)</f>
        <v>-90053397.959179237</v>
      </c>
      <c r="V289" s="824">
        <f>SUM(C288:V288)</f>
        <v>-90584208.681831241</v>
      </c>
      <c r="W289" s="824">
        <f>SUM(C288:W288)</f>
        <v>-90587119.995341673</v>
      </c>
      <c r="X289" s="824">
        <f>SUM(C288:X288)</f>
        <v>-90208000.806931034</v>
      </c>
      <c r="Y289" s="824">
        <f>SUM(C288:Y288)</f>
        <v>-89856040.329587638</v>
      </c>
      <c r="Z289" s="824">
        <f>SUM(C288:Z288)</f>
        <v>-89944252.936426148</v>
      </c>
      <c r="AA289" s="824">
        <f>SUM(C288:AA288)</f>
        <v>-89836147.769677863</v>
      </c>
      <c r="AB289" s="824">
        <f>SUM(C288:AB288)</f>
        <v>-89784812.869264543</v>
      </c>
      <c r="AC289" s="824">
        <f>SUM(C288:AC288)</f>
        <v>-89549186.967953816</v>
      </c>
      <c r="AD289" s="824">
        <f>SUM(C288:AD288)</f>
        <v>-89343650.413626179</v>
      </c>
      <c r="AE289" s="824">
        <f>SUM(C288:AE288)</f>
        <v>-89385521.849374548</v>
      </c>
      <c r="AF289" s="824">
        <f>SUM(C288:AF288)</f>
        <v>-89220571.607119024</v>
      </c>
      <c r="AG289" s="824">
        <f>SUM(C288:AG288)</f>
        <v>-89068691.695581421</v>
      </c>
      <c r="AH289" s="824">
        <f>SUM(C288:AH288)</f>
        <v>-88936302.004155174</v>
      </c>
      <c r="AI289" s="824">
        <f>SUM(C288:AI288)</f>
        <v>-88814347.918613449</v>
      </c>
      <c r="AJ289" s="824">
        <f>SUM(C288:AJ288)</f>
        <v>-88845551.993025139</v>
      </c>
      <c r="AK289" s="824">
        <f>SUM(C288:AK288)</f>
        <v>-88747619.84931545</v>
      </c>
      <c r="AL289" s="824">
        <f>SUM(C288:AL288)</f>
        <v>-88783262.46462664</v>
      </c>
      <c r="AM289" s="824">
        <f>SUM(C288:AM288)</f>
        <v>-88939083.322516993</v>
      </c>
      <c r="AN289" s="824">
        <f>SUM(C288:AN288)</f>
        <v>-88946267.928801671</v>
      </c>
      <c r="AO289" s="824">
        <f>SUM(C288:AO288)</f>
        <v>-88963115.081198886</v>
      </c>
      <c r="AP289" s="824">
        <f>SUM(C288:AP288)</f>
        <v>-88906762.842733696</v>
      </c>
      <c r="AQ289" s="824">
        <f>SUM(C288:AQ288)</f>
        <v>-88854811.868034542</v>
      </c>
      <c r="AR289" s="824">
        <f>SUM(C288:AR288)</f>
        <v>-88809597.629667893</v>
      </c>
      <c r="AS289" s="824">
        <f>SUM(C288:AS288)</f>
        <v>-88767895.542668328</v>
      </c>
      <c r="AT289" s="824">
        <f>SUM(C288:AT288)</f>
        <v>-88531675.244890615</v>
      </c>
      <c r="AU289" s="166"/>
      <c r="AV289" s="166"/>
      <c r="AW289" s="166"/>
      <c r="AX289" s="166"/>
      <c r="AY289" s="166"/>
      <c r="AZ289" s="166"/>
      <c r="BA289" s="166"/>
      <c r="BB289" s="166"/>
      <c r="BC289" s="166"/>
      <c r="BD289" s="166"/>
      <c r="BE289" s="166"/>
      <c r="BF289" s="166"/>
      <c r="BG289" s="166"/>
      <c r="BH289" s="166"/>
      <c r="BI289" s="166"/>
      <c r="BJ289" s="166"/>
      <c r="BK289" s="166"/>
      <c r="BL289" s="166"/>
      <c r="BM289" s="166"/>
      <c r="BN289" s="166"/>
    </row>
    <row r="290" spans="2:66" x14ac:dyDescent="0.25"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</row>
    <row r="291" spans="2:66" x14ac:dyDescent="0.25"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</row>
    <row r="292" spans="2:66" s="306" customFormat="1" ht="14.4" x14ac:dyDescent="0.3">
      <c r="B292" s="759" t="s">
        <v>532</v>
      </c>
      <c r="C292" s="759"/>
      <c r="D292" s="759"/>
      <c r="E292" s="759"/>
      <c r="F292" s="759"/>
      <c r="G292" s="759"/>
      <c r="H292" s="759"/>
      <c r="I292" s="759"/>
      <c r="J292" s="759"/>
      <c r="K292" s="759"/>
      <c r="L292" s="759"/>
      <c r="M292" s="759"/>
      <c r="N292" s="759"/>
      <c r="O292" s="759"/>
      <c r="P292" s="759"/>
      <c r="Q292" s="759"/>
      <c r="R292" s="759"/>
      <c r="S292" s="759"/>
      <c r="T292" s="759"/>
      <c r="U292" s="759"/>
      <c r="V292" s="759"/>
      <c r="W292" s="759"/>
      <c r="X292" s="759"/>
      <c r="Y292" s="759"/>
      <c r="Z292" s="759"/>
      <c r="AA292" s="759"/>
      <c r="AB292" s="759"/>
      <c r="AC292" s="759"/>
      <c r="AD292" s="759"/>
      <c r="AE292" s="759"/>
      <c r="AF292" s="759"/>
      <c r="AG292" s="759"/>
      <c r="AH292" s="759"/>
      <c r="AI292" s="759"/>
      <c r="AJ292" s="759"/>
      <c r="AK292" s="759"/>
      <c r="AL292" s="759"/>
      <c r="AM292" s="759"/>
      <c r="AN292" s="759"/>
      <c r="AO292" s="759"/>
      <c r="AP292" s="759"/>
      <c r="AQ292" s="759"/>
      <c r="AR292" s="759"/>
      <c r="AS292" s="759"/>
      <c r="AT292" s="814"/>
    </row>
    <row r="293" spans="2:66" x14ac:dyDescent="0.25"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7"/>
      <c r="AI293" s="177"/>
      <c r="AJ293" s="13"/>
      <c r="AK293" s="38"/>
      <c r="AL293" s="38"/>
      <c r="AM293" s="38"/>
      <c r="AN293" s="38"/>
      <c r="AO293" s="38"/>
      <c r="AP293" s="38"/>
      <c r="AQ293" s="38"/>
      <c r="AR293" s="38"/>
      <c r="AS293" s="38"/>
      <c r="AT293" s="13"/>
      <c r="AU293" s="166"/>
      <c r="AV293" s="166"/>
      <c r="AW293" s="166"/>
      <c r="AX293" s="166"/>
      <c r="AY293" s="166"/>
      <c r="AZ293" s="166"/>
      <c r="BA293" s="166"/>
      <c r="BB293" s="166"/>
      <c r="BC293" s="166"/>
      <c r="BD293" s="166"/>
      <c r="BE293" s="166"/>
      <c r="BF293" s="166"/>
      <c r="BG293" s="166"/>
      <c r="BH293" s="166"/>
      <c r="BI293" s="166"/>
      <c r="BJ293" s="166"/>
      <c r="BK293" s="166"/>
      <c r="BL293" s="166"/>
      <c r="BM293" s="166"/>
      <c r="BN293" s="166"/>
    </row>
    <row r="294" spans="2:66" ht="14.4" x14ac:dyDescent="0.3">
      <c r="B294" s="813" t="s">
        <v>378</v>
      </c>
      <c r="C294" s="179">
        <v>2015</v>
      </c>
      <c r="D294" s="179">
        <v>2016</v>
      </c>
      <c r="E294" s="179">
        <v>2017</v>
      </c>
      <c r="F294" s="179">
        <v>2018</v>
      </c>
      <c r="G294" s="179">
        <v>2019</v>
      </c>
      <c r="H294" s="179">
        <v>2020</v>
      </c>
      <c r="I294" s="179">
        <v>2021</v>
      </c>
      <c r="J294" s="179">
        <v>2022</v>
      </c>
      <c r="K294" s="179">
        <v>2023</v>
      </c>
      <c r="L294" s="179">
        <v>2024</v>
      </c>
      <c r="M294" s="179">
        <v>2025</v>
      </c>
      <c r="N294" s="179">
        <v>2026</v>
      </c>
      <c r="O294" s="179">
        <v>2027</v>
      </c>
      <c r="P294" s="179">
        <v>2028</v>
      </c>
      <c r="Q294" s="179">
        <v>2029</v>
      </c>
      <c r="R294" s="179">
        <v>2030</v>
      </c>
      <c r="S294" s="179">
        <v>2031</v>
      </c>
      <c r="T294" s="179">
        <v>2032</v>
      </c>
      <c r="U294" s="179">
        <v>2033</v>
      </c>
      <c r="V294" s="179">
        <v>2034</v>
      </c>
      <c r="W294" s="179">
        <v>2035</v>
      </c>
      <c r="X294" s="179">
        <v>2036</v>
      </c>
      <c r="Y294" s="179">
        <v>2037</v>
      </c>
      <c r="Z294" s="179">
        <v>2038</v>
      </c>
      <c r="AA294" s="179">
        <v>2039</v>
      </c>
      <c r="AB294" s="179">
        <v>2040</v>
      </c>
      <c r="AC294" s="179">
        <v>2041</v>
      </c>
      <c r="AD294" s="179">
        <v>2042</v>
      </c>
      <c r="AE294" s="179">
        <v>2043</v>
      </c>
      <c r="AF294" s="179">
        <v>2044</v>
      </c>
      <c r="AG294" s="179">
        <v>2045</v>
      </c>
      <c r="AH294" s="179">
        <v>2046</v>
      </c>
      <c r="AI294" s="179">
        <v>2047</v>
      </c>
      <c r="AJ294" s="179">
        <v>2048</v>
      </c>
      <c r="AK294" s="179">
        <v>2049</v>
      </c>
      <c r="AL294" s="179">
        <v>2050</v>
      </c>
      <c r="AM294" s="179">
        <v>2051</v>
      </c>
      <c r="AN294" s="179">
        <v>2052</v>
      </c>
      <c r="AO294" s="179">
        <v>2053</v>
      </c>
      <c r="AP294" s="179">
        <v>2054</v>
      </c>
      <c r="AQ294" s="179">
        <v>2055</v>
      </c>
      <c r="AR294" s="179">
        <v>2056</v>
      </c>
      <c r="AS294" s="179">
        <v>2057</v>
      </c>
      <c r="AT294" s="179">
        <v>2058</v>
      </c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</row>
    <row r="295" spans="2:66" ht="14.4" x14ac:dyDescent="0.3">
      <c r="B295" s="813"/>
      <c r="C295" s="816" t="s">
        <v>134</v>
      </c>
      <c r="D295" s="816" t="s">
        <v>135</v>
      </c>
      <c r="E295" s="816" t="s">
        <v>136</v>
      </c>
      <c r="F295" s="816" t="s">
        <v>137</v>
      </c>
      <c r="G295" s="816" t="s">
        <v>138</v>
      </c>
      <c r="H295" s="816" t="s">
        <v>139</v>
      </c>
      <c r="I295" s="816" t="s">
        <v>140</v>
      </c>
      <c r="J295" s="816" t="s">
        <v>141</v>
      </c>
      <c r="K295" s="816" t="s">
        <v>142</v>
      </c>
      <c r="L295" s="816" t="s">
        <v>143</v>
      </c>
      <c r="M295" s="816" t="s">
        <v>144</v>
      </c>
      <c r="N295" s="816" t="s">
        <v>145</v>
      </c>
      <c r="O295" s="816" t="s">
        <v>146</v>
      </c>
      <c r="P295" s="816" t="s">
        <v>147</v>
      </c>
      <c r="Q295" s="816" t="s">
        <v>148</v>
      </c>
      <c r="R295" s="816" t="s">
        <v>149</v>
      </c>
      <c r="S295" s="816" t="s">
        <v>150</v>
      </c>
      <c r="T295" s="816" t="s">
        <v>151</v>
      </c>
      <c r="U295" s="816" t="s">
        <v>152</v>
      </c>
      <c r="V295" s="816" t="s">
        <v>153</v>
      </c>
      <c r="W295" s="816" t="s">
        <v>154</v>
      </c>
      <c r="X295" s="816" t="s">
        <v>155</v>
      </c>
      <c r="Y295" s="816" t="s">
        <v>156</v>
      </c>
      <c r="Z295" s="816" t="s">
        <v>157</v>
      </c>
      <c r="AA295" s="816" t="s">
        <v>158</v>
      </c>
      <c r="AB295" s="816" t="s">
        <v>159</v>
      </c>
      <c r="AC295" s="816" t="s">
        <v>160</v>
      </c>
      <c r="AD295" s="816" t="s">
        <v>161</v>
      </c>
      <c r="AE295" s="816" t="s">
        <v>162</v>
      </c>
      <c r="AF295" s="816" t="s">
        <v>163</v>
      </c>
      <c r="AG295" s="816" t="s">
        <v>164</v>
      </c>
      <c r="AH295" s="816" t="s">
        <v>165</v>
      </c>
      <c r="AI295" s="816" t="s">
        <v>166</v>
      </c>
      <c r="AJ295" s="816" t="s">
        <v>167</v>
      </c>
      <c r="AK295" s="816" t="s">
        <v>168</v>
      </c>
      <c r="AL295" s="816" t="s">
        <v>169</v>
      </c>
      <c r="AM295" s="816" t="s">
        <v>170</v>
      </c>
      <c r="AN295" s="816" t="s">
        <v>171</v>
      </c>
      <c r="AO295" s="816" t="s">
        <v>172</v>
      </c>
      <c r="AP295" s="816" t="s">
        <v>173</v>
      </c>
      <c r="AQ295" s="816" t="s">
        <v>174</v>
      </c>
      <c r="AR295" s="816" t="s">
        <v>224</v>
      </c>
      <c r="AS295" s="816" t="s">
        <v>225</v>
      </c>
      <c r="AT295" s="816" t="s">
        <v>226</v>
      </c>
      <c r="AU295" s="166"/>
      <c r="AV295" s="166"/>
      <c r="AW295" s="166"/>
      <c r="AX295" s="166"/>
      <c r="AY295" s="166"/>
      <c r="AZ295" s="166"/>
      <c r="BA295" s="166"/>
      <c r="BB295" s="166"/>
      <c r="BC295" s="166"/>
      <c r="BD295" s="166"/>
      <c r="BE295" s="166"/>
      <c r="BF295" s="166"/>
      <c r="BG295" s="166"/>
      <c r="BH295" s="166"/>
      <c r="BI295" s="166"/>
      <c r="BJ295" s="166"/>
      <c r="BK295" s="166"/>
      <c r="BL295" s="166"/>
      <c r="BM295" s="166"/>
      <c r="BN295" s="166"/>
    </row>
    <row r="296" spans="2:66" ht="14.4" x14ac:dyDescent="0.3">
      <c r="B296" s="813"/>
      <c r="C296" s="816">
        <v>0</v>
      </c>
      <c r="D296" s="816">
        <v>1</v>
      </c>
      <c r="E296" s="816">
        <v>2</v>
      </c>
      <c r="F296" s="816">
        <v>3</v>
      </c>
      <c r="G296" s="816">
        <v>4</v>
      </c>
      <c r="H296" s="816">
        <v>5</v>
      </c>
      <c r="I296" s="816">
        <v>6</v>
      </c>
      <c r="J296" s="816">
        <v>7</v>
      </c>
      <c r="K296" s="816">
        <v>8</v>
      </c>
      <c r="L296" s="816">
        <v>9</v>
      </c>
      <c r="M296" s="816">
        <v>10</v>
      </c>
      <c r="N296" s="816">
        <v>11</v>
      </c>
      <c r="O296" s="816">
        <v>12</v>
      </c>
      <c r="P296" s="816">
        <v>13</v>
      </c>
      <c r="Q296" s="816">
        <v>14</v>
      </c>
      <c r="R296" s="816">
        <v>15</v>
      </c>
      <c r="S296" s="816">
        <v>16</v>
      </c>
      <c r="T296" s="816">
        <v>17</v>
      </c>
      <c r="U296" s="816">
        <v>18</v>
      </c>
      <c r="V296" s="816">
        <v>19</v>
      </c>
      <c r="W296" s="816">
        <v>20</v>
      </c>
      <c r="X296" s="816">
        <v>21</v>
      </c>
      <c r="Y296" s="816">
        <v>22</v>
      </c>
      <c r="Z296" s="816">
        <v>23</v>
      </c>
      <c r="AA296" s="816">
        <v>24</v>
      </c>
      <c r="AB296" s="816">
        <v>25</v>
      </c>
      <c r="AC296" s="816">
        <v>26</v>
      </c>
      <c r="AD296" s="816">
        <v>27</v>
      </c>
      <c r="AE296" s="816">
        <v>28</v>
      </c>
      <c r="AF296" s="816">
        <v>29</v>
      </c>
      <c r="AG296" s="816">
        <v>30</v>
      </c>
      <c r="AH296" s="816">
        <v>31</v>
      </c>
      <c r="AI296" s="816">
        <v>32</v>
      </c>
      <c r="AJ296" s="816">
        <v>33</v>
      </c>
      <c r="AK296" s="816">
        <v>34</v>
      </c>
      <c r="AL296" s="816">
        <v>35</v>
      </c>
      <c r="AM296" s="816">
        <v>36</v>
      </c>
      <c r="AN296" s="816">
        <v>37</v>
      </c>
      <c r="AO296" s="816">
        <v>38</v>
      </c>
      <c r="AP296" s="816">
        <v>39</v>
      </c>
      <c r="AQ296" s="816">
        <v>40</v>
      </c>
      <c r="AR296" s="816">
        <v>41</v>
      </c>
      <c r="AS296" s="816">
        <v>42</v>
      </c>
      <c r="AT296" s="816">
        <v>43</v>
      </c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</row>
    <row r="297" spans="2:66" ht="14.4" x14ac:dyDescent="0.3">
      <c r="B297" s="813"/>
      <c r="C297" s="816">
        <v>0</v>
      </c>
      <c r="D297" s="816">
        <v>0</v>
      </c>
      <c r="E297" s="816">
        <v>0</v>
      </c>
      <c r="F297" s="816">
        <v>0</v>
      </c>
      <c r="G297" s="816">
        <v>1</v>
      </c>
      <c r="H297" s="816">
        <v>2</v>
      </c>
      <c r="I297" s="816">
        <v>3</v>
      </c>
      <c r="J297" s="816">
        <v>4</v>
      </c>
      <c r="K297" s="816">
        <v>5</v>
      </c>
      <c r="L297" s="816">
        <v>6</v>
      </c>
      <c r="M297" s="816">
        <v>7</v>
      </c>
      <c r="N297" s="816">
        <v>8</v>
      </c>
      <c r="O297" s="816">
        <v>9</v>
      </c>
      <c r="P297" s="816">
        <v>10</v>
      </c>
      <c r="Q297" s="816">
        <v>11</v>
      </c>
      <c r="R297" s="816">
        <v>12</v>
      </c>
      <c r="S297" s="816">
        <v>13</v>
      </c>
      <c r="T297" s="816">
        <v>14</v>
      </c>
      <c r="U297" s="816">
        <v>15</v>
      </c>
      <c r="V297" s="816">
        <v>16</v>
      </c>
      <c r="W297" s="816">
        <v>17</v>
      </c>
      <c r="X297" s="816">
        <v>18</v>
      </c>
      <c r="Y297" s="816">
        <v>19</v>
      </c>
      <c r="Z297" s="816">
        <v>20</v>
      </c>
      <c r="AA297" s="816">
        <v>21</v>
      </c>
      <c r="AB297" s="816">
        <v>22</v>
      </c>
      <c r="AC297" s="816">
        <v>23</v>
      </c>
      <c r="AD297" s="816">
        <v>24</v>
      </c>
      <c r="AE297" s="816">
        <v>25</v>
      </c>
      <c r="AF297" s="816">
        <v>26</v>
      </c>
      <c r="AG297" s="816">
        <v>27</v>
      </c>
      <c r="AH297" s="816">
        <v>28</v>
      </c>
      <c r="AI297" s="816">
        <v>29</v>
      </c>
      <c r="AJ297" s="816">
        <v>30</v>
      </c>
      <c r="AK297" s="816">
        <v>31</v>
      </c>
      <c r="AL297" s="816">
        <v>32</v>
      </c>
      <c r="AM297" s="816">
        <v>33</v>
      </c>
      <c r="AN297" s="816">
        <v>34</v>
      </c>
      <c r="AO297" s="816">
        <v>35</v>
      </c>
      <c r="AP297" s="816">
        <v>36</v>
      </c>
      <c r="AQ297" s="816">
        <v>37</v>
      </c>
      <c r="AR297" s="816">
        <v>38</v>
      </c>
      <c r="AS297" s="816">
        <v>39</v>
      </c>
      <c r="AT297" s="816">
        <v>40</v>
      </c>
      <c r="AU297" s="166"/>
      <c r="AV297" s="166"/>
      <c r="AW297" s="166"/>
      <c r="AX297" s="166"/>
      <c r="AY297" s="166"/>
      <c r="AZ297" s="166"/>
      <c r="BA297" s="166"/>
      <c r="BB297" s="166"/>
      <c r="BC297" s="166"/>
      <c r="BD297" s="166"/>
      <c r="BE297" s="166"/>
      <c r="BF297" s="166"/>
      <c r="BG297" s="166"/>
      <c r="BH297" s="166"/>
      <c r="BI297" s="166"/>
      <c r="BJ297" s="166"/>
      <c r="BK297" s="166"/>
      <c r="BL297" s="166"/>
      <c r="BM297" s="166"/>
      <c r="BN297" s="166"/>
    </row>
    <row r="298" spans="2:66" ht="14.4" x14ac:dyDescent="0.3">
      <c r="B298" s="813"/>
      <c r="C298" s="798"/>
      <c r="D298" s="798"/>
      <c r="E298" s="798"/>
      <c r="F298" s="798"/>
      <c r="G298" s="798"/>
      <c r="H298" s="798"/>
      <c r="I298" s="798"/>
      <c r="J298" s="798"/>
      <c r="K298" s="798"/>
      <c r="L298" s="798"/>
      <c r="M298" s="798"/>
      <c r="N298" s="798"/>
      <c r="O298" s="798"/>
      <c r="P298" s="798"/>
      <c r="Q298" s="798"/>
      <c r="R298" s="798"/>
      <c r="S298" s="798"/>
      <c r="T298" s="798"/>
      <c r="U298" s="798"/>
      <c r="V298" s="798"/>
      <c r="W298" s="798"/>
      <c r="X298" s="798"/>
      <c r="Y298" s="798"/>
      <c r="Z298" s="798"/>
      <c r="AA298" s="798"/>
      <c r="AB298" s="798"/>
      <c r="AC298" s="798"/>
      <c r="AD298" s="798"/>
      <c r="AE298" s="798"/>
      <c r="AF298" s="798"/>
      <c r="AG298" s="798"/>
      <c r="AH298" s="798"/>
      <c r="AI298" s="798"/>
      <c r="AJ298" s="798"/>
      <c r="AK298" s="798"/>
      <c r="AL298" s="798"/>
      <c r="AM298" s="798"/>
      <c r="AN298" s="798"/>
      <c r="AO298" s="798"/>
      <c r="AP298" s="798"/>
      <c r="AQ298" s="798"/>
      <c r="AR298" s="798"/>
      <c r="AS298" s="798"/>
      <c r="AT298" s="798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</row>
    <row r="299" spans="2:66" ht="14.4" x14ac:dyDescent="0.25">
      <c r="B299" s="830" t="s">
        <v>434</v>
      </c>
      <c r="C299" s="807"/>
      <c r="D299" s="807"/>
      <c r="E299" s="807"/>
      <c r="F299" s="807"/>
      <c r="G299" s="807"/>
      <c r="H299" s="807"/>
      <c r="I299" s="807"/>
      <c r="J299" s="807"/>
      <c r="K299" s="807"/>
      <c r="L299" s="807"/>
      <c r="M299" s="807"/>
      <c r="N299" s="807"/>
      <c r="O299" s="807"/>
      <c r="P299" s="807"/>
      <c r="Q299" s="807"/>
      <c r="R299" s="807"/>
      <c r="S299" s="807"/>
      <c r="T299" s="807"/>
      <c r="U299" s="807"/>
      <c r="V299" s="807"/>
      <c r="W299" s="807"/>
      <c r="X299" s="807"/>
      <c r="Y299" s="807"/>
      <c r="Z299" s="807"/>
      <c r="AA299" s="807"/>
      <c r="AB299" s="807"/>
      <c r="AC299" s="807"/>
      <c r="AD299" s="807"/>
      <c r="AE299" s="807"/>
      <c r="AF299" s="807"/>
      <c r="AG299" s="807"/>
      <c r="AH299" s="807"/>
      <c r="AI299" s="807"/>
      <c r="AJ299" s="807"/>
      <c r="AK299" s="807"/>
      <c r="AL299" s="807"/>
      <c r="AM299" s="807"/>
      <c r="AN299" s="807"/>
      <c r="AO299" s="807"/>
      <c r="AP299" s="807"/>
      <c r="AQ299" s="807"/>
      <c r="AR299" s="807"/>
      <c r="AS299" s="807"/>
      <c r="AT299" s="807"/>
      <c r="AU299" s="166"/>
      <c r="AV299" s="166"/>
      <c r="AW299" s="166"/>
      <c r="AX299" s="166"/>
      <c r="AY299" s="166"/>
      <c r="AZ299" s="166"/>
      <c r="BA299" s="166"/>
      <c r="BB299" s="166"/>
      <c r="BC299" s="166"/>
      <c r="BD299" s="166"/>
      <c r="BE299" s="166"/>
      <c r="BF299" s="166"/>
      <c r="BG299" s="166"/>
      <c r="BH299" s="166"/>
      <c r="BI299" s="166"/>
      <c r="BJ299" s="166"/>
      <c r="BK299" s="166"/>
      <c r="BL299" s="166"/>
      <c r="BM299" s="166"/>
      <c r="BN299" s="166"/>
    </row>
    <row r="300" spans="2:66" x14ac:dyDescent="0.25">
      <c r="B300" s="831" t="s">
        <v>449</v>
      </c>
      <c r="C300" s="178">
        <v>0</v>
      </c>
      <c r="D300" s="178">
        <v>0</v>
      </c>
      <c r="E300" s="178">
        <v>0</v>
      </c>
      <c r="F300" s="178">
        <v>0</v>
      </c>
      <c r="G300" s="268">
        <f>G224</f>
        <v>3454589.5691445097</v>
      </c>
      <c r="H300" s="268">
        <f t="shared" ref="H300:AT300" si="855">H224</f>
        <v>3546350.2599561452</v>
      </c>
      <c r="I300" s="268">
        <f t="shared" si="855"/>
        <v>3629500.1452487805</v>
      </c>
      <c r="J300" s="268">
        <f t="shared" si="855"/>
        <v>3714649.5304283733</v>
      </c>
      <c r="K300" s="268">
        <f t="shared" si="855"/>
        <v>9294323.7646731809</v>
      </c>
      <c r="L300" s="268">
        <f t="shared" si="855"/>
        <v>3891145.174125297</v>
      </c>
      <c r="M300" s="268">
        <f t="shared" si="855"/>
        <v>3982593.760180179</v>
      </c>
      <c r="N300" s="268">
        <f t="shared" si="855"/>
        <v>4076246.5661634705</v>
      </c>
      <c r="O300" s="268">
        <f t="shared" si="855"/>
        <v>4172158.0442154035</v>
      </c>
      <c r="P300" s="268">
        <f t="shared" si="855"/>
        <v>10305240.456239779</v>
      </c>
      <c r="Q300" s="268">
        <f t="shared" si="855"/>
        <v>4370981.7449138239</v>
      </c>
      <c r="R300" s="268">
        <f t="shared" si="855"/>
        <v>4474009.8993217153</v>
      </c>
      <c r="S300" s="268">
        <f t="shared" si="855"/>
        <v>4579528.6633017063</v>
      </c>
      <c r="T300" s="268">
        <f t="shared" si="855"/>
        <v>4687599.7384678498</v>
      </c>
      <c r="U300" s="268">
        <f t="shared" si="855"/>
        <v>11429085.151702685</v>
      </c>
      <c r="V300" s="268">
        <f t="shared" si="855"/>
        <v>4911653.4910183838</v>
      </c>
      <c r="W300" s="268">
        <f t="shared" si="855"/>
        <v>5027767.5564522296</v>
      </c>
      <c r="X300" s="268">
        <f t="shared" si="855"/>
        <v>5146696.7934412798</v>
      </c>
      <c r="Y300" s="268">
        <f t="shared" si="855"/>
        <v>5268511.1412896216</v>
      </c>
      <c r="Z300" s="268">
        <f t="shared" si="855"/>
        <v>12678875.013862662</v>
      </c>
      <c r="AA300" s="268">
        <f t="shared" si="855"/>
        <v>5521083.8624752844</v>
      </c>
      <c r="AB300" s="268">
        <f t="shared" si="855"/>
        <v>5651991.1898182109</v>
      </c>
      <c r="AC300" s="268">
        <f t="shared" si="855"/>
        <v>5786081.6320499461</v>
      </c>
      <c r="AD300" s="268">
        <f t="shared" si="855"/>
        <v>5923434.4919935949</v>
      </c>
      <c r="AE300" s="268">
        <f t="shared" si="855"/>
        <v>14069181.394370388</v>
      </c>
      <c r="AF300" s="268">
        <f t="shared" si="855"/>
        <v>6208254.835203521</v>
      </c>
      <c r="AG300" s="268">
        <f t="shared" si="855"/>
        <v>6355891.2422239808</v>
      </c>
      <c r="AH300" s="268">
        <f t="shared" si="855"/>
        <v>6507128.0239001652</v>
      </c>
      <c r="AI300" s="268">
        <f t="shared" si="855"/>
        <v>6662055.1295457529</v>
      </c>
      <c r="AJ300" s="268">
        <f t="shared" si="855"/>
        <v>15616322.452012271</v>
      </c>
      <c r="AK300" s="268">
        <f t="shared" si="855"/>
        <v>6983351.6630770871</v>
      </c>
      <c r="AL300" s="268">
        <f t="shared" si="855"/>
        <v>7149912.7241678927</v>
      </c>
      <c r="AM300" s="268">
        <f t="shared" si="855"/>
        <v>7320547.5004008031</v>
      </c>
      <c r="AN300" s="268">
        <f t="shared" si="855"/>
        <v>7495358.0500422539</v>
      </c>
      <c r="AO300" s="268">
        <f t="shared" si="855"/>
        <v>17338580.552335452</v>
      </c>
      <c r="AP300" s="268">
        <f t="shared" si="855"/>
        <v>7857927.8452074975</v>
      </c>
      <c r="AQ300" s="268">
        <f t="shared" si="855"/>
        <v>8045904.5568202641</v>
      </c>
      <c r="AR300" s="268">
        <f t="shared" si="855"/>
        <v>8238492.1162956236</v>
      </c>
      <c r="AS300" s="268">
        <f t="shared" si="855"/>
        <v>8435806.3583844062</v>
      </c>
      <c r="AT300" s="268">
        <f t="shared" si="855"/>
        <v>19256447.751688365</v>
      </c>
      <c r="AU300" s="166"/>
      <c r="AV300" s="166"/>
      <c r="AW300" s="166"/>
      <c r="AX300" s="166"/>
      <c r="AY300" s="166"/>
      <c r="AZ300" s="166"/>
      <c r="BA300" s="166"/>
      <c r="BB300" s="166"/>
      <c r="BC300" s="166"/>
      <c r="BD300" s="166"/>
      <c r="BE300" s="166"/>
      <c r="BF300" s="166"/>
      <c r="BG300" s="166"/>
      <c r="BH300" s="166"/>
      <c r="BI300" s="166"/>
      <c r="BJ300" s="166"/>
      <c r="BK300" s="166"/>
      <c r="BL300" s="166"/>
      <c r="BM300" s="166"/>
      <c r="BN300" s="166"/>
    </row>
    <row r="301" spans="2:66" x14ac:dyDescent="0.25">
      <c r="B301" s="832" t="s">
        <v>379</v>
      </c>
      <c r="C301" s="178">
        <v>0</v>
      </c>
      <c r="D301" s="178">
        <v>0</v>
      </c>
      <c r="E301" s="178">
        <v>0</v>
      </c>
      <c r="F301" s="178">
        <v>0</v>
      </c>
      <c r="G301" s="758">
        <f>DEMANDA!C50*PARAMETROS!$C$67</f>
        <v>6063400</v>
      </c>
      <c r="H301" s="758">
        <f>DEMANDA!D50*PARAMETROS!$C$67</f>
        <v>8084533.333333333</v>
      </c>
      <c r="I301" s="758">
        <f>DEMANDA!E50*PARAMETROS!$C$67</f>
        <v>8172853.333333333</v>
      </c>
      <c r="J301" s="758">
        <f>DEMANDA!F50*PARAMETROS!$C$67</f>
        <v>8261173.333333333</v>
      </c>
      <c r="K301" s="758">
        <f>DEMANDA!G50*PARAMETROS!$C$67</f>
        <v>8349493.333333333</v>
      </c>
      <c r="L301" s="758">
        <f>DEMANDA!H50*PARAMETROS!$C$67</f>
        <v>8437813.333333334</v>
      </c>
      <c r="M301" s="758">
        <f>DEMANDA!I50*PARAMETROS!$C$67</f>
        <v>8526133.333333334</v>
      </c>
      <c r="N301" s="758">
        <f>DEMANDA!J50*PARAMETROS!$C$67</f>
        <v>8569382.124444982</v>
      </c>
      <c r="O301" s="758">
        <f>DEMANDA!K50*PARAMETROS!$C$67</f>
        <v>8612630.9155566283</v>
      </c>
      <c r="P301" s="758">
        <f>DEMANDA!L50*PARAMETROS!$C$67</f>
        <v>8655879.7066682726</v>
      </c>
      <c r="Q301" s="758">
        <f>DEMANDA!M50*PARAMETROS!$C$67</f>
        <v>8699128.4977799188</v>
      </c>
      <c r="R301" s="758">
        <f>DEMANDA!N50*PARAMETROS!$C$67</f>
        <v>8742377.2888915688</v>
      </c>
      <c r="S301" s="758">
        <f>DEMANDA!O50*PARAMETROS!$C$67</f>
        <v>8746476.4208633434</v>
      </c>
      <c r="T301" s="758">
        <f>DEMANDA!P50*PARAMETROS!$C$67</f>
        <v>8750575.5528351162</v>
      </c>
      <c r="U301" s="758">
        <f>DEMANDA!Q50*PARAMETROS!$C$67</f>
        <v>8754674.6848068908</v>
      </c>
      <c r="V301" s="758">
        <f>DEMANDA!R50*PARAMETROS!$C$67</f>
        <v>8758773.8167786654</v>
      </c>
      <c r="W301" s="758">
        <f>DEMANDA!S50*PARAMETROS!$C$67</f>
        <v>8762872.9487504344</v>
      </c>
      <c r="X301" s="758">
        <f>DEMANDA!T50*PARAMETROS!$C$67</f>
        <v>8817203.4235491939</v>
      </c>
      <c r="Y301" s="758">
        <f>DEMANDA!U50*PARAMETROS!$C$67</f>
        <v>8871533.8983479515</v>
      </c>
      <c r="Z301" s="758">
        <f>DEMANDA!V50*PARAMETROS!$C$67</f>
        <v>8925864.3731467109</v>
      </c>
      <c r="AA301" s="758">
        <f>DEMANDA!W50*PARAMETROS!$C$67</f>
        <v>8980194.8479454704</v>
      </c>
      <c r="AB301" s="758">
        <f>DEMANDA!X50*PARAMETROS!$C$67</f>
        <v>9034525.3227442317</v>
      </c>
      <c r="AC301" s="758">
        <f>DEMANDA!Y50*PARAMETROS!$C$67</f>
        <v>9034525.3227442317</v>
      </c>
      <c r="AD301" s="758">
        <f>DEMANDA!Z50*PARAMETROS!$C$67</f>
        <v>9034525.3227442317</v>
      </c>
      <c r="AE301" s="758">
        <f>DEMANDA!AA50*PARAMETROS!$C$67</f>
        <v>9034525.3227442317</v>
      </c>
      <c r="AF301" s="758">
        <f>DEMANDA!AB50*PARAMETROS!$C$67</f>
        <v>9034525.3227442317</v>
      </c>
      <c r="AG301" s="758">
        <f>DEMANDA!AC50*PARAMETROS!$C$67</f>
        <v>9034525.3227442317</v>
      </c>
      <c r="AH301" s="758">
        <f>DEMANDA!AD50*PARAMETROS!$C$67</f>
        <v>9034525.3227442317</v>
      </c>
      <c r="AI301" s="758">
        <f>DEMANDA!AE50*PARAMETROS!$C$67</f>
        <v>9034525.3227442317</v>
      </c>
      <c r="AJ301" s="758">
        <f>DEMANDA!AF50*PARAMETROS!$C$67</f>
        <v>9034525.3227442317</v>
      </c>
      <c r="AK301" s="758">
        <f>DEMANDA!AG50*PARAMETROS!$C$67</f>
        <v>9034525.3227442317</v>
      </c>
      <c r="AL301" s="758">
        <f>DEMANDA!AH50*PARAMETROS!$C$67</f>
        <v>9034525.3227442317</v>
      </c>
      <c r="AM301" s="758">
        <f>DEMANDA!AI50*PARAMETROS!$C$67</f>
        <v>9034525.3227442317</v>
      </c>
      <c r="AN301" s="758">
        <f>DEMANDA!AJ50*PARAMETROS!$C$67</f>
        <v>9034525.3227442317</v>
      </c>
      <c r="AO301" s="758">
        <f>DEMANDA!AK50*PARAMETROS!$C$67</f>
        <v>9034525.3227442317</v>
      </c>
      <c r="AP301" s="758">
        <f>DEMANDA!AL50*PARAMETROS!$C$67</f>
        <v>9034525.3227442317</v>
      </c>
      <c r="AQ301" s="758">
        <f>DEMANDA!AM50*PARAMETROS!$C$67</f>
        <v>9034525.3227442317</v>
      </c>
      <c r="AR301" s="758">
        <f>DEMANDA!AN50*PARAMETROS!$C$67</f>
        <v>9034525.3227442317</v>
      </c>
      <c r="AS301" s="758">
        <f>DEMANDA!AO50*PARAMETROS!$C$67</f>
        <v>9034525.3227442317</v>
      </c>
      <c r="AT301" s="758">
        <f>DEMANDA!AP50*PARAMETROS!$C$67</f>
        <v>9034525.3227442317</v>
      </c>
      <c r="AU301" s="166"/>
      <c r="AV301" s="166"/>
      <c r="AW301" s="166"/>
      <c r="AX301" s="166"/>
      <c r="AY301" s="166"/>
      <c r="AZ301" s="166"/>
      <c r="BA301" s="166"/>
      <c r="BB301" s="166"/>
      <c r="BC301" s="166"/>
      <c r="BD301" s="166"/>
      <c r="BE301" s="166"/>
      <c r="BF301" s="166"/>
      <c r="BG301" s="166"/>
      <c r="BH301" s="166"/>
      <c r="BI301" s="166"/>
      <c r="BJ301" s="166"/>
      <c r="BK301" s="166"/>
      <c r="BL301" s="166"/>
      <c r="BM301" s="166"/>
      <c r="BN301" s="166"/>
    </row>
    <row r="302" spans="2:66" x14ac:dyDescent="0.25">
      <c r="B302" s="832" t="s">
        <v>395</v>
      </c>
      <c r="C302" s="178">
        <v>0</v>
      </c>
      <c r="D302" s="178">
        <v>0</v>
      </c>
      <c r="E302" s="178">
        <v>0</v>
      </c>
      <c r="F302" s="178">
        <v>0</v>
      </c>
      <c r="G302" s="758">
        <f>'INGRESOS de pasajeros'!C58*PARAMETROS!$C$67</f>
        <v>6268207.0000000009</v>
      </c>
      <c r="H302" s="758">
        <f>'INGRESOS de pasajeros'!D58*PARAMETROS!$C$67</f>
        <v>8357609.3333333349</v>
      </c>
      <c r="I302" s="758">
        <f>'INGRESOS de pasajeros'!E58*PARAMETROS!$C$67</f>
        <v>8830416.6478000022</v>
      </c>
      <c r="J302" s="758">
        <f>'INGRESOS de pasajeros'!F58*PARAMETROS!$C$67</f>
        <v>8922952.7376000006</v>
      </c>
      <c r="K302" s="758">
        <f>'INGRESOS de pasajeros'!G58*PARAMETROS!$C$67</f>
        <v>9379714.5760269593</v>
      </c>
      <c r="L302" s="758">
        <f>'INGRESOS de pasajeros'!H58*PARAMETROS!$C$67</f>
        <v>9475989.1238548812</v>
      </c>
      <c r="M302" s="758">
        <f>'INGRESOS de pasajeros'!I58*PARAMETROS!$C$67</f>
        <v>9958983.1240187883</v>
      </c>
      <c r="N302" s="758">
        <f>'INGRESOS de pasajeros'!J58*PARAMETROS!$C$67</f>
        <v>10008610.967402421</v>
      </c>
      <c r="O302" s="758">
        <f>'INGRESOS de pasajeros'!K58*PARAMETROS!$C$67</f>
        <v>10464591.658741813</v>
      </c>
      <c r="P302" s="758">
        <f>'INGRESOS de pasajeros'!L58*PARAMETROS!$C$67</f>
        <v>10516224.466998143</v>
      </c>
      <c r="Q302" s="758">
        <f>'INGRESOS de pasajeros'!M58*PARAMETROS!$C$67</f>
        <v>10994798.709174758</v>
      </c>
      <c r="R302" s="758">
        <f>'INGRESOS de pasajeros'!N58*PARAMETROS!$C$67</f>
        <v>11048517.482884651</v>
      </c>
      <c r="S302" s="758">
        <f>'INGRESOS de pasajeros'!O58*PARAMETROS!$C$67</f>
        <v>11497867.61787709</v>
      </c>
      <c r="T302" s="758">
        <f>'INGRESOS de pasajeros'!P58*PARAMETROS!$C$67</f>
        <v>11500857.646560989</v>
      </c>
      <c r="U302" s="758">
        <f>'INGRESOS de pasajeros'!Q58*PARAMETROS!$C$67</f>
        <v>11968603.121324787</v>
      </c>
      <c r="V302" s="758">
        <f>'INGRESOS de pasajeros'!R58*PARAMETROS!$C$67</f>
        <v>11971713.947167521</v>
      </c>
      <c r="W302" s="758">
        <f>'INGRESOS de pasajeros'!S58*PARAMETROS!$C$67</f>
        <v>12458607.693839861</v>
      </c>
      <c r="X302" s="758">
        <f>'INGRESOS de pasajeros'!T58*PARAMETROS!$C$67</f>
        <v>12551035.165340798</v>
      </c>
      <c r="Y302" s="758">
        <f>'INGRESOS de pasajeros'!U58*PARAMETROS!$C$67</f>
        <v>13154258.527370147</v>
      </c>
      <c r="Z302" s="758">
        <f>'INGRESOS de pasajeros'!V58*PARAMETROS!$C$67</f>
        <v>13250420.068719726</v>
      </c>
      <c r="AA302" s="758">
        <f>'INGRESOS de pasajeros'!W58*PARAMETROS!$C$67</f>
        <v>13885783.507116098</v>
      </c>
      <c r="AB302" s="758">
        <f>'INGRESOS de pasajeros'!X58*PARAMETROS!$C$67</f>
        <v>13985829.974736197</v>
      </c>
      <c r="AC302" s="758">
        <f>'INGRESOS de pasajeros'!Y58*PARAMETROS!$C$67</f>
        <v>14550857.505715542</v>
      </c>
      <c r="AD302" s="758">
        <f>'INGRESOS de pasajeros'!Z58*PARAMETROS!$C$67</f>
        <v>14550857.505715542</v>
      </c>
      <c r="AE302" s="758">
        <f>'INGRESOS de pasajeros'!AA58*PARAMETROS!$C$67</f>
        <v>15138712.148946447</v>
      </c>
      <c r="AF302" s="758">
        <f>'INGRESOS de pasajeros'!AB58*PARAMETROS!$C$67</f>
        <v>15138712.148946447</v>
      </c>
      <c r="AG302" s="758">
        <f>'INGRESOS de pasajeros'!AC58*PARAMETROS!$C$67</f>
        <v>15750316.119763885</v>
      </c>
      <c r="AH302" s="758">
        <f>'INGRESOS de pasajeros'!AD58*PARAMETROS!$C$67</f>
        <v>15750316.119763885</v>
      </c>
      <c r="AI302" s="758">
        <f>'INGRESOS de pasajeros'!AE58*PARAMETROS!$C$67</f>
        <v>16386628.891002342</v>
      </c>
      <c r="AJ302" s="758">
        <f>'INGRESOS de pasajeros'!AF58*PARAMETROS!$C$67</f>
        <v>16386628.891002342</v>
      </c>
      <c r="AK302" s="758">
        <f>'INGRESOS de pasajeros'!AG58*PARAMETROS!$C$67</f>
        <v>17048648.698198836</v>
      </c>
      <c r="AL302" s="758">
        <f>'INGRESOS de pasajeros'!AH58*PARAMETROS!$C$67</f>
        <v>17048648.698198836</v>
      </c>
      <c r="AM302" s="758">
        <f>'INGRESOS de pasajeros'!AI58*PARAMETROS!$C$67</f>
        <v>17737414.105606072</v>
      </c>
      <c r="AN302" s="758">
        <f>'INGRESOS de pasajeros'!AJ58*PARAMETROS!$C$67</f>
        <v>17737414.105606072</v>
      </c>
      <c r="AO302" s="758">
        <f>'INGRESOS de pasajeros'!AK58*PARAMETROS!$C$67</f>
        <v>18454005.635472562</v>
      </c>
      <c r="AP302" s="758">
        <f>'INGRESOS de pasajeros'!AL58*PARAMETROS!$C$67</f>
        <v>18454005.635472562</v>
      </c>
      <c r="AQ302" s="758">
        <f>'INGRESOS de pasajeros'!AM58*PARAMETROS!$C$67</f>
        <v>19199547.463145651</v>
      </c>
      <c r="AR302" s="758">
        <f>'INGRESOS de pasajeros'!AN58*PARAMETROS!$C$67</f>
        <v>19199547.463145651</v>
      </c>
      <c r="AS302" s="758">
        <f>'INGRESOS de pasajeros'!AO58*PARAMETROS!$C$67</f>
        <v>19975209.180656735</v>
      </c>
      <c r="AT302" s="758">
        <f>'INGRESOS de pasajeros'!AP58*PARAMETROS!$C$67</f>
        <v>19975209.180656735</v>
      </c>
      <c r="AU302" s="166"/>
      <c r="AV302" s="166"/>
      <c r="AW302" s="166"/>
      <c r="AX302" s="166"/>
      <c r="AY302" s="166"/>
      <c r="AZ302" s="166"/>
      <c r="BA302" s="166"/>
      <c r="BB302" s="166"/>
      <c r="BC302" s="166"/>
      <c r="BD302" s="166"/>
      <c r="BE302" s="166"/>
      <c r="BF302" s="166"/>
      <c r="BG302" s="166"/>
      <c r="BH302" s="166"/>
      <c r="BI302" s="166"/>
      <c r="BJ302" s="166"/>
      <c r="BK302" s="166"/>
      <c r="BL302" s="166"/>
      <c r="BM302" s="166"/>
      <c r="BN302" s="166"/>
    </row>
    <row r="303" spans="2:66" x14ac:dyDescent="0.25">
      <c r="B303" s="832" t="s">
        <v>396</v>
      </c>
      <c r="C303" s="178">
        <v>0</v>
      </c>
      <c r="D303" s="178">
        <v>0</v>
      </c>
      <c r="E303" s="178">
        <v>0</v>
      </c>
      <c r="F303" s="178">
        <v>0</v>
      </c>
      <c r="G303" s="178">
        <f>$C$14*$C$15*12</f>
        <v>420000</v>
      </c>
      <c r="H303" s="178">
        <f t="shared" ref="H303:AT303" si="856">$G$75*((1+$C$25)^G297)</f>
        <v>428400</v>
      </c>
      <c r="I303" s="178">
        <f t="shared" si="856"/>
        <v>436968</v>
      </c>
      <c r="J303" s="178">
        <f t="shared" si="856"/>
        <v>445707.36</v>
      </c>
      <c r="K303" s="178">
        <f t="shared" si="856"/>
        <v>454621.50719999999</v>
      </c>
      <c r="L303" s="178">
        <f t="shared" si="856"/>
        <v>463713.93734400003</v>
      </c>
      <c r="M303" s="178">
        <f t="shared" si="856"/>
        <v>472988.21609088004</v>
      </c>
      <c r="N303" s="178">
        <f t="shared" si="856"/>
        <v>482447.98041269754</v>
      </c>
      <c r="O303" s="178">
        <f t="shared" si="856"/>
        <v>492096.9400209515</v>
      </c>
      <c r="P303" s="178">
        <f t="shared" si="856"/>
        <v>501938.87882137054</v>
      </c>
      <c r="Q303" s="178">
        <f t="shared" si="856"/>
        <v>511977.65639779798</v>
      </c>
      <c r="R303" s="178">
        <f t="shared" si="856"/>
        <v>522217.20952575386</v>
      </c>
      <c r="S303" s="178">
        <f t="shared" si="856"/>
        <v>532661.55371626897</v>
      </c>
      <c r="T303" s="178">
        <f t="shared" si="856"/>
        <v>543314.78479059436</v>
      </c>
      <c r="U303" s="178">
        <f t="shared" si="856"/>
        <v>554181.08048640634</v>
      </c>
      <c r="V303" s="178">
        <f t="shared" si="856"/>
        <v>565264.70209613431</v>
      </c>
      <c r="W303" s="178">
        <f t="shared" si="856"/>
        <v>576569.99613805709</v>
      </c>
      <c r="X303" s="178">
        <f t="shared" si="856"/>
        <v>588101.39606081822</v>
      </c>
      <c r="Y303" s="178">
        <f t="shared" si="856"/>
        <v>599863.42398203455</v>
      </c>
      <c r="Z303" s="178">
        <f t="shared" si="856"/>
        <v>611860.69246167527</v>
      </c>
      <c r="AA303" s="178">
        <f t="shared" si="856"/>
        <v>624097.90631090873</v>
      </c>
      <c r="AB303" s="178">
        <f t="shared" si="856"/>
        <v>636579.8644371269</v>
      </c>
      <c r="AC303" s="178">
        <f t="shared" si="856"/>
        <v>649311.46172586945</v>
      </c>
      <c r="AD303" s="178">
        <f t="shared" si="856"/>
        <v>662297.69096038677</v>
      </c>
      <c r="AE303" s="178">
        <f t="shared" si="856"/>
        <v>675543.6447795945</v>
      </c>
      <c r="AF303" s="178">
        <f t="shared" si="856"/>
        <v>689054.51767518639</v>
      </c>
      <c r="AG303" s="178">
        <f t="shared" si="856"/>
        <v>702835.60802869021</v>
      </c>
      <c r="AH303" s="178">
        <f t="shared" si="856"/>
        <v>716892.3201892639</v>
      </c>
      <c r="AI303" s="178">
        <f t="shared" si="856"/>
        <v>731230.1665930493</v>
      </c>
      <c r="AJ303" s="178">
        <f t="shared" si="856"/>
        <v>745854.76992491016</v>
      </c>
      <c r="AK303" s="178">
        <f t="shared" si="856"/>
        <v>760771.86532340851</v>
      </c>
      <c r="AL303" s="178">
        <f t="shared" si="856"/>
        <v>775987.30262987642</v>
      </c>
      <c r="AM303" s="178">
        <f t="shared" si="856"/>
        <v>791507.04868247418</v>
      </c>
      <c r="AN303" s="178">
        <f t="shared" si="856"/>
        <v>807337.18965612364</v>
      </c>
      <c r="AO303" s="178">
        <f t="shared" si="856"/>
        <v>823483.93344924611</v>
      </c>
      <c r="AP303" s="178">
        <f t="shared" si="856"/>
        <v>839953.61211823102</v>
      </c>
      <c r="AQ303" s="178">
        <f t="shared" si="856"/>
        <v>856752.68436059554</v>
      </c>
      <c r="AR303" s="178">
        <f t="shared" si="856"/>
        <v>873887.73804780759</v>
      </c>
      <c r="AS303" s="178">
        <f t="shared" si="856"/>
        <v>891365.49280876387</v>
      </c>
      <c r="AT303" s="178">
        <f t="shared" si="856"/>
        <v>909192.80266493873</v>
      </c>
      <c r="AU303" s="166"/>
      <c r="AV303" s="166"/>
      <c r="AW303" s="166"/>
      <c r="AX303" s="166"/>
      <c r="AY303" s="166"/>
      <c r="AZ303" s="166"/>
      <c r="BA303" s="166"/>
      <c r="BB303" s="166"/>
      <c r="BC303" s="166"/>
      <c r="BD303" s="166"/>
      <c r="BE303" s="166"/>
      <c r="BF303" s="166"/>
      <c r="BG303" s="166"/>
      <c r="BH303" s="166"/>
      <c r="BI303" s="166"/>
      <c r="BJ303" s="166"/>
      <c r="BK303" s="166"/>
      <c r="BL303" s="166"/>
      <c r="BM303" s="166"/>
      <c r="BN303" s="166"/>
    </row>
    <row r="304" spans="2:66" x14ac:dyDescent="0.25">
      <c r="B304" s="832"/>
      <c r="C304" s="178"/>
      <c r="D304" s="178"/>
      <c r="E304" s="178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178"/>
      <c r="AH304" s="178"/>
      <c r="AI304" s="178"/>
      <c r="AJ304" s="178"/>
      <c r="AK304" s="178"/>
      <c r="AL304" s="178"/>
      <c r="AM304" s="178"/>
      <c r="AN304" s="178"/>
      <c r="AO304" s="178"/>
      <c r="AP304" s="178"/>
      <c r="AQ304" s="178"/>
      <c r="AR304" s="178"/>
      <c r="AS304" s="178"/>
      <c r="AT304" s="178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</row>
    <row r="305" spans="2:66" x14ac:dyDescent="0.25">
      <c r="B305" s="831" t="str">
        <f>B77</f>
        <v>Activos iniciales - Depreciacion 50 años</v>
      </c>
      <c r="C305" s="965">
        <f t="shared" ref="C305:AT311" si="857">C77</f>
        <v>0</v>
      </c>
      <c r="D305" s="965">
        <f t="shared" si="857"/>
        <v>0</v>
      </c>
      <c r="E305" s="965">
        <f t="shared" si="857"/>
        <v>0</v>
      </c>
      <c r="F305" s="965">
        <f t="shared" si="857"/>
        <v>0</v>
      </c>
      <c r="G305" s="965">
        <f t="shared" si="857"/>
        <v>-686539.32037828083</v>
      </c>
      <c r="H305" s="965">
        <f t="shared" si="857"/>
        <v>-686539.32037828083</v>
      </c>
      <c r="I305" s="965">
        <f t="shared" si="857"/>
        <v>-686539.32037828083</v>
      </c>
      <c r="J305" s="965">
        <f t="shared" si="857"/>
        <v>-686539.32037828083</v>
      </c>
      <c r="K305" s="965">
        <f t="shared" si="857"/>
        <v>-686539.32037828083</v>
      </c>
      <c r="L305" s="965">
        <f t="shared" si="857"/>
        <v>-686539.32037828083</v>
      </c>
      <c r="M305" s="965">
        <f t="shared" si="857"/>
        <v>-686539.32037828083</v>
      </c>
      <c r="N305" s="965">
        <f t="shared" si="857"/>
        <v>-686539.32037828083</v>
      </c>
      <c r="O305" s="965">
        <f t="shared" si="857"/>
        <v>-686539.32037828083</v>
      </c>
      <c r="P305" s="965">
        <f t="shared" si="857"/>
        <v>-686539.32037828083</v>
      </c>
      <c r="Q305" s="965">
        <f t="shared" si="857"/>
        <v>-686539.32037828083</v>
      </c>
      <c r="R305" s="965">
        <f t="shared" si="857"/>
        <v>-686539.32037828083</v>
      </c>
      <c r="S305" s="965">
        <f t="shared" si="857"/>
        <v>-686539.32037828083</v>
      </c>
      <c r="T305" s="965">
        <f t="shared" si="857"/>
        <v>-686539.32037828083</v>
      </c>
      <c r="U305" s="965">
        <f t="shared" si="857"/>
        <v>-686539.32037828083</v>
      </c>
      <c r="V305" s="965">
        <f t="shared" si="857"/>
        <v>-686539.32037828083</v>
      </c>
      <c r="W305" s="965">
        <f t="shared" si="857"/>
        <v>-686539.32037828083</v>
      </c>
      <c r="X305" s="965">
        <f t="shared" si="857"/>
        <v>-686539.32037828083</v>
      </c>
      <c r="Y305" s="965">
        <f t="shared" si="857"/>
        <v>-686539.32037828083</v>
      </c>
      <c r="Z305" s="965">
        <f t="shared" si="857"/>
        <v>-686539.32037828083</v>
      </c>
      <c r="AA305" s="965">
        <f t="shared" si="857"/>
        <v>-686539.32037828083</v>
      </c>
      <c r="AB305" s="965">
        <f t="shared" si="857"/>
        <v>-686539.32037828083</v>
      </c>
      <c r="AC305" s="965">
        <f t="shared" si="857"/>
        <v>-686539.32037828083</v>
      </c>
      <c r="AD305" s="965">
        <f t="shared" si="857"/>
        <v>-686539.32037828083</v>
      </c>
      <c r="AE305" s="965">
        <f t="shared" si="857"/>
        <v>-686539.32037828083</v>
      </c>
      <c r="AF305" s="965">
        <f t="shared" si="857"/>
        <v>-686539.32037828083</v>
      </c>
      <c r="AG305" s="965">
        <f t="shared" si="857"/>
        <v>-686539.32037828083</v>
      </c>
      <c r="AH305" s="965">
        <f t="shared" si="857"/>
        <v>-686539.32037828083</v>
      </c>
      <c r="AI305" s="965">
        <f t="shared" si="857"/>
        <v>-686539.32037828083</v>
      </c>
      <c r="AJ305" s="965">
        <f t="shared" si="857"/>
        <v>-686539.32037828083</v>
      </c>
      <c r="AK305" s="965">
        <f t="shared" si="857"/>
        <v>-686539.32037828083</v>
      </c>
      <c r="AL305" s="965">
        <f t="shared" si="857"/>
        <v>-686539.32037828083</v>
      </c>
      <c r="AM305" s="965">
        <f t="shared" si="857"/>
        <v>-686539.32037828083</v>
      </c>
      <c r="AN305" s="965">
        <f t="shared" si="857"/>
        <v>-686539.32037828083</v>
      </c>
      <c r="AO305" s="965">
        <f t="shared" si="857"/>
        <v>-686539.32037828083</v>
      </c>
      <c r="AP305" s="965">
        <f t="shared" si="857"/>
        <v>-686539.32037828083</v>
      </c>
      <c r="AQ305" s="965">
        <f t="shared" si="857"/>
        <v>-686539.32037828083</v>
      </c>
      <c r="AR305" s="965">
        <f t="shared" si="857"/>
        <v>-686539.32037828083</v>
      </c>
      <c r="AS305" s="965">
        <f t="shared" si="857"/>
        <v>-686539.32037828083</v>
      </c>
      <c r="AT305" s="965">
        <f t="shared" si="857"/>
        <v>-686539.32037828083</v>
      </c>
      <c r="AU305" s="166"/>
      <c r="AV305" s="166"/>
      <c r="AW305" s="166"/>
      <c r="AX305" s="166"/>
      <c r="AY305" s="166"/>
      <c r="AZ305" s="166"/>
      <c r="BA305" s="166"/>
      <c r="BB305" s="166"/>
      <c r="BC305" s="166"/>
      <c r="BD305" s="166"/>
      <c r="BE305" s="166"/>
      <c r="BF305" s="166"/>
      <c r="BG305" s="166"/>
      <c r="BH305" s="166"/>
      <c r="BI305" s="166"/>
      <c r="BJ305" s="166"/>
      <c r="BK305" s="166"/>
      <c r="BL305" s="166"/>
      <c r="BM305" s="166"/>
      <c r="BN305" s="166"/>
    </row>
    <row r="306" spans="2:66" x14ac:dyDescent="0.25">
      <c r="B306" s="831" t="str">
        <f t="shared" ref="B306:Q318" si="858">B78</f>
        <v>Activos iniciales - Depreciacion 40 años</v>
      </c>
      <c r="C306" s="965">
        <f t="shared" si="858"/>
        <v>0</v>
      </c>
      <c r="D306" s="965">
        <f t="shared" si="858"/>
        <v>0</v>
      </c>
      <c r="E306" s="965">
        <f t="shared" si="858"/>
        <v>0</v>
      </c>
      <c r="F306" s="965">
        <f t="shared" si="858"/>
        <v>0</v>
      </c>
      <c r="G306" s="965">
        <f t="shared" si="858"/>
        <v>-1442789.935138549</v>
      </c>
      <c r="H306" s="965">
        <f t="shared" si="858"/>
        <v>-1442789.935138549</v>
      </c>
      <c r="I306" s="965">
        <f t="shared" si="858"/>
        <v>-1442789.935138549</v>
      </c>
      <c r="J306" s="965">
        <f t="shared" si="858"/>
        <v>-1442789.935138549</v>
      </c>
      <c r="K306" s="965">
        <f t="shared" si="858"/>
        <v>-1442789.935138549</v>
      </c>
      <c r="L306" s="965">
        <f t="shared" si="858"/>
        <v>-1442789.935138549</v>
      </c>
      <c r="M306" s="965">
        <f t="shared" si="858"/>
        <v>-1442789.935138549</v>
      </c>
      <c r="N306" s="965">
        <f t="shared" si="858"/>
        <v>-1442789.935138549</v>
      </c>
      <c r="O306" s="965">
        <f t="shared" si="858"/>
        <v>-1442789.935138549</v>
      </c>
      <c r="P306" s="965">
        <f t="shared" si="858"/>
        <v>-1442789.935138549</v>
      </c>
      <c r="Q306" s="965">
        <f t="shared" si="858"/>
        <v>-1442789.935138549</v>
      </c>
      <c r="R306" s="965">
        <f t="shared" si="857"/>
        <v>-1442789.935138549</v>
      </c>
      <c r="S306" s="965">
        <f t="shared" si="857"/>
        <v>-1442789.935138549</v>
      </c>
      <c r="T306" s="965">
        <f t="shared" si="857"/>
        <v>-1442789.935138549</v>
      </c>
      <c r="U306" s="965">
        <f t="shared" si="857"/>
        <v>-1442789.935138549</v>
      </c>
      <c r="V306" s="965">
        <f t="shared" si="857"/>
        <v>-1442789.935138549</v>
      </c>
      <c r="W306" s="965">
        <f t="shared" si="857"/>
        <v>-1442789.935138549</v>
      </c>
      <c r="X306" s="965">
        <f t="shared" si="857"/>
        <v>-1442789.935138549</v>
      </c>
      <c r="Y306" s="965">
        <f t="shared" si="857"/>
        <v>-1442789.935138549</v>
      </c>
      <c r="Z306" s="965">
        <f t="shared" si="857"/>
        <v>-1442789.935138549</v>
      </c>
      <c r="AA306" s="965">
        <f t="shared" si="857"/>
        <v>-1442789.935138549</v>
      </c>
      <c r="AB306" s="965">
        <f t="shared" si="857"/>
        <v>-1442789.935138549</v>
      </c>
      <c r="AC306" s="965">
        <f t="shared" si="857"/>
        <v>-1442789.935138549</v>
      </c>
      <c r="AD306" s="965">
        <f t="shared" si="857"/>
        <v>-1442789.935138549</v>
      </c>
      <c r="AE306" s="965">
        <f t="shared" si="857"/>
        <v>-1442789.935138549</v>
      </c>
      <c r="AF306" s="965">
        <f t="shared" si="857"/>
        <v>-1442789.935138549</v>
      </c>
      <c r="AG306" s="965">
        <f t="shared" si="857"/>
        <v>-1442789.935138549</v>
      </c>
      <c r="AH306" s="965">
        <f t="shared" si="857"/>
        <v>-1442789.935138549</v>
      </c>
      <c r="AI306" s="965">
        <f t="shared" si="857"/>
        <v>-1442789.935138549</v>
      </c>
      <c r="AJ306" s="965">
        <f t="shared" si="857"/>
        <v>-1442789.935138549</v>
      </c>
      <c r="AK306" s="965">
        <f t="shared" si="857"/>
        <v>-1442789.935138549</v>
      </c>
      <c r="AL306" s="965">
        <f t="shared" si="857"/>
        <v>-1442789.935138549</v>
      </c>
      <c r="AM306" s="965">
        <f t="shared" si="857"/>
        <v>-1442789.935138549</v>
      </c>
      <c r="AN306" s="965">
        <f t="shared" si="857"/>
        <v>-1442789.935138549</v>
      </c>
      <c r="AO306" s="965">
        <f t="shared" si="857"/>
        <v>-1442789.935138549</v>
      </c>
      <c r="AP306" s="965">
        <f t="shared" si="857"/>
        <v>-1442789.935138549</v>
      </c>
      <c r="AQ306" s="965">
        <f t="shared" si="857"/>
        <v>-1442789.935138549</v>
      </c>
      <c r="AR306" s="965">
        <f t="shared" si="857"/>
        <v>-1442789.935138549</v>
      </c>
      <c r="AS306" s="965">
        <f t="shared" si="857"/>
        <v>-1442789.935138549</v>
      </c>
      <c r="AT306" s="965">
        <f t="shared" si="857"/>
        <v>-1442789.935138549</v>
      </c>
      <c r="AU306" s="166"/>
      <c r="AV306" s="166"/>
      <c r="AW306" s="166"/>
      <c r="AX306" s="166"/>
      <c r="AY306" s="166"/>
      <c r="AZ306" s="166"/>
      <c r="BA306" s="166"/>
      <c r="BB306" s="166"/>
      <c r="BC306" s="166"/>
      <c r="BD306" s="166"/>
      <c r="BE306" s="166"/>
      <c r="BF306" s="166"/>
      <c r="BG306" s="166"/>
      <c r="BH306" s="166"/>
      <c r="BI306" s="166"/>
      <c r="BJ306" s="166"/>
      <c r="BK306" s="166"/>
      <c r="BL306" s="166"/>
      <c r="BM306" s="166"/>
      <c r="BN306" s="166"/>
    </row>
    <row r="307" spans="2:66" x14ac:dyDescent="0.25">
      <c r="B307" s="831" t="str">
        <f t="shared" si="858"/>
        <v>Activos iniciales - Depreciacion 15 años</v>
      </c>
      <c r="C307" s="965">
        <f t="shared" si="857"/>
        <v>0</v>
      </c>
      <c r="D307" s="965">
        <f t="shared" si="857"/>
        <v>0</v>
      </c>
      <c r="E307" s="965">
        <f t="shared" si="857"/>
        <v>0</v>
      </c>
      <c r="F307" s="965">
        <f t="shared" si="857"/>
        <v>0</v>
      </c>
      <c r="G307" s="965">
        <f t="shared" si="857"/>
        <v>-846060.74954198557</v>
      </c>
      <c r="H307" s="965">
        <f t="shared" si="857"/>
        <v>-846060.74954198557</v>
      </c>
      <c r="I307" s="965">
        <f t="shared" si="857"/>
        <v>-846060.74954198557</v>
      </c>
      <c r="J307" s="965">
        <f t="shared" si="857"/>
        <v>-846060.74954198557</v>
      </c>
      <c r="K307" s="965">
        <f t="shared" si="857"/>
        <v>-846060.74954198557</v>
      </c>
      <c r="L307" s="965">
        <f t="shared" si="857"/>
        <v>-846060.74954198557</v>
      </c>
      <c r="M307" s="965">
        <f t="shared" si="857"/>
        <v>-846060.74954198557</v>
      </c>
      <c r="N307" s="965">
        <f t="shared" si="857"/>
        <v>-846060.74954198557</v>
      </c>
      <c r="O307" s="965">
        <f t="shared" si="857"/>
        <v>-846060.74954198557</v>
      </c>
      <c r="P307" s="965">
        <f t="shared" si="857"/>
        <v>-846060.74954198557</v>
      </c>
      <c r="Q307" s="965">
        <f t="shared" si="857"/>
        <v>-846060.74954198557</v>
      </c>
      <c r="R307" s="965">
        <f t="shared" si="857"/>
        <v>-846060.74954198557</v>
      </c>
      <c r="S307" s="965">
        <f t="shared" si="857"/>
        <v>-846060.74954198557</v>
      </c>
      <c r="T307" s="965">
        <f t="shared" si="857"/>
        <v>-846060.74954198557</v>
      </c>
      <c r="U307" s="965">
        <f t="shared" si="857"/>
        <v>-846060.74954198557</v>
      </c>
      <c r="V307" s="965">
        <f t="shared" si="857"/>
        <v>0</v>
      </c>
      <c r="W307" s="965">
        <f t="shared" si="857"/>
        <v>0</v>
      </c>
      <c r="X307" s="965">
        <f t="shared" si="857"/>
        <v>0</v>
      </c>
      <c r="Y307" s="965">
        <f t="shared" si="857"/>
        <v>0</v>
      </c>
      <c r="Z307" s="965">
        <f t="shared" si="857"/>
        <v>0</v>
      </c>
      <c r="AA307" s="965">
        <f t="shared" si="857"/>
        <v>0</v>
      </c>
      <c r="AB307" s="965">
        <f t="shared" si="857"/>
        <v>0</v>
      </c>
      <c r="AC307" s="965">
        <f t="shared" si="857"/>
        <v>0</v>
      </c>
      <c r="AD307" s="965">
        <f t="shared" si="857"/>
        <v>0</v>
      </c>
      <c r="AE307" s="965">
        <f t="shared" si="857"/>
        <v>0</v>
      </c>
      <c r="AF307" s="965">
        <f t="shared" si="857"/>
        <v>0</v>
      </c>
      <c r="AG307" s="965">
        <f t="shared" si="857"/>
        <v>0</v>
      </c>
      <c r="AH307" s="965">
        <f t="shared" si="857"/>
        <v>0</v>
      </c>
      <c r="AI307" s="965">
        <f t="shared" si="857"/>
        <v>0</v>
      </c>
      <c r="AJ307" s="965">
        <f t="shared" si="857"/>
        <v>0</v>
      </c>
      <c r="AK307" s="965">
        <f t="shared" si="857"/>
        <v>0</v>
      </c>
      <c r="AL307" s="965">
        <f t="shared" si="857"/>
        <v>0</v>
      </c>
      <c r="AM307" s="965">
        <f t="shared" si="857"/>
        <v>0</v>
      </c>
      <c r="AN307" s="965">
        <f t="shared" si="857"/>
        <v>0</v>
      </c>
      <c r="AO307" s="965">
        <f t="shared" si="857"/>
        <v>0</v>
      </c>
      <c r="AP307" s="965">
        <f t="shared" si="857"/>
        <v>0</v>
      </c>
      <c r="AQ307" s="965">
        <f t="shared" si="857"/>
        <v>0</v>
      </c>
      <c r="AR307" s="965">
        <f t="shared" si="857"/>
        <v>0</v>
      </c>
      <c r="AS307" s="965">
        <f t="shared" si="857"/>
        <v>0</v>
      </c>
      <c r="AT307" s="965">
        <f t="shared" si="857"/>
        <v>0</v>
      </c>
      <c r="AU307" s="166"/>
      <c r="AV307" s="166"/>
      <c r="AW307" s="166"/>
      <c r="AX307" s="166"/>
      <c r="AY307" s="166"/>
      <c r="AZ307" s="166"/>
      <c r="BA307" s="166"/>
      <c r="BB307" s="166"/>
      <c r="BC307" s="166"/>
      <c r="BD307" s="166"/>
      <c r="BE307" s="166"/>
      <c r="BF307" s="166"/>
      <c r="BG307" s="166"/>
      <c r="BH307" s="166"/>
      <c r="BI307" s="166"/>
      <c r="BJ307" s="166"/>
      <c r="BK307" s="166"/>
      <c r="BL307" s="166"/>
      <c r="BM307" s="166"/>
      <c r="BN307" s="166"/>
    </row>
    <row r="308" spans="2:66" x14ac:dyDescent="0.25">
      <c r="B308" s="831" t="str">
        <f t="shared" si="858"/>
        <v>Activos iniciales - Depreciacion 10 años</v>
      </c>
      <c r="C308" s="965">
        <f t="shared" si="857"/>
        <v>0</v>
      </c>
      <c r="D308" s="965">
        <f t="shared" si="857"/>
        <v>0</v>
      </c>
      <c r="E308" s="965">
        <f t="shared" si="857"/>
        <v>0</v>
      </c>
      <c r="F308" s="965">
        <f t="shared" si="857"/>
        <v>0</v>
      </c>
      <c r="G308" s="965">
        <f t="shared" si="857"/>
        <v>-483089.33345121983</v>
      </c>
      <c r="H308" s="965">
        <f t="shared" si="857"/>
        <v>-483089.33345121983</v>
      </c>
      <c r="I308" s="965">
        <f t="shared" si="857"/>
        <v>-483089.33345121983</v>
      </c>
      <c r="J308" s="965">
        <f t="shared" si="857"/>
        <v>-483089.33345121983</v>
      </c>
      <c r="K308" s="965">
        <f t="shared" si="857"/>
        <v>-483089.33345121983</v>
      </c>
      <c r="L308" s="965">
        <f t="shared" si="857"/>
        <v>-483089.33345121983</v>
      </c>
      <c r="M308" s="965">
        <f t="shared" si="857"/>
        <v>-483089.33345121983</v>
      </c>
      <c r="N308" s="965">
        <f t="shared" si="857"/>
        <v>-483089.33345121983</v>
      </c>
      <c r="O308" s="965">
        <f t="shared" si="857"/>
        <v>-483089.33345121983</v>
      </c>
      <c r="P308" s="965">
        <f t="shared" si="857"/>
        <v>-483089.33345121983</v>
      </c>
      <c r="Q308" s="965">
        <f t="shared" si="857"/>
        <v>0</v>
      </c>
      <c r="R308" s="965">
        <f t="shared" si="857"/>
        <v>0</v>
      </c>
      <c r="S308" s="965">
        <f t="shared" si="857"/>
        <v>0</v>
      </c>
      <c r="T308" s="965">
        <f t="shared" si="857"/>
        <v>0</v>
      </c>
      <c r="U308" s="965">
        <f t="shared" si="857"/>
        <v>0</v>
      </c>
      <c r="V308" s="965">
        <f t="shared" si="857"/>
        <v>0</v>
      </c>
      <c r="W308" s="965">
        <f t="shared" si="857"/>
        <v>0</v>
      </c>
      <c r="X308" s="965">
        <f t="shared" si="857"/>
        <v>0</v>
      </c>
      <c r="Y308" s="965">
        <f t="shared" si="857"/>
        <v>0</v>
      </c>
      <c r="Z308" s="965">
        <f t="shared" si="857"/>
        <v>0</v>
      </c>
      <c r="AA308" s="965">
        <f t="shared" si="857"/>
        <v>0</v>
      </c>
      <c r="AB308" s="965">
        <f t="shared" si="857"/>
        <v>0</v>
      </c>
      <c r="AC308" s="965">
        <f t="shared" si="857"/>
        <v>0</v>
      </c>
      <c r="AD308" s="965">
        <f t="shared" si="857"/>
        <v>0</v>
      </c>
      <c r="AE308" s="965">
        <f t="shared" si="857"/>
        <v>0</v>
      </c>
      <c r="AF308" s="965">
        <f t="shared" si="857"/>
        <v>0</v>
      </c>
      <c r="AG308" s="965">
        <f t="shared" si="857"/>
        <v>0</v>
      </c>
      <c r="AH308" s="965">
        <f t="shared" si="857"/>
        <v>0</v>
      </c>
      <c r="AI308" s="965">
        <f t="shared" si="857"/>
        <v>0</v>
      </c>
      <c r="AJ308" s="965">
        <f t="shared" si="857"/>
        <v>0</v>
      </c>
      <c r="AK308" s="965">
        <f t="shared" si="857"/>
        <v>0</v>
      </c>
      <c r="AL308" s="965">
        <f t="shared" si="857"/>
        <v>0</v>
      </c>
      <c r="AM308" s="965">
        <f t="shared" si="857"/>
        <v>0</v>
      </c>
      <c r="AN308" s="965">
        <f t="shared" si="857"/>
        <v>0</v>
      </c>
      <c r="AO308" s="965">
        <f t="shared" si="857"/>
        <v>0</v>
      </c>
      <c r="AP308" s="965">
        <f t="shared" si="857"/>
        <v>0</v>
      </c>
      <c r="AQ308" s="965">
        <f t="shared" si="857"/>
        <v>0</v>
      </c>
      <c r="AR308" s="965">
        <f t="shared" si="857"/>
        <v>0</v>
      </c>
      <c r="AS308" s="965">
        <f t="shared" si="857"/>
        <v>0</v>
      </c>
      <c r="AT308" s="965">
        <f t="shared" si="857"/>
        <v>0</v>
      </c>
      <c r="AU308" s="166"/>
      <c r="AV308" s="166"/>
      <c r="AW308" s="166"/>
      <c r="AX308" s="166"/>
      <c r="AY308" s="166"/>
      <c r="AZ308" s="166"/>
      <c r="BA308" s="166"/>
      <c r="BB308" s="166"/>
      <c r="BC308" s="166"/>
      <c r="BD308" s="166"/>
      <c r="BE308" s="166"/>
      <c r="BF308" s="166"/>
      <c r="BG308" s="166"/>
      <c r="BH308" s="166"/>
      <c r="BI308" s="166"/>
      <c r="BJ308" s="166"/>
      <c r="BK308" s="166"/>
      <c r="BL308" s="166"/>
      <c r="BM308" s="166"/>
      <c r="BN308" s="166"/>
    </row>
    <row r="309" spans="2:66" x14ac:dyDescent="0.25">
      <c r="B309" s="831" t="str">
        <f t="shared" si="858"/>
        <v>Activos iniciales - Depreciacion 5 años</v>
      </c>
      <c r="C309" s="965">
        <f t="shared" si="857"/>
        <v>0</v>
      </c>
      <c r="D309" s="965">
        <f t="shared" si="857"/>
        <v>0</v>
      </c>
      <c r="E309" s="965">
        <f t="shared" si="857"/>
        <v>0</v>
      </c>
      <c r="F309" s="965">
        <f t="shared" si="857"/>
        <v>0</v>
      </c>
      <c r="G309" s="965">
        <f t="shared" si="857"/>
        <v>-204364.92007479366</v>
      </c>
      <c r="H309" s="965">
        <f t="shared" si="857"/>
        <v>-204364.92007479366</v>
      </c>
      <c r="I309" s="965">
        <f t="shared" si="857"/>
        <v>-204364.92007479366</v>
      </c>
      <c r="J309" s="965">
        <f t="shared" si="857"/>
        <v>-204364.92007479366</v>
      </c>
      <c r="K309" s="965">
        <f t="shared" si="857"/>
        <v>-204364.92007479366</v>
      </c>
      <c r="L309" s="965">
        <f t="shared" si="857"/>
        <v>0</v>
      </c>
      <c r="M309" s="965">
        <f t="shared" si="857"/>
        <v>0</v>
      </c>
      <c r="N309" s="965">
        <f t="shared" si="857"/>
        <v>0</v>
      </c>
      <c r="O309" s="965">
        <f t="shared" si="857"/>
        <v>0</v>
      </c>
      <c r="P309" s="965">
        <f t="shared" si="857"/>
        <v>0</v>
      </c>
      <c r="Q309" s="965">
        <f t="shared" si="857"/>
        <v>0</v>
      </c>
      <c r="R309" s="965">
        <f t="shared" si="857"/>
        <v>0</v>
      </c>
      <c r="S309" s="965">
        <f t="shared" si="857"/>
        <v>0</v>
      </c>
      <c r="T309" s="965">
        <f t="shared" si="857"/>
        <v>0</v>
      </c>
      <c r="U309" s="965">
        <f t="shared" si="857"/>
        <v>0</v>
      </c>
      <c r="V309" s="965">
        <f t="shared" si="857"/>
        <v>0</v>
      </c>
      <c r="W309" s="965">
        <f t="shared" si="857"/>
        <v>0</v>
      </c>
      <c r="X309" s="965">
        <f t="shared" si="857"/>
        <v>0</v>
      </c>
      <c r="Y309" s="965">
        <f t="shared" si="857"/>
        <v>0</v>
      </c>
      <c r="Z309" s="965">
        <f t="shared" si="857"/>
        <v>0</v>
      </c>
      <c r="AA309" s="965">
        <f t="shared" si="857"/>
        <v>0</v>
      </c>
      <c r="AB309" s="965">
        <f t="shared" si="857"/>
        <v>0</v>
      </c>
      <c r="AC309" s="965">
        <f t="shared" si="857"/>
        <v>0</v>
      </c>
      <c r="AD309" s="965">
        <f t="shared" si="857"/>
        <v>0</v>
      </c>
      <c r="AE309" s="965">
        <f t="shared" si="857"/>
        <v>0</v>
      </c>
      <c r="AF309" s="965">
        <f t="shared" si="857"/>
        <v>0</v>
      </c>
      <c r="AG309" s="965">
        <f t="shared" si="857"/>
        <v>0</v>
      </c>
      <c r="AH309" s="965">
        <f t="shared" si="857"/>
        <v>0</v>
      </c>
      <c r="AI309" s="965">
        <f t="shared" si="857"/>
        <v>0</v>
      </c>
      <c r="AJ309" s="965">
        <f t="shared" si="857"/>
        <v>0</v>
      </c>
      <c r="AK309" s="965">
        <f t="shared" si="857"/>
        <v>0</v>
      </c>
      <c r="AL309" s="965">
        <f t="shared" si="857"/>
        <v>0</v>
      </c>
      <c r="AM309" s="965">
        <f t="shared" si="857"/>
        <v>0</v>
      </c>
      <c r="AN309" s="965">
        <f t="shared" si="857"/>
        <v>0</v>
      </c>
      <c r="AO309" s="965">
        <f t="shared" si="857"/>
        <v>0</v>
      </c>
      <c r="AP309" s="965">
        <f t="shared" si="857"/>
        <v>0</v>
      </c>
      <c r="AQ309" s="965">
        <f t="shared" si="857"/>
        <v>0</v>
      </c>
      <c r="AR309" s="965">
        <f t="shared" si="857"/>
        <v>0</v>
      </c>
      <c r="AS309" s="965">
        <f t="shared" si="857"/>
        <v>0</v>
      </c>
      <c r="AT309" s="965">
        <f t="shared" si="857"/>
        <v>0</v>
      </c>
      <c r="AU309" s="166"/>
      <c r="AV309" s="166"/>
      <c r="AW309" s="166"/>
      <c r="AX309" s="166"/>
      <c r="AY309" s="166"/>
      <c r="AZ309" s="166"/>
      <c r="BA309" s="166"/>
      <c r="BB309" s="166"/>
      <c r="BC309" s="166"/>
      <c r="BD309" s="166"/>
      <c r="BE309" s="166"/>
      <c r="BF309" s="166"/>
      <c r="BG309" s="166"/>
      <c r="BH309" s="166"/>
      <c r="BI309" s="166"/>
      <c r="BJ309" s="166"/>
      <c r="BK309" s="166"/>
      <c r="BL309" s="166"/>
      <c r="BM309" s="166"/>
      <c r="BN309" s="166"/>
    </row>
    <row r="310" spans="2:66" x14ac:dyDescent="0.25">
      <c r="B310" s="831" t="str">
        <f t="shared" si="858"/>
        <v>Activos iniciales - Valor residual</v>
      </c>
      <c r="C310" s="965">
        <f t="shared" si="857"/>
        <v>0</v>
      </c>
      <c r="D310" s="965">
        <f t="shared" si="857"/>
        <v>0</v>
      </c>
      <c r="E310" s="965">
        <f t="shared" si="857"/>
        <v>0</v>
      </c>
      <c r="F310" s="965">
        <f t="shared" si="857"/>
        <v>0</v>
      </c>
      <c r="G310" s="965">
        <f t="shared" si="857"/>
        <v>123619947.34560698</v>
      </c>
      <c r="H310" s="965">
        <f t="shared" si="857"/>
        <v>119957103.08702216</v>
      </c>
      <c r="I310" s="965">
        <f t="shared" si="857"/>
        <v>116294258.82843733</v>
      </c>
      <c r="J310" s="965">
        <f t="shared" si="857"/>
        <v>112631414.5698525</v>
      </c>
      <c r="K310" s="965">
        <f t="shared" si="857"/>
        <v>108968570.31126767</v>
      </c>
      <c r="L310" s="965">
        <f t="shared" si="857"/>
        <v>105510090.97275764</v>
      </c>
      <c r="M310" s="965">
        <f t="shared" si="857"/>
        <v>102051611.6342476</v>
      </c>
      <c r="N310" s="965">
        <f t="shared" si="857"/>
        <v>98593132.295737565</v>
      </c>
      <c r="O310" s="965">
        <f t="shared" si="857"/>
        <v>95134652.957227528</v>
      </c>
      <c r="P310" s="965">
        <f t="shared" si="857"/>
        <v>91676173.618717492</v>
      </c>
      <c r="Q310" s="965">
        <f t="shared" si="857"/>
        <v>88700783.613658682</v>
      </c>
      <c r="R310" s="965">
        <f t="shared" si="857"/>
        <v>85725393.608599871</v>
      </c>
      <c r="S310" s="965">
        <f t="shared" si="857"/>
        <v>82750003.603541061</v>
      </c>
      <c r="T310" s="965">
        <f t="shared" si="857"/>
        <v>79774613.598482251</v>
      </c>
      <c r="U310" s="965">
        <f t="shared" si="857"/>
        <v>76799223.593423441</v>
      </c>
      <c r="V310" s="965">
        <f t="shared" si="857"/>
        <v>74669894.337906614</v>
      </c>
      <c r="W310" s="965">
        <f t="shared" si="857"/>
        <v>72540565.082389787</v>
      </c>
      <c r="X310" s="965">
        <f t="shared" si="857"/>
        <v>70411235.82687296</v>
      </c>
      <c r="Y310" s="965">
        <f t="shared" si="857"/>
        <v>68281906.571356133</v>
      </c>
      <c r="Z310" s="965">
        <f t="shared" si="857"/>
        <v>66152577.315839306</v>
      </c>
      <c r="AA310" s="965">
        <f t="shared" si="857"/>
        <v>64023248.060322478</v>
      </c>
      <c r="AB310" s="965">
        <f t="shared" si="857"/>
        <v>61893918.804805651</v>
      </c>
      <c r="AC310" s="965">
        <f t="shared" si="857"/>
        <v>59764589.549288824</v>
      </c>
      <c r="AD310" s="965">
        <f t="shared" si="857"/>
        <v>57635260.293771997</v>
      </c>
      <c r="AE310" s="965">
        <f t="shared" si="857"/>
        <v>55505931.03825517</v>
      </c>
      <c r="AF310" s="965">
        <f t="shared" si="857"/>
        <v>53376601.782738343</v>
      </c>
      <c r="AG310" s="965">
        <f t="shared" si="857"/>
        <v>51247272.527221516</v>
      </c>
      <c r="AH310" s="965">
        <f t="shared" si="857"/>
        <v>49117943.271704689</v>
      </c>
      <c r="AI310" s="965">
        <f t="shared" si="857"/>
        <v>46988614.016187862</v>
      </c>
      <c r="AJ310" s="965">
        <f t="shared" si="857"/>
        <v>44859284.760671034</v>
      </c>
      <c r="AK310" s="965">
        <f t="shared" si="857"/>
        <v>42729955.505154207</v>
      </c>
      <c r="AL310" s="965">
        <f t="shared" si="857"/>
        <v>40600626.24963738</v>
      </c>
      <c r="AM310" s="965">
        <f t="shared" si="857"/>
        <v>38471296.994120553</v>
      </c>
      <c r="AN310" s="965">
        <f t="shared" si="857"/>
        <v>36341967.738603726</v>
      </c>
      <c r="AO310" s="965">
        <f t="shared" si="857"/>
        <v>34212638.483086899</v>
      </c>
      <c r="AP310" s="965">
        <f t="shared" si="857"/>
        <v>32083309.227570068</v>
      </c>
      <c r="AQ310" s="965">
        <f t="shared" si="857"/>
        <v>29953979.972053237</v>
      </c>
      <c r="AR310" s="965">
        <f t="shared" si="857"/>
        <v>27824650.716536406</v>
      </c>
      <c r="AS310" s="965">
        <f t="shared" si="857"/>
        <v>25695321.461019576</v>
      </c>
      <c r="AT310" s="965">
        <f t="shared" si="857"/>
        <v>23565992.205502745</v>
      </c>
      <c r="AU310" s="166"/>
      <c r="AV310" s="166"/>
      <c r="AW310" s="166"/>
      <c r="AX310" s="166"/>
      <c r="AY310" s="166"/>
      <c r="AZ310" s="166"/>
      <c r="BA310" s="166"/>
      <c r="BB310" s="166"/>
      <c r="BC310" s="166"/>
      <c r="BD310" s="166"/>
      <c r="BE310" s="166"/>
      <c r="BF310" s="166"/>
      <c r="BG310" s="166"/>
      <c r="BH310" s="166"/>
      <c r="BI310" s="166"/>
      <c r="BJ310" s="166"/>
      <c r="BK310" s="166"/>
      <c r="BL310" s="166"/>
      <c r="BM310" s="166"/>
      <c r="BN310" s="166"/>
    </row>
    <row r="311" spans="2:66" x14ac:dyDescent="0.25">
      <c r="B311" s="831" t="str">
        <f t="shared" si="858"/>
        <v>Activos nuevos 1 - Depreciacion 10 años</v>
      </c>
      <c r="C311" s="965">
        <f t="shared" si="857"/>
        <v>0</v>
      </c>
      <c r="D311" s="965">
        <f t="shared" si="857"/>
        <v>0</v>
      </c>
      <c r="E311" s="965">
        <f t="shared" si="857"/>
        <v>0</v>
      </c>
      <c r="F311" s="965">
        <f t="shared" si="857"/>
        <v>0</v>
      </c>
      <c r="G311" s="965">
        <f t="shared" si="857"/>
        <v>0</v>
      </c>
      <c r="H311" s="965">
        <f t="shared" si="857"/>
        <v>0</v>
      </c>
      <c r="I311" s="965">
        <f t="shared" ref="C311:AT316" si="859">I83</f>
        <v>0</v>
      </c>
      <c r="J311" s="965">
        <f t="shared" si="859"/>
        <v>0</v>
      </c>
      <c r="K311" s="965">
        <f t="shared" si="859"/>
        <v>0</v>
      </c>
      <c r="L311" s="965">
        <f t="shared" si="859"/>
        <v>0</v>
      </c>
      <c r="M311" s="965">
        <f t="shared" si="859"/>
        <v>0</v>
      </c>
      <c r="N311" s="965">
        <f t="shared" si="859"/>
        <v>0</v>
      </c>
      <c r="O311" s="965">
        <f t="shared" si="859"/>
        <v>0</v>
      </c>
      <c r="P311" s="965">
        <f t="shared" si="859"/>
        <v>0</v>
      </c>
      <c r="Q311" s="965">
        <f t="shared" si="859"/>
        <v>0</v>
      </c>
      <c r="R311" s="965">
        <f t="shared" si="859"/>
        <v>-618548.40493797127</v>
      </c>
      <c r="S311" s="965">
        <f t="shared" si="859"/>
        <v>-618548.40493797127</v>
      </c>
      <c r="T311" s="965">
        <f t="shared" si="859"/>
        <v>-618548.40493797127</v>
      </c>
      <c r="U311" s="965">
        <f t="shared" si="859"/>
        <v>-618548.40493797127</v>
      </c>
      <c r="V311" s="965">
        <f t="shared" si="859"/>
        <v>-618548.40493797127</v>
      </c>
      <c r="W311" s="965">
        <f t="shared" si="859"/>
        <v>-618548.40493797127</v>
      </c>
      <c r="X311" s="965">
        <f t="shared" si="859"/>
        <v>-618548.40493797127</v>
      </c>
      <c r="Y311" s="965">
        <f t="shared" si="859"/>
        <v>-618548.40493797127</v>
      </c>
      <c r="Z311" s="965">
        <f t="shared" si="859"/>
        <v>-618548.40493797127</v>
      </c>
      <c r="AA311" s="965">
        <f t="shared" si="859"/>
        <v>-618548.40493797127</v>
      </c>
      <c r="AB311" s="965">
        <f t="shared" si="859"/>
        <v>-618548.40493797127</v>
      </c>
      <c r="AC311" s="965">
        <f t="shared" si="859"/>
        <v>0</v>
      </c>
      <c r="AD311" s="965">
        <f t="shared" si="859"/>
        <v>0</v>
      </c>
      <c r="AE311" s="965">
        <f t="shared" si="859"/>
        <v>0</v>
      </c>
      <c r="AF311" s="965">
        <f t="shared" si="859"/>
        <v>0</v>
      </c>
      <c r="AG311" s="965">
        <f t="shared" si="859"/>
        <v>0</v>
      </c>
      <c r="AH311" s="965">
        <f t="shared" si="859"/>
        <v>0</v>
      </c>
      <c r="AI311" s="965">
        <f t="shared" si="859"/>
        <v>0</v>
      </c>
      <c r="AJ311" s="965">
        <f t="shared" si="859"/>
        <v>0</v>
      </c>
      <c r="AK311" s="965">
        <f t="shared" si="859"/>
        <v>0</v>
      </c>
      <c r="AL311" s="965">
        <f t="shared" si="859"/>
        <v>0</v>
      </c>
      <c r="AM311" s="965">
        <f t="shared" si="859"/>
        <v>0</v>
      </c>
      <c r="AN311" s="965">
        <f t="shared" si="859"/>
        <v>0</v>
      </c>
      <c r="AO311" s="965">
        <f t="shared" si="859"/>
        <v>0</v>
      </c>
      <c r="AP311" s="965">
        <f t="shared" si="859"/>
        <v>0</v>
      </c>
      <c r="AQ311" s="965">
        <f t="shared" si="859"/>
        <v>0</v>
      </c>
      <c r="AR311" s="965">
        <f t="shared" si="859"/>
        <v>0</v>
      </c>
      <c r="AS311" s="965">
        <f t="shared" si="859"/>
        <v>0</v>
      </c>
      <c r="AT311" s="965">
        <f t="shared" si="859"/>
        <v>0</v>
      </c>
      <c r="AU311" s="166"/>
      <c r="AV311" s="166"/>
      <c r="AW311" s="166"/>
      <c r="AX311" s="166"/>
      <c r="AY311" s="166"/>
      <c r="AZ311" s="166"/>
      <c r="BA311" s="166"/>
      <c r="BB311" s="166"/>
      <c r="BC311" s="166"/>
      <c r="BD311" s="166"/>
      <c r="BE311" s="166"/>
      <c r="BF311" s="166"/>
      <c r="BG311" s="166"/>
      <c r="BH311" s="166"/>
      <c r="BI311" s="166"/>
      <c r="BJ311" s="166"/>
      <c r="BK311" s="166"/>
      <c r="BL311" s="166"/>
      <c r="BM311" s="166"/>
      <c r="BN311" s="166"/>
    </row>
    <row r="312" spans="2:66" x14ac:dyDescent="0.25">
      <c r="B312" s="831" t="str">
        <f t="shared" si="858"/>
        <v>Activos nuevos 1 - Valor residual</v>
      </c>
      <c r="C312" s="965">
        <f t="shared" si="859"/>
        <v>0</v>
      </c>
      <c r="D312" s="965">
        <f t="shared" si="859"/>
        <v>0</v>
      </c>
      <c r="E312" s="965">
        <f t="shared" si="859"/>
        <v>0</v>
      </c>
      <c r="F312" s="965">
        <f t="shared" si="859"/>
        <v>0</v>
      </c>
      <c r="G312" s="965">
        <f t="shared" si="859"/>
        <v>0</v>
      </c>
      <c r="H312" s="965">
        <f t="shared" si="859"/>
        <v>0</v>
      </c>
      <c r="I312" s="965">
        <f t="shared" si="859"/>
        <v>0</v>
      </c>
      <c r="J312" s="965">
        <f t="shared" si="859"/>
        <v>0</v>
      </c>
      <c r="K312" s="965">
        <f t="shared" si="859"/>
        <v>0</v>
      </c>
      <c r="L312" s="965">
        <f t="shared" si="859"/>
        <v>0</v>
      </c>
      <c r="M312" s="965">
        <f t="shared" si="859"/>
        <v>0</v>
      </c>
      <c r="N312" s="965">
        <f t="shared" si="859"/>
        <v>0</v>
      </c>
      <c r="O312" s="965">
        <f t="shared" si="859"/>
        <v>0</v>
      </c>
      <c r="P312" s="965">
        <f t="shared" si="859"/>
        <v>0</v>
      </c>
      <c r="Q312" s="965">
        <f t="shared" si="859"/>
        <v>0</v>
      </c>
      <c r="R312" s="965">
        <f t="shared" si="859"/>
        <v>6185484.0493797129</v>
      </c>
      <c r="S312" s="965">
        <f t="shared" si="859"/>
        <v>5566935.6444417415</v>
      </c>
      <c r="T312" s="965">
        <f t="shared" si="859"/>
        <v>4948387.2395037701</v>
      </c>
      <c r="U312" s="965">
        <f t="shared" si="859"/>
        <v>4329838.8345657988</v>
      </c>
      <c r="V312" s="965">
        <f t="shared" si="859"/>
        <v>3711290.4296278274</v>
      </c>
      <c r="W312" s="965">
        <f t="shared" si="859"/>
        <v>3092742.024689856</v>
      </c>
      <c r="X312" s="965">
        <f t="shared" si="859"/>
        <v>2474193.6197518846</v>
      </c>
      <c r="Y312" s="965">
        <f t="shared" si="859"/>
        <v>1855645.2148139132</v>
      </c>
      <c r="Z312" s="965">
        <f t="shared" si="859"/>
        <v>1237096.8098759418</v>
      </c>
      <c r="AA312" s="965">
        <f t="shared" si="859"/>
        <v>618548.40493797057</v>
      </c>
      <c r="AB312" s="965">
        <f t="shared" si="859"/>
        <v>0</v>
      </c>
      <c r="AC312" s="965">
        <f t="shared" si="859"/>
        <v>0</v>
      </c>
      <c r="AD312" s="965">
        <f t="shared" si="859"/>
        <v>0</v>
      </c>
      <c r="AE312" s="965">
        <f t="shared" si="859"/>
        <v>0</v>
      </c>
      <c r="AF312" s="965">
        <f t="shared" si="859"/>
        <v>0</v>
      </c>
      <c r="AG312" s="965">
        <f t="shared" si="859"/>
        <v>0</v>
      </c>
      <c r="AH312" s="965">
        <f t="shared" si="859"/>
        <v>0</v>
      </c>
      <c r="AI312" s="965">
        <f t="shared" si="859"/>
        <v>0</v>
      </c>
      <c r="AJ312" s="965">
        <f t="shared" si="859"/>
        <v>0</v>
      </c>
      <c r="AK312" s="965">
        <f t="shared" si="859"/>
        <v>0</v>
      </c>
      <c r="AL312" s="965">
        <f t="shared" si="859"/>
        <v>0</v>
      </c>
      <c r="AM312" s="965">
        <f t="shared" si="859"/>
        <v>0</v>
      </c>
      <c r="AN312" s="965">
        <f t="shared" si="859"/>
        <v>0</v>
      </c>
      <c r="AO312" s="965">
        <f t="shared" si="859"/>
        <v>0</v>
      </c>
      <c r="AP312" s="965">
        <f t="shared" si="859"/>
        <v>0</v>
      </c>
      <c r="AQ312" s="965">
        <f t="shared" si="859"/>
        <v>0</v>
      </c>
      <c r="AR312" s="965">
        <f t="shared" si="859"/>
        <v>0</v>
      </c>
      <c r="AS312" s="965">
        <f t="shared" si="859"/>
        <v>0</v>
      </c>
      <c r="AT312" s="965">
        <f t="shared" si="859"/>
        <v>0</v>
      </c>
      <c r="AU312" s="166"/>
      <c r="AV312" s="166"/>
      <c r="AW312" s="166"/>
      <c r="AX312" s="166"/>
      <c r="AY312" s="166"/>
      <c r="AZ312" s="166"/>
      <c r="BA312" s="166"/>
      <c r="BB312" s="166"/>
      <c r="BC312" s="166"/>
      <c r="BD312" s="166"/>
      <c r="BE312" s="166"/>
      <c r="BF312" s="166"/>
      <c r="BG312" s="166"/>
      <c r="BH312" s="166"/>
      <c r="BI312" s="166"/>
      <c r="BJ312" s="166"/>
      <c r="BK312" s="166"/>
      <c r="BL312" s="166"/>
      <c r="BM312" s="166"/>
      <c r="BN312" s="166"/>
    </row>
    <row r="313" spans="2:66" x14ac:dyDescent="0.25">
      <c r="B313" s="831" t="str">
        <f t="shared" si="858"/>
        <v>Activos nuevos 2 - Depreciacion 15 años</v>
      </c>
      <c r="C313" s="965">
        <f t="shared" si="859"/>
        <v>0</v>
      </c>
      <c r="D313" s="965">
        <f t="shared" si="859"/>
        <v>0</v>
      </c>
      <c r="E313" s="965">
        <f t="shared" si="859"/>
        <v>0</v>
      </c>
      <c r="F313" s="965">
        <f t="shared" si="859"/>
        <v>0</v>
      </c>
      <c r="G313" s="965">
        <f t="shared" si="859"/>
        <v>0</v>
      </c>
      <c r="H313" s="965">
        <f t="shared" si="859"/>
        <v>0</v>
      </c>
      <c r="I313" s="965">
        <f t="shared" si="859"/>
        <v>0</v>
      </c>
      <c r="J313" s="965">
        <f t="shared" si="859"/>
        <v>0</v>
      </c>
      <c r="K313" s="965">
        <f t="shared" si="859"/>
        <v>0</v>
      </c>
      <c r="L313" s="965">
        <f t="shared" si="859"/>
        <v>0</v>
      </c>
      <c r="M313" s="965">
        <f t="shared" si="859"/>
        <v>0</v>
      </c>
      <c r="N313" s="965">
        <f t="shared" si="859"/>
        <v>0</v>
      </c>
      <c r="O313" s="965">
        <f t="shared" si="859"/>
        <v>0</v>
      </c>
      <c r="P313" s="965">
        <f t="shared" si="859"/>
        <v>0</v>
      </c>
      <c r="Q313" s="965">
        <f t="shared" si="859"/>
        <v>0</v>
      </c>
      <c r="R313" s="965">
        <f t="shared" si="859"/>
        <v>0</v>
      </c>
      <c r="S313" s="965">
        <f t="shared" si="859"/>
        <v>0</v>
      </c>
      <c r="T313" s="965">
        <f t="shared" si="859"/>
        <v>0</v>
      </c>
      <c r="U313" s="965">
        <f t="shared" si="859"/>
        <v>0</v>
      </c>
      <c r="V313" s="965">
        <f t="shared" si="859"/>
        <v>0</v>
      </c>
      <c r="W313" s="965">
        <f t="shared" si="859"/>
        <v>0</v>
      </c>
      <c r="X313" s="965">
        <f t="shared" si="859"/>
        <v>-1175246.5745210485</v>
      </c>
      <c r="Y313" s="965">
        <f t="shared" si="859"/>
        <v>-1175246.5745210485</v>
      </c>
      <c r="Z313" s="965">
        <f t="shared" si="859"/>
        <v>-1175246.5745210485</v>
      </c>
      <c r="AA313" s="965">
        <f t="shared" si="859"/>
        <v>-1175246.5745210485</v>
      </c>
      <c r="AB313" s="965">
        <f t="shared" si="859"/>
        <v>-1175246.5745210485</v>
      </c>
      <c r="AC313" s="965">
        <f t="shared" si="859"/>
        <v>-1175246.5745210485</v>
      </c>
      <c r="AD313" s="965">
        <f t="shared" si="859"/>
        <v>-1175246.5745210485</v>
      </c>
      <c r="AE313" s="965">
        <f t="shared" si="859"/>
        <v>-1175246.5745210485</v>
      </c>
      <c r="AF313" s="965">
        <f t="shared" si="859"/>
        <v>-1175246.5745210485</v>
      </c>
      <c r="AG313" s="965">
        <f t="shared" si="859"/>
        <v>-1175246.5745210485</v>
      </c>
      <c r="AH313" s="965">
        <f t="shared" si="859"/>
        <v>-1175246.5745210485</v>
      </c>
      <c r="AI313" s="965">
        <f t="shared" si="859"/>
        <v>-1175246.5745210485</v>
      </c>
      <c r="AJ313" s="965">
        <f t="shared" si="859"/>
        <v>-1175246.5745210485</v>
      </c>
      <c r="AK313" s="965">
        <f t="shared" si="859"/>
        <v>-1175246.5745210485</v>
      </c>
      <c r="AL313" s="965">
        <f t="shared" si="859"/>
        <v>-1175246.5745210485</v>
      </c>
      <c r="AM313" s="965">
        <f t="shared" si="859"/>
        <v>0</v>
      </c>
      <c r="AN313" s="965">
        <f t="shared" si="859"/>
        <v>0</v>
      </c>
      <c r="AO313" s="965">
        <f t="shared" si="859"/>
        <v>0</v>
      </c>
      <c r="AP313" s="965">
        <f t="shared" si="859"/>
        <v>0</v>
      </c>
      <c r="AQ313" s="965">
        <f t="shared" si="859"/>
        <v>0</v>
      </c>
      <c r="AR313" s="965">
        <f t="shared" si="859"/>
        <v>0</v>
      </c>
      <c r="AS313" s="965">
        <f t="shared" si="859"/>
        <v>0</v>
      </c>
      <c r="AT313" s="965">
        <f t="shared" si="859"/>
        <v>0</v>
      </c>
      <c r="AU313" s="166"/>
      <c r="AV313" s="166"/>
      <c r="AW313" s="166"/>
      <c r="AX313" s="166"/>
      <c r="AY313" s="166"/>
      <c r="AZ313" s="166"/>
      <c r="BA313" s="166"/>
      <c r="BB313" s="166"/>
      <c r="BC313" s="166"/>
      <c r="BD313" s="166"/>
      <c r="BE313" s="166"/>
      <c r="BF313" s="166"/>
      <c r="BG313" s="166"/>
      <c r="BH313" s="166"/>
      <c r="BI313" s="166"/>
      <c r="BJ313" s="166"/>
      <c r="BK313" s="166"/>
      <c r="BL313" s="166"/>
      <c r="BM313" s="166"/>
      <c r="BN313" s="166"/>
    </row>
    <row r="314" spans="2:66" x14ac:dyDescent="0.25">
      <c r="B314" s="831" t="str">
        <f t="shared" si="858"/>
        <v>Activos nuevos 2 - Valor residual</v>
      </c>
      <c r="C314" s="965">
        <f t="shared" si="859"/>
        <v>0</v>
      </c>
      <c r="D314" s="965">
        <f t="shared" si="859"/>
        <v>0</v>
      </c>
      <c r="E314" s="965">
        <f t="shared" si="859"/>
        <v>0</v>
      </c>
      <c r="F314" s="965">
        <f t="shared" si="859"/>
        <v>0</v>
      </c>
      <c r="G314" s="965">
        <f t="shared" si="859"/>
        <v>0</v>
      </c>
      <c r="H314" s="965">
        <f t="shared" si="859"/>
        <v>0</v>
      </c>
      <c r="I314" s="965">
        <f t="shared" si="859"/>
        <v>0</v>
      </c>
      <c r="J314" s="965">
        <f t="shared" si="859"/>
        <v>0</v>
      </c>
      <c r="K314" s="965">
        <f t="shared" si="859"/>
        <v>0</v>
      </c>
      <c r="L314" s="965">
        <f t="shared" si="859"/>
        <v>0</v>
      </c>
      <c r="M314" s="965">
        <f t="shared" si="859"/>
        <v>0</v>
      </c>
      <c r="N314" s="965">
        <f t="shared" si="859"/>
        <v>0</v>
      </c>
      <c r="O314" s="965">
        <f t="shared" si="859"/>
        <v>0</v>
      </c>
      <c r="P314" s="965">
        <f t="shared" si="859"/>
        <v>0</v>
      </c>
      <c r="Q314" s="965">
        <f t="shared" si="859"/>
        <v>0</v>
      </c>
      <c r="R314" s="965">
        <f t="shared" si="859"/>
        <v>0</v>
      </c>
      <c r="S314" s="965">
        <f t="shared" si="859"/>
        <v>0</v>
      </c>
      <c r="T314" s="965">
        <f t="shared" si="859"/>
        <v>0</v>
      </c>
      <c r="U314" s="965">
        <f t="shared" si="859"/>
        <v>0</v>
      </c>
      <c r="V314" s="965">
        <f t="shared" si="859"/>
        <v>0</v>
      </c>
      <c r="W314" s="965">
        <f t="shared" si="859"/>
        <v>0</v>
      </c>
      <c r="X314" s="965">
        <f t="shared" si="859"/>
        <v>16453452.043294678</v>
      </c>
      <c r="Y314" s="965">
        <f t="shared" si="859"/>
        <v>15278205.46877363</v>
      </c>
      <c r="Z314" s="965">
        <f t="shared" si="859"/>
        <v>14102958.894252582</v>
      </c>
      <c r="AA314" s="965">
        <f t="shared" si="859"/>
        <v>12927712.319731534</v>
      </c>
      <c r="AB314" s="965">
        <f t="shared" si="859"/>
        <v>11752465.745210486</v>
      </c>
      <c r="AC314" s="965">
        <f t="shared" si="859"/>
        <v>10577219.170689438</v>
      </c>
      <c r="AD314" s="965">
        <f t="shared" si="859"/>
        <v>9401972.5961683895</v>
      </c>
      <c r="AE314" s="965">
        <f t="shared" si="859"/>
        <v>8226726.0216473415</v>
      </c>
      <c r="AF314" s="965">
        <f t="shared" si="859"/>
        <v>7051479.4471262936</v>
      </c>
      <c r="AG314" s="965">
        <f t="shared" si="859"/>
        <v>5876232.8726052456</v>
      </c>
      <c r="AH314" s="965">
        <f t="shared" si="859"/>
        <v>4700986.2980841976</v>
      </c>
      <c r="AI314" s="965">
        <f t="shared" si="859"/>
        <v>3525739.7235631491</v>
      </c>
      <c r="AJ314" s="965">
        <f t="shared" si="859"/>
        <v>2350493.1490421006</v>
      </c>
      <c r="AK314" s="965">
        <f t="shared" si="859"/>
        <v>1175246.5745210522</v>
      </c>
      <c r="AL314" s="965">
        <f t="shared" si="859"/>
        <v>3.7252902984619141E-9</v>
      </c>
      <c r="AM314" s="965">
        <f t="shared" si="859"/>
        <v>0</v>
      </c>
      <c r="AN314" s="965">
        <f t="shared" si="859"/>
        <v>0</v>
      </c>
      <c r="AO314" s="965">
        <f t="shared" si="859"/>
        <v>0</v>
      </c>
      <c r="AP314" s="965">
        <f t="shared" si="859"/>
        <v>0</v>
      </c>
      <c r="AQ314" s="965">
        <f t="shared" si="859"/>
        <v>0</v>
      </c>
      <c r="AR314" s="965">
        <f t="shared" si="859"/>
        <v>0</v>
      </c>
      <c r="AS314" s="965">
        <f t="shared" si="859"/>
        <v>0</v>
      </c>
      <c r="AT314" s="965">
        <f t="shared" si="859"/>
        <v>0</v>
      </c>
      <c r="AU314" s="166"/>
      <c r="AV314" s="166"/>
      <c r="AW314" s="166"/>
      <c r="AX314" s="166"/>
      <c r="AY314" s="166"/>
      <c r="AZ314" s="166"/>
      <c r="BA314" s="166"/>
      <c r="BB314" s="166"/>
      <c r="BC314" s="166"/>
      <c r="BD314" s="166"/>
      <c r="BE314" s="166"/>
      <c r="BF314" s="166"/>
      <c r="BG314" s="166"/>
      <c r="BH314" s="166"/>
      <c r="BI314" s="166"/>
      <c r="BJ314" s="166"/>
      <c r="BK314" s="166"/>
      <c r="BL314" s="166"/>
      <c r="BM314" s="166"/>
      <c r="BN314" s="166"/>
    </row>
    <row r="315" spans="2:66" x14ac:dyDescent="0.25">
      <c r="B315" s="831" t="str">
        <f t="shared" si="858"/>
        <v>Activos nuevos 3 - Depreciacion 10 años</v>
      </c>
      <c r="C315" s="965">
        <f t="shared" si="859"/>
        <v>0</v>
      </c>
      <c r="D315" s="965">
        <f t="shared" si="859"/>
        <v>0</v>
      </c>
      <c r="E315" s="965">
        <f t="shared" si="859"/>
        <v>0</v>
      </c>
      <c r="F315" s="965">
        <f t="shared" si="859"/>
        <v>0</v>
      </c>
      <c r="G315" s="965">
        <f t="shared" si="859"/>
        <v>0</v>
      </c>
      <c r="H315" s="965">
        <f t="shared" si="859"/>
        <v>0</v>
      </c>
      <c r="I315" s="965">
        <f t="shared" si="859"/>
        <v>0</v>
      </c>
      <c r="J315" s="965">
        <f t="shared" si="859"/>
        <v>0</v>
      </c>
      <c r="K315" s="965">
        <f t="shared" si="859"/>
        <v>0</v>
      </c>
      <c r="L315" s="965">
        <f t="shared" si="859"/>
        <v>0</v>
      </c>
      <c r="M315" s="965">
        <f t="shared" si="859"/>
        <v>0</v>
      </c>
      <c r="N315" s="965">
        <f t="shared" si="859"/>
        <v>0</v>
      </c>
      <c r="O315" s="965">
        <f t="shared" si="859"/>
        <v>0</v>
      </c>
      <c r="P315" s="965">
        <f t="shared" si="859"/>
        <v>0</v>
      </c>
      <c r="Q315" s="965">
        <f t="shared" si="859"/>
        <v>0</v>
      </c>
      <c r="R315" s="965">
        <f t="shared" si="859"/>
        <v>0</v>
      </c>
      <c r="S315" s="965">
        <f t="shared" si="859"/>
        <v>0</v>
      </c>
      <c r="T315" s="965">
        <f t="shared" si="859"/>
        <v>0</v>
      </c>
      <c r="U315" s="965">
        <f t="shared" si="859"/>
        <v>0</v>
      </c>
      <c r="V315" s="965">
        <f t="shared" si="859"/>
        <v>0</v>
      </c>
      <c r="W315" s="965">
        <f t="shared" si="859"/>
        <v>0</v>
      </c>
      <c r="X315" s="965">
        <f t="shared" si="859"/>
        <v>0</v>
      </c>
      <c r="Y315" s="965">
        <f t="shared" si="859"/>
        <v>0</v>
      </c>
      <c r="Z315" s="965">
        <f t="shared" si="859"/>
        <v>0</v>
      </c>
      <c r="AA315" s="965">
        <f t="shared" si="859"/>
        <v>0</v>
      </c>
      <c r="AB315" s="965">
        <f t="shared" si="859"/>
        <v>0</v>
      </c>
      <c r="AC315" s="965">
        <f t="shared" si="859"/>
        <v>-767541.03117502527</v>
      </c>
      <c r="AD315" s="965">
        <f t="shared" si="859"/>
        <v>-767541.03117502527</v>
      </c>
      <c r="AE315" s="965">
        <f t="shared" si="859"/>
        <v>-767541.03117502527</v>
      </c>
      <c r="AF315" s="965">
        <f t="shared" si="859"/>
        <v>-767541.03117502527</v>
      </c>
      <c r="AG315" s="965">
        <f t="shared" si="859"/>
        <v>-767541.03117502527</v>
      </c>
      <c r="AH315" s="965">
        <f t="shared" si="859"/>
        <v>-767541.03117502527</v>
      </c>
      <c r="AI315" s="965">
        <f t="shared" si="859"/>
        <v>-767541.03117502527</v>
      </c>
      <c r="AJ315" s="965">
        <f t="shared" si="859"/>
        <v>-767541.03117502527</v>
      </c>
      <c r="AK315" s="965">
        <f t="shared" si="859"/>
        <v>-767541.03117502527</v>
      </c>
      <c r="AL315" s="965">
        <f t="shared" si="859"/>
        <v>-767541.03117502527</v>
      </c>
      <c r="AM315" s="965">
        <f t="shared" si="859"/>
        <v>-767541.03117502527</v>
      </c>
      <c r="AN315" s="965">
        <f t="shared" si="859"/>
        <v>0</v>
      </c>
      <c r="AO315" s="965">
        <f t="shared" si="859"/>
        <v>0</v>
      </c>
      <c r="AP315" s="965">
        <f t="shared" si="859"/>
        <v>0</v>
      </c>
      <c r="AQ315" s="965">
        <f t="shared" si="859"/>
        <v>0</v>
      </c>
      <c r="AR315" s="965">
        <f t="shared" si="859"/>
        <v>0</v>
      </c>
      <c r="AS315" s="965">
        <f t="shared" si="859"/>
        <v>0</v>
      </c>
      <c r="AT315" s="965">
        <f t="shared" si="859"/>
        <v>0</v>
      </c>
      <c r="AU315" s="166"/>
      <c r="AV315" s="166"/>
      <c r="AW315" s="166"/>
      <c r="AX315" s="166"/>
      <c r="AY315" s="166"/>
      <c r="AZ315" s="166"/>
      <c r="BA315" s="166"/>
      <c r="BB315" s="166"/>
      <c r="BC315" s="166"/>
      <c r="BD315" s="166"/>
      <c r="BE315" s="166"/>
      <c r="BF315" s="166"/>
      <c r="BG315" s="166"/>
      <c r="BH315" s="166"/>
      <c r="BI315" s="166"/>
      <c r="BJ315" s="166"/>
      <c r="BK315" s="166"/>
      <c r="BL315" s="166"/>
      <c r="BM315" s="166"/>
      <c r="BN315" s="166"/>
    </row>
    <row r="316" spans="2:66" x14ac:dyDescent="0.25">
      <c r="B316" s="831" t="str">
        <f t="shared" si="858"/>
        <v>Activos nuevos 3 - Valor residual</v>
      </c>
      <c r="C316" s="965">
        <f t="shared" si="859"/>
        <v>0</v>
      </c>
      <c r="D316" s="965">
        <f t="shared" si="859"/>
        <v>0</v>
      </c>
      <c r="E316" s="965">
        <f t="shared" si="859"/>
        <v>0</v>
      </c>
      <c r="F316" s="965">
        <f t="shared" si="859"/>
        <v>0</v>
      </c>
      <c r="G316" s="965">
        <f t="shared" si="859"/>
        <v>0</v>
      </c>
      <c r="H316" s="965">
        <f t="shared" si="859"/>
        <v>0</v>
      </c>
      <c r="I316" s="965">
        <f t="shared" si="859"/>
        <v>0</v>
      </c>
      <c r="J316" s="965">
        <f t="shared" si="859"/>
        <v>0</v>
      </c>
      <c r="K316" s="965">
        <f t="shared" si="859"/>
        <v>0</v>
      </c>
      <c r="L316" s="965">
        <f t="shared" si="859"/>
        <v>0</v>
      </c>
      <c r="M316" s="965">
        <f t="shared" si="859"/>
        <v>0</v>
      </c>
      <c r="N316" s="965">
        <f t="shared" si="859"/>
        <v>0</v>
      </c>
      <c r="O316" s="965">
        <f t="shared" si="859"/>
        <v>0</v>
      </c>
      <c r="P316" s="965">
        <f t="shared" si="859"/>
        <v>0</v>
      </c>
      <c r="Q316" s="965">
        <f t="shared" si="859"/>
        <v>0</v>
      </c>
      <c r="R316" s="965">
        <f t="shared" si="859"/>
        <v>0</v>
      </c>
      <c r="S316" s="965">
        <f t="shared" si="859"/>
        <v>0</v>
      </c>
      <c r="T316" s="965">
        <f t="shared" si="859"/>
        <v>0</v>
      </c>
      <c r="U316" s="965">
        <f t="shared" si="859"/>
        <v>0</v>
      </c>
      <c r="V316" s="965">
        <f t="shared" si="859"/>
        <v>0</v>
      </c>
      <c r="W316" s="965">
        <f t="shared" si="859"/>
        <v>0</v>
      </c>
      <c r="X316" s="965">
        <f t="shared" si="859"/>
        <v>0</v>
      </c>
      <c r="Y316" s="965">
        <f t="shared" si="859"/>
        <v>0</v>
      </c>
      <c r="Z316" s="965">
        <f t="shared" si="859"/>
        <v>0</v>
      </c>
      <c r="AA316" s="965">
        <f t="shared" si="859"/>
        <v>0</v>
      </c>
      <c r="AB316" s="965">
        <f t="shared" si="859"/>
        <v>0</v>
      </c>
      <c r="AC316" s="965">
        <f t="shared" si="859"/>
        <v>7675410.3117502527</v>
      </c>
      <c r="AD316" s="965">
        <f t="shared" si="859"/>
        <v>6907869.280575227</v>
      </c>
      <c r="AE316" s="965">
        <f t="shared" si="859"/>
        <v>6140328.2494002022</v>
      </c>
      <c r="AF316" s="965">
        <f t="shared" si="859"/>
        <v>5372787.2182251774</v>
      </c>
      <c r="AG316" s="965">
        <f t="shared" si="859"/>
        <v>4605246.1870501526</v>
      </c>
      <c r="AH316" s="965">
        <f t="shared" si="859"/>
        <v>3837705.1558751273</v>
      </c>
      <c r="AI316" s="965">
        <f t="shared" si="859"/>
        <v>3070164.124700102</v>
      </c>
      <c r="AJ316" s="965">
        <f t="shared" si="859"/>
        <v>2302623.0935250768</v>
      </c>
      <c r="AK316" s="965">
        <f t="shared" si="859"/>
        <v>1535082.0623500515</v>
      </c>
      <c r="AL316" s="965">
        <f t="shared" si="859"/>
        <v>767541.0311750262</v>
      </c>
      <c r="AM316" s="965">
        <f t="shared" si="859"/>
        <v>9.3132257461547852E-10</v>
      </c>
      <c r="AN316" s="965">
        <f t="shared" si="859"/>
        <v>0</v>
      </c>
      <c r="AO316" s="965">
        <f t="shared" si="859"/>
        <v>0</v>
      </c>
      <c r="AP316" s="965">
        <f t="shared" si="859"/>
        <v>0</v>
      </c>
      <c r="AQ316" s="965">
        <f t="shared" si="859"/>
        <v>0</v>
      </c>
      <c r="AR316" s="965">
        <f t="shared" ref="C316:AT318" si="860">AR88</f>
        <v>0</v>
      </c>
      <c r="AS316" s="965">
        <f t="shared" si="860"/>
        <v>0</v>
      </c>
      <c r="AT316" s="965">
        <f t="shared" si="860"/>
        <v>0</v>
      </c>
      <c r="AU316" s="166"/>
      <c r="AV316" s="166"/>
      <c r="AW316" s="166"/>
      <c r="AX316" s="166"/>
      <c r="AY316" s="166"/>
      <c r="AZ316" s="166"/>
      <c r="BA316" s="166"/>
      <c r="BB316" s="166"/>
      <c r="BC316" s="166"/>
      <c r="BD316" s="166"/>
      <c r="BE316" s="166"/>
      <c r="BF316" s="166"/>
      <c r="BG316" s="166"/>
      <c r="BH316" s="166"/>
      <c r="BI316" s="166"/>
      <c r="BJ316" s="166"/>
      <c r="BK316" s="166"/>
      <c r="BL316" s="166"/>
      <c r="BM316" s="166"/>
      <c r="BN316" s="166"/>
    </row>
    <row r="317" spans="2:66" x14ac:dyDescent="0.25">
      <c r="B317" s="831" t="str">
        <f t="shared" si="858"/>
        <v>Activos nuevos 4 - Depreciacion 15 años</v>
      </c>
      <c r="C317" s="965">
        <f t="shared" si="860"/>
        <v>0</v>
      </c>
      <c r="D317" s="965">
        <f t="shared" si="860"/>
        <v>0</v>
      </c>
      <c r="E317" s="965">
        <f t="shared" si="860"/>
        <v>0</v>
      </c>
      <c r="F317" s="965">
        <f t="shared" si="860"/>
        <v>0</v>
      </c>
      <c r="G317" s="965">
        <f t="shared" si="860"/>
        <v>0</v>
      </c>
      <c r="H317" s="965">
        <f t="shared" si="860"/>
        <v>0</v>
      </c>
      <c r="I317" s="965">
        <f t="shared" si="860"/>
        <v>0</v>
      </c>
      <c r="J317" s="965">
        <f t="shared" si="860"/>
        <v>0</v>
      </c>
      <c r="K317" s="965">
        <f t="shared" si="860"/>
        <v>0</v>
      </c>
      <c r="L317" s="965">
        <f t="shared" si="860"/>
        <v>0</v>
      </c>
      <c r="M317" s="965">
        <f t="shared" si="860"/>
        <v>0</v>
      </c>
      <c r="N317" s="965">
        <f t="shared" si="860"/>
        <v>0</v>
      </c>
      <c r="O317" s="965">
        <f t="shared" si="860"/>
        <v>0</v>
      </c>
      <c r="P317" s="965">
        <f t="shared" si="860"/>
        <v>0</v>
      </c>
      <c r="Q317" s="965">
        <f t="shared" si="860"/>
        <v>0</v>
      </c>
      <c r="R317" s="965">
        <f t="shared" si="860"/>
        <v>0</v>
      </c>
      <c r="S317" s="965">
        <f t="shared" si="860"/>
        <v>0</v>
      </c>
      <c r="T317" s="965">
        <f t="shared" si="860"/>
        <v>0</v>
      </c>
      <c r="U317" s="965">
        <f t="shared" si="860"/>
        <v>0</v>
      </c>
      <c r="V317" s="965">
        <f t="shared" si="860"/>
        <v>0</v>
      </c>
      <c r="W317" s="965">
        <f t="shared" si="860"/>
        <v>0</v>
      </c>
      <c r="X317" s="965">
        <f t="shared" si="860"/>
        <v>0</v>
      </c>
      <c r="Y317" s="965">
        <f t="shared" si="860"/>
        <v>0</v>
      </c>
      <c r="Z317" s="965">
        <f t="shared" si="860"/>
        <v>0</v>
      </c>
      <c r="AA317" s="965">
        <f t="shared" si="860"/>
        <v>0</v>
      </c>
      <c r="AB317" s="965">
        <f t="shared" si="860"/>
        <v>0</v>
      </c>
      <c r="AC317" s="965">
        <f t="shared" si="860"/>
        <v>0</v>
      </c>
      <c r="AD317" s="965">
        <f t="shared" si="860"/>
        <v>0</v>
      </c>
      <c r="AE317" s="965">
        <f t="shared" si="860"/>
        <v>0</v>
      </c>
      <c r="AF317" s="965">
        <f t="shared" si="860"/>
        <v>0</v>
      </c>
      <c r="AG317" s="965">
        <f t="shared" si="860"/>
        <v>0</v>
      </c>
      <c r="AH317" s="965">
        <f t="shared" si="860"/>
        <v>0</v>
      </c>
      <c r="AI317" s="965">
        <f t="shared" si="860"/>
        <v>0</v>
      </c>
      <c r="AJ317" s="965">
        <f t="shared" si="860"/>
        <v>0</v>
      </c>
      <c r="AK317" s="965">
        <f t="shared" si="860"/>
        <v>0</v>
      </c>
      <c r="AL317" s="965">
        <f t="shared" si="860"/>
        <v>0</v>
      </c>
      <c r="AM317" s="965">
        <f t="shared" si="860"/>
        <v>0</v>
      </c>
      <c r="AN317" s="965">
        <f t="shared" si="860"/>
        <v>0</v>
      </c>
      <c r="AO317" s="965">
        <f t="shared" si="860"/>
        <v>-2405856.6464542625</v>
      </c>
      <c r="AP317" s="965">
        <f t="shared" si="860"/>
        <v>-2405856.6464542625</v>
      </c>
      <c r="AQ317" s="965">
        <f t="shared" si="860"/>
        <v>-2405856.6464542625</v>
      </c>
      <c r="AR317" s="965">
        <f t="shared" si="860"/>
        <v>-2405856.6464542625</v>
      </c>
      <c r="AS317" s="965">
        <f t="shared" si="860"/>
        <v>-2405856.6464542625</v>
      </c>
      <c r="AT317" s="965">
        <f t="shared" si="860"/>
        <v>-2405856.6464542625</v>
      </c>
      <c r="AU317" s="166"/>
      <c r="AV317" s="166"/>
      <c r="AW317" s="166"/>
      <c r="AX317" s="166"/>
      <c r="AY317" s="166"/>
      <c r="AZ317" s="166"/>
      <c r="BA317" s="166"/>
      <c r="BB317" s="166"/>
      <c r="BC317" s="166"/>
      <c r="BD317" s="166"/>
      <c r="BE317" s="166"/>
      <c r="BF317" s="166"/>
      <c r="BG317" s="166"/>
      <c r="BH317" s="166"/>
      <c r="BI317" s="166"/>
      <c r="BJ317" s="166"/>
      <c r="BK317" s="166"/>
      <c r="BL317" s="166"/>
      <c r="BM317" s="166"/>
      <c r="BN317" s="166"/>
    </row>
    <row r="318" spans="2:66" x14ac:dyDescent="0.25">
      <c r="B318" s="846" t="str">
        <f t="shared" si="858"/>
        <v>Activos nuevos 4 - Valor residual</v>
      </c>
      <c r="C318" s="968">
        <f t="shared" si="860"/>
        <v>0</v>
      </c>
      <c r="D318" s="968">
        <f t="shared" si="860"/>
        <v>0</v>
      </c>
      <c r="E318" s="968">
        <f t="shared" si="860"/>
        <v>0</v>
      </c>
      <c r="F318" s="968">
        <f t="shared" si="860"/>
        <v>0</v>
      </c>
      <c r="G318" s="968">
        <f t="shared" si="860"/>
        <v>0</v>
      </c>
      <c r="H318" s="968">
        <f t="shared" si="860"/>
        <v>0</v>
      </c>
      <c r="I318" s="968">
        <f t="shared" si="860"/>
        <v>0</v>
      </c>
      <c r="J318" s="968">
        <f t="shared" si="860"/>
        <v>0</v>
      </c>
      <c r="K318" s="968">
        <f t="shared" si="860"/>
        <v>0</v>
      </c>
      <c r="L318" s="968">
        <f t="shared" si="860"/>
        <v>0</v>
      </c>
      <c r="M318" s="968">
        <f t="shared" si="860"/>
        <v>0</v>
      </c>
      <c r="N318" s="968">
        <f t="shared" si="860"/>
        <v>0</v>
      </c>
      <c r="O318" s="968">
        <f t="shared" si="860"/>
        <v>0</v>
      </c>
      <c r="P318" s="968">
        <f t="shared" si="860"/>
        <v>0</v>
      </c>
      <c r="Q318" s="968">
        <f t="shared" si="860"/>
        <v>0</v>
      </c>
      <c r="R318" s="968">
        <f t="shared" si="860"/>
        <v>0</v>
      </c>
      <c r="S318" s="968">
        <f t="shared" si="860"/>
        <v>0</v>
      </c>
      <c r="T318" s="968">
        <f t="shared" si="860"/>
        <v>0</v>
      </c>
      <c r="U318" s="968">
        <f t="shared" si="860"/>
        <v>0</v>
      </c>
      <c r="V318" s="968">
        <f t="shared" si="860"/>
        <v>0</v>
      </c>
      <c r="W318" s="968">
        <f t="shared" si="860"/>
        <v>0</v>
      </c>
      <c r="X318" s="968">
        <f t="shared" si="860"/>
        <v>0</v>
      </c>
      <c r="Y318" s="968">
        <f t="shared" si="860"/>
        <v>0</v>
      </c>
      <c r="Z318" s="968">
        <f t="shared" si="860"/>
        <v>0</v>
      </c>
      <c r="AA318" s="968">
        <f t="shared" si="860"/>
        <v>0</v>
      </c>
      <c r="AB318" s="968">
        <f t="shared" si="860"/>
        <v>0</v>
      </c>
      <c r="AC318" s="968">
        <f t="shared" si="860"/>
        <v>0</v>
      </c>
      <c r="AD318" s="968">
        <f t="shared" si="860"/>
        <v>0</v>
      </c>
      <c r="AE318" s="968">
        <f t="shared" si="860"/>
        <v>0</v>
      </c>
      <c r="AF318" s="968">
        <f t="shared" si="860"/>
        <v>0</v>
      </c>
      <c r="AG318" s="968">
        <f t="shared" si="860"/>
        <v>0</v>
      </c>
      <c r="AH318" s="968">
        <f t="shared" si="860"/>
        <v>0</v>
      </c>
      <c r="AI318" s="968">
        <f t="shared" si="860"/>
        <v>0</v>
      </c>
      <c r="AJ318" s="968">
        <f t="shared" si="860"/>
        <v>0</v>
      </c>
      <c r="AK318" s="968">
        <f t="shared" si="860"/>
        <v>0</v>
      </c>
      <c r="AL318" s="968">
        <f t="shared" si="860"/>
        <v>0</v>
      </c>
      <c r="AM318" s="968">
        <f t="shared" si="860"/>
        <v>0</v>
      </c>
      <c r="AN318" s="968">
        <f t="shared" si="860"/>
        <v>0</v>
      </c>
      <c r="AO318" s="968">
        <f t="shared" si="860"/>
        <v>36087849.696813934</v>
      </c>
      <c r="AP318" s="968">
        <f t="shared" si="860"/>
        <v>33681993.050359674</v>
      </c>
      <c r="AQ318" s="968">
        <f t="shared" si="860"/>
        <v>31276136.40390541</v>
      </c>
      <c r="AR318" s="968">
        <f t="shared" si="860"/>
        <v>28870279.757451147</v>
      </c>
      <c r="AS318" s="968">
        <f t="shared" si="860"/>
        <v>26464423.110996883</v>
      </c>
      <c r="AT318" s="968">
        <f t="shared" si="860"/>
        <v>24058566.46454262</v>
      </c>
      <c r="AU318" s="166"/>
      <c r="AV318" s="166"/>
      <c r="AW318" s="166"/>
      <c r="AX318" s="166"/>
      <c r="AY318" s="166"/>
      <c r="AZ318" s="166"/>
      <c r="BA318" s="166"/>
      <c r="BB318" s="166"/>
      <c r="BC318" s="166"/>
      <c r="BD318" s="166"/>
      <c r="BE318" s="166"/>
      <c r="BF318" s="166"/>
      <c r="BG318" s="166"/>
      <c r="BH318" s="166"/>
      <c r="BI318" s="166"/>
      <c r="BJ318" s="166"/>
      <c r="BK318" s="166"/>
      <c r="BL318" s="166"/>
      <c r="BM318" s="166"/>
      <c r="BN318" s="166"/>
    </row>
    <row r="319" spans="2:66" x14ac:dyDescent="0.25">
      <c r="B319" s="845" t="s">
        <v>441</v>
      </c>
      <c r="C319" s="824">
        <v>0</v>
      </c>
      <c r="D319" s="824">
        <v>0</v>
      </c>
      <c r="E319" s="824">
        <v>0</v>
      </c>
      <c r="F319" s="824">
        <v>0</v>
      </c>
      <c r="G319" s="824">
        <f>SUM(G305:G309)+G311+G313+G315+G317</f>
        <v>-3662844.258584829</v>
      </c>
      <c r="H319" s="824">
        <f t="shared" ref="H319:AT319" si="861">SUM(H305:H309)+H311+H313+H315+H317</f>
        <v>-3662844.258584829</v>
      </c>
      <c r="I319" s="824">
        <f t="shared" si="861"/>
        <v>-3662844.258584829</v>
      </c>
      <c r="J319" s="824">
        <f t="shared" si="861"/>
        <v>-3662844.258584829</v>
      </c>
      <c r="K319" s="824">
        <f t="shared" si="861"/>
        <v>-3662844.258584829</v>
      </c>
      <c r="L319" s="824">
        <f t="shared" si="861"/>
        <v>-3458479.3385100355</v>
      </c>
      <c r="M319" s="824">
        <f t="shared" si="861"/>
        <v>-3458479.3385100355</v>
      </c>
      <c r="N319" s="824">
        <f t="shared" si="861"/>
        <v>-3458479.3385100355</v>
      </c>
      <c r="O319" s="824">
        <f t="shared" si="861"/>
        <v>-3458479.3385100355</v>
      </c>
      <c r="P319" s="824">
        <f t="shared" si="861"/>
        <v>-3458479.3385100355</v>
      </c>
      <c r="Q319" s="824">
        <f t="shared" si="861"/>
        <v>-2975390.0050588157</v>
      </c>
      <c r="R319" s="824">
        <f t="shared" si="861"/>
        <v>-3593938.4099967871</v>
      </c>
      <c r="S319" s="824">
        <f t="shared" si="861"/>
        <v>-3593938.4099967871</v>
      </c>
      <c r="T319" s="824">
        <f t="shared" si="861"/>
        <v>-3593938.4099967871</v>
      </c>
      <c r="U319" s="824">
        <f t="shared" si="861"/>
        <v>-3593938.4099967871</v>
      </c>
      <c r="V319" s="824">
        <f t="shared" si="861"/>
        <v>-2747877.6604548013</v>
      </c>
      <c r="W319" s="824">
        <f t="shared" si="861"/>
        <v>-2747877.6604548013</v>
      </c>
      <c r="X319" s="824">
        <f t="shared" si="861"/>
        <v>-3923124.2349758497</v>
      </c>
      <c r="Y319" s="824">
        <f t="shared" si="861"/>
        <v>-3923124.2349758497</v>
      </c>
      <c r="Z319" s="824">
        <f t="shared" si="861"/>
        <v>-3923124.2349758497</v>
      </c>
      <c r="AA319" s="824">
        <f t="shared" si="861"/>
        <v>-3923124.2349758497</v>
      </c>
      <c r="AB319" s="824">
        <f t="shared" si="861"/>
        <v>-3923124.2349758497</v>
      </c>
      <c r="AC319" s="824">
        <f t="shared" si="861"/>
        <v>-4072116.8612129036</v>
      </c>
      <c r="AD319" s="824">
        <f t="shared" si="861"/>
        <v>-4072116.8612129036</v>
      </c>
      <c r="AE319" s="824">
        <f t="shared" si="861"/>
        <v>-4072116.8612129036</v>
      </c>
      <c r="AF319" s="824">
        <f t="shared" si="861"/>
        <v>-4072116.8612129036</v>
      </c>
      <c r="AG319" s="824">
        <f t="shared" si="861"/>
        <v>-4072116.8612129036</v>
      </c>
      <c r="AH319" s="824">
        <f t="shared" si="861"/>
        <v>-4072116.8612129036</v>
      </c>
      <c r="AI319" s="824">
        <f t="shared" si="861"/>
        <v>-4072116.8612129036</v>
      </c>
      <c r="AJ319" s="824">
        <f t="shared" si="861"/>
        <v>-4072116.8612129036</v>
      </c>
      <c r="AK319" s="824">
        <f t="shared" si="861"/>
        <v>-4072116.8612129036</v>
      </c>
      <c r="AL319" s="824">
        <f t="shared" si="861"/>
        <v>-4072116.8612129036</v>
      </c>
      <c r="AM319" s="824">
        <f t="shared" si="861"/>
        <v>-2896870.2866918552</v>
      </c>
      <c r="AN319" s="824">
        <f t="shared" si="861"/>
        <v>-2129329.2555168299</v>
      </c>
      <c r="AO319" s="824">
        <f t="shared" si="861"/>
        <v>-4535185.9019710924</v>
      </c>
      <c r="AP319" s="824">
        <f t="shared" si="861"/>
        <v>-4535185.9019710924</v>
      </c>
      <c r="AQ319" s="824">
        <f t="shared" si="861"/>
        <v>-4535185.9019710924</v>
      </c>
      <c r="AR319" s="824">
        <f t="shared" si="861"/>
        <v>-4535185.9019710924</v>
      </c>
      <c r="AS319" s="824">
        <f t="shared" si="861"/>
        <v>-4535185.9019710924</v>
      </c>
      <c r="AT319" s="824">
        <f t="shared" si="861"/>
        <v>-4535185.9019710924</v>
      </c>
      <c r="AU319" s="166"/>
      <c r="AV319" s="166"/>
      <c r="AW319" s="166"/>
      <c r="AX319" s="166"/>
      <c r="AY319" s="166"/>
      <c r="AZ319" s="166"/>
      <c r="BA319" s="166"/>
      <c r="BB319" s="166"/>
      <c r="BC319" s="166"/>
      <c r="BD319" s="166"/>
      <c r="BE319" s="166"/>
      <c r="BF319" s="166"/>
      <c r="BG319" s="166"/>
      <c r="BH319" s="166"/>
      <c r="BI319" s="166"/>
      <c r="BJ319" s="166"/>
      <c r="BK319" s="166"/>
      <c r="BL319" s="166"/>
      <c r="BM319" s="166"/>
      <c r="BN319" s="166"/>
    </row>
    <row r="320" spans="2:66" x14ac:dyDescent="0.25">
      <c r="B320" s="833" t="s">
        <v>435</v>
      </c>
      <c r="C320" s="824">
        <f>C310+C314+C318</f>
        <v>0</v>
      </c>
      <c r="D320" s="824">
        <f t="shared" ref="D320:F320" si="862">D310+D314+D318</f>
        <v>0</v>
      </c>
      <c r="E320" s="824">
        <f t="shared" si="862"/>
        <v>0</v>
      </c>
      <c r="F320" s="824">
        <f t="shared" si="862"/>
        <v>0</v>
      </c>
      <c r="G320" s="824">
        <f>G310+G312+G314+G316+G318</f>
        <v>123619947.34560698</v>
      </c>
      <c r="H320" s="824">
        <f t="shared" ref="H320:AT320" si="863">H310+H312+H314+H316+H318</f>
        <v>119957103.08702216</v>
      </c>
      <c r="I320" s="824">
        <f t="shared" si="863"/>
        <v>116294258.82843733</v>
      </c>
      <c r="J320" s="824">
        <f t="shared" si="863"/>
        <v>112631414.5698525</v>
      </c>
      <c r="K320" s="824">
        <f t="shared" si="863"/>
        <v>108968570.31126767</v>
      </c>
      <c r="L320" s="824">
        <f t="shared" si="863"/>
        <v>105510090.97275764</v>
      </c>
      <c r="M320" s="824">
        <f t="shared" si="863"/>
        <v>102051611.6342476</v>
      </c>
      <c r="N320" s="824">
        <f t="shared" si="863"/>
        <v>98593132.295737565</v>
      </c>
      <c r="O320" s="824">
        <f t="shared" si="863"/>
        <v>95134652.957227528</v>
      </c>
      <c r="P320" s="824">
        <f t="shared" si="863"/>
        <v>91676173.618717492</v>
      </c>
      <c r="Q320" s="824">
        <f t="shared" si="863"/>
        <v>88700783.613658682</v>
      </c>
      <c r="R320" s="824">
        <f t="shared" si="863"/>
        <v>91910877.657979578</v>
      </c>
      <c r="S320" s="824">
        <f t="shared" si="863"/>
        <v>88316939.2479828</v>
      </c>
      <c r="T320" s="824">
        <f t="shared" si="863"/>
        <v>84723000.837986022</v>
      </c>
      <c r="U320" s="824">
        <f t="shared" si="863"/>
        <v>81129062.427989244</v>
      </c>
      <c r="V320" s="824">
        <f t="shared" si="863"/>
        <v>78381184.767534435</v>
      </c>
      <c r="W320" s="824">
        <f t="shared" si="863"/>
        <v>75633307.10707964</v>
      </c>
      <c r="X320" s="824">
        <f t="shared" si="863"/>
        <v>89338881.489919528</v>
      </c>
      <c r="Y320" s="824">
        <f t="shared" si="863"/>
        <v>85415757.254943684</v>
      </c>
      <c r="Z320" s="824">
        <f t="shared" si="863"/>
        <v>81492633.019967824</v>
      </c>
      <c r="AA320" s="824">
        <f t="shared" si="863"/>
        <v>77569508.78499198</v>
      </c>
      <c r="AB320" s="824">
        <f t="shared" si="863"/>
        <v>73646384.550016135</v>
      </c>
      <c r="AC320" s="824">
        <f t="shared" si="863"/>
        <v>78017219.031728506</v>
      </c>
      <c r="AD320" s="824">
        <f t="shared" si="863"/>
        <v>73945102.170515612</v>
      </c>
      <c r="AE320" s="824">
        <f t="shared" si="863"/>
        <v>69872985.309302717</v>
      </c>
      <c r="AF320" s="824">
        <f t="shared" si="863"/>
        <v>65800868.448089808</v>
      </c>
      <c r="AG320" s="824">
        <f t="shared" si="863"/>
        <v>61728751.586876914</v>
      </c>
      <c r="AH320" s="824">
        <f t="shared" si="863"/>
        <v>57656634.725664012</v>
      </c>
      <c r="AI320" s="824">
        <f t="shared" si="863"/>
        <v>53584517.86445111</v>
      </c>
      <c r="AJ320" s="824">
        <f t="shared" si="863"/>
        <v>49512401.003238209</v>
      </c>
      <c r="AK320" s="824">
        <f t="shared" si="863"/>
        <v>45440284.142025307</v>
      </c>
      <c r="AL320" s="824">
        <f t="shared" si="863"/>
        <v>41368167.280812405</v>
      </c>
      <c r="AM320" s="824">
        <f t="shared" si="863"/>
        <v>38471296.994120553</v>
      </c>
      <c r="AN320" s="824">
        <f t="shared" si="863"/>
        <v>36341967.738603726</v>
      </c>
      <c r="AO320" s="824">
        <f t="shared" si="863"/>
        <v>70300488.179900825</v>
      </c>
      <c r="AP320" s="824">
        <f t="shared" si="863"/>
        <v>65765302.277929738</v>
      </c>
      <c r="AQ320" s="824">
        <f t="shared" si="863"/>
        <v>61230116.375958651</v>
      </c>
      <c r="AR320" s="824">
        <f t="shared" si="863"/>
        <v>56694930.47398755</v>
      </c>
      <c r="AS320" s="824">
        <f t="shared" si="863"/>
        <v>52159744.572016463</v>
      </c>
      <c r="AT320" s="824">
        <f t="shared" si="863"/>
        <v>47624558.670045361</v>
      </c>
      <c r="AU320" s="166"/>
      <c r="AV320" s="166"/>
      <c r="AW320" s="166"/>
      <c r="AX320" s="166"/>
      <c r="AY320" s="166"/>
      <c r="AZ320" s="166"/>
      <c r="BA320" s="166"/>
      <c r="BB320" s="166"/>
      <c r="BC320" s="166"/>
      <c r="BD320" s="166"/>
      <c r="BE320" s="166"/>
      <c r="BF320" s="166"/>
      <c r="BG320" s="166"/>
      <c r="BH320" s="166"/>
      <c r="BI320" s="166"/>
      <c r="BJ320" s="166"/>
      <c r="BK320" s="166"/>
      <c r="BL320" s="166"/>
      <c r="BM320" s="166"/>
      <c r="BN320" s="166"/>
    </row>
    <row r="321" spans="2:66" x14ac:dyDescent="0.25">
      <c r="B321" s="481"/>
      <c r="C321" s="382"/>
      <c r="D321" s="382"/>
      <c r="E321" s="382"/>
      <c r="F321" s="382"/>
      <c r="G321" s="382"/>
      <c r="H321" s="382"/>
      <c r="I321" s="382"/>
      <c r="J321" s="382"/>
      <c r="K321" s="382"/>
      <c r="L321" s="382"/>
      <c r="M321" s="382"/>
      <c r="N321" s="382"/>
      <c r="O321" s="382"/>
      <c r="P321" s="382"/>
      <c r="Q321" s="382"/>
      <c r="R321" s="382"/>
      <c r="S321" s="382"/>
      <c r="T321" s="382"/>
      <c r="U321" s="382"/>
      <c r="V321" s="382"/>
      <c r="W321" s="382"/>
      <c r="X321" s="382"/>
      <c r="Y321" s="382"/>
      <c r="Z321" s="382"/>
      <c r="AA321" s="382"/>
      <c r="AB321" s="382"/>
      <c r="AC321" s="382"/>
      <c r="AD321" s="382"/>
      <c r="AE321" s="382"/>
      <c r="AF321" s="382"/>
      <c r="AG321" s="382"/>
      <c r="AH321" s="382"/>
      <c r="AI321" s="382"/>
      <c r="AJ321" s="382"/>
      <c r="AK321" s="382"/>
      <c r="AL321" s="382"/>
      <c r="AM321" s="382"/>
      <c r="AN321" s="382"/>
      <c r="AO321" s="382"/>
      <c r="AP321" s="382"/>
      <c r="AQ321" s="382"/>
      <c r="AR321" s="382"/>
      <c r="AS321" s="382"/>
      <c r="AT321" s="382"/>
      <c r="AU321" s="166"/>
      <c r="AV321" s="166"/>
      <c r="AW321" s="166"/>
      <c r="AX321" s="166"/>
      <c r="AY321" s="166"/>
      <c r="AZ321" s="166"/>
      <c r="BA321" s="166"/>
      <c r="BB321" s="166"/>
      <c r="BC321" s="166"/>
      <c r="BD321" s="166"/>
      <c r="BE321" s="166"/>
      <c r="BF321" s="166"/>
      <c r="BG321" s="166"/>
      <c r="BH321" s="166"/>
      <c r="BI321" s="166"/>
      <c r="BJ321" s="166"/>
      <c r="BK321" s="166"/>
      <c r="BL321" s="166"/>
      <c r="BM321" s="166"/>
      <c r="BN321" s="166"/>
    </row>
    <row r="322" spans="2:66" ht="13.8" thickBot="1" x14ac:dyDescent="0.3">
      <c r="B322" s="834"/>
      <c r="C322" s="178"/>
      <c r="D322" s="178"/>
      <c r="E322" s="178"/>
      <c r="F322" s="178"/>
      <c r="G322" s="178"/>
      <c r="H322" s="178"/>
      <c r="I322" s="178"/>
      <c r="J322" s="178"/>
      <c r="K322" s="178"/>
      <c r="L322" s="178"/>
      <c r="M322" s="178"/>
      <c r="N322" s="178"/>
      <c r="O322" s="178"/>
      <c r="P322" s="178"/>
      <c r="Q322" s="178"/>
      <c r="R322" s="178"/>
      <c r="S322" s="178"/>
      <c r="T322" s="178"/>
      <c r="U322" s="178"/>
      <c r="V322" s="178"/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  <c r="AM322" s="178"/>
      <c r="AN322" s="178"/>
      <c r="AO322" s="178"/>
      <c r="AP322" s="178"/>
      <c r="AQ322" s="178"/>
      <c r="AR322" s="178"/>
      <c r="AS322" s="178"/>
      <c r="AT322" s="178"/>
      <c r="AU322" s="166"/>
      <c r="AV322" s="166"/>
      <c r="AW322" s="166"/>
      <c r="AX322" s="166"/>
      <c r="AY322" s="166"/>
      <c r="AZ322" s="166"/>
      <c r="BA322" s="166"/>
      <c r="BB322" s="166"/>
      <c r="BC322" s="166"/>
      <c r="BD322" s="166"/>
      <c r="BE322" s="166"/>
      <c r="BF322" s="166"/>
      <c r="BG322" s="166"/>
      <c r="BH322" s="166"/>
      <c r="BI322" s="166"/>
      <c r="BJ322" s="166"/>
      <c r="BK322" s="166"/>
      <c r="BL322" s="166"/>
      <c r="BM322" s="166"/>
      <c r="BN322" s="166"/>
    </row>
    <row r="323" spans="2:66" ht="14.4" x14ac:dyDescent="0.25">
      <c r="B323" s="835" t="s">
        <v>390</v>
      </c>
      <c r="C323" s="818"/>
      <c r="D323" s="818"/>
      <c r="E323" s="818"/>
      <c r="F323" s="818"/>
      <c r="G323" s="818"/>
      <c r="H323" s="818"/>
      <c r="I323" s="818"/>
      <c r="J323" s="818"/>
      <c r="K323" s="818"/>
      <c r="L323" s="818"/>
      <c r="M323" s="818"/>
      <c r="N323" s="818"/>
      <c r="O323" s="818"/>
      <c r="P323" s="818"/>
      <c r="Q323" s="818"/>
      <c r="R323" s="818"/>
      <c r="S323" s="818"/>
      <c r="T323" s="818"/>
      <c r="U323" s="818"/>
      <c r="V323" s="818"/>
      <c r="W323" s="818"/>
      <c r="X323" s="818"/>
      <c r="Y323" s="818"/>
      <c r="Z323" s="818"/>
      <c r="AA323" s="818"/>
      <c r="AB323" s="818"/>
      <c r="AC323" s="818"/>
      <c r="AD323" s="818"/>
      <c r="AE323" s="818"/>
      <c r="AF323" s="818"/>
      <c r="AG323" s="818"/>
      <c r="AH323" s="818"/>
      <c r="AI323" s="818"/>
      <c r="AJ323" s="818"/>
      <c r="AK323" s="818"/>
      <c r="AL323" s="818"/>
      <c r="AM323" s="818"/>
      <c r="AN323" s="818"/>
      <c r="AO323" s="818"/>
      <c r="AP323" s="818"/>
      <c r="AQ323" s="818"/>
      <c r="AR323" s="818"/>
      <c r="AS323" s="818"/>
      <c r="AT323" s="819"/>
      <c r="AU323" s="166"/>
      <c r="AV323" s="166"/>
      <c r="AW323" s="166"/>
      <c r="AX323" s="166"/>
      <c r="AY323" s="166"/>
      <c r="AZ323" s="166"/>
      <c r="BA323" s="166"/>
      <c r="BB323" s="166"/>
      <c r="BC323" s="166"/>
      <c r="BD323" s="166"/>
      <c r="BE323" s="166"/>
      <c r="BF323" s="166"/>
      <c r="BG323" s="166"/>
      <c r="BH323" s="166"/>
      <c r="BI323" s="166"/>
      <c r="BJ323" s="166"/>
      <c r="BK323" s="166"/>
      <c r="BL323" s="166"/>
      <c r="BM323" s="166"/>
      <c r="BN323" s="166"/>
    </row>
    <row r="324" spans="2:66" x14ac:dyDescent="0.25">
      <c r="B324" s="836" t="s">
        <v>391</v>
      </c>
      <c r="C324" s="268">
        <v>0</v>
      </c>
      <c r="D324" s="268">
        <v>0</v>
      </c>
      <c r="E324" s="268">
        <v>0</v>
      </c>
      <c r="F324" s="268">
        <v>0</v>
      </c>
      <c r="G324" s="268">
        <f>-G300</f>
        <v>-3454589.5691445097</v>
      </c>
      <c r="H324" s="268">
        <f t="shared" ref="H324:AT324" si="864">-H300</f>
        <v>-3546350.2599561452</v>
      </c>
      <c r="I324" s="268">
        <f t="shared" si="864"/>
        <v>-3629500.1452487805</v>
      </c>
      <c r="J324" s="268">
        <f t="shared" si="864"/>
        <v>-3714649.5304283733</v>
      </c>
      <c r="K324" s="268">
        <f t="shared" si="864"/>
        <v>-9294323.7646731809</v>
      </c>
      <c r="L324" s="268">
        <f t="shared" si="864"/>
        <v>-3891145.174125297</v>
      </c>
      <c r="M324" s="268">
        <f t="shared" si="864"/>
        <v>-3982593.760180179</v>
      </c>
      <c r="N324" s="268">
        <f t="shared" si="864"/>
        <v>-4076246.5661634705</v>
      </c>
      <c r="O324" s="268">
        <f t="shared" si="864"/>
        <v>-4172158.0442154035</v>
      </c>
      <c r="P324" s="268">
        <f t="shared" si="864"/>
        <v>-10305240.456239779</v>
      </c>
      <c r="Q324" s="268">
        <f t="shared" si="864"/>
        <v>-4370981.7449138239</v>
      </c>
      <c r="R324" s="268">
        <f t="shared" si="864"/>
        <v>-4474009.8993217153</v>
      </c>
      <c r="S324" s="268">
        <f t="shared" si="864"/>
        <v>-4579528.6633017063</v>
      </c>
      <c r="T324" s="268">
        <f t="shared" si="864"/>
        <v>-4687599.7384678498</v>
      </c>
      <c r="U324" s="268">
        <f t="shared" si="864"/>
        <v>-11429085.151702685</v>
      </c>
      <c r="V324" s="268">
        <f t="shared" si="864"/>
        <v>-4911653.4910183838</v>
      </c>
      <c r="W324" s="268">
        <f t="shared" si="864"/>
        <v>-5027767.5564522296</v>
      </c>
      <c r="X324" s="268">
        <f t="shared" si="864"/>
        <v>-5146696.7934412798</v>
      </c>
      <c r="Y324" s="268">
        <f t="shared" si="864"/>
        <v>-5268511.1412896216</v>
      </c>
      <c r="Z324" s="268">
        <f t="shared" si="864"/>
        <v>-12678875.013862662</v>
      </c>
      <c r="AA324" s="268">
        <f t="shared" si="864"/>
        <v>-5521083.8624752844</v>
      </c>
      <c r="AB324" s="268">
        <f t="shared" si="864"/>
        <v>-5651991.1898182109</v>
      </c>
      <c r="AC324" s="268">
        <f t="shared" si="864"/>
        <v>-5786081.6320499461</v>
      </c>
      <c r="AD324" s="268">
        <f t="shared" si="864"/>
        <v>-5923434.4919935949</v>
      </c>
      <c r="AE324" s="268">
        <f t="shared" si="864"/>
        <v>-14069181.394370388</v>
      </c>
      <c r="AF324" s="268">
        <f t="shared" si="864"/>
        <v>-6208254.835203521</v>
      </c>
      <c r="AG324" s="268">
        <f t="shared" si="864"/>
        <v>-6355891.2422239808</v>
      </c>
      <c r="AH324" s="268">
        <f t="shared" si="864"/>
        <v>-6507128.0239001652</v>
      </c>
      <c r="AI324" s="268">
        <f t="shared" si="864"/>
        <v>-6662055.1295457529</v>
      </c>
      <c r="AJ324" s="268">
        <f t="shared" si="864"/>
        <v>-15616322.452012271</v>
      </c>
      <c r="AK324" s="268">
        <f t="shared" si="864"/>
        <v>-6983351.6630770871</v>
      </c>
      <c r="AL324" s="268">
        <f t="shared" si="864"/>
        <v>-7149912.7241678927</v>
      </c>
      <c r="AM324" s="268">
        <f t="shared" si="864"/>
        <v>-7320547.5004008031</v>
      </c>
      <c r="AN324" s="268">
        <f t="shared" si="864"/>
        <v>-7495358.0500422539</v>
      </c>
      <c r="AO324" s="268">
        <f t="shared" si="864"/>
        <v>-17338580.552335452</v>
      </c>
      <c r="AP324" s="268">
        <f t="shared" si="864"/>
        <v>-7857927.8452074975</v>
      </c>
      <c r="AQ324" s="268">
        <f t="shared" si="864"/>
        <v>-8045904.5568202641</v>
      </c>
      <c r="AR324" s="268">
        <f t="shared" si="864"/>
        <v>-8238492.1162956236</v>
      </c>
      <c r="AS324" s="268">
        <f t="shared" si="864"/>
        <v>-8435806.3583844062</v>
      </c>
      <c r="AT324" s="799">
        <f t="shared" si="864"/>
        <v>-19256447.751688365</v>
      </c>
      <c r="AU324" s="166"/>
      <c r="AV324" s="166"/>
      <c r="AW324" s="166"/>
      <c r="AX324" s="166"/>
      <c r="AY324" s="166"/>
      <c r="AZ324" s="166"/>
      <c r="BA324" s="166"/>
      <c r="BB324" s="166"/>
      <c r="BC324" s="166"/>
      <c r="BD324" s="166"/>
      <c r="BE324" s="166"/>
      <c r="BF324" s="166"/>
      <c r="BG324" s="166"/>
      <c r="BH324" s="166"/>
      <c r="BI324" s="166"/>
      <c r="BJ324" s="166"/>
      <c r="BK324" s="166"/>
      <c r="BL324" s="166"/>
      <c r="BM324" s="166"/>
      <c r="BN324" s="166"/>
    </row>
    <row r="325" spans="2:66" ht="15" thickBot="1" x14ac:dyDescent="0.3">
      <c r="B325" s="842" t="s">
        <v>389</v>
      </c>
      <c r="C325" s="820"/>
      <c r="D325" s="820"/>
      <c r="E325" s="820"/>
      <c r="F325" s="820"/>
      <c r="G325" s="820">
        <f>G324</f>
        <v>-3454589.5691445097</v>
      </c>
      <c r="H325" s="820">
        <f t="shared" ref="H325" si="865">H324</f>
        <v>-3546350.2599561452</v>
      </c>
      <c r="I325" s="820">
        <f t="shared" ref="I325" si="866">I324</f>
        <v>-3629500.1452487805</v>
      </c>
      <c r="J325" s="820">
        <f t="shared" ref="J325" si="867">J324</f>
        <v>-3714649.5304283733</v>
      </c>
      <c r="K325" s="820">
        <f t="shared" ref="K325" si="868">K324</f>
        <v>-9294323.7646731809</v>
      </c>
      <c r="L325" s="820">
        <f t="shared" ref="L325" si="869">L324</f>
        <v>-3891145.174125297</v>
      </c>
      <c r="M325" s="820">
        <f t="shared" ref="M325" si="870">M324</f>
        <v>-3982593.760180179</v>
      </c>
      <c r="N325" s="820">
        <f t="shared" ref="N325" si="871">N324</f>
        <v>-4076246.5661634705</v>
      </c>
      <c r="O325" s="820">
        <f t="shared" ref="O325" si="872">O324</f>
        <v>-4172158.0442154035</v>
      </c>
      <c r="P325" s="820">
        <f t="shared" ref="P325" si="873">P324</f>
        <v>-10305240.456239779</v>
      </c>
      <c r="Q325" s="820">
        <f t="shared" ref="Q325" si="874">Q324</f>
        <v>-4370981.7449138239</v>
      </c>
      <c r="R325" s="820">
        <f t="shared" ref="R325" si="875">R324</f>
        <v>-4474009.8993217153</v>
      </c>
      <c r="S325" s="820">
        <f t="shared" ref="S325" si="876">S324</f>
        <v>-4579528.6633017063</v>
      </c>
      <c r="T325" s="820">
        <f t="shared" ref="T325" si="877">T324</f>
        <v>-4687599.7384678498</v>
      </c>
      <c r="U325" s="820">
        <f t="shared" ref="U325" si="878">U324</f>
        <v>-11429085.151702685</v>
      </c>
      <c r="V325" s="820">
        <f t="shared" ref="V325" si="879">V324</f>
        <v>-4911653.4910183838</v>
      </c>
      <c r="W325" s="820">
        <f t="shared" ref="W325" si="880">W324</f>
        <v>-5027767.5564522296</v>
      </c>
      <c r="X325" s="820">
        <f t="shared" ref="X325" si="881">X324</f>
        <v>-5146696.7934412798</v>
      </c>
      <c r="Y325" s="820">
        <f t="shared" ref="Y325" si="882">Y324</f>
        <v>-5268511.1412896216</v>
      </c>
      <c r="Z325" s="820">
        <f t="shared" ref="Z325" si="883">Z324</f>
        <v>-12678875.013862662</v>
      </c>
      <c r="AA325" s="820">
        <f t="shared" ref="AA325" si="884">AA324</f>
        <v>-5521083.8624752844</v>
      </c>
      <c r="AB325" s="820">
        <f t="shared" ref="AB325" si="885">AB324</f>
        <v>-5651991.1898182109</v>
      </c>
      <c r="AC325" s="820">
        <f t="shared" ref="AC325" si="886">AC324</f>
        <v>-5786081.6320499461</v>
      </c>
      <c r="AD325" s="820">
        <f t="shared" ref="AD325" si="887">AD324</f>
        <v>-5923434.4919935949</v>
      </c>
      <c r="AE325" s="820">
        <f t="shared" ref="AE325" si="888">AE324</f>
        <v>-14069181.394370388</v>
      </c>
      <c r="AF325" s="820">
        <f t="shared" ref="AF325" si="889">AF324</f>
        <v>-6208254.835203521</v>
      </c>
      <c r="AG325" s="820">
        <f t="shared" ref="AG325" si="890">AG324</f>
        <v>-6355891.2422239808</v>
      </c>
      <c r="AH325" s="820">
        <f t="shared" ref="AH325" si="891">AH324</f>
        <v>-6507128.0239001652</v>
      </c>
      <c r="AI325" s="820">
        <f t="shared" ref="AI325" si="892">AI324</f>
        <v>-6662055.1295457529</v>
      </c>
      <c r="AJ325" s="820">
        <f t="shared" ref="AJ325" si="893">AJ324</f>
        <v>-15616322.452012271</v>
      </c>
      <c r="AK325" s="820">
        <f t="shared" ref="AK325" si="894">AK324</f>
        <v>-6983351.6630770871</v>
      </c>
      <c r="AL325" s="820">
        <f t="shared" ref="AL325" si="895">AL324</f>
        <v>-7149912.7241678927</v>
      </c>
      <c r="AM325" s="820">
        <f t="shared" ref="AM325" si="896">AM324</f>
        <v>-7320547.5004008031</v>
      </c>
      <c r="AN325" s="820">
        <f t="shared" ref="AN325" si="897">AN324</f>
        <v>-7495358.0500422539</v>
      </c>
      <c r="AO325" s="820">
        <f t="shared" ref="AO325" si="898">AO324</f>
        <v>-17338580.552335452</v>
      </c>
      <c r="AP325" s="820">
        <f t="shared" ref="AP325" si="899">AP324</f>
        <v>-7857927.8452074975</v>
      </c>
      <c r="AQ325" s="820">
        <f t="shared" ref="AQ325" si="900">AQ324</f>
        <v>-8045904.5568202641</v>
      </c>
      <c r="AR325" s="820">
        <f t="shared" ref="AR325" si="901">AR324</f>
        <v>-8238492.1162956236</v>
      </c>
      <c r="AS325" s="820">
        <f t="shared" ref="AS325" si="902">AS324</f>
        <v>-8435806.3583844062</v>
      </c>
      <c r="AT325" s="821">
        <f t="shared" ref="AT325" si="903">AT324</f>
        <v>-19256447.751688365</v>
      </c>
      <c r="AU325" s="166"/>
      <c r="AV325" s="166"/>
      <c r="AW325" s="166"/>
      <c r="AX325" s="166"/>
      <c r="AY325" s="166"/>
      <c r="AZ325" s="166"/>
      <c r="BA325" s="166"/>
      <c r="BB325" s="166"/>
      <c r="BC325" s="166"/>
      <c r="BD325" s="166"/>
      <c r="BE325" s="166"/>
      <c r="BF325" s="166"/>
      <c r="BG325" s="166"/>
      <c r="BH325" s="166"/>
      <c r="BI325" s="166"/>
      <c r="BJ325" s="166"/>
      <c r="BK325" s="166"/>
      <c r="BL325" s="166"/>
      <c r="BM325" s="166"/>
      <c r="BN325" s="166"/>
    </row>
    <row r="326" spans="2:66" ht="15" thickBot="1" x14ac:dyDescent="0.3">
      <c r="B326" s="837"/>
      <c r="C326" s="824"/>
      <c r="D326" s="824"/>
      <c r="E326" s="824"/>
      <c r="F326" s="824"/>
      <c r="G326" s="824"/>
      <c r="H326" s="824"/>
      <c r="I326" s="824"/>
      <c r="J326" s="824"/>
      <c r="K326" s="824"/>
      <c r="L326" s="824"/>
      <c r="M326" s="824"/>
      <c r="N326" s="824"/>
      <c r="O326" s="824"/>
      <c r="P326" s="824"/>
      <c r="Q326" s="824"/>
      <c r="R326" s="824"/>
      <c r="S326" s="824"/>
      <c r="T326" s="824"/>
      <c r="U326" s="824"/>
      <c r="V326" s="824"/>
      <c r="W326" s="824"/>
      <c r="X326" s="824"/>
      <c r="Y326" s="824"/>
      <c r="Z326" s="824"/>
      <c r="AA326" s="824"/>
      <c r="AB326" s="824"/>
      <c r="AC326" s="824"/>
      <c r="AD326" s="824"/>
      <c r="AE326" s="824"/>
      <c r="AF326" s="824"/>
      <c r="AG326" s="824"/>
      <c r="AH326" s="824"/>
      <c r="AI326" s="824"/>
      <c r="AJ326" s="824"/>
      <c r="AK326" s="824"/>
      <c r="AL326" s="824"/>
      <c r="AM326" s="824"/>
      <c r="AN326" s="824"/>
      <c r="AO326" s="824"/>
      <c r="AP326" s="824"/>
      <c r="AQ326" s="824"/>
      <c r="AR326" s="824"/>
      <c r="AS326" s="824"/>
      <c r="AT326" s="824"/>
      <c r="AU326" s="166"/>
      <c r="AV326" s="166"/>
      <c r="AW326" s="166"/>
      <c r="AX326" s="166"/>
      <c r="AY326" s="166"/>
      <c r="AZ326" s="166"/>
      <c r="BA326" s="166"/>
      <c r="BB326" s="166"/>
      <c r="BC326" s="166"/>
      <c r="BD326" s="166"/>
      <c r="BE326" s="166"/>
      <c r="BF326" s="166"/>
      <c r="BG326" s="166"/>
      <c r="BH326" s="166"/>
      <c r="BI326" s="166"/>
      <c r="BJ326" s="166"/>
      <c r="BK326" s="166"/>
      <c r="BL326" s="166"/>
      <c r="BM326" s="166"/>
      <c r="BN326" s="166"/>
    </row>
    <row r="327" spans="2:66" ht="14.4" x14ac:dyDescent="0.25">
      <c r="B327" s="835" t="s">
        <v>392</v>
      </c>
      <c r="C327" s="818"/>
      <c r="D327" s="818"/>
      <c r="E327" s="818"/>
      <c r="F327" s="818"/>
      <c r="G327" s="818"/>
      <c r="H327" s="818"/>
      <c r="I327" s="818"/>
      <c r="J327" s="818"/>
      <c r="K327" s="818"/>
      <c r="L327" s="818"/>
      <c r="M327" s="818"/>
      <c r="N327" s="818"/>
      <c r="O327" s="818"/>
      <c r="P327" s="818"/>
      <c r="Q327" s="818"/>
      <c r="R327" s="818"/>
      <c r="S327" s="818"/>
      <c r="T327" s="818"/>
      <c r="U327" s="818"/>
      <c r="V327" s="818"/>
      <c r="W327" s="818"/>
      <c r="X327" s="818"/>
      <c r="Y327" s="818"/>
      <c r="Z327" s="818"/>
      <c r="AA327" s="818"/>
      <c r="AB327" s="818"/>
      <c r="AC327" s="818"/>
      <c r="AD327" s="818"/>
      <c r="AE327" s="818"/>
      <c r="AF327" s="818"/>
      <c r="AG327" s="818"/>
      <c r="AH327" s="818"/>
      <c r="AI327" s="818"/>
      <c r="AJ327" s="818"/>
      <c r="AK327" s="818"/>
      <c r="AL327" s="818"/>
      <c r="AM327" s="818"/>
      <c r="AN327" s="818"/>
      <c r="AO327" s="818"/>
      <c r="AP327" s="818"/>
      <c r="AQ327" s="818"/>
      <c r="AR327" s="818"/>
      <c r="AS327" s="818"/>
      <c r="AT327" s="819"/>
      <c r="AU327" s="166"/>
      <c r="AV327" s="166"/>
      <c r="AW327" s="166"/>
      <c r="AX327" s="166"/>
      <c r="AY327" s="166"/>
      <c r="AZ327" s="166"/>
      <c r="BA327" s="166"/>
      <c r="BB327" s="166"/>
      <c r="BC327" s="166"/>
      <c r="BD327" s="166"/>
      <c r="BE327" s="166"/>
      <c r="BF327" s="166"/>
      <c r="BG327" s="166"/>
      <c r="BH327" s="166"/>
      <c r="BI327" s="166"/>
      <c r="BJ327" s="166"/>
      <c r="BK327" s="166"/>
      <c r="BL327" s="166"/>
      <c r="BM327" s="166"/>
      <c r="BN327" s="166"/>
    </row>
    <row r="328" spans="2:66" x14ac:dyDescent="0.25">
      <c r="B328" s="836" t="s">
        <v>393</v>
      </c>
      <c r="C328" s="268">
        <v>0</v>
      </c>
      <c r="D328" s="268">
        <v>0</v>
      </c>
      <c r="E328" s="268">
        <v>0</v>
      </c>
      <c r="F328" s="268">
        <v>0</v>
      </c>
      <c r="G328" s="178">
        <f>G302</f>
        <v>6268207.0000000009</v>
      </c>
      <c r="H328" s="178">
        <f t="shared" ref="H328:AT328" si="904">H302</f>
        <v>8357609.3333333349</v>
      </c>
      <c r="I328" s="178">
        <f t="shared" si="904"/>
        <v>8830416.6478000022</v>
      </c>
      <c r="J328" s="178">
        <f t="shared" si="904"/>
        <v>8922952.7376000006</v>
      </c>
      <c r="K328" s="178">
        <f t="shared" si="904"/>
        <v>9379714.5760269593</v>
      </c>
      <c r="L328" s="178">
        <f t="shared" si="904"/>
        <v>9475989.1238548812</v>
      </c>
      <c r="M328" s="178">
        <f t="shared" si="904"/>
        <v>9958983.1240187883</v>
      </c>
      <c r="N328" s="178">
        <f t="shared" si="904"/>
        <v>10008610.967402421</v>
      </c>
      <c r="O328" s="178">
        <f t="shared" si="904"/>
        <v>10464591.658741813</v>
      </c>
      <c r="P328" s="178">
        <f t="shared" si="904"/>
        <v>10516224.466998143</v>
      </c>
      <c r="Q328" s="178">
        <f t="shared" si="904"/>
        <v>10994798.709174758</v>
      </c>
      <c r="R328" s="178">
        <f t="shared" si="904"/>
        <v>11048517.482884651</v>
      </c>
      <c r="S328" s="178">
        <f t="shared" si="904"/>
        <v>11497867.61787709</v>
      </c>
      <c r="T328" s="178">
        <f t="shared" si="904"/>
        <v>11500857.646560989</v>
      </c>
      <c r="U328" s="178">
        <f t="shared" si="904"/>
        <v>11968603.121324787</v>
      </c>
      <c r="V328" s="178">
        <f t="shared" si="904"/>
        <v>11971713.947167521</v>
      </c>
      <c r="W328" s="178">
        <f t="shared" si="904"/>
        <v>12458607.693839861</v>
      </c>
      <c r="X328" s="178">
        <f t="shared" si="904"/>
        <v>12551035.165340798</v>
      </c>
      <c r="Y328" s="178">
        <f t="shared" si="904"/>
        <v>13154258.527370147</v>
      </c>
      <c r="Z328" s="178">
        <f t="shared" si="904"/>
        <v>13250420.068719726</v>
      </c>
      <c r="AA328" s="178">
        <f t="shared" si="904"/>
        <v>13885783.507116098</v>
      </c>
      <c r="AB328" s="178">
        <f t="shared" si="904"/>
        <v>13985829.974736197</v>
      </c>
      <c r="AC328" s="178">
        <f t="shared" si="904"/>
        <v>14550857.505715542</v>
      </c>
      <c r="AD328" s="178">
        <f t="shared" si="904"/>
        <v>14550857.505715542</v>
      </c>
      <c r="AE328" s="178">
        <f t="shared" si="904"/>
        <v>15138712.148946447</v>
      </c>
      <c r="AF328" s="178">
        <f t="shared" si="904"/>
        <v>15138712.148946447</v>
      </c>
      <c r="AG328" s="178">
        <f t="shared" si="904"/>
        <v>15750316.119763885</v>
      </c>
      <c r="AH328" s="178">
        <f t="shared" si="904"/>
        <v>15750316.119763885</v>
      </c>
      <c r="AI328" s="178">
        <f t="shared" si="904"/>
        <v>16386628.891002342</v>
      </c>
      <c r="AJ328" s="178">
        <f t="shared" si="904"/>
        <v>16386628.891002342</v>
      </c>
      <c r="AK328" s="178">
        <f t="shared" si="904"/>
        <v>17048648.698198836</v>
      </c>
      <c r="AL328" s="178">
        <f t="shared" si="904"/>
        <v>17048648.698198836</v>
      </c>
      <c r="AM328" s="178">
        <f t="shared" si="904"/>
        <v>17737414.105606072</v>
      </c>
      <c r="AN328" s="178">
        <f t="shared" si="904"/>
        <v>17737414.105606072</v>
      </c>
      <c r="AO328" s="178">
        <f t="shared" si="904"/>
        <v>18454005.635472562</v>
      </c>
      <c r="AP328" s="178">
        <f t="shared" si="904"/>
        <v>18454005.635472562</v>
      </c>
      <c r="AQ328" s="178">
        <f t="shared" si="904"/>
        <v>19199547.463145651</v>
      </c>
      <c r="AR328" s="178">
        <f t="shared" si="904"/>
        <v>19199547.463145651</v>
      </c>
      <c r="AS328" s="178">
        <f t="shared" si="904"/>
        <v>19975209.180656735</v>
      </c>
      <c r="AT328" s="265">
        <f t="shared" si="904"/>
        <v>19975209.180656735</v>
      </c>
      <c r="AU328" s="166"/>
      <c r="AV328" s="166"/>
      <c r="AW328" s="166"/>
      <c r="AX328" s="166"/>
      <c r="AY328" s="166"/>
      <c r="AZ328" s="166"/>
      <c r="BA328" s="166"/>
      <c r="BB328" s="166"/>
      <c r="BC328" s="166"/>
      <c r="BD328" s="166"/>
      <c r="BE328" s="166"/>
      <c r="BF328" s="166"/>
      <c r="BG328" s="166"/>
      <c r="BH328" s="166"/>
      <c r="BI328" s="166"/>
      <c r="BJ328" s="166"/>
      <c r="BK328" s="166"/>
      <c r="BL328" s="166"/>
      <c r="BM328" s="166"/>
      <c r="BN328" s="166"/>
    </row>
    <row r="329" spans="2:66" x14ac:dyDescent="0.25">
      <c r="B329" s="836" t="s">
        <v>394</v>
      </c>
      <c r="C329" s="268">
        <v>0</v>
      </c>
      <c r="D329" s="268">
        <v>0</v>
      </c>
      <c r="E329" s="268">
        <v>0</v>
      </c>
      <c r="F329" s="268">
        <v>0</v>
      </c>
      <c r="G329" s="178">
        <f>G303</f>
        <v>420000</v>
      </c>
      <c r="H329" s="178">
        <f t="shared" ref="H329:AT329" si="905">H303</f>
        <v>428400</v>
      </c>
      <c r="I329" s="178">
        <f t="shared" si="905"/>
        <v>436968</v>
      </c>
      <c r="J329" s="178">
        <f t="shared" si="905"/>
        <v>445707.36</v>
      </c>
      <c r="K329" s="178">
        <f t="shared" si="905"/>
        <v>454621.50719999999</v>
      </c>
      <c r="L329" s="178">
        <f t="shared" si="905"/>
        <v>463713.93734400003</v>
      </c>
      <c r="M329" s="178">
        <f t="shared" si="905"/>
        <v>472988.21609088004</v>
      </c>
      <c r="N329" s="178">
        <f t="shared" si="905"/>
        <v>482447.98041269754</v>
      </c>
      <c r="O329" s="178">
        <f t="shared" si="905"/>
        <v>492096.9400209515</v>
      </c>
      <c r="P329" s="178">
        <f t="shared" si="905"/>
        <v>501938.87882137054</v>
      </c>
      <c r="Q329" s="178">
        <f t="shared" si="905"/>
        <v>511977.65639779798</v>
      </c>
      <c r="R329" s="178">
        <f t="shared" si="905"/>
        <v>522217.20952575386</v>
      </c>
      <c r="S329" s="178">
        <f t="shared" si="905"/>
        <v>532661.55371626897</v>
      </c>
      <c r="T329" s="178">
        <f t="shared" si="905"/>
        <v>543314.78479059436</v>
      </c>
      <c r="U329" s="178">
        <f t="shared" si="905"/>
        <v>554181.08048640634</v>
      </c>
      <c r="V329" s="178">
        <f t="shared" si="905"/>
        <v>565264.70209613431</v>
      </c>
      <c r="W329" s="178">
        <f t="shared" si="905"/>
        <v>576569.99613805709</v>
      </c>
      <c r="X329" s="178">
        <f t="shared" si="905"/>
        <v>588101.39606081822</v>
      </c>
      <c r="Y329" s="178">
        <f t="shared" si="905"/>
        <v>599863.42398203455</v>
      </c>
      <c r="Z329" s="178">
        <f t="shared" si="905"/>
        <v>611860.69246167527</v>
      </c>
      <c r="AA329" s="178">
        <f t="shared" si="905"/>
        <v>624097.90631090873</v>
      </c>
      <c r="AB329" s="178">
        <f t="shared" si="905"/>
        <v>636579.8644371269</v>
      </c>
      <c r="AC329" s="178">
        <f t="shared" si="905"/>
        <v>649311.46172586945</v>
      </c>
      <c r="AD329" s="178">
        <f t="shared" si="905"/>
        <v>662297.69096038677</v>
      </c>
      <c r="AE329" s="178">
        <f t="shared" si="905"/>
        <v>675543.6447795945</v>
      </c>
      <c r="AF329" s="178">
        <f t="shared" si="905"/>
        <v>689054.51767518639</v>
      </c>
      <c r="AG329" s="178">
        <f t="shared" si="905"/>
        <v>702835.60802869021</v>
      </c>
      <c r="AH329" s="178">
        <f t="shared" si="905"/>
        <v>716892.3201892639</v>
      </c>
      <c r="AI329" s="178">
        <f t="shared" si="905"/>
        <v>731230.1665930493</v>
      </c>
      <c r="AJ329" s="178">
        <f t="shared" si="905"/>
        <v>745854.76992491016</v>
      </c>
      <c r="AK329" s="178">
        <f t="shared" si="905"/>
        <v>760771.86532340851</v>
      </c>
      <c r="AL329" s="178">
        <f t="shared" si="905"/>
        <v>775987.30262987642</v>
      </c>
      <c r="AM329" s="178">
        <f t="shared" si="905"/>
        <v>791507.04868247418</v>
      </c>
      <c r="AN329" s="178">
        <f t="shared" si="905"/>
        <v>807337.18965612364</v>
      </c>
      <c r="AO329" s="178">
        <f t="shared" si="905"/>
        <v>823483.93344924611</v>
      </c>
      <c r="AP329" s="178">
        <f t="shared" si="905"/>
        <v>839953.61211823102</v>
      </c>
      <c r="AQ329" s="178">
        <f t="shared" si="905"/>
        <v>856752.68436059554</v>
      </c>
      <c r="AR329" s="178">
        <f t="shared" si="905"/>
        <v>873887.73804780759</v>
      </c>
      <c r="AS329" s="178">
        <f t="shared" si="905"/>
        <v>891365.49280876387</v>
      </c>
      <c r="AT329" s="265">
        <f t="shared" si="905"/>
        <v>909192.80266493873</v>
      </c>
      <c r="AU329" s="166"/>
      <c r="AV329" s="166"/>
      <c r="AW329" s="166"/>
      <c r="AX329" s="166"/>
      <c r="AY329" s="166"/>
      <c r="AZ329" s="166"/>
      <c r="BA329" s="166"/>
      <c r="BB329" s="166"/>
      <c r="BC329" s="166"/>
      <c r="BD329" s="166"/>
      <c r="BE329" s="166"/>
      <c r="BF329" s="166"/>
      <c r="BG329" s="166"/>
      <c r="BH329" s="166"/>
      <c r="BI329" s="166"/>
      <c r="BJ329" s="166"/>
      <c r="BK329" s="166"/>
      <c r="BL329" s="166"/>
      <c r="BM329" s="166"/>
      <c r="BN329" s="166"/>
    </row>
    <row r="330" spans="2:66" ht="15" thickBot="1" x14ac:dyDescent="0.3">
      <c r="B330" s="842" t="s">
        <v>388</v>
      </c>
      <c r="C330" s="822">
        <v>0</v>
      </c>
      <c r="D330" s="822">
        <v>0</v>
      </c>
      <c r="E330" s="822">
        <v>0</v>
      </c>
      <c r="F330" s="822">
        <v>0</v>
      </c>
      <c r="G330" s="822">
        <f>G328+G329</f>
        <v>6688207.0000000009</v>
      </c>
      <c r="H330" s="822">
        <f t="shared" ref="H330" si="906">H328+H329</f>
        <v>8786009.3333333358</v>
      </c>
      <c r="I330" s="822">
        <f t="shared" ref="I330" si="907">I328+I329</f>
        <v>9267384.6478000022</v>
      </c>
      <c r="J330" s="822">
        <f t="shared" ref="J330" si="908">J328+J329</f>
        <v>9368660.0976</v>
      </c>
      <c r="K330" s="822">
        <f t="shared" ref="K330" si="909">K328+K329</f>
        <v>9834336.0832269602</v>
      </c>
      <c r="L330" s="822">
        <f t="shared" ref="L330" si="910">L328+L329</f>
        <v>9939703.0611988809</v>
      </c>
      <c r="M330" s="822">
        <f t="shared" ref="M330" si="911">M328+M329</f>
        <v>10431971.340109669</v>
      </c>
      <c r="N330" s="822">
        <f t="shared" ref="N330" si="912">N328+N329</f>
        <v>10491058.947815118</v>
      </c>
      <c r="O330" s="822">
        <f t="shared" ref="O330" si="913">O328+O329</f>
        <v>10956688.598762766</v>
      </c>
      <c r="P330" s="822">
        <f t="shared" ref="P330" si="914">P328+P329</f>
        <v>11018163.345819514</v>
      </c>
      <c r="Q330" s="822">
        <f t="shared" ref="Q330" si="915">Q328+Q329</f>
        <v>11506776.365572555</v>
      </c>
      <c r="R330" s="822">
        <f t="shared" ref="R330" si="916">R328+R329</f>
        <v>11570734.692410406</v>
      </c>
      <c r="S330" s="822">
        <f t="shared" ref="S330" si="917">S328+S329</f>
        <v>12030529.171593359</v>
      </c>
      <c r="T330" s="822">
        <f t="shared" ref="T330" si="918">T328+T329</f>
        <v>12044172.431351583</v>
      </c>
      <c r="U330" s="822">
        <f t="shared" ref="U330" si="919">U328+U329</f>
        <v>12522784.201811193</v>
      </c>
      <c r="V330" s="822">
        <f t="shared" ref="V330" si="920">V328+V329</f>
        <v>12536978.649263656</v>
      </c>
      <c r="W330" s="822">
        <f t="shared" ref="W330" si="921">W328+W329</f>
        <v>13035177.689977918</v>
      </c>
      <c r="X330" s="822">
        <f t="shared" ref="X330" si="922">X328+X329</f>
        <v>13139136.561401617</v>
      </c>
      <c r="Y330" s="822">
        <f t="shared" ref="Y330" si="923">Y328+Y329</f>
        <v>13754121.951352183</v>
      </c>
      <c r="Z330" s="822">
        <f t="shared" ref="Z330" si="924">Z328+Z329</f>
        <v>13862280.761181401</v>
      </c>
      <c r="AA330" s="822">
        <f t="shared" ref="AA330" si="925">AA328+AA329</f>
        <v>14509881.413427006</v>
      </c>
      <c r="AB330" s="822">
        <f t="shared" ref="AB330" si="926">AB328+AB329</f>
        <v>14622409.839173324</v>
      </c>
      <c r="AC330" s="822">
        <f t="shared" ref="AC330" si="927">AC328+AC329</f>
        <v>15200168.967441412</v>
      </c>
      <c r="AD330" s="822">
        <f t="shared" ref="AD330" si="928">AD328+AD329</f>
        <v>15213155.196675928</v>
      </c>
      <c r="AE330" s="822">
        <f t="shared" ref="AE330" si="929">AE328+AE329</f>
        <v>15814255.793726042</v>
      </c>
      <c r="AF330" s="822">
        <f t="shared" ref="AF330" si="930">AF328+AF329</f>
        <v>15827766.666621633</v>
      </c>
      <c r="AG330" s="822">
        <f t="shared" ref="AG330" si="931">AG328+AG329</f>
        <v>16453151.727792574</v>
      </c>
      <c r="AH330" s="822">
        <f t="shared" ref="AH330" si="932">AH328+AH329</f>
        <v>16467208.439953148</v>
      </c>
      <c r="AI330" s="822">
        <f t="shared" ref="AI330" si="933">AI328+AI329</f>
        <v>17117859.057595391</v>
      </c>
      <c r="AJ330" s="822">
        <f t="shared" ref="AJ330" si="934">AJ328+AJ329</f>
        <v>17132483.660927251</v>
      </c>
      <c r="AK330" s="822">
        <f t="shared" ref="AK330" si="935">AK328+AK329</f>
        <v>17809420.563522246</v>
      </c>
      <c r="AL330" s="822">
        <f t="shared" ref="AL330" si="936">AL328+AL329</f>
        <v>17824636.000828713</v>
      </c>
      <c r="AM330" s="822">
        <f t="shared" ref="AM330" si="937">AM328+AM329</f>
        <v>18528921.154288545</v>
      </c>
      <c r="AN330" s="822">
        <f t="shared" ref="AN330" si="938">AN328+AN329</f>
        <v>18544751.295262195</v>
      </c>
      <c r="AO330" s="822">
        <f t="shared" ref="AO330" si="939">AO328+AO329</f>
        <v>19277489.568921808</v>
      </c>
      <c r="AP330" s="822">
        <f t="shared" ref="AP330" si="940">AP328+AP329</f>
        <v>19293959.247590791</v>
      </c>
      <c r="AQ330" s="822">
        <f t="shared" ref="AQ330" si="941">AQ328+AQ329</f>
        <v>20056300.147506248</v>
      </c>
      <c r="AR330" s="822">
        <f t="shared" ref="AR330" si="942">AR328+AR329</f>
        <v>20073435.201193459</v>
      </c>
      <c r="AS330" s="822">
        <f t="shared" ref="AS330" si="943">AS328+AS329</f>
        <v>20866574.673465498</v>
      </c>
      <c r="AT330" s="823">
        <f t="shared" ref="AT330" si="944">AT328+AT329</f>
        <v>20884401.983321674</v>
      </c>
      <c r="AU330" s="166"/>
      <c r="AV330" s="166"/>
      <c r="AW330" s="166"/>
      <c r="AX330" s="166"/>
      <c r="AY330" s="166"/>
      <c r="AZ330" s="166"/>
      <c r="BA330" s="166"/>
      <c r="BB330" s="166"/>
      <c r="BC330" s="166"/>
      <c r="BD330" s="166"/>
      <c r="BE330" s="166"/>
      <c r="BF330" s="166"/>
      <c r="BG330" s="166"/>
      <c r="BH330" s="166"/>
      <c r="BI330" s="166"/>
      <c r="BJ330" s="166"/>
      <c r="BK330" s="166"/>
      <c r="BL330" s="166"/>
      <c r="BM330" s="166"/>
      <c r="BN330" s="166"/>
    </row>
    <row r="331" spans="2:66" ht="15" thickBot="1" x14ac:dyDescent="0.3">
      <c r="B331" s="838"/>
      <c r="C331" s="178"/>
      <c r="D331" s="178"/>
      <c r="E331" s="178"/>
      <c r="F331" s="178"/>
      <c r="G331" s="178"/>
      <c r="H331" s="178"/>
      <c r="I331" s="178"/>
      <c r="J331" s="178"/>
      <c r="K331" s="178"/>
      <c r="L331" s="178"/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  <c r="Y331" s="178"/>
      <c r="Z331" s="178"/>
      <c r="AA331" s="178"/>
      <c r="AB331" s="178"/>
      <c r="AC331" s="178"/>
      <c r="AD331" s="178"/>
      <c r="AE331" s="178"/>
      <c r="AF331" s="178"/>
      <c r="AG331" s="178"/>
      <c r="AH331" s="178"/>
      <c r="AI331" s="178"/>
      <c r="AJ331" s="178"/>
      <c r="AK331" s="178"/>
      <c r="AL331" s="178"/>
      <c r="AM331" s="178"/>
      <c r="AN331" s="178"/>
      <c r="AO331" s="178"/>
      <c r="AP331" s="178"/>
      <c r="AQ331" s="178"/>
      <c r="AR331" s="178"/>
      <c r="AS331" s="178"/>
      <c r="AT331" s="178"/>
      <c r="AU331" s="166"/>
      <c r="AV331" s="166"/>
      <c r="AW331" s="166"/>
      <c r="AX331" s="166"/>
      <c r="AY331" s="166"/>
      <c r="AZ331" s="166"/>
      <c r="BA331" s="166"/>
      <c r="BB331" s="166"/>
      <c r="BC331" s="166"/>
      <c r="BD331" s="166"/>
      <c r="BE331" s="166"/>
      <c r="BF331" s="166"/>
      <c r="BG331" s="166"/>
      <c r="BH331" s="166"/>
      <c r="BI331" s="166"/>
      <c r="BJ331" s="166"/>
      <c r="BK331" s="166"/>
      <c r="BL331" s="166"/>
      <c r="BM331" s="166"/>
      <c r="BN331" s="166"/>
    </row>
    <row r="332" spans="2:66" ht="15" thickBot="1" x14ac:dyDescent="0.3">
      <c r="B332" s="843" t="s">
        <v>387</v>
      </c>
      <c r="C332" s="825"/>
      <c r="D332" s="825"/>
      <c r="E332" s="825"/>
      <c r="F332" s="825"/>
      <c r="G332" s="826">
        <f>G330+G325</f>
        <v>3233617.4308554912</v>
      </c>
      <c r="H332" s="826">
        <f t="shared" ref="H332:AT332" si="945">H330+H325</f>
        <v>5239659.0733771902</v>
      </c>
      <c r="I332" s="826">
        <f t="shared" si="945"/>
        <v>5637884.5025512222</v>
      </c>
      <c r="J332" s="826">
        <f t="shared" si="945"/>
        <v>5654010.5671716267</v>
      </c>
      <c r="K332" s="826">
        <f t="shared" si="945"/>
        <v>540012.31855377927</v>
      </c>
      <c r="L332" s="826">
        <f t="shared" si="945"/>
        <v>6048557.8870735839</v>
      </c>
      <c r="M332" s="826">
        <f t="shared" si="945"/>
        <v>6449377.5799294896</v>
      </c>
      <c r="N332" s="826">
        <f t="shared" si="945"/>
        <v>6414812.3816516474</v>
      </c>
      <c r="O332" s="826">
        <f t="shared" si="945"/>
        <v>6784530.554547362</v>
      </c>
      <c r="P332" s="826">
        <f t="shared" si="945"/>
        <v>712922.8895797357</v>
      </c>
      <c r="Q332" s="826">
        <f t="shared" si="945"/>
        <v>7135794.6206587311</v>
      </c>
      <c r="R332" s="826">
        <f t="shared" si="945"/>
        <v>7096724.7930886904</v>
      </c>
      <c r="S332" s="826">
        <f t="shared" si="945"/>
        <v>7451000.5082916524</v>
      </c>
      <c r="T332" s="826">
        <f t="shared" si="945"/>
        <v>7356572.6928837337</v>
      </c>
      <c r="U332" s="826">
        <f t="shared" si="945"/>
        <v>1093699.0501085073</v>
      </c>
      <c r="V332" s="826">
        <f t="shared" si="945"/>
        <v>7625325.158245272</v>
      </c>
      <c r="W332" s="826">
        <f t="shared" si="945"/>
        <v>8007410.1335256882</v>
      </c>
      <c r="X332" s="826">
        <f t="shared" si="945"/>
        <v>7992439.767960337</v>
      </c>
      <c r="Y332" s="826">
        <f t="shared" si="945"/>
        <v>8485610.8100625612</v>
      </c>
      <c r="Z332" s="826">
        <f t="shared" si="945"/>
        <v>1183405.7473187391</v>
      </c>
      <c r="AA332" s="826">
        <f t="shared" si="945"/>
        <v>8988797.550951723</v>
      </c>
      <c r="AB332" s="826">
        <f t="shared" si="945"/>
        <v>8970418.6493551135</v>
      </c>
      <c r="AC332" s="826">
        <f t="shared" si="945"/>
        <v>9414087.3353914656</v>
      </c>
      <c r="AD332" s="826">
        <f t="shared" si="945"/>
        <v>9289720.7046823334</v>
      </c>
      <c r="AE332" s="826">
        <f t="shared" si="945"/>
        <v>1745074.3993556537</v>
      </c>
      <c r="AF332" s="826">
        <f t="shared" si="945"/>
        <v>9619511.8314181119</v>
      </c>
      <c r="AG332" s="826">
        <f t="shared" si="945"/>
        <v>10097260.485568594</v>
      </c>
      <c r="AH332" s="826">
        <f t="shared" si="945"/>
        <v>9960080.4160529822</v>
      </c>
      <c r="AI332" s="826">
        <f t="shared" si="945"/>
        <v>10455803.928049639</v>
      </c>
      <c r="AJ332" s="826">
        <f t="shared" si="945"/>
        <v>1516161.2089149803</v>
      </c>
      <c r="AK332" s="826">
        <f t="shared" si="945"/>
        <v>10826068.90044516</v>
      </c>
      <c r="AL332" s="826">
        <f t="shared" si="945"/>
        <v>10674723.27666082</v>
      </c>
      <c r="AM332" s="826">
        <f t="shared" si="945"/>
        <v>11208373.653887741</v>
      </c>
      <c r="AN332" s="826">
        <f t="shared" si="945"/>
        <v>11049393.245219942</v>
      </c>
      <c r="AO332" s="826">
        <f t="shared" si="945"/>
        <v>1938909.0165863559</v>
      </c>
      <c r="AP332" s="826">
        <f t="shared" si="945"/>
        <v>11436031.402383294</v>
      </c>
      <c r="AQ332" s="826">
        <f t="shared" si="945"/>
        <v>12010395.590685984</v>
      </c>
      <c r="AR332" s="826">
        <f t="shared" si="945"/>
        <v>11834943.084897835</v>
      </c>
      <c r="AS332" s="826">
        <f t="shared" si="945"/>
        <v>12430768.315081092</v>
      </c>
      <c r="AT332" s="827">
        <f t="shared" si="945"/>
        <v>1627954.2316333093</v>
      </c>
      <c r="AU332" s="166"/>
      <c r="AV332" s="166"/>
      <c r="AW332" s="166"/>
      <c r="AX332" s="166"/>
      <c r="AY332" s="166"/>
      <c r="AZ332" s="166"/>
      <c r="BA332" s="166"/>
      <c r="BB332" s="166"/>
      <c r="BC332" s="166"/>
      <c r="BD332" s="166"/>
      <c r="BE332" s="166"/>
      <c r="BF332" s="166"/>
      <c r="BG332" s="166"/>
      <c r="BH332" s="166"/>
      <c r="BI332" s="166"/>
      <c r="BJ332" s="166"/>
      <c r="BK332" s="166"/>
      <c r="BL332" s="166"/>
      <c r="BM332" s="166"/>
      <c r="BN332" s="166"/>
    </row>
    <row r="333" spans="2:66" ht="15" thickBot="1" x14ac:dyDescent="0.3">
      <c r="B333" s="839"/>
      <c r="C333" s="801"/>
      <c r="D333" s="801"/>
      <c r="E333" s="801"/>
      <c r="F333" s="801"/>
      <c r="G333" s="824"/>
      <c r="H333" s="824"/>
      <c r="I333" s="824"/>
      <c r="J333" s="824"/>
      <c r="K333" s="824"/>
      <c r="L333" s="824"/>
      <c r="M333" s="824"/>
      <c r="N333" s="824"/>
      <c r="O333" s="824"/>
      <c r="P333" s="824"/>
      <c r="Q333" s="824"/>
      <c r="R333" s="824"/>
      <c r="S333" s="824"/>
      <c r="T333" s="824"/>
      <c r="U333" s="824"/>
      <c r="V333" s="824"/>
      <c r="W333" s="824"/>
      <c r="X333" s="824"/>
      <c r="Y333" s="824"/>
      <c r="Z333" s="824"/>
      <c r="AA333" s="824"/>
      <c r="AB333" s="824"/>
      <c r="AC333" s="824"/>
      <c r="AD333" s="824"/>
      <c r="AE333" s="824"/>
      <c r="AF333" s="824"/>
      <c r="AG333" s="824"/>
      <c r="AH333" s="824"/>
      <c r="AI333" s="824"/>
      <c r="AJ333" s="824"/>
      <c r="AK333" s="824"/>
      <c r="AL333" s="824"/>
      <c r="AM333" s="824"/>
      <c r="AN333" s="824"/>
      <c r="AO333" s="824"/>
      <c r="AP333" s="824"/>
      <c r="AQ333" s="824"/>
      <c r="AR333" s="824"/>
      <c r="AS333" s="824"/>
      <c r="AT333" s="824"/>
      <c r="AU333" s="166"/>
      <c r="AV333" s="166"/>
      <c r="AW333" s="166"/>
      <c r="AX333" s="166"/>
      <c r="AY333" s="166"/>
      <c r="AZ333" s="166"/>
      <c r="BA333" s="166"/>
      <c r="BB333" s="166"/>
      <c r="BC333" s="166"/>
      <c r="BD333" s="166"/>
      <c r="BE333" s="166"/>
      <c r="BF333" s="166"/>
      <c r="BG333" s="166"/>
      <c r="BH333" s="166"/>
      <c r="BI333" s="166"/>
      <c r="BJ333" s="166"/>
      <c r="BK333" s="166"/>
      <c r="BL333" s="166"/>
      <c r="BM333" s="166"/>
      <c r="BN333" s="166"/>
    </row>
    <row r="334" spans="2:66" ht="14.4" x14ac:dyDescent="0.25">
      <c r="B334" s="835" t="s">
        <v>397</v>
      </c>
      <c r="C334" s="818"/>
      <c r="D334" s="818"/>
      <c r="E334" s="818"/>
      <c r="F334" s="818"/>
      <c r="G334" s="818"/>
      <c r="H334" s="818"/>
      <c r="I334" s="818"/>
      <c r="J334" s="818"/>
      <c r="K334" s="818"/>
      <c r="L334" s="818"/>
      <c r="M334" s="818"/>
      <c r="N334" s="818"/>
      <c r="O334" s="818"/>
      <c r="P334" s="818"/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  <c r="AA334" s="818"/>
      <c r="AB334" s="818"/>
      <c r="AC334" s="818"/>
      <c r="AD334" s="818"/>
      <c r="AE334" s="818"/>
      <c r="AF334" s="818"/>
      <c r="AG334" s="818"/>
      <c r="AH334" s="818"/>
      <c r="AI334" s="818"/>
      <c r="AJ334" s="818"/>
      <c r="AK334" s="818"/>
      <c r="AL334" s="818"/>
      <c r="AM334" s="818"/>
      <c r="AN334" s="818"/>
      <c r="AO334" s="818"/>
      <c r="AP334" s="818"/>
      <c r="AQ334" s="818"/>
      <c r="AR334" s="818"/>
      <c r="AS334" s="818"/>
      <c r="AT334" s="819"/>
      <c r="AU334" s="166"/>
      <c r="AV334" s="166"/>
      <c r="AW334" s="166"/>
      <c r="AX334" s="166"/>
      <c r="AY334" s="166"/>
      <c r="AZ334" s="166"/>
      <c r="BA334" s="166"/>
      <c r="BB334" s="166"/>
      <c r="BC334" s="166"/>
      <c r="BD334" s="166"/>
      <c r="BE334" s="166"/>
      <c r="BF334" s="166"/>
      <c r="BG334" s="166"/>
      <c r="BH334" s="166"/>
      <c r="BI334" s="166"/>
      <c r="BJ334" s="166"/>
      <c r="BK334" s="166"/>
      <c r="BL334" s="166"/>
      <c r="BM334" s="166"/>
      <c r="BN334" s="166"/>
    </row>
    <row r="335" spans="2:66" x14ac:dyDescent="0.25">
      <c r="B335" s="836" t="s">
        <v>442</v>
      </c>
      <c r="C335" s="268">
        <v>0</v>
      </c>
      <c r="D335" s="268">
        <v>0</v>
      </c>
      <c r="E335" s="268">
        <v>0</v>
      </c>
      <c r="F335" s="268">
        <v>0</v>
      </c>
      <c r="G335" s="178">
        <f>G332</f>
        <v>3233617.4308554912</v>
      </c>
      <c r="H335" s="178">
        <f t="shared" ref="H335:AT335" si="946">H332</f>
        <v>5239659.0733771902</v>
      </c>
      <c r="I335" s="178">
        <f t="shared" si="946"/>
        <v>5637884.5025512222</v>
      </c>
      <c r="J335" s="178">
        <f t="shared" si="946"/>
        <v>5654010.5671716267</v>
      </c>
      <c r="K335" s="178">
        <f t="shared" si="946"/>
        <v>540012.31855377927</v>
      </c>
      <c r="L335" s="178">
        <f t="shared" si="946"/>
        <v>6048557.8870735839</v>
      </c>
      <c r="M335" s="178">
        <f t="shared" si="946"/>
        <v>6449377.5799294896</v>
      </c>
      <c r="N335" s="178">
        <f t="shared" si="946"/>
        <v>6414812.3816516474</v>
      </c>
      <c r="O335" s="178">
        <f t="shared" si="946"/>
        <v>6784530.554547362</v>
      </c>
      <c r="P335" s="178">
        <f t="shared" si="946"/>
        <v>712922.8895797357</v>
      </c>
      <c r="Q335" s="178">
        <f t="shared" si="946"/>
        <v>7135794.6206587311</v>
      </c>
      <c r="R335" s="178">
        <f t="shared" si="946"/>
        <v>7096724.7930886904</v>
      </c>
      <c r="S335" s="178">
        <f t="shared" si="946"/>
        <v>7451000.5082916524</v>
      </c>
      <c r="T335" s="178">
        <f t="shared" si="946"/>
        <v>7356572.6928837337</v>
      </c>
      <c r="U335" s="178">
        <f t="shared" si="946"/>
        <v>1093699.0501085073</v>
      </c>
      <c r="V335" s="178">
        <f t="shared" si="946"/>
        <v>7625325.158245272</v>
      </c>
      <c r="W335" s="178">
        <f t="shared" si="946"/>
        <v>8007410.1335256882</v>
      </c>
      <c r="X335" s="178">
        <f t="shared" si="946"/>
        <v>7992439.767960337</v>
      </c>
      <c r="Y335" s="178">
        <f t="shared" si="946"/>
        <v>8485610.8100625612</v>
      </c>
      <c r="Z335" s="178">
        <f t="shared" si="946"/>
        <v>1183405.7473187391</v>
      </c>
      <c r="AA335" s="178">
        <f t="shared" si="946"/>
        <v>8988797.550951723</v>
      </c>
      <c r="AB335" s="178">
        <f t="shared" si="946"/>
        <v>8970418.6493551135</v>
      </c>
      <c r="AC335" s="178">
        <f t="shared" si="946"/>
        <v>9414087.3353914656</v>
      </c>
      <c r="AD335" s="178">
        <f t="shared" si="946"/>
        <v>9289720.7046823334</v>
      </c>
      <c r="AE335" s="178">
        <f t="shared" si="946"/>
        <v>1745074.3993556537</v>
      </c>
      <c r="AF335" s="178">
        <f t="shared" si="946"/>
        <v>9619511.8314181119</v>
      </c>
      <c r="AG335" s="178">
        <f t="shared" si="946"/>
        <v>10097260.485568594</v>
      </c>
      <c r="AH335" s="178">
        <f t="shared" si="946"/>
        <v>9960080.4160529822</v>
      </c>
      <c r="AI335" s="178">
        <f t="shared" si="946"/>
        <v>10455803.928049639</v>
      </c>
      <c r="AJ335" s="178">
        <f t="shared" si="946"/>
        <v>1516161.2089149803</v>
      </c>
      <c r="AK335" s="178">
        <f t="shared" si="946"/>
        <v>10826068.90044516</v>
      </c>
      <c r="AL335" s="178">
        <f t="shared" si="946"/>
        <v>10674723.27666082</v>
      </c>
      <c r="AM335" s="178">
        <f t="shared" si="946"/>
        <v>11208373.653887741</v>
      </c>
      <c r="AN335" s="178">
        <f t="shared" si="946"/>
        <v>11049393.245219942</v>
      </c>
      <c r="AO335" s="178">
        <f t="shared" si="946"/>
        <v>1938909.0165863559</v>
      </c>
      <c r="AP335" s="178">
        <f t="shared" si="946"/>
        <v>11436031.402383294</v>
      </c>
      <c r="AQ335" s="178">
        <f t="shared" si="946"/>
        <v>12010395.590685984</v>
      </c>
      <c r="AR335" s="178">
        <f t="shared" si="946"/>
        <v>11834943.084897835</v>
      </c>
      <c r="AS335" s="178">
        <f t="shared" si="946"/>
        <v>12430768.315081092</v>
      </c>
      <c r="AT335" s="265">
        <f t="shared" si="946"/>
        <v>1627954.2316333093</v>
      </c>
      <c r="AU335" s="166"/>
      <c r="AV335" s="166"/>
      <c r="AW335" s="166"/>
      <c r="AX335" s="166"/>
      <c r="AY335" s="166"/>
      <c r="AZ335" s="166"/>
      <c r="BA335" s="166"/>
      <c r="BB335" s="166"/>
      <c r="BC335" s="166"/>
      <c r="BD335" s="166"/>
      <c r="BE335" s="166"/>
      <c r="BF335" s="166"/>
      <c r="BG335" s="166"/>
      <c r="BH335" s="166"/>
      <c r="BI335" s="166"/>
      <c r="BJ335" s="166"/>
      <c r="BK335" s="166"/>
      <c r="BL335" s="166"/>
      <c r="BM335" s="166"/>
      <c r="BN335" s="166"/>
    </row>
    <row r="336" spans="2:66" x14ac:dyDescent="0.25">
      <c r="B336" s="836" t="s">
        <v>440</v>
      </c>
      <c r="C336" s="268">
        <v>0</v>
      </c>
      <c r="D336" s="268">
        <v>0</v>
      </c>
      <c r="E336" s="268">
        <v>0</v>
      </c>
      <c r="F336" s="268">
        <v>0</v>
      </c>
      <c r="G336" s="178">
        <f>IF(G335&gt;0,-$C$23*G335,0)</f>
        <v>0</v>
      </c>
      <c r="H336" s="178">
        <f t="shared" ref="H336" si="947">IF(H335&gt;0,-$C$23*H335,0)</f>
        <v>0</v>
      </c>
      <c r="I336" s="178">
        <f t="shared" ref="I336" si="948">IF(I335&gt;0,-$C$23*I335,0)</f>
        <v>0</v>
      </c>
      <c r="J336" s="178">
        <f t="shared" ref="J336" si="949">IF(J335&gt;0,-$C$23*J335,0)</f>
        <v>0</v>
      </c>
      <c r="K336" s="178">
        <f t="shared" ref="K336" si="950">IF(K335&gt;0,-$C$23*K335,0)</f>
        <v>0</v>
      </c>
      <c r="L336" s="178">
        <f t="shared" ref="L336" si="951">IF(L335&gt;0,-$C$23*L335,0)</f>
        <v>0</v>
      </c>
      <c r="M336" s="178">
        <f t="shared" ref="M336" si="952">IF(M335&gt;0,-$C$23*M335,0)</f>
        <v>0</v>
      </c>
      <c r="N336" s="178">
        <f t="shared" ref="N336" si="953">IF(N335&gt;0,-$C$23*N335,0)</f>
        <v>0</v>
      </c>
      <c r="O336" s="178">
        <f t="shared" ref="O336" si="954">IF(O335&gt;0,-$C$23*O335,0)</f>
        <v>0</v>
      </c>
      <c r="P336" s="178">
        <f t="shared" ref="P336" si="955">IF(P335&gt;0,-$C$23*P335,0)</f>
        <v>0</v>
      </c>
      <c r="Q336" s="178">
        <f t="shared" ref="Q336" si="956">IF(Q335&gt;0,-$C$23*Q335,0)</f>
        <v>0</v>
      </c>
      <c r="R336" s="178">
        <f t="shared" ref="R336" si="957">IF(R335&gt;0,-$C$23*R335,0)</f>
        <v>0</v>
      </c>
      <c r="S336" s="178">
        <f t="shared" ref="S336" si="958">IF(S335&gt;0,-$C$23*S335,0)</f>
        <v>0</v>
      </c>
      <c r="T336" s="178">
        <f t="shared" ref="T336" si="959">IF(T335&gt;0,-$C$23*T335,0)</f>
        <v>0</v>
      </c>
      <c r="U336" s="178">
        <f t="shared" ref="U336" si="960">IF(U335&gt;0,-$C$23*U335,0)</f>
        <v>0</v>
      </c>
      <c r="V336" s="178">
        <f t="shared" ref="V336" si="961">IF(V335&gt;0,-$C$23*V335,0)</f>
        <v>0</v>
      </c>
      <c r="W336" s="178">
        <f t="shared" ref="W336" si="962">IF(W335&gt;0,-$C$23*W335,0)</f>
        <v>0</v>
      </c>
      <c r="X336" s="178">
        <f t="shared" ref="X336" si="963">IF(X335&gt;0,-$C$23*X335,0)</f>
        <v>0</v>
      </c>
      <c r="Y336" s="178">
        <f t="shared" ref="Y336" si="964">IF(Y335&gt;0,-$C$23*Y335,0)</f>
        <v>0</v>
      </c>
      <c r="Z336" s="178">
        <f t="shared" ref="Z336" si="965">IF(Z335&gt;0,-$C$23*Z335,0)</f>
        <v>0</v>
      </c>
      <c r="AA336" s="178">
        <f t="shared" ref="AA336" si="966">IF(AA335&gt;0,-$C$23*AA335,0)</f>
        <v>0</v>
      </c>
      <c r="AB336" s="178">
        <f t="shared" ref="AB336" si="967">IF(AB335&gt;0,-$C$23*AB335,0)</f>
        <v>0</v>
      </c>
      <c r="AC336" s="178">
        <f t="shared" ref="AC336" si="968">IF(AC335&gt;0,-$C$23*AC335,0)</f>
        <v>0</v>
      </c>
      <c r="AD336" s="178">
        <f t="shared" ref="AD336" si="969">IF(AD335&gt;0,-$C$23*AD335,0)</f>
        <v>0</v>
      </c>
      <c r="AE336" s="178">
        <f t="shared" ref="AE336" si="970">IF(AE335&gt;0,-$C$23*AE335,0)</f>
        <v>0</v>
      </c>
      <c r="AF336" s="178">
        <f t="shared" ref="AF336" si="971">IF(AF335&gt;0,-$C$23*AF335,0)</f>
        <v>0</v>
      </c>
      <c r="AG336" s="178">
        <f t="shared" ref="AG336" si="972">IF(AG335&gt;0,-$C$23*AG335,0)</f>
        <v>0</v>
      </c>
      <c r="AH336" s="178">
        <f t="shared" ref="AH336" si="973">IF(AH335&gt;0,-$C$23*AH335,0)</f>
        <v>0</v>
      </c>
      <c r="AI336" s="178">
        <f t="shared" ref="AI336" si="974">IF(AI335&gt;0,-$C$23*AI335,0)</f>
        <v>0</v>
      </c>
      <c r="AJ336" s="178">
        <f t="shared" ref="AJ336" si="975">IF(AJ335&gt;0,-$C$23*AJ335,0)</f>
        <v>0</v>
      </c>
      <c r="AK336" s="178">
        <f t="shared" ref="AK336" si="976">IF(AK335&gt;0,-$C$23*AK335,0)</f>
        <v>0</v>
      </c>
      <c r="AL336" s="178">
        <f t="shared" ref="AL336" si="977">IF(AL335&gt;0,-$C$23*AL335,0)</f>
        <v>0</v>
      </c>
      <c r="AM336" s="178">
        <f t="shared" ref="AM336" si="978">IF(AM335&gt;0,-$C$23*AM335,0)</f>
        <v>0</v>
      </c>
      <c r="AN336" s="178">
        <f t="shared" ref="AN336" si="979">IF(AN335&gt;0,-$C$23*AN335,0)</f>
        <v>0</v>
      </c>
      <c r="AO336" s="178">
        <f t="shared" ref="AO336" si="980">IF(AO335&gt;0,-$C$23*AO335,0)</f>
        <v>0</v>
      </c>
      <c r="AP336" s="178">
        <f t="shared" ref="AP336" si="981">IF(AP335&gt;0,-$C$23*AP335,0)</f>
        <v>0</v>
      </c>
      <c r="AQ336" s="178">
        <f t="shared" ref="AQ336" si="982">IF(AQ335&gt;0,-$C$23*AQ335,0)</f>
        <v>0</v>
      </c>
      <c r="AR336" s="178">
        <f t="shared" ref="AR336" si="983">IF(AR335&gt;0,-$C$23*AR335,0)</f>
        <v>0</v>
      </c>
      <c r="AS336" s="178">
        <f t="shared" ref="AS336" si="984">IF(AS335&gt;0,-$C$23*AS335,0)</f>
        <v>0</v>
      </c>
      <c r="AT336" s="265">
        <f t="shared" ref="AT336" si="985">IF(AT335&gt;0,-$C$23*AT335,0)</f>
        <v>0</v>
      </c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66"/>
      <c r="BN336" s="166"/>
    </row>
    <row r="337" spans="2:66" ht="14.4" x14ac:dyDescent="0.25">
      <c r="B337" s="840" t="s">
        <v>175</v>
      </c>
      <c r="C337" s="800">
        <v>0</v>
      </c>
      <c r="D337" s="800">
        <v>0</v>
      </c>
      <c r="E337" s="800">
        <v>0</v>
      </c>
      <c r="F337" s="800">
        <v>0</v>
      </c>
      <c r="G337" s="261">
        <f>G319</f>
        <v>-3662844.258584829</v>
      </c>
      <c r="H337" s="261">
        <f t="shared" ref="H337:AT337" si="986">H319</f>
        <v>-3662844.258584829</v>
      </c>
      <c r="I337" s="261">
        <f t="shared" si="986"/>
        <v>-3662844.258584829</v>
      </c>
      <c r="J337" s="261">
        <f t="shared" si="986"/>
        <v>-3662844.258584829</v>
      </c>
      <c r="K337" s="261">
        <f t="shared" si="986"/>
        <v>-3662844.258584829</v>
      </c>
      <c r="L337" s="261">
        <f t="shared" si="986"/>
        <v>-3458479.3385100355</v>
      </c>
      <c r="M337" s="261">
        <f t="shared" si="986"/>
        <v>-3458479.3385100355</v>
      </c>
      <c r="N337" s="261">
        <f t="shared" si="986"/>
        <v>-3458479.3385100355</v>
      </c>
      <c r="O337" s="261">
        <f t="shared" si="986"/>
        <v>-3458479.3385100355</v>
      </c>
      <c r="P337" s="261">
        <f t="shared" si="986"/>
        <v>-3458479.3385100355</v>
      </c>
      <c r="Q337" s="261">
        <f t="shared" si="986"/>
        <v>-2975390.0050588157</v>
      </c>
      <c r="R337" s="261">
        <f t="shared" si="986"/>
        <v>-3593938.4099967871</v>
      </c>
      <c r="S337" s="261">
        <f t="shared" si="986"/>
        <v>-3593938.4099967871</v>
      </c>
      <c r="T337" s="261">
        <f t="shared" si="986"/>
        <v>-3593938.4099967871</v>
      </c>
      <c r="U337" s="261">
        <f t="shared" si="986"/>
        <v>-3593938.4099967871</v>
      </c>
      <c r="V337" s="261">
        <f t="shared" si="986"/>
        <v>-2747877.6604548013</v>
      </c>
      <c r="W337" s="261">
        <f t="shared" si="986"/>
        <v>-2747877.6604548013</v>
      </c>
      <c r="X337" s="261">
        <f t="shared" si="986"/>
        <v>-3923124.2349758497</v>
      </c>
      <c r="Y337" s="261">
        <f t="shared" si="986"/>
        <v>-3923124.2349758497</v>
      </c>
      <c r="Z337" s="261">
        <f t="shared" si="986"/>
        <v>-3923124.2349758497</v>
      </c>
      <c r="AA337" s="261">
        <f t="shared" si="986"/>
        <v>-3923124.2349758497</v>
      </c>
      <c r="AB337" s="261">
        <f t="shared" si="986"/>
        <v>-3923124.2349758497</v>
      </c>
      <c r="AC337" s="261">
        <f t="shared" si="986"/>
        <v>-4072116.8612129036</v>
      </c>
      <c r="AD337" s="261">
        <f t="shared" si="986"/>
        <v>-4072116.8612129036</v>
      </c>
      <c r="AE337" s="261">
        <f t="shared" si="986"/>
        <v>-4072116.8612129036</v>
      </c>
      <c r="AF337" s="261">
        <f t="shared" si="986"/>
        <v>-4072116.8612129036</v>
      </c>
      <c r="AG337" s="261">
        <f t="shared" si="986"/>
        <v>-4072116.8612129036</v>
      </c>
      <c r="AH337" s="261">
        <f t="shared" si="986"/>
        <v>-4072116.8612129036</v>
      </c>
      <c r="AI337" s="261">
        <f t="shared" si="986"/>
        <v>-4072116.8612129036</v>
      </c>
      <c r="AJ337" s="261">
        <f t="shared" si="986"/>
        <v>-4072116.8612129036</v>
      </c>
      <c r="AK337" s="261">
        <f t="shared" si="986"/>
        <v>-4072116.8612129036</v>
      </c>
      <c r="AL337" s="261">
        <f t="shared" si="986"/>
        <v>-4072116.8612129036</v>
      </c>
      <c r="AM337" s="261">
        <f t="shared" si="986"/>
        <v>-2896870.2866918552</v>
      </c>
      <c r="AN337" s="261">
        <f t="shared" si="986"/>
        <v>-2129329.2555168299</v>
      </c>
      <c r="AO337" s="261">
        <f t="shared" si="986"/>
        <v>-4535185.9019710924</v>
      </c>
      <c r="AP337" s="261">
        <f t="shared" si="986"/>
        <v>-4535185.9019710924</v>
      </c>
      <c r="AQ337" s="261">
        <f t="shared" si="986"/>
        <v>-4535185.9019710924</v>
      </c>
      <c r="AR337" s="261">
        <f t="shared" si="986"/>
        <v>-4535185.9019710924</v>
      </c>
      <c r="AS337" s="261">
        <f t="shared" si="986"/>
        <v>-4535185.9019710924</v>
      </c>
      <c r="AT337" s="266">
        <f t="shared" si="986"/>
        <v>-4535185.9019710924</v>
      </c>
      <c r="AU337" s="166"/>
      <c r="AV337" s="166"/>
      <c r="AW337" s="166"/>
      <c r="AX337" s="166"/>
      <c r="AY337" s="166"/>
      <c r="AZ337" s="166"/>
      <c r="BA337" s="166"/>
      <c r="BB337" s="166"/>
      <c r="BC337" s="166"/>
      <c r="BD337" s="166"/>
      <c r="BE337" s="166"/>
      <c r="BF337" s="166"/>
      <c r="BG337" s="166"/>
      <c r="BH337" s="166"/>
      <c r="BI337" s="166"/>
      <c r="BJ337" s="166"/>
      <c r="BK337" s="166"/>
      <c r="BL337" s="166"/>
      <c r="BM337" s="166"/>
      <c r="BN337" s="166"/>
    </row>
    <row r="338" spans="2:66" x14ac:dyDescent="0.25">
      <c r="B338" s="836" t="s">
        <v>444</v>
      </c>
      <c r="C338" s="268">
        <v>0</v>
      </c>
      <c r="D338" s="268">
        <v>0</v>
      </c>
      <c r="E338" s="268">
        <v>0</v>
      </c>
      <c r="F338" s="268">
        <v>0</v>
      </c>
      <c r="G338" s="178">
        <f t="shared" ref="G338" si="987">G335+G336+G337</f>
        <v>-429226.82772933785</v>
      </c>
      <c r="H338" s="178">
        <f t="shared" ref="H338" si="988">H335+H336+H337</f>
        <v>1576814.8147923611</v>
      </c>
      <c r="I338" s="178">
        <f t="shared" ref="I338" si="989">I335+I336+I337</f>
        <v>1975040.2439663932</v>
      </c>
      <c r="J338" s="178">
        <f t="shared" ref="J338" si="990">J335+J336+J337</f>
        <v>1991166.3085867977</v>
      </c>
      <c r="K338" s="178">
        <f t="shared" ref="K338" si="991">K335+K336+K337</f>
        <v>-3122831.9400310498</v>
      </c>
      <c r="L338" s="178">
        <f t="shared" ref="L338" si="992">L335+L336+L337</f>
        <v>2590078.5485635484</v>
      </c>
      <c r="M338" s="178">
        <f t="shared" ref="M338" si="993">M335+M336+M337</f>
        <v>2990898.2414194541</v>
      </c>
      <c r="N338" s="178">
        <f t="shared" ref="N338" si="994">N335+N336+N337</f>
        <v>2956333.0431416119</v>
      </c>
      <c r="O338" s="178">
        <f t="shared" ref="O338" si="995">O335+O336+O337</f>
        <v>3326051.2160373265</v>
      </c>
      <c r="P338" s="178">
        <f t="shared" ref="P338" si="996">P335+P336+P337</f>
        <v>-2745556.4489302998</v>
      </c>
      <c r="Q338" s="178">
        <f t="shared" ref="Q338" si="997">Q335+Q336+Q337</f>
        <v>4160404.6155999154</v>
      </c>
      <c r="R338" s="178">
        <f t="shared" ref="R338" si="998">R335+R336+R337</f>
        <v>3502786.3830919033</v>
      </c>
      <c r="S338" s="178">
        <f t="shared" ref="S338" si="999">S335+S336+S337</f>
        <v>3857062.0982948653</v>
      </c>
      <c r="T338" s="178">
        <f t="shared" ref="T338" si="1000">T335+T336+T337</f>
        <v>3762634.2828869466</v>
      </c>
      <c r="U338" s="178">
        <f t="shared" ref="U338" si="1001">U335+U336+U337</f>
        <v>-2500239.3598882798</v>
      </c>
      <c r="V338" s="178">
        <f t="shared" ref="V338" si="1002">V335+V336+V337</f>
        <v>4877447.4977904707</v>
      </c>
      <c r="W338" s="178">
        <f t="shared" ref="W338" si="1003">W335+W336+W337</f>
        <v>5259532.4730708869</v>
      </c>
      <c r="X338" s="178">
        <f t="shared" ref="X338" si="1004">X335+X336+X337</f>
        <v>4069315.5329844872</v>
      </c>
      <c r="Y338" s="178">
        <f t="shared" ref="Y338" si="1005">Y335+Y336+Y337</f>
        <v>4562486.575086711</v>
      </c>
      <c r="Z338" s="178">
        <f t="shared" ref="Z338" si="1006">Z335+Z336+Z337</f>
        <v>-2739718.4876571107</v>
      </c>
      <c r="AA338" s="178">
        <f t="shared" ref="AA338" si="1007">AA335+AA336+AA337</f>
        <v>5065673.3159758728</v>
      </c>
      <c r="AB338" s="178">
        <f t="shared" ref="AB338" si="1008">AB335+AB336+AB337</f>
        <v>5047294.4143792633</v>
      </c>
      <c r="AC338" s="178">
        <f t="shared" ref="AC338" si="1009">AC335+AC336+AC337</f>
        <v>5341970.4741785619</v>
      </c>
      <c r="AD338" s="178">
        <f t="shared" ref="AD338" si="1010">AD335+AD336+AD337</f>
        <v>5217603.8434694298</v>
      </c>
      <c r="AE338" s="178">
        <f t="shared" ref="AE338" si="1011">AE335+AE336+AE337</f>
        <v>-2327042.46185725</v>
      </c>
      <c r="AF338" s="178">
        <f t="shared" ref="AF338" si="1012">AF335+AF336+AF337</f>
        <v>5547394.9702052083</v>
      </c>
      <c r="AG338" s="178">
        <f t="shared" ref="AG338" si="1013">AG335+AG336+AG337</f>
        <v>6025143.6243556906</v>
      </c>
      <c r="AH338" s="178">
        <f t="shared" ref="AH338" si="1014">AH335+AH336+AH337</f>
        <v>5887963.5548400786</v>
      </c>
      <c r="AI338" s="178">
        <f t="shared" ref="AI338" si="1015">AI335+AI336+AI337</f>
        <v>6383687.0668367352</v>
      </c>
      <c r="AJ338" s="178">
        <f t="shared" ref="AJ338" si="1016">AJ335+AJ336+AJ337</f>
        <v>-2555955.6522979233</v>
      </c>
      <c r="AK338" s="178">
        <f t="shared" ref="AK338" si="1017">AK335+AK336+AK337</f>
        <v>6753952.0392322559</v>
      </c>
      <c r="AL338" s="178">
        <f t="shared" ref="AL338" si="1018">AL335+AL336+AL337</f>
        <v>6602606.4154479168</v>
      </c>
      <c r="AM338" s="178">
        <f t="shared" ref="AM338" si="1019">AM335+AM336+AM337</f>
        <v>8311503.3671958856</v>
      </c>
      <c r="AN338" s="178">
        <f t="shared" ref="AN338" si="1020">AN335+AN336+AN337</f>
        <v>8920063.9897031114</v>
      </c>
      <c r="AO338" s="178">
        <f t="shared" ref="AO338" si="1021">AO335+AO336+AO337</f>
        <v>-2596276.8853847366</v>
      </c>
      <c r="AP338" s="178">
        <f t="shared" ref="AP338" si="1022">AP335+AP336+AP337</f>
        <v>6900845.5004122015</v>
      </c>
      <c r="AQ338" s="178">
        <f t="shared" ref="AQ338" si="1023">AQ335+AQ336+AQ337</f>
        <v>7475209.6887148917</v>
      </c>
      <c r="AR338" s="178">
        <f t="shared" ref="AR338" si="1024">AR335+AR336+AR337</f>
        <v>7299757.1829267424</v>
      </c>
      <c r="AS338" s="178">
        <f t="shared" ref="AS338" si="1025">AS335+AS336+AS337</f>
        <v>7895582.4131099992</v>
      </c>
      <c r="AT338" s="265">
        <f t="shared" ref="AT338" si="1026">AT335+AT336+AT337</f>
        <v>-2907231.6703377832</v>
      </c>
      <c r="AU338" s="166"/>
      <c r="AV338" s="166"/>
      <c r="AW338" s="166"/>
      <c r="AX338" s="166"/>
      <c r="AY338" s="166"/>
      <c r="AZ338" s="166"/>
      <c r="BA338" s="166"/>
      <c r="BB338" s="166"/>
      <c r="BC338" s="166"/>
      <c r="BD338" s="166"/>
      <c r="BE338" s="166"/>
      <c r="BF338" s="166"/>
      <c r="BG338" s="166"/>
      <c r="BH338" s="166"/>
      <c r="BI338" s="166"/>
      <c r="BJ338" s="166"/>
      <c r="BK338" s="166"/>
      <c r="BL338" s="166"/>
      <c r="BM338" s="166"/>
      <c r="BN338" s="166"/>
    </row>
    <row r="339" spans="2:66" x14ac:dyDescent="0.25">
      <c r="B339" s="836" t="s">
        <v>443</v>
      </c>
      <c r="C339" s="268">
        <v>0</v>
      </c>
      <c r="D339" s="268">
        <v>0</v>
      </c>
      <c r="E339" s="268">
        <v>0</v>
      </c>
      <c r="F339" s="268">
        <v>0</v>
      </c>
      <c r="G339" s="178">
        <f>IF(G338&gt;0,-$C$24*G338,0)</f>
        <v>0</v>
      </c>
      <c r="H339" s="178">
        <f t="shared" ref="H339" si="1027">IF(H338&gt;0,-$C$24*H338,0)</f>
        <v>-551885.18517732632</v>
      </c>
      <c r="I339" s="178">
        <f t="shared" ref="I339" si="1028">IF(I338&gt;0,-$C$24*I338,0)</f>
        <v>-691264.08538823761</v>
      </c>
      <c r="J339" s="178">
        <f t="shared" ref="J339" si="1029">IF(J338&gt;0,-$C$24*J338,0)</f>
        <v>-696908.20800537919</v>
      </c>
      <c r="K339" s="178">
        <f t="shared" ref="K339" si="1030">IF(K338&gt;0,-$C$24*K338,0)</f>
        <v>0</v>
      </c>
      <c r="L339" s="178">
        <f t="shared" ref="L339" si="1031">IF(L338&gt;0,-$C$24*L338,0)</f>
        <v>-906527.49199724186</v>
      </c>
      <c r="M339" s="178">
        <f t="shared" ref="M339" si="1032">IF(M338&gt;0,-$C$24*M338,0)</f>
        <v>-1046814.3844968089</v>
      </c>
      <c r="N339" s="178">
        <f t="shared" ref="N339" si="1033">IF(N338&gt;0,-$C$24*N338,0)</f>
        <v>-1034716.565099564</v>
      </c>
      <c r="O339" s="178">
        <f t="shared" ref="O339" si="1034">IF(O338&gt;0,-$C$24*O338,0)</f>
        <v>-1164117.9256130641</v>
      </c>
      <c r="P339" s="178">
        <f t="shared" ref="P339" si="1035">IF(P338&gt;0,-$C$24*P338,0)</f>
        <v>0</v>
      </c>
      <c r="Q339" s="178">
        <f t="shared" ref="Q339" si="1036">IF(Q338&gt;0,-$C$24*Q338,0)</f>
        <v>-1456141.6154599702</v>
      </c>
      <c r="R339" s="178">
        <f t="shared" ref="R339" si="1037">IF(R338&gt;0,-$C$24*R338,0)</f>
        <v>-1225975.2340821661</v>
      </c>
      <c r="S339" s="178">
        <f t="shared" ref="S339" si="1038">IF(S338&gt;0,-$C$24*S338,0)</f>
        <v>-1349971.7344032028</v>
      </c>
      <c r="T339" s="178">
        <f t="shared" ref="T339" si="1039">IF(T338&gt;0,-$C$24*T338,0)</f>
        <v>-1316921.9990104311</v>
      </c>
      <c r="U339" s="178">
        <f t="shared" ref="U339" si="1040">IF(U338&gt;0,-$C$24*U338,0)</f>
        <v>0</v>
      </c>
      <c r="V339" s="178">
        <f t="shared" ref="V339" si="1041">IF(V338&gt;0,-$C$24*V338,0)</f>
        <v>-1707106.6242266647</v>
      </c>
      <c r="W339" s="178">
        <f t="shared" ref="W339" si="1042">IF(W338&gt;0,-$C$24*W338,0)</f>
        <v>-1840836.3655748102</v>
      </c>
      <c r="X339" s="178">
        <f t="shared" ref="X339" si="1043">IF(X338&gt;0,-$C$24*X338,0)</f>
        <v>-1424260.4365445704</v>
      </c>
      <c r="Y339" s="178">
        <f t="shared" ref="Y339" si="1044">IF(Y338&gt;0,-$C$24*Y338,0)</f>
        <v>-1596870.3012803488</v>
      </c>
      <c r="Z339" s="178">
        <f t="shared" ref="Z339" si="1045">IF(Z338&gt;0,-$C$24*Z338,0)</f>
        <v>0</v>
      </c>
      <c r="AA339" s="178">
        <f t="shared" ref="AA339" si="1046">IF(AA338&gt;0,-$C$24*AA338,0)</f>
        <v>-1772985.6605915553</v>
      </c>
      <c r="AB339" s="178">
        <f t="shared" ref="AB339" si="1047">IF(AB338&gt;0,-$C$24*AB338,0)</f>
        <v>-1766553.045032742</v>
      </c>
      <c r="AC339" s="178">
        <f t="shared" ref="AC339" si="1048">IF(AC338&gt;0,-$C$24*AC338,0)</f>
        <v>-1869689.6659624965</v>
      </c>
      <c r="AD339" s="178">
        <f t="shared" ref="AD339" si="1049">IF(AD338&gt;0,-$C$24*AD338,0)</f>
        <v>-1826161.3452143003</v>
      </c>
      <c r="AE339" s="178">
        <f t="shared" ref="AE339" si="1050">IF(AE338&gt;0,-$C$24*AE338,0)</f>
        <v>0</v>
      </c>
      <c r="AF339" s="178">
        <f t="shared" ref="AF339" si="1051">IF(AF338&gt;0,-$C$24*AF338,0)</f>
        <v>-1941588.2395718228</v>
      </c>
      <c r="AG339" s="178">
        <f t="shared" ref="AG339" si="1052">IF(AG338&gt;0,-$C$24*AG338,0)</f>
        <v>-2108800.2685244917</v>
      </c>
      <c r="AH339" s="178">
        <f t="shared" ref="AH339" si="1053">IF(AH338&gt;0,-$C$24*AH338,0)</f>
        <v>-2060787.2441940273</v>
      </c>
      <c r="AI339" s="178">
        <f t="shared" ref="AI339" si="1054">IF(AI338&gt;0,-$C$24*AI338,0)</f>
        <v>-2234290.4733928572</v>
      </c>
      <c r="AJ339" s="178">
        <f t="shared" ref="AJ339" si="1055">IF(AJ338&gt;0,-$C$24*AJ338,0)</f>
        <v>0</v>
      </c>
      <c r="AK339" s="178">
        <f t="shared" ref="AK339" si="1056">IF(AK338&gt;0,-$C$24*AK338,0)</f>
        <v>-2363883.2137312894</v>
      </c>
      <c r="AL339" s="178">
        <f t="shared" ref="AL339" si="1057">IF(AL338&gt;0,-$C$24*AL338,0)</f>
        <v>-2310912.2454067706</v>
      </c>
      <c r="AM339" s="178">
        <f t="shared" ref="AM339" si="1058">IF(AM338&gt;0,-$C$24*AM338,0)</f>
        <v>-2909026.1785185598</v>
      </c>
      <c r="AN339" s="178">
        <f t="shared" ref="AN339" si="1059">IF(AN338&gt;0,-$C$24*AN338,0)</f>
        <v>-3122022.3963960889</v>
      </c>
      <c r="AO339" s="178">
        <f t="shared" ref="AO339" si="1060">IF(AO338&gt;0,-$C$24*AO338,0)</f>
        <v>0</v>
      </c>
      <c r="AP339" s="178">
        <f t="shared" ref="AP339" si="1061">IF(AP338&gt;0,-$C$24*AP338,0)</f>
        <v>-2415295.9251442705</v>
      </c>
      <c r="AQ339" s="178">
        <f t="shared" ref="AQ339" si="1062">IF(AQ338&gt;0,-$C$24*AQ338,0)</f>
        <v>-2616323.3910502121</v>
      </c>
      <c r="AR339" s="178">
        <f t="shared" ref="AR339" si="1063">IF(AR338&gt;0,-$C$24*AR338,0)</f>
        <v>-2554915.0140243596</v>
      </c>
      <c r="AS339" s="178">
        <f t="shared" ref="AS339" si="1064">IF(AS338&gt;0,-$C$24*AS338,0)</f>
        <v>-2763453.8445884995</v>
      </c>
      <c r="AT339" s="265">
        <f t="shared" ref="AT339" si="1065">IF(AT338&gt;0,-$C$24*AT338,0)</f>
        <v>0</v>
      </c>
      <c r="AU339" s="166"/>
      <c r="AV339" s="166"/>
      <c r="AW339" s="166"/>
      <c r="AX339" s="166"/>
      <c r="AY339" s="166"/>
      <c r="AZ339" s="166"/>
      <c r="BA339" s="166"/>
      <c r="BB339" s="166"/>
      <c r="BC339" s="166"/>
      <c r="BD339" s="166"/>
      <c r="BE339" s="166"/>
      <c r="BF339" s="166"/>
      <c r="BG339" s="166"/>
      <c r="BH339" s="166"/>
      <c r="BI339" s="166"/>
      <c r="BJ339" s="166"/>
      <c r="BK339" s="166"/>
      <c r="BL339" s="166"/>
      <c r="BM339" s="166"/>
      <c r="BN339" s="166"/>
    </row>
    <row r="340" spans="2:66" ht="14.4" x14ac:dyDescent="0.25">
      <c r="B340" s="841" t="s">
        <v>445</v>
      </c>
      <c r="C340" s="801">
        <v>0</v>
      </c>
      <c r="D340" s="801">
        <v>0</v>
      </c>
      <c r="E340" s="801">
        <v>0</v>
      </c>
      <c r="F340" s="801">
        <v>0</v>
      </c>
      <c r="G340" s="262">
        <f>G338+G339</f>
        <v>-429226.82772933785</v>
      </c>
      <c r="H340" s="262">
        <f t="shared" ref="H340" si="1066">H338+H339</f>
        <v>1024929.6296150348</v>
      </c>
      <c r="I340" s="262">
        <f t="shared" ref="I340" si="1067">I338+I339</f>
        <v>1283776.1585781556</v>
      </c>
      <c r="J340" s="262">
        <f t="shared" ref="J340" si="1068">J338+J339</f>
        <v>1294258.1005814185</v>
      </c>
      <c r="K340" s="262">
        <f t="shared" ref="K340" si="1069">K338+K339</f>
        <v>-3122831.9400310498</v>
      </c>
      <c r="L340" s="262">
        <f t="shared" ref="L340" si="1070">L338+L339</f>
        <v>1683551.0565663064</v>
      </c>
      <c r="M340" s="262">
        <f t="shared" ref="M340" si="1071">M338+M339</f>
        <v>1944083.8569226451</v>
      </c>
      <c r="N340" s="262">
        <f t="shared" ref="N340" si="1072">N338+N339</f>
        <v>1921616.4780420479</v>
      </c>
      <c r="O340" s="262">
        <f t="shared" ref="O340" si="1073">O338+O339</f>
        <v>2161933.2904242622</v>
      </c>
      <c r="P340" s="262">
        <f t="shared" ref="P340" si="1074">P338+P339</f>
        <v>-2745556.4489302998</v>
      </c>
      <c r="Q340" s="262">
        <f t="shared" ref="Q340" si="1075">Q338+Q339</f>
        <v>2704263.0001399452</v>
      </c>
      <c r="R340" s="262">
        <f t="shared" ref="R340" si="1076">R338+R339</f>
        <v>2276811.1490097372</v>
      </c>
      <c r="S340" s="262">
        <f t="shared" ref="S340" si="1077">S338+S339</f>
        <v>2507090.3638916626</v>
      </c>
      <c r="T340" s="262">
        <f t="shared" ref="T340" si="1078">T338+T339</f>
        <v>2445712.2838765155</v>
      </c>
      <c r="U340" s="262">
        <f t="shared" ref="U340" si="1079">U338+U339</f>
        <v>-2500239.3598882798</v>
      </c>
      <c r="V340" s="262">
        <f t="shared" ref="V340" si="1080">V338+V339</f>
        <v>3170340.8735638061</v>
      </c>
      <c r="W340" s="262">
        <f t="shared" ref="W340" si="1081">W338+W339</f>
        <v>3418696.1074960767</v>
      </c>
      <c r="X340" s="262">
        <f t="shared" ref="X340" si="1082">X338+X339</f>
        <v>2645055.0964399166</v>
      </c>
      <c r="Y340" s="262">
        <f t="shared" ref="Y340" si="1083">Y338+Y339</f>
        <v>2965616.2738063624</v>
      </c>
      <c r="Z340" s="262">
        <f t="shared" ref="Z340" si="1084">Z338+Z339</f>
        <v>-2739718.4876571107</v>
      </c>
      <c r="AA340" s="262">
        <f t="shared" ref="AA340" si="1085">AA338+AA339</f>
        <v>3292687.6553843175</v>
      </c>
      <c r="AB340" s="262">
        <f t="shared" ref="AB340" si="1086">AB338+AB339</f>
        <v>3280741.3693465213</v>
      </c>
      <c r="AC340" s="262">
        <f t="shared" ref="AC340" si="1087">AC338+AC339</f>
        <v>3472280.8082160652</v>
      </c>
      <c r="AD340" s="262">
        <f t="shared" ref="AD340" si="1088">AD338+AD339</f>
        <v>3391442.4982551294</v>
      </c>
      <c r="AE340" s="262">
        <f t="shared" ref="AE340" si="1089">AE338+AE339</f>
        <v>-2327042.46185725</v>
      </c>
      <c r="AF340" s="262">
        <f t="shared" ref="AF340" si="1090">AF338+AF339</f>
        <v>3605806.7306333855</v>
      </c>
      <c r="AG340" s="262">
        <f t="shared" ref="AG340" si="1091">AG338+AG339</f>
        <v>3916343.3558311989</v>
      </c>
      <c r="AH340" s="262">
        <f t="shared" ref="AH340" si="1092">AH338+AH339</f>
        <v>3827176.3106460515</v>
      </c>
      <c r="AI340" s="262">
        <f t="shared" ref="AI340" si="1093">AI338+AI339</f>
        <v>4149396.593443878</v>
      </c>
      <c r="AJ340" s="262">
        <f t="shared" ref="AJ340" si="1094">AJ338+AJ339</f>
        <v>-2555955.6522979233</v>
      </c>
      <c r="AK340" s="262">
        <f t="shared" ref="AK340" si="1095">AK338+AK339</f>
        <v>4390068.825500967</v>
      </c>
      <c r="AL340" s="262">
        <f t="shared" ref="AL340" si="1096">AL338+AL339</f>
        <v>4291694.1700411458</v>
      </c>
      <c r="AM340" s="262">
        <f t="shared" ref="AM340" si="1097">AM338+AM339</f>
        <v>5402477.1886773258</v>
      </c>
      <c r="AN340" s="262">
        <f t="shared" ref="AN340" si="1098">AN338+AN339</f>
        <v>5798041.593307022</v>
      </c>
      <c r="AO340" s="262">
        <f t="shared" ref="AO340" si="1099">AO338+AO339</f>
        <v>-2596276.8853847366</v>
      </c>
      <c r="AP340" s="262">
        <f t="shared" ref="AP340" si="1100">AP338+AP339</f>
        <v>4485549.5752679314</v>
      </c>
      <c r="AQ340" s="262">
        <f t="shared" ref="AQ340" si="1101">AQ338+AQ339</f>
        <v>4858886.2976646796</v>
      </c>
      <c r="AR340" s="262">
        <f t="shared" ref="AR340" si="1102">AR338+AR339</f>
        <v>4744842.1689023823</v>
      </c>
      <c r="AS340" s="262">
        <f t="shared" ref="AS340" si="1103">AS338+AS339</f>
        <v>5132128.5685214996</v>
      </c>
      <c r="AT340" s="267">
        <f t="shared" ref="AT340" si="1104">AT338+AT339</f>
        <v>-2907231.6703377832</v>
      </c>
      <c r="AU340" s="166"/>
      <c r="AV340" s="166"/>
      <c r="AW340" s="166"/>
      <c r="AX340" s="166"/>
      <c r="AY340" s="166"/>
      <c r="AZ340" s="166"/>
      <c r="BA340" s="166"/>
      <c r="BB340" s="166"/>
      <c r="BC340" s="166"/>
      <c r="BD340" s="166"/>
      <c r="BE340" s="166"/>
      <c r="BF340" s="166"/>
      <c r="BG340" s="166"/>
      <c r="BH340" s="166"/>
      <c r="BI340" s="166"/>
      <c r="BJ340" s="166"/>
      <c r="BK340" s="166"/>
      <c r="BL340" s="166"/>
      <c r="BM340" s="166"/>
      <c r="BN340" s="166"/>
    </row>
    <row r="341" spans="2:66" x14ac:dyDescent="0.25">
      <c r="B341" s="836" t="s">
        <v>446</v>
      </c>
      <c r="C341" s="268">
        <v>0</v>
      </c>
      <c r="D341" s="268">
        <v>0</v>
      </c>
      <c r="E341" s="268">
        <v>0</v>
      </c>
      <c r="F341" s="268">
        <v>0</v>
      </c>
      <c r="G341" s="178">
        <f>-G337</f>
        <v>3662844.258584829</v>
      </c>
      <c r="H341" s="178">
        <f t="shared" ref="H341:AT341" si="1105">-H337</f>
        <v>3662844.258584829</v>
      </c>
      <c r="I341" s="178">
        <f t="shared" si="1105"/>
        <v>3662844.258584829</v>
      </c>
      <c r="J341" s="178">
        <f t="shared" si="1105"/>
        <v>3662844.258584829</v>
      </c>
      <c r="K341" s="178">
        <f t="shared" si="1105"/>
        <v>3662844.258584829</v>
      </c>
      <c r="L341" s="178">
        <f t="shared" si="1105"/>
        <v>3458479.3385100355</v>
      </c>
      <c r="M341" s="178">
        <f t="shared" si="1105"/>
        <v>3458479.3385100355</v>
      </c>
      <c r="N341" s="178">
        <f t="shared" si="1105"/>
        <v>3458479.3385100355</v>
      </c>
      <c r="O341" s="178">
        <f t="shared" si="1105"/>
        <v>3458479.3385100355</v>
      </c>
      <c r="P341" s="178">
        <f t="shared" si="1105"/>
        <v>3458479.3385100355</v>
      </c>
      <c r="Q341" s="178">
        <f t="shared" si="1105"/>
        <v>2975390.0050588157</v>
      </c>
      <c r="R341" s="178">
        <f t="shared" si="1105"/>
        <v>3593938.4099967871</v>
      </c>
      <c r="S341" s="178">
        <f t="shared" si="1105"/>
        <v>3593938.4099967871</v>
      </c>
      <c r="T341" s="178">
        <f t="shared" si="1105"/>
        <v>3593938.4099967871</v>
      </c>
      <c r="U341" s="178">
        <f t="shared" si="1105"/>
        <v>3593938.4099967871</v>
      </c>
      <c r="V341" s="178">
        <f t="shared" si="1105"/>
        <v>2747877.6604548013</v>
      </c>
      <c r="W341" s="178">
        <f t="shared" si="1105"/>
        <v>2747877.6604548013</v>
      </c>
      <c r="X341" s="178">
        <f t="shared" si="1105"/>
        <v>3923124.2349758497</v>
      </c>
      <c r="Y341" s="178">
        <f t="shared" si="1105"/>
        <v>3923124.2349758497</v>
      </c>
      <c r="Z341" s="178">
        <f t="shared" si="1105"/>
        <v>3923124.2349758497</v>
      </c>
      <c r="AA341" s="178">
        <f t="shared" si="1105"/>
        <v>3923124.2349758497</v>
      </c>
      <c r="AB341" s="178">
        <f t="shared" si="1105"/>
        <v>3923124.2349758497</v>
      </c>
      <c r="AC341" s="178">
        <f t="shared" si="1105"/>
        <v>4072116.8612129036</v>
      </c>
      <c r="AD341" s="178">
        <f t="shared" si="1105"/>
        <v>4072116.8612129036</v>
      </c>
      <c r="AE341" s="178">
        <f t="shared" si="1105"/>
        <v>4072116.8612129036</v>
      </c>
      <c r="AF341" s="178">
        <f t="shared" si="1105"/>
        <v>4072116.8612129036</v>
      </c>
      <c r="AG341" s="178">
        <f t="shared" si="1105"/>
        <v>4072116.8612129036</v>
      </c>
      <c r="AH341" s="178">
        <f t="shared" si="1105"/>
        <v>4072116.8612129036</v>
      </c>
      <c r="AI341" s="178">
        <f t="shared" si="1105"/>
        <v>4072116.8612129036</v>
      </c>
      <c r="AJ341" s="178">
        <f t="shared" si="1105"/>
        <v>4072116.8612129036</v>
      </c>
      <c r="AK341" s="178">
        <f t="shared" si="1105"/>
        <v>4072116.8612129036</v>
      </c>
      <c r="AL341" s="178">
        <f t="shared" si="1105"/>
        <v>4072116.8612129036</v>
      </c>
      <c r="AM341" s="178">
        <f t="shared" si="1105"/>
        <v>2896870.2866918552</v>
      </c>
      <c r="AN341" s="178">
        <f t="shared" si="1105"/>
        <v>2129329.2555168299</v>
      </c>
      <c r="AO341" s="178">
        <f t="shared" si="1105"/>
        <v>4535185.9019710924</v>
      </c>
      <c r="AP341" s="178">
        <f t="shared" si="1105"/>
        <v>4535185.9019710924</v>
      </c>
      <c r="AQ341" s="178">
        <f t="shared" si="1105"/>
        <v>4535185.9019710924</v>
      </c>
      <c r="AR341" s="178">
        <f t="shared" si="1105"/>
        <v>4535185.9019710924</v>
      </c>
      <c r="AS341" s="178">
        <f t="shared" si="1105"/>
        <v>4535185.9019710924</v>
      </c>
      <c r="AT341" s="265">
        <f t="shared" si="1105"/>
        <v>4535185.9019710924</v>
      </c>
      <c r="AU341" s="166"/>
      <c r="AV341" s="166"/>
      <c r="AW341" s="166"/>
      <c r="AX341" s="166"/>
      <c r="AY341" s="166"/>
      <c r="AZ341" s="166"/>
      <c r="BA341" s="166"/>
      <c r="BB341" s="166"/>
      <c r="BC341" s="166"/>
      <c r="BD341" s="166"/>
      <c r="BE341" s="166"/>
      <c r="BF341" s="166"/>
      <c r="BG341" s="166"/>
      <c r="BH341" s="166"/>
      <c r="BI341" s="166"/>
      <c r="BJ341" s="166"/>
      <c r="BK341" s="166"/>
      <c r="BL341" s="166"/>
      <c r="BM341" s="166"/>
      <c r="BN341" s="166"/>
    </row>
    <row r="342" spans="2:66" ht="15" thickBot="1" x14ac:dyDescent="0.3">
      <c r="B342" s="842" t="s">
        <v>386</v>
      </c>
      <c r="C342" s="828"/>
      <c r="D342" s="828"/>
      <c r="E342" s="828"/>
      <c r="F342" s="828"/>
      <c r="G342" s="828">
        <f>G340+G341</f>
        <v>3233617.4308554912</v>
      </c>
      <c r="H342" s="828">
        <f t="shared" ref="H342" si="1106">H340+H341</f>
        <v>4687773.888199864</v>
      </c>
      <c r="I342" s="828">
        <f t="shared" ref="I342" si="1107">I340+I341</f>
        <v>4946620.4171629846</v>
      </c>
      <c r="J342" s="828">
        <f t="shared" ref="J342" si="1108">J340+J341</f>
        <v>4957102.3591662478</v>
      </c>
      <c r="K342" s="828">
        <f t="shared" ref="K342" si="1109">K340+K341</f>
        <v>540012.31855377927</v>
      </c>
      <c r="L342" s="828">
        <f t="shared" ref="L342" si="1110">L340+L341</f>
        <v>5142030.3950763419</v>
      </c>
      <c r="M342" s="828">
        <f t="shared" ref="M342" si="1111">M340+M341</f>
        <v>5402563.1954326807</v>
      </c>
      <c r="N342" s="828">
        <f t="shared" ref="N342" si="1112">N340+N341</f>
        <v>5380095.8165520839</v>
      </c>
      <c r="O342" s="828">
        <f t="shared" ref="O342" si="1113">O340+O341</f>
        <v>5620412.6289342977</v>
      </c>
      <c r="P342" s="828">
        <f t="shared" ref="P342" si="1114">P340+P341</f>
        <v>712922.8895797357</v>
      </c>
      <c r="Q342" s="828">
        <f t="shared" ref="Q342" si="1115">Q340+Q341</f>
        <v>5679653.0051987609</v>
      </c>
      <c r="R342" s="828">
        <f t="shared" ref="R342" si="1116">R340+R341</f>
        <v>5870749.5590065243</v>
      </c>
      <c r="S342" s="828">
        <f t="shared" ref="S342" si="1117">S340+S341</f>
        <v>6101028.7738884501</v>
      </c>
      <c r="T342" s="828">
        <f t="shared" ref="T342" si="1118">T340+T341</f>
        <v>6039650.693873303</v>
      </c>
      <c r="U342" s="828">
        <f t="shared" ref="U342" si="1119">U340+U341</f>
        <v>1093699.0501085073</v>
      </c>
      <c r="V342" s="828">
        <f t="shared" ref="V342" si="1120">V340+V341</f>
        <v>5918218.5340186078</v>
      </c>
      <c r="W342" s="828">
        <f t="shared" ref="W342" si="1121">W340+W341</f>
        <v>6166573.7679508775</v>
      </c>
      <c r="X342" s="828">
        <f t="shared" ref="X342" si="1122">X340+X341</f>
        <v>6568179.3314157669</v>
      </c>
      <c r="Y342" s="828">
        <f t="shared" ref="Y342" si="1123">Y340+Y341</f>
        <v>6888740.5087822117</v>
      </c>
      <c r="Z342" s="828">
        <f t="shared" ref="Z342" si="1124">Z340+Z341</f>
        <v>1183405.7473187391</v>
      </c>
      <c r="AA342" s="828">
        <f t="shared" ref="AA342" si="1125">AA340+AA341</f>
        <v>7215811.8903601673</v>
      </c>
      <c r="AB342" s="828">
        <f t="shared" ref="AB342" si="1126">AB340+AB341</f>
        <v>7203865.6043223711</v>
      </c>
      <c r="AC342" s="828">
        <f t="shared" ref="AC342" si="1127">AC340+AC341</f>
        <v>7544397.6694289688</v>
      </c>
      <c r="AD342" s="828">
        <f t="shared" ref="AD342" si="1128">AD340+AD341</f>
        <v>7463559.3594680335</v>
      </c>
      <c r="AE342" s="828">
        <f t="shared" ref="AE342" si="1129">AE340+AE341</f>
        <v>1745074.3993556537</v>
      </c>
      <c r="AF342" s="828">
        <f t="shared" ref="AF342" si="1130">AF340+AF341</f>
        <v>7677923.5918462891</v>
      </c>
      <c r="AG342" s="828">
        <f t="shared" ref="AG342" si="1131">AG340+AG341</f>
        <v>7988460.217044102</v>
      </c>
      <c r="AH342" s="828">
        <f t="shared" ref="AH342" si="1132">AH340+AH341</f>
        <v>7899293.1718589552</v>
      </c>
      <c r="AI342" s="828">
        <f t="shared" ref="AI342" si="1133">AI340+AI341</f>
        <v>8221513.4546567816</v>
      </c>
      <c r="AJ342" s="828">
        <f t="shared" ref="AJ342" si="1134">AJ340+AJ341</f>
        <v>1516161.2089149803</v>
      </c>
      <c r="AK342" s="828">
        <f t="shared" ref="AK342" si="1135">AK340+AK341</f>
        <v>8462185.6867138706</v>
      </c>
      <c r="AL342" s="828">
        <f t="shared" ref="AL342" si="1136">AL340+AL341</f>
        <v>8363811.0312540494</v>
      </c>
      <c r="AM342" s="828">
        <f t="shared" ref="AM342" si="1137">AM340+AM341</f>
        <v>8299347.4753691815</v>
      </c>
      <c r="AN342" s="828">
        <f t="shared" ref="AN342" si="1138">AN340+AN341</f>
        <v>7927370.8488238519</v>
      </c>
      <c r="AO342" s="828">
        <f t="shared" ref="AO342" si="1139">AO340+AO341</f>
        <v>1938909.0165863559</v>
      </c>
      <c r="AP342" s="828">
        <f t="shared" ref="AP342" si="1140">AP340+AP341</f>
        <v>9020735.4772390239</v>
      </c>
      <c r="AQ342" s="828">
        <f t="shared" ref="AQ342" si="1141">AQ340+AQ341</f>
        <v>9394072.199635772</v>
      </c>
      <c r="AR342" s="828">
        <f t="shared" ref="AR342" si="1142">AR340+AR341</f>
        <v>9280028.0708734747</v>
      </c>
      <c r="AS342" s="828">
        <f t="shared" ref="AS342" si="1143">AS340+AS341</f>
        <v>9667314.4704925921</v>
      </c>
      <c r="AT342" s="829">
        <f t="shared" ref="AT342" si="1144">AT340+AT341</f>
        <v>1627954.2316333093</v>
      </c>
      <c r="AU342" s="166"/>
      <c r="AV342" s="166"/>
      <c r="AW342" s="166"/>
      <c r="AX342" s="166"/>
      <c r="AY342" s="166"/>
      <c r="AZ342" s="166"/>
      <c r="BA342" s="166"/>
      <c r="BB342" s="166"/>
      <c r="BC342" s="166"/>
      <c r="BD342" s="166"/>
      <c r="BE342" s="166"/>
      <c r="BF342" s="166"/>
      <c r="BG342" s="166"/>
      <c r="BH342" s="166"/>
      <c r="BI342" s="166"/>
      <c r="BJ342" s="166"/>
      <c r="BK342" s="166"/>
      <c r="BL342" s="166"/>
      <c r="BM342" s="166"/>
      <c r="BN342" s="166"/>
    </row>
    <row r="343" spans="2:66" ht="15" thickBot="1" x14ac:dyDescent="0.3">
      <c r="B343" s="839"/>
      <c r="C343" s="811"/>
      <c r="D343" s="811"/>
      <c r="E343" s="811"/>
      <c r="F343" s="811"/>
      <c r="G343" s="811"/>
      <c r="H343" s="811"/>
      <c r="I343" s="811"/>
      <c r="J343" s="811"/>
      <c r="K343" s="811"/>
      <c r="L343" s="811"/>
      <c r="M343" s="811"/>
      <c r="N343" s="811"/>
      <c r="O343" s="811"/>
      <c r="P343" s="811"/>
      <c r="Q343" s="811"/>
      <c r="R343" s="811"/>
      <c r="S343" s="811"/>
      <c r="T343" s="811"/>
      <c r="U343" s="811"/>
      <c r="V343" s="811"/>
      <c r="W343" s="811"/>
      <c r="X343" s="811"/>
      <c r="Y343" s="811"/>
      <c r="Z343" s="811"/>
      <c r="AA343" s="811"/>
      <c r="AB343" s="811"/>
      <c r="AC343" s="811"/>
      <c r="AD343" s="811"/>
      <c r="AE343" s="811"/>
      <c r="AF343" s="811"/>
      <c r="AG343" s="811"/>
      <c r="AH343" s="811"/>
      <c r="AI343" s="811"/>
      <c r="AJ343" s="811"/>
      <c r="AK343" s="811"/>
      <c r="AL343" s="811"/>
      <c r="AM343" s="811"/>
      <c r="AN343" s="811"/>
      <c r="AO343" s="811"/>
      <c r="AP343" s="811"/>
      <c r="AQ343" s="811"/>
      <c r="AR343" s="811"/>
      <c r="AS343" s="811"/>
      <c r="AT343" s="811"/>
      <c r="AU343" s="166"/>
      <c r="AV343" s="166"/>
      <c r="AW343" s="166"/>
      <c r="AX343" s="166"/>
      <c r="AY343" s="166"/>
      <c r="AZ343" s="166"/>
      <c r="BA343" s="166"/>
      <c r="BB343" s="166"/>
      <c r="BC343" s="166"/>
      <c r="BD343" s="166"/>
      <c r="BE343" s="166"/>
      <c r="BF343" s="166"/>
      <c r="BG343" s="166"/>
      <c r="BH343" s="166"/>
      <c r="BI343" s="166"/>
      <c r="BJ343" s="166"/>
      <c r="BK343" s="166"/>
      <c r="BL343" s="166"/>
      <c r="BM343" s="166"/>
      <c r="BN343" s="166"/>
    </row>
    <row r="344" spans="2:66" ht="14.4" x14ac:dyDescent="0.25">
      <c r="B344" s="835" t="s">
        <v>447</v>
      </c>
      <c r="C344" s="818"/>
      <c r="D344" s="818"/>
      <c r="E344" s="818"/>
      <c r="F344" s="818"/>
      <c r="G344" s="818"/>
      <c r="H344" s="818"/>
      <c r="I344" s="818"/>
      <c r="J344" s="818"/>
      <c r="K344" s="818"/>
      <c r="L344" s="818"/>
      <c r="M344" s="818"/>
      <c r="N344" s="818"/>
      <c r="O344" s="818"/>
      <c r="P344" s="818"/>
      <c r="Q344" s="818"/>
      <c r="R344" s="818"/>
      <c r="S344" s="818"/>
      <c r="T344" s="818"/>
      <c r="U344" s="818"/>
      <c r="V344" s="818"/>
      <c r="W344" s="818"/>
      <c r="X344" s="818"/>
      <c r="Y344" s="818"/>
      <c r="Z344" s="818"/>
      <c r="AA344" s="818"/>
      <c r="AB344" s="818"/>
      <c r="AC344" s="818"/>
      <c r="AD344" s="818"/>
      <c r="AE344" s="818"/>
      <c r="AF344" s="818"/>
      <c r="AG344" s="818"/>
      <c r="AH344" s="818"/>
      <c r="AI344" s="818"/>
      <c r="AJ344" s="818"/>
      <c r="AK344" s="818"/>
      <c r="AL344" s="818"/>
      <c r="AM344" s="818"/>
      <c r="AN344" s="818"/>
      <c r="AO344" s="818"/>
      <c r="AP344" s="818"/>
      <c r="AQ344" s="818"/>
      <c r="AR344" s="818"/>
      <c r="AS344" s="818"/>
      <c r="AT344" s="819"/>
      <c r="AU344" s="166"/>
      <c r="AV344" s="166"/>
      <c r="AW344" s="166"/>
      <c r="AX344" s="166"/>
      <c r="AY344" s="166"/>
      <c r="AZ344" s="166"/>
      <c r="BA344" s="166"/>
      <c r="BB344" s="166"/>
      <c r="BC344" s="166"/>
      <c r="BD344" s="166"/>
      <c r="BE344" s="166"/>
      <c r="BF344" s="166"/>
      <c r="BG344" s="166"/>
      <c r="BH344" s="166"/>
      <c r="BI344" s="166"/>
      <c r="BJ344" s="166"/>
      <c r="BK344" s="166"/>
      <c r="BL344" s="166"/>
      <c r="BM344" s="166"/>
      <c r="BN344" s="166"/>
    </row>
    <row r="345" spans="2:66" x14ac:dyDescent="0.25">
      <c r="B345" s="836" t="s">
        <v>448</v>
      </c>
      <c r="C345" s="268">
        <f>C269</f>
        <v>-7217680.5455314573</v>
      </c>
      <c r="D345" s="268">
        <f t="shared" ref="D345:F345" si="1145">D269</f>
        <v>-25976311.77290494</v>
      </c>
      <c r="E345" s="268">
        <f t="shared" si="1145"/>
        <v>-66708323.717887178</v>
      </c>
      <c r="F345" s="268">
        <f t="shared" si="1145"/>
        <v>-27380475.56786824</v>
      </c>
      <c r="G345" s="178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  <c r="AN345" s="178"/>
      <c r="AO345" s="178"/>
      <c r="AP345" s="178"/>
      <c r="AQ345" s="178"/>
      <c r="AR345" s="178"/>
      <c r="AS345" s="178"/>
      <c r="AT345" s="265"/>
      <c r="AU345" s="166"/>
      <c r="AV345" s="166"/>
      <c r="AW345" s="166"/>
      <c r="AX345" s="166"/>
      <c r="AY345" s="166"/>
      <c r="AZ345" s="166"/>
      <c r="BA345" s="166"/>
      <c r="BB345" s="166"/>
      <c r="BC345" s="166"/>
      <c r="BD345" s="166"/>
      <c r="BE345" s="166"/>
      <c r="BF345" s="166"/>
      <c r="BG345" s="166"/>
      <c r="BH345" s="166"/>
      <c r="BI345" s="166"/>
      <c r="BJ345" s="166"/>
      <c r="BK345" s="166"/>
      <c r="BL345" s="166"/>
      <c r="BM345" s="166"/>
      <c r="BN345" s="166"/>
    </row>
    <row r="346" spans="2:66" x14ac:dyDescent="0.25">
      <c r="B346" s="836" t="s">
        <v>383</v>
      </c>
      <c r="C346" s="178"/>
      <c r="D346" s="178"/>
      <c r="E346" s="178"/>
      <c r="F346" s="178"/>
      <c r="G346" s="268">
        <f t="shared" ref="G346:AT346" si="1146">G270</f>
        <v>0</v>
      </c>
      <c r="H346" s="268">
        <f t="shared" si="1146"/>
        <v>0</v>
      </c>
      <c r="I346" s="268">
        <f t="shared" si="1146"/>
        <v>0</v>
      </c>
      <c r="J346" s="268">
        <f t="shared" si="1146"/>
        <v>0</v>
      </c>
      <c r="K346" s="268">
        <f t="shared" si="1146"/>
        <v>0</v>
      </c>
      <c r="L346" s="268">
        <f t="shared" si="1146"/>
        <v>0</v>
      </c>
      <c r="M346" s="268">
        <f t="shared" si="1146"/>
        <v>0</v>
      </c>
      <c r="N346" s="268">
        <f t="shared" si="1146"/>
        <v>0</v>
      </c>
      <c r="O346" s="268">
        <f t="shared" si="1146"/>
        <v>0</v>
      </c>
      <c r="P346" s="268">
        <f t="shared" si="1146"/>
        <v>-2723541.3615541044</v>
      </c>
      <c r="Q346" s="268">
        <f t="shared" si="1146"/>
        <v>-3461942.6878256085</v>
      </c>
      <c r="R346" s="268">
        <f t="shared" si="1146"/>
        <v>0</v>
      </c>
      <c r="S346" s="268">
        <f t="shared" si="1146"/>
        <v>0</v>
      </c>
      <c r="T346" s="268">
        <f t="shared" si="1146"/>
        <v>0</v>
      </c>
      <c r="U346" s="268">
        <f t="shared" si="1146"/>
        <v>-3273399.4420900545</v>
      </c>
      <c r="V346" s="268">
        <f t="shared" si="1146"/>
        <v>-9774797.0868826061</v>
      </c>
      <c r="W346" s="268">
        <f t="shared" si="1146"/>
        <v>-4580502.0888430635</v>
      </c>
      <c r="X346" s="268">
        <f t="shared" si="1146"/>
        <v>0</v>
      </c>
      <c r="Y346" s="268">
        <f t="shared" si="1146"/>
        <v>0</v>
      </c>
      <c r="Z346" s="268">
        <f t="shared" si="1146"/>
        <v>0</v>
      </c>
      <c r="AA346" s="268">
        <f t="shared" si="1146"/>
        <v>-3379570.3773918124</v>
      </c>
      <c r="AB346" s="268">
        <f t="shared" si="1146"/>
        <v>-4295839.9343584403</v>
      </c>
      <c r="AC346" s="268">
        <f t="shared" si="1146"/>
        <v>0</v>
      </c>
      <c r="AD346" s="268">
        <f t="shared" si="1146"/>
        <v>0</v>
      </c>
      <c r="AE346" s="268">
        <f t="shared" si="1146"/>
        <v>0</v>
      </c>
      <c r="AF346" s="268">
        <f t="shared" si="1146"/>
        <v>0</v>
      </c>
      <c r="AG346" s="268">
        <f t="shared" si="1146"/>
        <v>0</v>
      </c>
      <c r="AH346" s="268">
        <f t="shared" si="1146"/>
        <v>0</v>
      </c>
      <c r="AI346" s="268">
        <f t="shared" si="1146"/>
        <v>0</v>
      </c>
      <c r="AJ346" s="268">
        <f t="shared" si="1146"/>
        <v>0</v>
      </c>
      <c r="AK346" s="268">
        <f t="shared" si="1146"/>
        <v>0</v>
      </c>
      <c r="AL346" s="268">
        <f t="shared" si="1146"/>
        <v>-8716196.7525265142</v>
      </c>
      <c r="AM346" s="268">
        <f t="shared" si="1146"/>
        <v>-18683131.091712683</v>
      </c>
      <c r="AN346" s="268">
        <f t="shared" si="1146"/>
        <v>-6282665.206120478</v>
      </c>
      <c r="AO346" s="268">
        <f t="shared" si="1146"/>
        <v>0</v>
      </c>
      <c r="AP346" s="268">
        <f t="shared" si="1146"/>
        <v>0</v>
      </c>
      <c r="AQ346" s="268">
        <f t="shared" si="1146"/>
        <v>0</v>
      </c>
      <c r="AR346" s="268">
        <f t="shared" si="1146"/>
        <v>0</v>
      </c>
      <c r="AS346" s="268">
        <f t="shared" si="1146"/>
        <v>0</v>
      </c>
      <c r="AT346" s="799">
        <f t="shared" si="1146"/>
        <v>0</v>
      </c>
      <c r="AU346" s="166"/>
      <c r="AV346" s="166"/>
      <c r="AW346" s="166"/>
      <c r="AX346" s="166"/>
      <c r="AY346" s="166"/>
      <c r="AZ346" s="166"/>
      <c r="BA346" s="166"/>
      <c r="BB346" s="166"/>
      <c r="BC346" s="166"/>
      <c r="BD346" s="166"/>
      <c r="BE346" s="166"/>
      <c r="BF346" s="166"/>
      <c r="BG346" s="166"/>
      <c r="BH346" s="166"/>
      <c r="BI346" s="166"/>
      <c r="BJ346" s="166"/>
      <c r="BK346" s="166"/>
      <c r="BL346" s="166"/>
      <c r="BM346" s="166"/>
      <c r="BN346" s="166"/>
    </row>
    <row r="347" spans="2:66" x14ac:dyDescent="0.25">
      <c r="B347" s="836" t="s">
        <v>384</v>
      </c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8"/>
      <c r="Z347" s="178"/>
      <c r="AA347" s="178"/>
      <c r="AB347" s="178"/>
      <c r="AC347" s="178"/>
      <c r="AD347" s="178"/>
      <c r="AE347" s="178"/>
      <c r="AF347" s="178"/>
      <c r="AG347" s="178"/>
      <c r="AH347" s="178"/>
      <c r="AI347" s="178"/>
      <c r="AJ347" s="758">
        <f>AJ320</f>
        <v>49512401.003238209</v>
      </c>
      <c r="AK347" s="178"/>
      <c r="AL347" s="178"/>
      <c r="AM347" s="178"/>
      <c r="AN347" s="178"/>
      <c r="AO347" s="178"/>
      <c r="AP347" s="178"/>
      <c r="AQ347" s="178"/>
      <c r="AR347" s="178"/>
      <c r="AS347" s="178"/>
      <c r="AT347" s="847">
        <f>AT320</f>
        <v>47624558.670045361</v>
      </c>
      <c r="AU347" s="166"/>
      <c r="AV347" s="166"/>
      <c r="AW347" s="166"/>
      <c r="AX347" s="166"/>
      <c r="AY347" s="166"/>
      <c r="AZ347" s="166"/>
      <c r="BA347" s="166"/>
      <c r="BB347" s="166"/>
      <c r="BC347" s="166"/>
      <c r="BD347" s="166"/>
      <c r="BE347" s="166"/>
      <c r="BF347" s="166"/>
      <c r="BG347" s="166"/>
      <c r="BH347" s="166"/>
      <c r="BI347" s="166"/>
      <c r="BJ347" s="166"/>
      <c r="BK347" s="166"/>
      <c r="BL347" s="166"/>
      <c r="BM347" s="166"/>
      <c r="BN347" s="166"/>
    </row>
    <row r="348" spans="2:66" ht="15" thickBot="1" x14ac:dyDescent="0.3">
      <c r="B348" s="842" t="s">
        <v>385</v>
      </c>
      <c r="C348" s="822">
        <f t="shared" ref="C348:AT348" si="1147">C345+C346+C347</f>
        <v>-7217680.5455314573</v>
      </c>
      <c r="D348" s="822">
        <f t="shared" si="1147"/>
        <v>-25976311.77290494</v>
      </c>
      <c r="E348" s="822">
        <f t="shared" si="1147"/>
        <v>-66708323.717887178</v>
      </c>
      <c r="F348" s="822">
        <f t="shared" si="1147"/>
        <v>-27380475.56786824</v>
      </c>
      <c r="G348" s="822">
        <f t="shared" si="1147"/>
        <v>0</v>
      </c>
      <c r="H348" s="822">
        <f t="shared" si="1147"/>
        <v>0</v>
      </c>
      <c r="I348" s="822">
        <f t="shared" si="1147"/>
        <v>0</v>
      </c>
      <c r="J348" s="822">
        <f t="shared" si="1147"/>
        <v>0</v>
      </c>
      <c r="K348" s="822">
        <f t="shared" si="1147"/>
        <v>0</v>
      </c>
      <c r="L348" s="822">
        <f t="shared" si="1147"/>
        <v>0</v>
      </c>
      <c r="M348" s="822">
        <f t="shared" si="1147"/>
        <v>0</v>
      </c>
      <c r="N348" s="822">
        <f t="shared" si="1147"/>
        <v>0</v>
      </c>
      <c r="O348" s="822">
        <f t="shared" si="1147"/>
        <v>0</v>
      </c>
      <c r="P348" s="822">
        <f t="shared" si="1147"/>
        <v>-2723541.3615541044</v>
      </c>
      <c r="Q348" s="822">
        <f t="shared" si="1147"/>
        <v>-3461942.6878256085</v>
      </c>
      <c r="R348" s="822">
        <f t="shared" si="1147"/>
        <v>0</v>
      </c>
      <c r="S348" s="822">
        <f t="shared" si="1147"/>
        <v>0</v>
      </c>
      <c r="T348" s="822">
        <f t="shared" si="1147"/>
        <v>0</v>
      </c>
      <c r="U348" s="822">
        <f t="shared" si="1147"/>
        <v>-3273399.4420900545</v>
      </c>
      <c r="V348" s="822">
        <f t="shared" si="1147"/>
        <v>-9774797.0868826061</v>
      </c>
      <c r="W348" s="822">
        <f t="shared" si="1147"/>
        <v>-4580502.0888430635</v>
      </c>
      <c r="X348" s="822">
        <f t="shared" si="1147"/>
        <v>0</v>
      </c>
      <c r="Y348" s="822">
        <f t="shared" si="1147"/>
        <v>0</v>
      </c>
      <c r="Z348" s="822">
        <f t="shared" si="1147"/>
        <v>0</v>
      </c>
      <c r="AA348" s="822">
        <f t="shared" si="1147"/>
        <v>-3379570.3773918124</v>
      </c>
      <c r="AB348" s="822">
        <f t="shared" si="1147"/>
        <v>-4295839.9343584403</v>
      </c>
      <c r="AC348" s="822">
        <f t="shared" si="1147"/>
        <v>0</v>
      </c>
      <c r="AD348" s="822">
        <f t="shared" si="1147"/>
        <v>0</v>
      </c>
      <c r="AE348" s="822">
        <f t="shared" si="1147"/>
        <v>0</v>
      </c>
      <c r="AF348" s="822">
        <f t="shared" si="1147"/>
        <v>0</v>
      </c>
      <c r="AG348" s="822">
        <f t="shared" si="1147"/>
        <v>0</v>
      </c>
      <c r="AH348" s="822">
        <f t="shared" si="1147"/>
        <v>0</v>
      </c>
      <c r="AI348" s="822">
        <f t="shared" si="1147"/>
        <v>0</v>
      </c>
      <c r="AJ348" s="822">
        <f t="shared" si="1147"/>
        <v>49512401.003238209</v>
      </c>
      <c r="AK348" s="822">
        <f t="shared" si="1147"/>
        <v>0</v>
      </c>
      <c r="AL348" s="822">
        <f t="shared" si="1147"/>
        <v>-8716196.7525265142</v>
      </c>
      <c r="AM348" s="822">
        <f t="shared" si="1147"/>
        <v>-18683131.091712683</v>
      </c>
      <c r="AN348" s="822">
        <f t="shared" si="1147"/>
        <v>-6282665.206120478</v>
      </c>
      <c r="AO348" s="822">
        <f t="shared" si="1147"/>
        <v>0</v>
      </c>
      <c r="AP348" s="822">
        <f t="shared" si="1147"/>
        <v>0</v>
      </c>
      <c r="AQ348" s="822">
        <f t="shared" si="1147"/>
        <v>0</v>
      </c>
      <c r="AR348" s="822">
        <f t="shared" si="1147"/>
        <v>0</v>
      </c>
      <c r="AS348" s="822">
        <f t="shared" si="1147"/>
        <v>0</v>
      </c>
      <c r="AT348" s="823">
        <f t="shared" si="1147"/>
        <v>47624558.670045361</v>
      </c>
      <c r="AU348" s="166"/>
      <c r="AV348" s="166"/>
      <c r="AW348" s="166"/>
      <c r="AX348" s="166"/>
      <c r="AY348" s="166"/>
      <c r="AZ348" s="166"/>
      <c r="BA348" s="166"/>
      <c r="BB348" s="166"/>
      <c r="BC348" s="166"/>
      <c r="BD348" s="166"/>
      <c r="BE348" s="166"/>
      <c r="BF348" s="166"/>
      <c r="BG348" s="166"/>
      <c r="BH348" s="166"/>
      <c r="BI348" s="166"/>
      <c r="BJ348" s="166"/>
      <c r="BK348" s="166"/>
      <c r="BL348" s="166"/>
      <c r="BM348" s="166"/>
      <c r="BN348" s="166"/>
    </row>
    <row r="349" spans="2:66" ht="14.4" x14ac:dyDescent="0.25">
      <c r="B349" s="838"/>
      <c r="C349" s="178"/>
      <c r="D349" s="178"/>
      <c r="E349" s="178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  <c r="AU349" s="166"/>
      <c r="AV349" s="166"/>
      <c r="AW349" s="166"/>
      <c r="AX349" s="166"/>
      <c r="AY349" s="166"/>
      <c r="AZ349" s="166"/>
      <c r="BA349" s="166"/>
      <c r="BB349" s="166"/>
      <c r="BC349" s="166"/>
      <c r="BD349" s="166"/>
      <c r="BE349" s="166"/>
      <c r="BF349" s="166"/>
      <c r="BG349" s="166"/>
      <c r="BH349" s="166"/>
      <c r="BI349" s="166"/>
      <c r="BJ349" s="166"/>
      <c r="BK349" s="166"/>
      <c r="BL349" s="166"/>
      <c r="BM349" s="166"/>
      <c r="BN349" s="166"/>
    </row>
    <row r="350" spans="2:66" ht="14.4" x14ac:dyDescent="0.25">
      <c r="B350" s="838"/>
      <c r="C350" s="178"/>
      <c r="D350" s="178"/>
      <c r="E350" s="884" t="s">
        <v>473</v>
      </c>
      <c r="F350" s="178">
        <f>C348+D348+E348+F348</f>
        <v>-127282791.60419181</v>
      </c>
      <c r="G350" s="178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  <c r="AM350" s="178"/>
      <c r="AN350" s="178"/>
      <c r="AO350" s="178"/>
      <c r="AP350" s="178"/>
      <c r="AQ350" s="178"/>
      <c r="AR350" s="178"/>
      <c r="AS350" s="178"/>
      <c r="AT350" s="178"/>
      <c r="AU350" s="166"/>
      <c r="AV350" s="166"/>
      <c r="AW350" s="166"/>
      <c r="AX350" s="166"/>
      <c r="AY350" s="166"/>
      <c r="AZ350" s="166"/>
      <c r="BA350" s="166"/>
      <c r="BB350" s="166"/>
      <c r="BC350" s="166"/>
      <c r="BD350" s="166"/>
      <c r="BE350" s="166"/>
      <c r="BF350" s="166"/>
      <c r="BG350" s="166"/>
      <c r="BH350" s="166"/>
      <c r="BI350" s="166"/>
      <c r="BJ350" s="166"/>
      <c r="BK350" s="166"/>
      <c r="BL350" s="166"/>
      <c r="BM350" s="166"/>
      <c r="BN350" s="166"/>
    </row>
    <row r="351" spans="2:66" ht="14.4" x14ac:dyDescent="0.25">
      <c r="B351" s="838"/>
      <c r="C351" s="178"/>
      <c r="D351" s="178"/>
      <c r="E351" s="178"/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  <c r="AM351" s="178"/>
      <c r="AN351" s="178"/>
      <c r="AO351" s="178"/>
      <c r="AP351" s="178"/>
      <c r="AQ351" s="178"/>
      <c r="AR351" s="178"/>
      <c r="AS351" s="178"/>
      <c r="AT351" s="178"/>
      <c r="AU351" s="166"/>
      <c r="AV351" s="166"/>
      <c r="AW351" s="166"/>
      <c r="AX351" s="166"/>
      <c r="AY351" s="166"/>
      <c r="AZ351" s="166"/>
      <c r="BA351" s="166"/>
      <c r="BB351" s="166"/>
      <c r="BC351" s="166"/>
      <c r="BD351" s="166"/>
      <c r="BE351" s="166"/>
      <c r="BF351" s="166"/>
      <c r="BG351" s="166"/>
      <c r="BH351" s="166"/>
      <c r="BI351" s="166"/>
      <c r="BJ351" s="166"/>
      <c r="BK351" s="166"/>
      <c r="BL351" s="166"/>
      <c r="BM351" s="166"/>
      <c r="BN351" s="166"/>
    </row>
    <row r="352" spans="2:66" ht="14.4" x14ac:dyDescent="0.25">
      <c r="B352" s="844" t="s">
        <v>436</v>
      </c>
      <c r="C352" s="178">
        <f t="shared" ref="C352:AJ352" si="1148">C342+C348</f>
        <v>-7217680.5455314573</v>
      </c>
      <c r="D352" s="178">
        <f t="shared" si="1148"/>
        <v>-25976311.77290494</v>
      </c>
      <c r="E352" s="178">
        <f t="shared" si="1148"/>
        <v>-66708323.717887178</v>
      </c>
      <c r="F352" s="178">
        <f t="shared" si="1148"/>
        <v>-27380475.56786824</v>
      </c>
      <c r="G352" s="178">
        <f t="shared" si="1148"/>
        <v>3233617.4308554912</v>
      </c>
      <c r="H352" s="178">
        <f t="shared" si="1148"/>
        <v>4687773.888199864</v>
      </c>
      <c r="I352" s="178">
        <f t="shared" si="1148"/>
        <v>4946620.4171629846</v>
      </c>
      <c r="J352" s="178">
        <f t="shared" si="1148"/>
        <v>4957102.3591662478</v>
      </c>
      <c r="K352" s="178">
        <f t="shared" si="1148"/>
        <v>540012.31855377927</v>
      </c>
      <c r="L352" s="178">
        <f t="shared" si="1148"/>
        <v>5142030.3950763419</v>
      </c>
      <c r="M352" s="178">
        <f t="shared" si="1148"/>
        <v>5402563.1954326807</v>
      </c>
      <c r="N352" s="178">
        <f t="shared" si="1148"/>
        <v>5380095.8165520839</v>
      </c>
      <c r="O352" s="178">
        <f t="shared" si="1148"/>
        <v>5620412.6289342977</v>
      </c>
      <c r="P352" s="178">
        <f t="shared" si="1148"/>
        <v>-2010618.4719743687</v>
      </c>
      <c r="Q352" s="178">
        <f t="shared" si="1148"/>
        <v>2217710.3173731524</v>
      </c>
      <c r="R352" s="178">
        <f t="shared" si="1148"/>
        <v>5870749.5590065243</v>
      </c>
      <c r="S352" s="178">
        <f t="shared" si="1148"/>
        <v>6101028.7738884501</v>
      </c>
      <c r="T352" s="178">
        <f t="shared" si="1148"/>
        <v>6039650.693873303</v>
      </c>
      <c r="U352" s="178">
        <f t="shared" si="1148"/>
        <v>-2179700.3919815472</v>
      </c>
      <c r="V352" s="178">
        <f t="shared" si="1148"/>
        <v>-3856578.5528639983</v>
      </c>
      <c r="W352" s="178">
        <f t="shared" si="1148"/>
        <v>1586071.6791078141</v>
      </c>
      <c r="X352" s="178">
        <f t="shared" si="1148"/>
        <v>6568179.3314157669</v>
      </c>
      <c r="Y352" s="178">
        <f t="shared" si="1148"/>
        <v>6888740.5087822117</v>
      </c>
      <c r="Z352" s="178">
        <f t="shared" si="1148"/>
        <v>1183405.7473187391</v>
      </c>
      <c r="AA352" s="178">
        <f t="shared" si="1148"/>
        <v>3836241.5129683549</v>
      </c>
      <c r="AB352" s="178">
        <f t="shared" si="1148"/>
        <v>2908025.6699639307</v>
      </c>
      <c r="AC352" s="178">
        <f t="shared" si="1148"/>
        <v>7544397.6694289688</v>
      </c>
      <c r="AD352" s="178">
        <f t="shared" si="1148"/>
        <v>7463559.3594680335</v>
      </c>
      <c r="AE352" s="178">
        <f t="shared" si="1148"/>
        <v>1745074.3993556537</v>
      </c>
      <c r="AF352" s="178">
        <f t="shared" si="1148"/>
        <v>7677923.5918462891</v>
      </c>
      <c r="AG352" s="178">
        <f t="shared" si="1148"/>
        <v>7988460.217044102</v>
      </c>
      <c r="AH352" s="178">
        <f t="shared" si="1148"/>
        <v>7899293.1718589552</v>
      </c>
      <c r="AI352" s="178">
        <f t="shared" si="1148"/>
        <v>8221513.4546567816</v>
      </c>
      <c r="AJ352" s="178">
        <f t="shared" si="1148"/>
        <v>51028562.212153189</v>
      </c>
      <c r="AK352" s="178"/>
      <c r="AL352" s="178"/>
      <c r="AM352" s="178"/>
      <c r="AN352" s="178"/>
      <c r="AO352" s="178"/>
      <c r="AP352" s="178"/>
      <c r="AQ352" s="178"/>
      <c r="AR352" s="178"/>
      <c r="AS352" s="178"/>
      <c r="AT352" s="178"/>
      <c r="AU352" s="166"/>
      <c r="AV352" s="166"/>
      <c r="AW352" s="166"/>
      <c r="AX352" s="166"/>
      <c r="AY352" s="166"/>
      <c r="AZ352" s="166"/>
      <c r="BA352" s="166"/>
      <c r="BB352" s="166"/>
      <c r="BC352" s="166"/>
      <c r="BD352" s="166"/>
      <c r="BE352" s="166"/>
      <c r="BF352" s="166"/>
      <c r="BG352" s="166"/>
      <c r="BH352" s="166"/>
      <c r="BI352" s="166"/>
      <c r="BJ352" s="166"/>
      <c r="BK352" s="166"/>
      <c r="BL352" s="166"/>
      <c r="BM352" s="166"/>
      <c r="BN352" s="166"/>
    </row>
    <row r="353" spans="2:66" ht="14.4" x14ac:dyDescent="0.25">
      <c r="B353" s="844" t="s">
        <v>438</v>
      </c>
      <c r="C353" s="178"/>
      <c r="D353" s="178"/>
      <c r="E353" s="178"/>
      <c r="F353" s="178"/>
      <c r="G353" s="178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848">
        <f>IRR(C352:AJ352)</f>
        <v>1.5180992865243548E-2</v>
      </c>
      <c r="AK353" s="178"/>
      <c r="AL353" s="178"/>
      <c r="AM353" s="178"/>
      <c r="AN353" s="178"/>
      <c r="AO353" s="178"/>
      <c r="AP353" s="178"/>
      <c r="AQ353" s="178"/>
      <c r="AR353" s="178"/>
      <c r="AS353" s="178"/>
      <c r="AT353" s="178"/>
      <c r="AU353" s="166"/>
      <c r="AV353" s="166"/>
      <c r="AW353" s="166"/>
      <c r="AX353" s="166"/>
      <c r="AY353" s="166"/>
      <c r="AZ353" s="166"/>
      <c r="BA353" s="166"/>
      <c r="BB353" s="166"/>
      <c r="BC353" s="166"/>
      <c r="BD353" s="166"/>
      <c r="BE353" s="166"/>
      <c r="BF353" s="166"/>
      <c r="BG353" s="166"/>
      <c r="BH353" s="166"/>
      <c r="BI353" s="166"/>
      <c r="BJ353" s="166"/>
      <c r="BK353" s="166"/>
      <c r="BL353" s="166"/>
      <c r="BM353" s="166"/>
      <c r="BN353" s="166"/>
    </row>
    <row r="354" spans="2:66" ht="14.4" x14ac:dyDescent="0.25">
      <c r="B354" s="844"/>
      <c r="C354" s="178"/>
      <c r="D354" s="178"/>
      <c r="E354" s="178"/>
      <c r="F354" s="178"/>
      <c r="G354" s="178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66"/>
      <c r="AV354" s="166"/>
      <c r="AW354" s="166"/>
      <c r="AX354" s="166"/>
      <c r="AY354" s="166"/>
      <c r="AZ354" s="166"/>
      <c r="BA354" s="166"/>
      <c r="BB354" s="166"/>
      <c r="BC354" s="166"/>
      <c r="BD354" s="166"/>
      <c r="BE354" s="166"/>
      <c r="BF354" s="166"/>
      <c r="BG354" s="166"/>
      <c r="BH354" s="166"/>
      <c r="BI354" s="166"/>
      <c r="BJ354" s="166"/>
      <c r="BK354" s="166"/>
      <c r="BL354" s="166"/>
      <c r="BM354" s="166"/>
      <c r="BN354" s="166"/>
    </row>
    <row r="355" spans="2:66" ht="14.4" x14ac:dyDescent="0.25">
      <c r="B355" s="844" t="s">
        <v>437</v>
      </c>
      <c r="C355" s="178">
        <f>C342+C348</f>
        <v>-7217680.5455314573</v>
      </c>
      <c r="D355" s="178">
        <f t="shared" ref="D355:AI355" si="1149">D342+D348</f>
        <v>-25976311.77290494</v>
      </c>
      <c r="E355" s="178">
        <f t="shared" si="1149"/>
        <v>-66708323.717887178</v>
      </c>
      <c r="F355" s="178">
        <f t="shared" si="1149"/>
        <v>-27380475.56786824</v>
      </c>
      <c r="G355" s="178">
        <f t="shared" si="1149"/>
        <v>3233617.4308554912</v>
      </c>
      <c r="H355" s="178">
        <f t="shared" si="1149"/>
        <v>4687773.888199864</v>
      </c>
      <c r="I355" s="178">
        <f t="shared" si="1149"/>
        <v>4946620.4171629846</v>
      </c>
      <c r="J355" s="178">
        <f t="shared" si="1149"/>
        <v>4957102.3591662478</v>
      </c>
      <c r="K355" s="178">
        <f t="shared" si="1149"/>
        <v>540012.31855377927</v>
      </c>
      <c r="L355" s="178">
        <f t="shared" si="1149"/>
        <v>5142030.3950763419</v>
      </c>
      <c r="M355" s="178">
        <f t="shared" si="1149"/>
        <v>5402563.1954326807</v>
      </c>
      <c r="N355" s="178">
        <f t="shared" si="1149"/>
        <v>5380095.8165520839</v>
      </c>
      <c r="O355" s="178">
        <f t="shared" si="1149"/>
        <v>5620412.6289342977</v>
      </c>
      <c r="P355" s="178">
        <f t="shared" si="1149"/>
        <v>-2010618.4719743687</v>
      </c>
      <c r="Q355" s="178">
        <f t="shared" si="1149"/>
        <v>2217710.3173731524</v>
      </c>
      <c r="R355" s="178">
        <f t="shared" si="1149"/>
        <v>5870749.5590065243</v>
      </c>
      <c r="S355" s="178">
        <f t="shared" si="1149"/>
        <v>6101028.7738884501</v>
      </c>
      <c r="T355" s="178">
        <f t="shared" si="1149"/>
        <v>6039650.693873303</v>
      </c>
      <c r="U355" s="178">
        <f t="shared" si="1149"/>
        <v>-2179700.3919815472</v>
      </c>
      <c r="V355" s="178">
        <f t="shared" si="1149"/>
        <v>-3856578.5528639983</v>
      </c>
      <c r="W355" s="178">
        <f t="shared" si="1149"/>
        <v>1586071.6791078141</v>
      </c>
      <c r="X355" s="178">
        <f t="shared" si="1149"/>
        <v>6568179.3314157669</v>
      </c>
      <c r="Y355" s="178">
        <f t="shared" si="1149"/>
        <v>6888740.5087822117</v>
      </c>
      <c r="Z355" s="178">
        <f t="shared" si="1149"/>
        <v>1183405.7473187391</v>
      </c>
      <c r="AA355" s="178">
        <f t="shared" si="1149"/>
        <v>3836241.5129683549</v>
      </c>
      <c r="AB355" s="178">
        <f t="shared" si="1149"/>
        <v>2908025.6699639307</v>
      </c>
      <c r="AC355" s="178">
        <f t="shared" si="1149"/>
        <v>7544397.6694289688</v>
      </c>
      <c r="AD355" s="178">
        <f t="shared" si="1149"/>
        <v>7463559.3594680335</v>
      </c>
      <c r="AE355" s="178">
        <f t="shared" si="1149"/>
        <v>1745074.3993556537</v>
      </c>
      <c r="AF355" s="178">
        <f t="shared" si="1149"/>
        <v>7677923.5918462891</v>
      </c>
      <c r="AG355" s="178">
        <f t="shared" si="1149"/>
        <v>7988460.217044102</v>
      </c>
      <c r="AH355" s="178">
        <f t="shared" si="1149"/>
        <v>7899293.1718589552</v>
      </c>
      <c r="AI355" s="178">
        <f t="shared" si="1149"/>
        <v>8221513.4546567816</v>
      </c>
      <c r="AJ355" s="178">
        <f>AJ342+AJ346</f>
        <v>1516161.2089149803</v>
      </c>
      <c r="AK355" s="178">
        <f t="shared" ref="AK355:AT355" si="1150">AK342+AK348</f>
        <v>8462185.6867138706</v>
      </c>
      <c r="AL355" s="178">
        <f t="shared" si="1150"/>
        <v>-352385.72127246484</v>
      </c>
      <c r="AM355" s="178">
        <f t="shared" si="1150"/>
        <v>-10383783.616343502</v>
      </c>
      <c r="AN355" s="178">
        <f t="shared" si="1150"/>
        <v>1644705.6427033739</v>
      </c>
      <c r="AO355" s="178">
        <f t="shared" si="1150"/>
        <v>1938909.0165863559</v>
      </c>
      <c r="AP355" s="178">
        <f t="shared" si="1150"/>
        <v>9020735.4772390239</v>
      </c>
      <c r="AQ355" s="178">
        <f t="shared" si="1150"/>
        <v>9394072.199635772</v>
      </c>
      <c r="AR355" s="178">
        <f t="shared" si="1150"/>
        <v>9280028.0708734747</v>
      </c>
      <c r="AS355" s="178">
        <f t="shared" si="1150"/>
        <v>9667314.4704925921</v>
      </c>
      <c r="AT355" s="178">
        <f t="shared" si="1150"/>
        <v>49252512.901678666</v>
      </c>
      <c r="AU355" s="166"/>
      <c r="AV355" s="166"/>
      <c r="AW355" s="166"/>
      <c r="AX355" s="166"/>
      <c r="AY355" s="166"/>
      <c r="AZ355" s="166"/>
      <c r="BA355" s="166"/>
      <c r="BB355" s="166"/>
      <c r="BC355" s="166"/>
      <c r="BD355" s="166"/>
      <c r="BE355" s="166"/>
      <c r="BF355" s="166"/>
      <c r="BG355" s="166"/>
      <c r="BH355" s="166"/>
      <c r="BI355" s="166"/>
      <c r="BJ355" s="166"/>
      <c r="BK355" s="166"/>
      <c r="BL355" s="166"/>
      <c r="BM355" s="166"/>
      <c r="BN355" s="166"/>
    </row>
    <row r="356" spans="2:66" ht="14.4" x14ac:dyDescent="0.25">
      <c r="B356" s="844" t="s">
        <v>439</v>
      </c>
      <c r="C356" s="178"/>
      <c r="D356" s="178"/>
      <c r="E356" s="178"/>
      <c r="F356" s="178"/>
      <c r="G356" s="178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849">
        <f>IRR(C355:AT355)</f>
        <v>2.0595920230711551E-2</v>
      </c>
      <c r="AU356" s="166"/>
      <c r="AV356" s="166"/>
      <c r="AW356" s="166"/>
      <c r="AX356" s="166"/>
      <c r="AY356" s="166"/>
      <c r="AZ356" s="166"/>
      <c r="BA356" s="166"/>
      <c r="BB356" s="166"/>
      <c r="BC356" s="166"/>
      <c r="BD356" s="166"/>
      <c r="BE356" s="166"/>
      <c r="BF356" s="166"/>
      <c r="BG356" s="166"/>
      <c r="BH356" s="166"/>
      <c r="BI356" s="166"/>
      <c r="BJ356" s="166"/>
      <c r="BK356" s="166"/>
      <c r="BL356" s="166"/>
      <c r="BM356" s="166"/>
      <c r="BN356" s="166"/>
    </row>
    <row r="357" spans="2:66" ht="14.4" x14ac:dyDescent="0.25">
      <c r="B357" s="844"/>
      <c r="C357" s="178"/>
      <c r="D357" s="178"/>
      <c r="E357" s="178"/>
      <c r="F357" s="178"/>
      <c r="G357" s="178"/>
      <c r="H357" s="178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8"/>
      <c r="V357" s="178"/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/>
      <c r="AS357" s="178"/>
      <c r="AT357" s="178"/>
      <c r="AU357" s="166"/>
      <c r="AV357" s="166"/>
      <c r="AW357" s="166"/>
      <c r="AX357" s="166"/>
      <c r="AY357" s="166"/>
      <c r="AZ357" s="166"/>
      <c r="BA357" s="166"/>
      <c r="BB357" s="166"/>
      <c r="BC357" s="166"/>
      <c r="BD357" s="166"/>
      <c r="BE357" s="166"/>
      <c r="BF357" s="166"/>
      <c r="BG357" s="166"/>
      <c r="BH357" s="166"/>
      <c r="BI357" s="166"/>
      <c r="BJ357" s="166"/>
      <c r="BK357" s="166"/>
      <c r="BL357" s="166"/>
      <c r="BM357" s="166"/>
      <c r="BN357" s="166"/>
    </row>
    <row r="358" spans="2:66" ht="14.4" x14ac:dyDescent="0.25">
      <c r="B358" s="844" t="s">
        <v>450</v>
      </c>
      <c r="C358" s="178">
        <f>C332</f>
        <v>0</v>
      </c>
      <c r="D358" s="178">
        <f t="shared" ref="D358:AT358" si="1151">D332</f>
        <v>0</v>
      </c>
      <c r="E358" s="178">
        <f t="shared" si="1151"/>
        <v>0</v>
      </c>
      <c r="F358" s="178">
        <f t="shared" si="1151"/>
        <v>0</v>
      </c>
      <c r="G358" s="178">
        <f t="shared" si="1151"/>
        <v>3233617.4308554912</v>
      </c>
      <c r="H358" s="178">
        <f t="shared" si="1151"/>
        <v>5239659.0733771902</v>
      </c>
      <c r="I358" s="178">
        <f t="shared" si="1151"/>
        <v>5637884.5025512222</v>
      </c>
      <c r="J358" s="178">
        <f t="shared" si="1151"/>
        <v>5654010.5671716267</v>
      </c>
      <c r="K358" s="178">
        <f t="shared" si="1151"/>
        <v>540012.31855377927</v>
      </c>
      <c r="L358" s="178">
        <f t="shared" si="1151"/>
        <v>6048557.8870735839</v>
      </c>
      <c r="M358" s="178">
        <f t="shared" si="1151"/>
        <v>6449377.5799294896</v>
      </c>
      <c r="N358" s="178">
        <f t="shared" si="1151"/>
        <v>6414812.3816516474</v>
      </c>
      <c r="O358" s="178">
        <f t="shared" si="1151"/>
        <v>6784530.554547362</v>
      </c>
      <c r="P358" s="178">
        <f t="shared" si="1151"/>
        <v>712922.8895797357</v>
      </c>
      <c r="Q358" s="178">
        <f t="shared" si="1151"/>
        <v>7135794.6206587311</v>
      </c>
      <c r="R358" s="178">
        <f t="shared" si="1151"/>
        <v>7096724.7930886904</v>
      </c>
      <c r="S358" s="178">
        <f t="shared" si="1151"/>
        <v>7451000.5082916524</v>
      </c>
      <c r="T358" s="178">
        <f t="shared" si="1151"/>
        <v>7356572.6928837337</v>
      </c>
      <c r="U358" s="178">
        <f t="shared" si="1151"/>
        <v>1093699.0501085073</v>
      </c>
      <c r="V358" s="178">
        <f t="shared" si="1151"/>
        <v>7625325.158245272</v>
      </c>
      <c r="W358" s="178">
        <f t="shared" si="1151"/>
        <v>8007410.1335256882</v>
      </c>
      <c r="X358" s="178">
        <f t="shared" si="1151"/>
        <v>7992439.767960337</v>
      </c>
      <c r="Y358" s="178">
        <f t="shared" si="1151"/>
        <v>8485610.8100625612</v>
      </c>
      <c r="Z358" s="178">
        <f t="shared" si="1151"/>
        <v>1183405.7473187391</v>
      </c>
      <c r="AA358" s="178">
        <f t="shared" si="1151"/>
        <v>8988797.550951723</v>
      </c>
      <c r="AB358" s="178">
        <f t="shared" si="1151"/>
        <v>8970418.6493551135</v>
      </c>
      <c r="AC358" s="178">
        <f t="shared" si="1151"/>
        <v>9414087.3353914656</v>
      </c>
      <c r="AD358" s="178">
        <f t="shared" si="1151"/>
        <v>9289720.7046823334</v>
      </c>
      <c r="AE358" s="178">
        <f t="shared" si="1151"/>
        <v>1745074.3993556537</v>
      </c>
      <c r="AF358" s="178">
        <f t="shared" si="1151"/>
        <v>9619511.8314181119</v>
      </c>
      <c r="AG358" s="178">
        <f t="shared" si="1151"/>
        <v>10097260.485568594</v>
      </c>
      <c r="AH358" s="178">
        <f t="shared" si="1151"/>
        <v>9960080.4160529822</v>
      </c>
      <c r="AI358" s="178">
        <f t="shared" si="1151"/>
        <v>10455803.928049639</v>
      </c>
      <c r="AJ358" s="178">
        <f t="shared" si="1151"/>
        <v>1516161.2089149803</v>
      </c>
      <c r="AK358" s="178">
        <f t="shared" si="1151"/>
        <v>10826068.90044516</v>
      </c>
      <c r="AL358" s="178">
        <f t="shared" si="1151"/>
        <v>10674723.27666082</v>
      </c>
      <c r="AM358" s="178">
        <f t="shared" si="1151"/>
        <v>11208373.653887741</v>
      </c>
      <c r="AN358" s="178">
        <f t="shared" si="1151"/>
        <v>11049393.245219942</v>
      </c>
      <c r="AO358" s="178">
        <f t="shared" si="1151"/>
        <v>1938909.0165863559</v>
      </c>
      <c r="AP358" s="178">
        <f t="shared" si="1151"/>
        <v>11436031.402383294</v>
      </c>
      <c r="AQ358" s="178">
        <f t="shared" si="1151"/>
        <v>12010395.590685984</v>
      </c>
      <c r="AR358" s="178">
        <f t="shared" si="1151"/>
        <v>11834943.084897835</v>
      </c>
      <c r="AS358" s="178">
        <f t="shared" si="1151"/>
        <v>12430768.315081092</v>
      </c>
      <c r="AT358" s="178">
        <f t="shared" si="1151"/>
        <v>1627954.2316333093</v>
      </c>
      <c r="AU358" s="166"/>
      <c r="AV358" s="166"/>
      <c r="AW358" s="166"/>
      <c r="AX358" s="166"/>
      <c r="AY358" s="166"/>
      <c r="AZ358" s="166"/>
      <c r="BA358" s="166"/>
      <c r="BB358" s="166"/>
      <c r="BC358" s="166"/>
      <c r="BD358" s="166"/>
      <c r="BE358" s="166"/>
      <c r="BF358" s="166"/>
      <c r="BG358" s="166"/>
      <c r="BH358" s="166"/>
      <c r="BI358" s="166"/>
      <c r="BJ358" s="166"/>
      <c r="BK358" s="166"/>
      <c r="BL358" s="166"/>
      <c r="BM358" s="166"/>
      <c r="BN358" s="166"/>
    </row>
    <row r="359" spans="2:66" ht="14.4" x14ac:dyDescent="0.25">
      <c r="B359" s="844" t="s">
        <v>451</v>
      </c>
      <c r="C359" s="178">
        <f>C358+C319</f>
        <v>0</v>
      </c>
      <c r="D359" s="178">
        <f t="shared" ref="D359" si="1152">D358+D319</f>
        <v>0</v>
      </c>
      <c r="E359" s="178">
        <f t="shared" ref="E359" si="1153">E358+E319</f>
        <v>0</v>
      </c>
      <c r="F359" s="178">
        <f t="shared" ref="F359" si="1154">F358+F319</f>
        <v>0</v>
      </c>
      <c r="G359" s="178">
        <f t="shared" ref="G359" si="1155">G358+G319</f>
        <v>-429226.82772933785</v>
      </c>
      <c r="H359" s="178">
        <f t="shared" ref="H359" si="1156">H358+H319</f>
        <v>1576814.8147923611</v>
      </c>
      <c r="I359" s="178">
        <f t="shared" ref="I359" si="1157">I358+I319</f>
        <v>1975040.2439663932</v>
      </c>
      <c r="J359" s="178">
        <f t="shared" ref="J359" si="1158">J358+J319</f>
        <v>1991166.3085867977</v>
      </c>
      <c r="K359" s="178">
        <f t="shared" ref="K359" si="1159">K358+K319</f>
        <v>-3122831.9400310498</v>
      </c>
      <c r="L359" s="178">
        <f t="shared" ref="L359" si="1160">L358+L319</f>
        <v>2590078.5485635484</v>
      </c>
      <c r="M359" s="178">
        <f t="shared" ref="M359" si="1161">M358+M319</f>
        <v>2990898.2414194541</v>
      </c>
      <c r="N359" s="178">
        <f t="shared" ref="N359" si="1162">N358+N319</f>
        <v>2956333.0431416119</v>
      </c>
      <c r="O359" s="178">
        <f t="shared" ref="O359" si="1163">O358+O319</f>
        <v>3326051.2160373265</v>
      </c>
      <c r="P359" s="178">
        <f t="shared" ref="P359" si="1164">P358+P319</f>
        <v>-2745556.4489302998</v>
      </c>
      <c r="Q359" s="178">
        <f t="shared" ref="Q359" si="1165">Q358+Q319</f>
        <v>4160404.6155999154</v>
      </c>
      <c r="R359" s="178">
        <f t="shared" ref="R359" si="1166">R358+R319</f>
        <v>3502786.3830919033</v>
      </c>
      <c r="S359" s="178">
        <f t="shared" ref="S359" si="1167">S358+S319</f>
        <v>3857062.0982948653</v>
      </c>
      <c r="T359" s="178">
        <f t="shared" ref="T359" si="1168">T358+T319</f>
        <v>3762634.2828869466</v>
      </c>
      <c r="U359" s="178">
        <f t="shared" ref="U359" si="1169">U358+U319</f>
        <v>-2500239.3598882798</v>
      </c>
      <c r="V359" s="178">
        <f t="shared" ref="V359" si="1170">V358+V319</f>
        <v>4877447.4977904707</v>
      </c>
      <c r="W359" s="178">
        <f t="shared" ref="W359" si="1171">W358+W319</f>
        <v>5259532.4730708869</v>
      </c>
      <c r="X359" s="178">
        <f t="shared" ref="X359" si="1172">X358+X319</f>
        <v>4069315.5329844872</v>
      </c>
      <c r="Y359" s="178">
        <f t="shared" ref="Y359" si="1173">Y358+Y319</f>
        <v>4562486.575086711</v>
      </c>
      <c r="Z359" s="178">
        <f t="shared" ref="Z359" si="1174">Z358+Z319</f>
        <v>-2739718.4876571107</v>
      </c>
      <c r="AA359" s="178">
        <f t="shared" ref="AA359" si="1175">AA358+AA319</f>
        <v>5065673.3159758728</v>
      </c>
      <c r="AB359" s="178">
        <f t="shared" ref="AB359" si="1176">AB358+AB319</f>
        <v>5047294.4143792633</v>
      </c>
      <c r="AC359" s="178">
        <f t="shared" ref="AC359" si="1177">AC358+AC319</f>
        <v>5341970.4741785619</v>
      </c>
      <c r="AD359" s="178">
        <f t="shared" ref="AD359" si="1178">AD358+AD319</f>
        <v>5217603.8434694298</v>
      </c>
      <c r="AE359" s="178">
        <f t="shared" ref="AE359" si="1179">AE358+AE319</f>
        <v>-2327042.46185725</v>
      </c>
      <c r="AF359" s="178">
        <f t="shared" ref="AF359" si="1180">AF358+AF319</f>
        <v>5547394.9702052083</v>
      </c>
      <c r="AG359" s="178">
        <f t="shared" ref="AG359" si="1181">AG358+AG319</f>
        <v>6025143.6243556906</v>
      </c>
      <c r="AH359" s="178">
        <f t="shared" ref="AH359" si="1182">AH358+AH319</f>
        <v>5887963.5548400786</v>
      </c>
      <c r="AI359" s="178">
        <f t="shared" ref="AI359" si="1183">AI358+AI319</f>
        <v>6383687.0668367352</v>
      </c>
      <c r="AJ359" s="178">
        <f t="shared" ref="AJ359" si="1184">AJ358+AJ319</f>
        <v>-2555955.6522979233</v>
      </c>
      <c r="AK359" s="178">
        <f t="shared" ref="AK359" si="1185">AK358+AK319</f>
        <v>6753952.0392322559</v>
      </c>
      <c r="AL359" s="178">
        <f t="shared" ref="AL359" si="1186">AL358+AL319</f>
        <v>6602606.4154479168</v>
      </c>
      <c r="AM359" s="178">
        <f t="shared" ref="AM359" si="1187">AM358+AM319</f>
        <v>8311503.3671958856</v>
      </c>
      <c r="AN359" s="178">
        <f t="shared" ref="AN359" si="1188">AN358+AN319</f>
        <v>8920063.9897031114</v>
      </c>
      <c r="AO359" s="178">
        <f t="shared" ref="AO359" si="1189">AO358+AO319</f>
        <v>-2596276.8853847366</v>
      </c>
      <c r="AP359" s="178">
        <f t="shared" ref="AP359" si="1190">AP358+AP319</f>
        <v>6900845.5004122015</v>
      </c>
      <c r="AQ359" s="178">
        <f t="shared" ref="AQ359" si="1191">AQ358+AQ319</f>
        <v>7475209.6887148917</v>
      </c>
      <c r="AR359" s="178">
        <f t="shared" ref="AR359" si="1192">AR358+AR319</f>
        <v>7299757.1829267424</v>
      </c>
      <c r="AS359" s="178">
        <f t="shared" ref="AS359" si="1193">AS358+AS319</f>
        <v>7895582.4131099992</v>
      </c>
      <c r="AT359" s="178">
        <f t="shared" ref="AT359" si="1194">AT358+AT319</f>
        <v>-2907231.6703377832</v>
      </c>
      <c r="AU359" s="166"/>
      <c r="AV359" s="166"/>
      <c r="AW359" s="166"/>
      <c r="AX359" s="166"/>
      <c r="AY359" s="166"/>
      <c r="AZ359" s="166"/>
      <c r="BA359" s="166"/>
      <c r="BB359" s="166"/>
      <c r="BC359" s="166"/>
      <c r="BD359" s="166"/>
      <c r="BE359" s="166"/>
      <c r="BF359" s="166"/>
      <c r="BG359" s="166"/>
      <c r="BH359" s="166"/>
      <c r="BI359" s="166"/>
      <c r="BJ359" s="166"/>
      <c r="BK359" s="166"/>
      <c r="BL359" s="166"/>
      <c r="BM359" s="166"/>
      <c r="BN359" s="166"/>
    </row>
    <row r="360" spans="2:66" ht="14.4" x14ac:dyDescent="0.25">
      <c r="B360" s="844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178"/>
      <c r="P360" s="178"/>
      <c r="Q360" s="178"/>
      <c r="R360" s="178"/>
      <c r="S360" s="178"/>
      <c r="T360" s="178"/>
      <c r="U360" s="178"/>
      <c r="V360" s="178"/>
      <c r="W360" s="178"/>
      <c r="X360" s="178"/>
      <c r="Y360" s="178"/>
      <c r="Z360" s="178"/>
      <c r="AA360" s="178"/>
      <c r="AB360" s="178"/>
      <c r="AC360" s="178"/>
      <c r="AD360" s="178"/>
      <c r="AE360" s="178"/>
      <c r="AF360" s="178"/>
      <c r="AG360" s="178"/>
      <c r="AH360" s="178"/>
      <c r="AI360" s="178"/>
      <c r="AJ360" s="178"/>
      <c r="AK360" s="178"/>
      <c r="AL360" s="178"/>
      <c r="AM360" s="178"/>
      <c r="AN360" s="178"/>
      <c r="AO360" s="178"/>
      <c r="AP360" s="178"/>
      <c r="AQ360" s="178"/>
      <c r="AR360" s="178"/>
      <c r="AS360" s="178"/>
      <c r="AT360" s="178"/>
      <c r="AU360" s="166"/>
      <c r="AV360" s="166"/>
      <c r="AW360" s="166"/>
      <c r="AX360" s="166"/>
      <c r="AY360" s="166"/>
      <c r="AZ360" s="166"/>
      <c r="BA360" s="166"/>
      <c r="BB360" s="166"/>
      <c r="BC360" s="166"/>
      <c r="BD360" s="166"/>
      <c r="BE360" s="166"/>
      <c r="BF360" s="166"/>
      <c r="BG360" s="166"/>
      <c r="BH360" s="166"/>
      <c r="BI360" s="166"/>
      <c r="BJ360" s="166"/>
      <c r="BK360" s="166"/>
      <c r="BL360" s="166"/>
      <c r="BM360" s="166"/>
      <c r="BN360" s="166"/>
    </row>
    <row r="361" spans="2:66" ht="14.4" x14ac:dyDescent="0.25">
      <c r="B361" s="844" t="s">
        <v>489</v>
      </c>
      <c r="C361" s="908"/>
      <c r="D361" s="908"/>
      <c r="E361" s="908"/>
      <c r="F361" s="908"/>
      <c r="G361" s="909">
        <f>ABS(G330)/ABS(G325)</f>
        <v>1.9360351978531158</v>
      </c>
      <c r="H361" s="909">
        <f t="shared" ref="H361:AT361" si="1195">ABS(H330)/ABS(H325)</f>
        <v>2.4774792925958717</v>
      </c>
      <c r="I361" s="909">
        <f t="shared" si="1195"/>
        <v>2.553350124515501</v>
      </c>
      <c r="J361" s="909">
        <f t="shared" si="1195"/>
        <v>2.5220845252983008</v>
      </c>
      <c r="K361" s="909">
        <f t="shared" si="1195"/>
        <v>1.0581013027119104</v>
      </c>
      <c r="L361" s="909">
        <f t="shared" si="1195"/>
        <v>2.5544415888911827</v>
      </c>
      <c r="M361" s="909">
        <f t="shared" si="1195"/>
        <v>2.6193912731982256</v>
      </c>
      <c r="N361" s="909">
        <f t="shared" si="1195"/>
        <v>2.5737056818153214</v>
      </c>
      <c r="O361" s="909">
        <f t="shared" si="1195"/>
        <v>2.6261441878871175</v>
      </c>
      <c r="P361" s="909">
        <f t="shared" si="1195"/>
        <v>1.0691806166587858</v>
      </c>
      <c r="Q361" s="909">
        <f t="shared" si="1195"/>
        <v>2.6325381886945896</v>
      </c>
      <c r="R361" s="909">
        <f t="shared" si="1195"/>
        <v>2.5862112406511648</v>
      </c>
      <c r="S361" s="909">
        <f t="shared" si="1195"/>
        <v>2.6270234463211546</v>
      </c>
      <c r="T361" s="909">
        <f t="shared" si="1195"/>
        <v>2.5693687821751272</v>
      </c>
      <c r="U361" s="909">
        <f t="shared" si="1195"/>
        <v>1.0956943653487059</v>
      </c>
      <c r="V361" s="909">
        <f t="shared" si="1195"/>
        <v>2.5524965619397215</v>
      </c>
      <c r="W361" s="909">
        <f t="shared" si="1195"/>
        <v>2.5926372974919309</v>
      </c>
      <c r="X361" s="909">
        <f t="shared" si="1195"/>
        <v>2.5529260977925774</v>
      </c>
      <c r="Y361" s="909">
        <f t="shared" si="1195"/>
        <v>2.6106278571872701</v>
      </c>
      <c r="Z361" s="909">
        <f t="shared" si="1195"/>
        <v>1.0933368099318626</v>
      </c>
      <c r="AA361" s="909">
        <f t="shared" si="1195"/>
        <v>2.6280856757212425</v>
      </c>
      <c r="AB361" s="909">
        <f t="shared" si="1195"/>
        <v>2.5871253772502141</v>
      </c>
      <c r="AC361" s="909">
        <f t="shared" si="1195"/>
        <v>2.6270229032451717</v>
      </c>
      <c r="AD361" s="909">
        <f t="shared" si="1195"/>
        <v>2.5682997283482711</v>
      </c>
      <c r="AE361" s="909">
        <f t="shared" si="1195"/>
        <v>1.1240352477119901</v>
      </c>
      <c r="AF361" s="909">
        <f t="shared" si="1195"/>
        <v>2.5494711616654766</v>
      </c>
      <c r="AG361" s="909">
        <f t="shared" si="1195"/>
        <v>2.5886458878480552</v>
      </c>
      <c r="AH361" s="909">
        <f t="shared" si="1195"/>
        <v>2.5306415333262842</v>
      </c>
      <c r="AI361" s="909">
        <f t="shared" si="1195"/>
        <v>2.5694562300571295</v>
      </c>
      <c r="AJ361" s="909">
        <f t="shared" si="1195"/>
        <v>1.0970882365918111</v>
      </c>
      <c r="AK361" s="909">
        <f t="shared" si="1195"/>
        <v>2.5502683271251514</v>
      </c>
      <c r="AL361" s="909">
        <f t="shared" si="1195"/>
        <v>2.4929865144477192</v>
      </c>
      <c r="AM361" s="909">
        <f t="shared" si="1195"/>
        <v>2.5310840689544163</v>
      </c>
      <c r="AN361" s="909">
        <f t="shared" si="1195"/>
        <v>2.4741648326136536</v>
      </c>
      <c r="AO361" s="909">
        <f t="shared" si="1195"/>
        <v>1.1118262830532106</v>
      </c>
      <c r="AP361" s="909">
        <f t="shared" si="1195"/>
        <v>2.4553495053225847</v>
      </c>
      <c r="AQ361" s="909">
        <f t="shared" si="1195"/>
        <v>2.4927340370331814</v>
      </c>
      <c r="AR361" s="909">
        <f t="shared" si="1195"/>
        <v>2.4365423815225218</v>
      </c>
      <c r="AS361" s="909">
        <f t="shared" si="1195"/>
        <v>2.4735720317626857</v>
      </c>
      <c r="AT361" s="909">
        <f t="shared" si="1195"/>
        <v>1.0845407342322819</v>
      </c>
      <c r="AU361" s="166"/>
      <c r="AV361" s="166"/>
      <c r="AW361" s="166"/>
      <c r="AX361" s="166"/>
      <c r="AY361" s="166"/>
      <c r="AZ361" s="166"/>
      <c r="BA361" s="166"/>
      <c r="BB361" s="166"/>
      <c r="BC361" s="166"/>
      <c r="BD361" s="166"/>
      <c r="BE361" s="166"/>
      <c r="BF361" s="166"/>
      <c r="BG361" s="166"/>
      <c r="BH361" s="166"/>
      <c r="BI361" s="166"/>
      <c r="BJ361" s="166"/>
      <c r="BK361" s="166"/>
      <c r="BL361" s="166"/>
      <c r="BM361" s="166"/>
      <c r="BN361" s="166"/>
    </row>
    <row r="362" spans="2:66" ht="14.4" x14ac:dyDescent="0.25">
      <c r="B362" s="844" t="s">
        <v>490</v>
      </c>
      <c r="C362" s="908"/>
      <c r="D362" s="908"/>
      <c r="E362" s="908"/>
      <c r="F362" s="908"/>
      <c r="G362" s="909">
        <f>G361-1</f>
        <v>0.93603519785311584</v>
      </c>
      <c r="H362" s="909">
        <f t="shared" ref="H362" si="1196">H361-1</f>
        <v>1.4774792925958717</v>
      </c>
      <c r="I362" s="909">
        <f t="shared" ref="I362" si="1197">I361-1</f>
        <v>1.553350124515501</v>
      </c>
      <c r="J362" s="909">
        <f t="shared" ref="J362" si="1198">J361-1</f>
        <v>1.5220845252983008</v>
      </c>
      <c r="K362" s="909">
        <f t="shared" ref="K362" si="1199">K361-1</f>
        <v>5.8101302711910385E-2</v>
      </c>
      <c r="L362" s="909">
        <f t="shared" ref="L362" si="1200">L361-1</f>
        <v>1.5544415888911827</v>
      </c>
      <c r="M362" s="909">
        <f t="shared" ref="M362" si="1201">M361-1</f>
        <v>1.6193912731982256</v>
      </c>
      <c r="N362" s="909">
        <f t="shared" ref="N362" si="1202">N361-1</f>
        <v>1.5737056818153214</v>
      </c>
      <c r="O362" s="909">
        <f t="shared" ref="O362" si="1203">O361-1</f>
        <v>1.6261441878871175</v>
      </c>
      <c r="P362" s="909">
        <f t="shared" ref="P362" si="1204">P361-1</f>
        <v>6.9180616658785832E-2</v>
      </c>
      <c r="Q362" s="909">
        <f t="shared" ref="Q362" si="1205">Q361-1</f>
        <v>1.6325381886945896</v>
      </c>
      <c r="R362" s="909">
        <f t="shared" ref="R362" si="1206">R361-1</f>
        <v>1.5862112406511648</v>
      </c>
      <c r="S362" s="909">
        <f t="shared" ref="S362" si="1207">S361-1</f>
        <v>1.6270234463211546</v>
      </c>
      <c r="T362" s="909">
        <f t="shared" ref="T362" si="1208">T361-1</f>
        <v>1.5693687821751272</v>
      </c>
      <c r="U362" s="909">
        <f t="shared" ref="U362" si="1209">U361-1</f>
        <v>9.5694365348705901E-2</v>
      </c>
      <c r="V362" s="909">
        <f t="shared" ref="V362" si="1210">V361-1</f>
        <v>1.5524965619397215</v>
      </c>
      <c r="W362" s="909">
        <f t="shared" ref="W362" si="1211">W361-1</f>
        <v>1.5926372974919309</v>
      </c>
      <c r="X362" s="909">
        <f t="shared" ref="X362" si="1212">X361-1</f>
        <v>1.5529260977925774</v>
      </c>
      <c r="Y362" s="909">
        <f t="shared" ref="Y362" si="1213">Y361-1</f>
        <v>1.6106278571872701</v>
      </c>
      <c r="Z362" s="909">
        <f t="shared" ref="Z362" si="1214">Z361-1</f>
        <v>9.3336809931862552E-2</v>
      </c>
      <c r="AA362" s="909">
        <f t="shared" ref="AA362" si="1215">AA361-1</f>
        <v>1.6280856757212425</v>
      </c>
      <c r="AB362" s="909">
        <f t="shared" ref="AB362" si="1216">AB361-1</f>
        <v>1.5871253772502141</v>
      </c>
      <c r="AC362" s="909">
        <f t="shared" ref="AC362" si="1217">AC361-1</f>
        <v>1.6270229032451717</v>
      </c>
      <c r="AD362" s="909">
        <f t="shared" ref="AD362" si="1218">AD361-1</f>
        <v>1.5682997283482711</v>
      </c>
      <c r="AE362" s="909">
        <f t="shared" ref="AE362" si="1219">AE361-1</f>
        <v>0.12403524771199015</v>
      </c>
      <c r="AF362" s="909">
        <f t="shared" ref="AF362" si="1220">AF361-1</f>
        <v>1.5494711616654766</v>
      </c>
      <c r="AG362" s="909">
        <f t="shared" ref="AG362" si="1221">AG361-1</f>
        <v>1.5886458878480552</v>
      </c>
      <c r="AH362" s="909">
        <f t="shared" ref="AH362" si="1222">AH361-1</f>
        <v>1.5306415333262842</v>
      </c>
      <c r="AI362" s="909">
        <f t="shared" ref="AI362" si="1223">AI361-1</f>
        <v>1.5694562300571295</v>
      </c>
      <c r="AJ362" s="909">
        <f t="shared" ref="AJ362" si="1224">AJ361-1</f>
        <v>9.7088236591811095E-2</v>
      </c>
      <c r="AK362" s="909">
        <f t="shared" ref="AK362" si="1225">AK361-1</f>
        <v>1.5502683271251514</v>
      </c>
      <c r="AL362" s="909">
        <f t="shared" ref="AL362" si="1226">AL361-1</f>
        <v>1.4929865144477192</v>
      </c>
      <c r="AM362" s="909">
        <f t="shared" ref="AM362" si="1227">AM361-1</f>
        <v>1.5310840689544163</v>
      </c>
      <c r="AN362" s="909">
        <f t="shared" ref="AN362" si="1228">AN361-1</f>
        <v>1.4741648326136536</v>
      </c>
      <c r="AO362" s="909">
        <f t="shared" ref="AO362" si="1229">AO361-1</f>
        <v>0.11182628305321063</v>
      </c>
      <c r="AP362" s="909">
        <f t="shared" ref="AP362" si="1230">AP361-1</f>
        <v>1.4553495053225847</v>
      </c>
      <c r="AQ362" s="909">
        <f t="shared" ref="AQ362" si="1231">AQ361-1</f>
        <v>1.4927340370331814</v>
      </c>
      <c r="AR362" s="909">
        <f t="shared" ref="AR362" si="1232">AR361-1</f>
        <v>1.4365423815225218</v>
      </c>
      <c r="AS362" s="909">
        <f t="shared" ref="AS362" si="1233">AS361-1</f>
        <v>1.4735720317626857</v>
      </c>
      <c r="AT362" s="909">
        <f t="shared" ref="AT362" si="1234">AT361-1</f>
        <v>8.4540734232281922E-2</v>
      </c>
      <c r="AU362" s="166"/>
      <c r="AV362" s="166"/>
      <c r="AW362" s="166"/>
      <c r="AX362" s="166"/>
      <c r="AY362" s="166"/>
      <c r="AZ362" s="166"/>
      <c r="BA362" s="166"/>
      <c r="BB362" s="166"/>
      <c r="BC362" s="166"/>
      <c r="BD362" s="166"/>
      <c r="BE362" s="166"/>
      <c r="BF362" s="166"/>
      <c r="BG362" s="166"/>
      <c r="BH362" s="166"/>
      <c r="BI362" s="166"/>
      <c r="BJ362" s="166"/>
      <c r="BK362" s="166"/>
      <c r="BL362" s="166"/>
      <c r="BM362" s="166"/>
      <c r="BN362" s="166"/>
    </row>
    <row r="363" spans="2:66" ht="14.4" x14ac:dyDescent="0.25">
      <c r="B363" s="844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  <c r="O363" s="178"/>
      <c r="P363" s="178"/>
      <c r="Q363" s="178"/>
      <c r="R363" s="178"/>
      <c r="S363" s="178"/>
      <c r="T363" s="178"/>
      <c r="U363" s="178"/>
      <c r="V363" s="178"/>
      <c r="W363" s="178"/>
      <c r="X363" s="178"/>
      <c r="Y363" s="178"/>
      <c r="Z363" s="178"/>
      <c r="AA363" s="178"/>
      <c r="AB363" s="178"/>
      <c r="AC363" s="178"/>
      <c r="AD363" s="178"/>
      <c r="AE363" s="178"/>
      <c r="AF363" s="178"/>
      <c r="AG363" s="178"/>
      <c r="AH363" s="178"/>
      <c r="AI363" s="178"/>
      <c r="AJ363" s="178"/>
      <c r="AK363" s="178"/>
      <c r="AL363" s="178"/>
      <c r="AM363" s="178"/>
      <c r="AN363" s="178"/>
      <c r="AO363" s="178"/>
      <c r="AP363" s="178"/>
      <c r="AQ363" s="178"/>
      <c r="AR363" s="178"/>
      <c r="AS363" s="178"/>
      <c r="AT363" s="178"/>
      <c r="AU363" s="166"/>
      <c r="AV363" s="166"/>
      <c r="AW363" s="166"/>
      <c r="AX363" s="166"/>
      <c r="AY363" s="166"/>
      <c r="AZ363" s="166"/>
      <c r="BA363" s="166"/>
      <c r="BB363" s="166"/>
      <c r="BC363" s="166"/>
      <c r="BD363" s="166"/>
      <c r="BE363" s="166"/>
      <c r="BF363" s="166"/>
      <c r="BG363" s="166"/>
      <c r="BH363" s="166"/>
      <c r="BI363" s="166"/>
      <c r="BJ363" s="166"/>
      <c r="BK363" s="166"/>
      <c r="BL363" s="166"/>
      <c r="BM363" s="166"/>
      <c r="BN363" s="166"/>
    </row>
    <row r="364" spans="2:66" ht="14.4" x14ac:dyDescent="0.25">
      <c r="B364" s="907" t="s">
        <v>404</v>
      </c>
      <c r="C364" s="268">
        <f>C355/((1+$C$26)^C296)</f>
        <v>-7217680.5455314573</v>
      </c>
      <c r="D364" s="268">
        <f>D355/((1+$C$26)^D296)</f>
        <v>-22987886.52469464</v>
      </c>
      <c r="E364" s="268">
        <f t="shared" ref="E364:AT364" si="1235">E355/((1+$C$26)^E296)</f>
        <v>-52242402.473088883</v>
      </c>
      <c r="F364" s="268">
        <f t="shared" si="1235"/>
        <v>-18976043.035551567</v>
      </c>
      <c r="G364" s="268">
        <f t="shared" si="1235"/>
        <v>1983238.1284941451</v>
      </c>
      <c r="H364" s="268">
        <f t="shared" si="1235"/>
        <v>2544335.8555392446</v>
      </c>
      <c r="I364" s="268">
        <f t="shared" si="1235"/>
        <v>2375953.4345424315</v>
      </c>
      <c r="J364" s="268">
        <f t="shared" si="1235"/>
        <v>2107069.1199027244</v>
      </c>
      <c r="K364" s="268">
        <f t="shared" si="1235"/>
        <v>203130.95907550101</v>
      </c>
      <c r="L364" s="268">
        <f t="shared" si="1235"/>
        <v>1711703.9313128507</v>
      </c>
      <c r="M364" s="268">
        <f t="shared" si="1235"/>
        <v>1591532.1673895156</v>
      </c>
      <c r="N364" s="268">
        <f t="shared" si="1235"/>
        <v>1402578.3534144752</v>
      </c>
      <c r="O364" s="268">
        <f t="shared" si="1235"/>
        <v>1296662.2853355545</v>
      </c>
      <c r="P364" s="268">
        <f t="shared" si="1235"/>
        <v>-410496.91999553953</v>
      </c>
      <c r="Q364" s="268">
        <f t="shared" si="1235"/>
        <v>400688.25095379673</v>
      </c>
      <c r="R364" s="268">
        <f t="shared" si="1235"/>
        <v>938678.567517902</v>
      </c>
      <c r="S364" s="268">
        <f t="shared" si="1235"/>
        <v>863272.64122114377</v>
      </c>
      <c r="T364" s="268">
        <f t="shared" si="1235"/>
        <v>756272.45449925878</v>
      </c>
      <c r="U364" s="268">
        <f t="shared" si="1235"/>
        <v>-241537.64054821106</v>
      </c>
      <c r="V364" s="268">
        <f t="shared" si="1235"/>
        <v>-378191.49291543604</v>
      </c>
      <c r="W364" s="268">
        <f t="shared" si="1235"/>
        <v>137642.94011223243</v>
      </c>
      <c r="X364" s="268">
        <f t="shared" si="1235"/>
        <v>504426.26139613194</v>
      </c>
      <c r="Y364" s="268">
        <f t="shared" si="1235"/>
        <v>468181.30628071539</v>
      </c>
      <c r="Z364" s="268">
        <f t="shared" si="1235"/>
        <v>71175.327478667401</v>
      </c>
      <c r="AA364" s="268">
        <f t="shared" si="1235"/>
        <v>204184.7473389479</v>
      </c>
      <c r="AB364" s="268">
        <f t="shared" si="1235"/>
        <v>136973.68784661603</v>
      </c>
      <c r="AC364" s="268">
        <f t="shared" si="1235"/>
        <v>314474.21497940295</v>
      </c>
      <c r="AD364" s="268">
        <f t="shared" si="1235"/>
        <v>275313.82306096592</v>
      </c>
      <c r="AE364" s="268">
        <f t="shared" si="1235"/>
        <v>56966.236668459518</v>
      </c>
      <c r="AF364" s="268">
        <f t="shared" si="1235"/>
        <v>221803.77063689294</v>
      </c>
      <c r="AG364" s="268">
        <f t="shared" si="1235"/>
        <v>204225.40793403317</v>
      </c>
      <c r="AH364" s="268">
        <f t="shared" si="1235"/>
        <v>178713.13956469184</v>
      </c>
      <c r="AI364" s="268">
        <f t="shared" si="1235"/>
        <v>164604.45319059942</v>
      </c>
      <c r="AJ364" s="268">
        <f t="shared" si="1235"/>
        <v>26863.138180379061</v>
      </c>
      <c r="AK364" s="268">
        <f t="shared" si="1235"/>
        <v>132683.05803492054</v>
      </c>
      <c r="AL364" s="268">
        <f t="shared" si="1235"/>
        <v>-4889.5937844388691</v>
      </c>
      <c r="AM364" s="268">
        <f t="shared" si="1235"/>
        <v>-127506.30603509845</v>
      </c>
      <c r="AN364" s="268">
        <f t="shared" si="1235"/>
        <v>17872.519250940408</v>
      </c>
      <c r="AO364" s="268">
        <f t="shared" si="1235"/>
        <v>18645.609219211547</v>
      </c>
      <c r="AP364" s="268">
        <f t="shared" si="1235"/>
        <v>76768.428775515626</v>
      </c>
      <c r="AQ364" s="268">
        <f t="shared" si="1235"/>
        <v>70748.323724698086</v>
      </c>
      <c r="AR364" s="268">
        <f t="shared" si="1235"/>
        <v>61849.0605131544</v>
      </c>
      <c r="AS364" s="268">
        <f t="shared" si="1235"/>
        <v>57017.900239589551</v>
      </c>
      <c r="AT364" s="268">
        <f t="shared" si="1235"/>
        <v>257072.32397242467</v>
      </c>
      <c r="AU364" s="166"/>
      <c r="AV364" s="166"/>
      <c r="AW364" s="166"/>
      <c r="AX364" s="166"/>
      <c r="AY364" s="166"/>
      <c r="AZ364" s="166"/>
      <c r="BA364" s="166"/>
      <c r="BB364" s="166"/>
      <c r="BC364" s="166"/>
      <c r="BD364" s="166"/>
      <c r="BE364" s="166"/>
      <c r="BF364" s="166"/>
      <c r="BG364" s="166"/>
      <c r="BH364" s="166"/>
      <c r="BI364" s="166"/>
      <c r="BJ364" s="166"/>
      <c r="BK364" s="166"/>
      <c r="BL364" s="166"/>
      <c r="BM364" s="166"/>
      <c r="BN364" s="166"/>
    </row>
    <row r="365" spans="2:66" ht="14.4" x14ac:dyDescent="0.25">
      <c r="B365" s="907" t="s">
        <v>403</v>
      </c>
      <c r="C365" s="824">
        <f>SUM(C364)</f>
        <v>-7217680.5455314573</v>
      </c>
      <c r="D365" s="824">
        <f>SUM(C364:D364)</f>
        <v>-30205567.070226096</v>
      </c>
      <c r="E365" s="824">
        <f>SUM(C364:E364)</f>
        <v>-82447969.543314978</v>
      </c>
      <c r="F365" s="824">
        <f>SUM(C364:F364)</f>
        <v>-101424012.57886654</v>
      </c>
      <c r="G365" s="824">
        <f>SUM(C364:G364)</f>
        <v>-99440774.450372398</v>
      </c>
      <c r="H365" s="824">
        <f>SUM(C364:H364)</f>
        <v>-96896438.594833151</v>
      </c>
      <c r="I365" s="824">
        <f>SUM(C364:I364)</f>
        <v>-94520485.160290718</v>
      </c>
      <c r="J365" s="824">
        <f>SUM(C364:J364)</f>
        <v>-92413416.040387988</v>
      </c>
      <c r="K365" s="824">
        <f>SUM(C364:K364)</f>
        <v>-92210285.081312492</v>
      </c>
      <c r="L365" s="824">
        <f>SUM(C364:L364)</f>
        <v>-90498581.149999648</v>
      </c>
      <c r="M365" s="824">
        <f>SUM(C364:M364)</f>
        <v>-88907048.982610136</v>
      </c>
      <c r="N365" s="824">
        <f>SUM(C364:N364)</f>
        <v>-87504470.62919566</v>
      </c>
      <c r="O365" s="824">
        <f>SUM(C364:O364)</f>
        <v>-86207808.343860105</v>
      </c>
      <c r="P365" s="824">
        <f>SUM(C364:P364)</f>
        <v>-86618305.263855651</v>
      </c>
      <c r="Q365" s="824">
        <f>SUM(C364:Q364)</f>
        <v>-86217617.012901857</v>
      </c>
      <c r="R365" s="824">
        <f>SUM(C364:R364)</f>
        <v>-85278938.445383951</v>
      </c>
      <c r="S365" s="824">
        <f>SUM(C364:S364)</f>
        <v>-84415665.8041628</v>
      </c>
      <c r="T365" s="824">
        <f>SUM(C364:T364)</f>
        <v>-83659393.349663541</v>
      </c>
      <c r="U365" s="824">
        <f>SUM(C364:U364)</f>
        <v>-83900930.990211755</v>
      </c>
      <c r="V365" s="824">
        <f>SUM(C364:V364)</f>
        <v>-84279122.483127192</v>
      </c>
      <c r="W365" s="824">
        <f>SUM(C364:W364)</f>
        <v>-84141479.543014959</v>
      </c>
      <c r="X365" s="824">
        <f>SUM(C364:X364)</f>
        <v>-83637053.281618834</v>
      </c>
      <c r="Y365" s="824">
        <f>SUM(C364:Y364)</f>
        <v>-83168871.975338116</v>
      </c>
      <c r="Z365" s="824">
        <f>SUM(C364:Z364)</f>
        <v>-83097696.647859454</v>
      </c>
      <c r="AA365" s="824">
        <f>SUM(C364:AA364)</f>
        <v>-82893511.900520504</v>
      </c>
      <c r="AB365" s="824">
        <f>SUM(C364:AB364)</f>
        <v>-82756538.212673888</v>
      </c>
      <c r="AC365" s="824">
        <f>SUM(C364:AC364)</f>
        <v>-82442063.997694477</v>
      </c>
      <c r="AD365" s="824">
        <f>SUM(C364:AD364)</f>
        <v>-82166750.174633518</v>
      </c>
      <c r="AE365" s="824">
        <f>SUM(C364:AE364)</f>
        <v>-82109783.937965065</v>
      </c>
      <c r="AF365" s="824">
        <f>SUM(C364:AF364)</f>
        <v>-81887980.167328179</v>
      </c>
      <c r="AG365" s="824">
        <f>SUM(C364:AG364)</f>
        <v>-81683754.759394139</v>
      </c>
      <c r="AH365" s="824">
        <f>SUM(C364:AH364)</f>
        <v>-81505041.619829446</v>
      </c>
      <c r="AI365" s="824">
        <f>SUM(C364:AI364)</f>
        <v>-81340437.166638851</v>
      </c>
      <c r="AJ365" s="824">
        <f>SUM(C364:AJ364)</f>
        <v>-81313574.028458476</v>
      </c>
      <c r="AK365" s="824">
        <f>SUM(C364:AK364)</f>
        <v>-81180890.970423549</v>
      </c>
      <c r="AL365" s="824">
        <f>SUM(C364:AL364)</f>
        <v>-81185780.564207986</v>
      </c>
      <c r="AM365" s="824">
        <f>SUM(C364:AM364)</f>
        <v>-81313286.870243087</v>
      </c>
      <c r="AN365" s="824">
        <f>SUM(C364:AN364)</f>
        <v>-81295414.350992143</v>
      </c>
      <c r="AO365" s="824">
        <f>SUM(C364:AO364)</f>
        <v>-81276768.741772935</v>
      </c>
      <c r="AP365" s="824">
        <f>SUM(C364:AP364)</f>
        <v>-81200000.312997416</v>
      </c>
      <c r="AQ365" s="824">
        <f>SUM(C364:AQ364)</f>
        <v>-81129251.989272714</v>
      </c>
      <c r="AR365" s="824">
        <f>SUM(C364:AR364)</f>
        <v>-81067402.92875956</v>
      </c>
      <c r="AS365" s="824">
        <f>SUM(C364:AS364)</f>
        <v>-81010385.028519973</v>
      </c>
      <c r="AT365" s="824">
        <f>SUM(C364:AT364)</f>
        <v>-80753312.704547554</v>
      </c>
      <c r="AU365" s="166"/>
      <c r="AV365" s="166"/>
      <c r="AW365" s="166"/>
      <c r="AX365" s="166"/>
      <c r="AY365" s="166"/>
      <c r="AZ365" s="166"/>
      <c r="BA365" s="166"/>
      <c r="BB365" s="166"/>
      <c r="BC365" s="166"/>
      <c r="BD365" s="166"/>
      <c r="BE365" s="166"/>
      <c r="BF365" s="166"/>
      <c r="BG365" s="166"/>
      <c r="BH365" s="166"/>
      <c r="BI365" s="166"/>
      <c r="BJ365" s="166"/>
      <c r="BK365" s="166"/>
      <c r="BL365" s="166"/>
      <c r="BM365" s="166"/>
      <c r="BN365" s="166"/>
    </row>
    <row r="366" spans="2:66" x14ac:dyDescent="0.25">
      <c r="AU366" s="166"/>
      <c r="AV366" s="166"/>
      <c r="AW366" s="166"/>
      <c r="AX366" s="166"/>
      <c r="AY366" s="166"/>
      <c r="AZ366" s="166"/>
      <c r="BA366" s="166"/>
      <c r="BB366" s="166"/>
      <c r="BC366" s="166"/>
      <c r="BD366" s="166"/>
      <c r="BE366" s="166"/>
      <c r="BF366" s="166"/>
      <c r="BG366" s="166"/>
      <c r="BH366" s="166"/>
      <c r="BI366" s="166"/>
      <c r="BJ366" s="166"/>
      <c r="BK366" s="166"/>
      <c r="BL366" s="166"/>
      <c r="BM366" s="166"/>
      <c r="BN366" s="166"/>
    </row>
    <row r="367" spans="2:66" x14ac:dyDescent="0.25">
      <c r="AU367" s="166"/>
      <c r="AV367" s="166"/>
      <c r="AW367" s="166"/>
      <c r="AX367" s="166"/>
      <c r="AY367" s="166"/>
      <c r="AZ367" s="166"/>
      <c r="BA367" s="166"/>
      <c r="BB367" s="166"/>
      <c r="BC367" s="166"/>
      <c r="BD367" s="166"/>
      <c r="BE367" s="166"/>
      <c r="BF367" s="166"/>
      <c r="BG367" s="166"/>
      <c r="BH367" s="166"/>
      <c r="BI367" s="166"/>
      <c r="BJ367" s="166"/>
      <c r="BK367" s="166"/>
      <c r="BL367" s="166"/>
      <c r="BM367" s="166"/>
      <c r="BN367" s="166"/>
    </row>
    <row r="368" spans="2:66" s="306" customFormat="1" ht="14.4" x14ac:dyDescent="0.3">
      <c r="B368" s="759" t="s">
        <v>533</v>
      </c>
      <c r="C368" s="759"/>
      <c r="D368" s="759"/>
      <c r="E368" s="759"/>
      <c r="F368" s="759"/>
      <c r="G368" s="759"/>
      <c r="H368" s="759"/>
      <c r="I368" s="759"/>
      <c r="J368" s="759"/>
      <c r="K368" s="759"/>
      <c r="L368" s="759"/>
      <c r="M368" s="759"/>
      <c r="N368" s="759"/>
      <c r="O368" s="759"/>
      <c r="P368" s="759"/>
      <c r="Q368" s="759"/>
      <c r="R368" s="759"/>
      <c r="S368" s="759"/>
      <c r="T368" s="759"/>
      <c r="U368" s="759"/>
      <c r="V368" s="759"/>
      <c r="W368" s="759"/>
      <c r="X368" s="759"/>
      <c r="Y368" s="759"/>
      <c r="Z368" s="759"/>
      <c r="AA368" s="759"/>
      <c r="AB368" s="759"/>
      <c r="AC368" s="759"/>
      <c r="AD368" s="759"/>
      <c r="AE368" s="759"/>
      <c r="AF368" s="759"/>
      <c r="AG368" s="759"/>
      <c r="AH368" s="759"/>
      <c r="AI368" s="759"/>
      <c r="AJ368" s="759"/>
      <c r="AK368" s="759"/>
      <c r="AL368" s="759"/>
      <c r="AM368" s="759"/>
      <c r="AN368" s="759"/>
      <c r="AO368" s="759"/>
      <c r="AP368" s="759"/>
      <c r="AQ368" s="759"/>
      <c r="AR368" s="759"/>
      <c r="AS368" s="759"/>
      <c r="AT368" s="814"/>
    </row>
    <row r="369" spans="2:57" x14ac:dyDescent="0.25"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177"/>
      <c r="AE369" s="177"/>
      <c r="AF369" s="177"/>
      <c r="AG369" s="177"/>
      <c r="AH369" s="177"/>
      <c r="AI369" s="177"/>
      <c r="AJ369" s="13"/>
      <c r="AK369" s="38"/>
      <c r="AL369" s="38"/>
      <c r="AM369" s="38"/>
      <c r="AN369" s="38"/>
      <c r="AO369" s="38"/>
      <c r="AP369" s="38"/>
      <c r="AQ369" s="38"/>
      <c r="AR369" s="38"/>
      <c r="AS369" s="38"/>
      <c r="AT369" s="13"/>
      <c r="AU369" s="166"/>
      <c r="AV369" s="166"/>
      <c r="AW369" s="166"/>
      <c r="AX369" s="166"/>
      <c r="AY369" s="166"/>
      <c r="AZ369" s="166"/>
      <c r="BA369" s="166"/>
      <c r="BB369" s="166"/>
      <c r="BC369" s="166"/>
      <c r="BD369" s="166"/>
      <c r="BE369" s="166"/>
    </row>
    <row r="370" spans="2:57" ht="14.4" x14ac:dyDescent="0.3">
      <c r="B370" s="813" t="s">
        <v>378</v>
      </c>
      <c r="C370" s="179">
        <v>2015</v>
      </c>
      <c r="D370" s="179">
        <v>2016</v>
      </c>
      <c r="E370" s="179">
        <v>2017</v>
      </c>
      <c r="F370" s="179">
        <v>2018</v>
      </c>
      <c r="G370" s="179">
        <v>2019</v>
      </c>
      <c r="H370" s="179">
        <v>2020</v>
      </c>
      <c r="I370" s="179">
        <v>2021</v>
      </c>
      <c r="J370" s="179">
        <v>2022</v>
      </c>
      <c r="K370" s="179">
        <v>2023</v>
      </c>
      <c r="L370" s="179">
        <v>2024</v>
      </c>
      <c r="M370" s="179">
        <v>2025</v>
      </c>
      <c r="N370" s="179">
        <v>2026</v>
      </c>
      <c r="O370" s="179">
        <v>2027</v>
      </c>
      <c r="P370" s="179">
        <v>2028</v>
      </c>
      <c r="Q370" s="179">
        <v>2029</v>
      </c>
      <c r="R370" s="179">
        <v>2030</v>
      </c>
      <c r="S370" s="179">
        <v>2031</v>
      </c>
      <c r="T370" s="179">
        <v>2032</v>
      </c>
      <c r="U370" s="179">
        <v>2033</v>
      </c>
      <c r="V370" s="179">
        <v>2034</v>
      </c>
      <c r="W370" s="179">
        <v>2035</v>
      </c>
      <c r="X370" s="179">
        <v>2036</v>
      </c>
      <c r="Y370" s="179">
        <v>2037</v>
      </c>
      <c r="Z370" s="179">
        <v>2038</v>
      </c>
      <c r="AA370" s="179">
        <v>2039</v>
      </c>
      <c r="AB370" s="179">
        <v>2040</v>
      </c>
      <c r="AC370" s="179">
        <v>2041</v>
      </c>
      <c r="AD370" s="179">
        <v>2042</v>
      </c>
      <c r="AE370" s="179">
        <v>2043</v>
      </c>
      <c r="AF370" s="179">
        <v>2044</v>
      </c>
      <c r="AG370" s="179">
        <v>2045</v>
      </c>
      <c r="AH370" s="179">
        <v>2046</v>
      </c>
      <c r="AI370" s="179">
        <v>2047</v>
      </c>
      <c r="AJ370" s="179">
        <v>2048</v>
      </c>
      <c r="AK370" s="179">
        <v>2049</v>
      </c>
      <c r="AL370" s="179">
        <v>2050</v>
      </c>
      <c r="AM370" s="179">
        <v>2051</v>
      </c>
      <c r="AN370" s="179">
        <v>2052</v>
      </c>
      <c r="AO370" s="179">
        <v>2053</v>
      </c>
      <c r="AP370" s="179">
        <v>2054</v>
      </c>
      <c r="AQ370" s="179">
        <v>2055</v>
      </c>
      <c r="AR370" s="179">
        <v>2056</v>
      </c>
      <c r="AS370" s="179">
        <v>2057</v>
      </c>
      <c r="AT370" s="179">
        <v>2058</v>
      </c>
      <c r="AU370" s="166"/>
      <c r="AV370" s="166"/>
      <c r="AW370" s="166"/>
      <c r="AX370" s="166"/>
      <c r="AY370" s="166"/>
      <c r="AZ370" s="166"/>
      <c r="BA370" s="166"/>
      <c r="BB370" s="166"/>
      <c r="BC370" s="166"/>
      <c r="BD370" s="166"/>
      <c r="BE370" s="166"/>
    </row>
    <row r="371" spans="2:57" ht="14.4" x14ac:dyDescent="0.3">
      <c r="B371" s="813"/>
      <c r="C371" s="816" t="s">
        <v>134</v>
      </c>
      <c r="D371" s="816" t="s">
        <v>135</v>
      </c>
      <c r="E371" s="816" t="s">
        <v>136</v>
      </c>
      <c r="F371" s="816" t="s">
        <v>137</v>
      </c>
      <c r="G371" s="816" t="s">
        <v>138</v>
      </c>
      <c r="H371" s="816" t="s">
        <v>139</v>
      </c>
      <c r="I371" s="816" t="s">
        <v>140</v>
      </c>
      <c r="J371" s="816" t="s">
        <v>141</v>
      </c>
      <c r="K371" s="816" t="s">
        <v>142</v>
      </c>
      <c r="L371" s="816" t="s">
        <v>143</v>
      </c>
      <c r="M371" s="816" t="s">
        <v>144</v>
      </c>
      <c r="N371" s="816" t="s">
        <v>145</v>
      </c>
      <c r="O371" s="816" t="s">
        <v>146</v>
      </c>
      <c r="P371" s="816" t="s">
        <v>147</v>
      </c>
      <c r="Q371" s="816" t="s">
        <v>148</v>
      </c>
      <c r="R371" s="816" t="s">
        <v>149</v>
      </c>
      <c r="S371" s="816" t="s">
        <v>150</v>
      </c>
      <c r="T371" s="816" t="s">
        <v>151</v>
      </c>
      <c r="U371" s="816" t="s">
        <v>152</v>
      </c>
      <c r="V371" s="816" t="s">
        <v>153</v>
      </c>
      <c r="W371" s="816" t="s">
        <v>154</v>
      </c>
      <c r="X371" s="816" t="s">
        <v>155</v>
      </c>
      <c r="Y371" s="816" t="s">
        <v>156</v>
      </c>
      <c r="Z371" s="816" t="s">
        <v>157</v>
      </c>
      <c r="AA371" s="816" t="s">
        <v>158</v>
      </c>
      <c r="AB371" s="816" t="s">
        <v>159</v>
      </c>
      <c r="AC371" s="816" t="s">
        <v>160</v>
      </c>
      <c r="AD371" s="816" t="s">
        <v>161</v>
      </c>
      <c r="AE371" s="816" t="s">
        <v>162</v>
      </c>
      <c r="AF371" s="816" t="s">
        <v>163</v>
      </c>
      <c r="AG371" s="816" t="s">
        <v>164</v>
      </c>
      <c r="AH371" s="816" t="s">
        <v>165</v>
      </c>
      <c r="AI371" s="816" t="s">
        <v>166</v>
      </c>
      <c r="AJ371" s="816" t="s">
        <v>167</v>
      </c>
      <c r="AK371" s="816" t="s">
        <v>168</v>
      </c>
      <c r="AL371" s="816" t="s">
        <v>169</v>
      </c>
      <c r="AM371" s="816" t="s">
        <v>170</v>
      </c>
      <c r="AN371" s="816" t="s">
        <v>171</v>
      </c>
      <c r="AO371" s="816" t="s">
        <v>172</v>
      </c>
      <c r="AP371" s="816" t="s">
        <v>173</v>
      </c>
      <c r="AQ371" s="816" t="s">
        <v>174</v>
      </c>
      <c r="AR371" s="816" t="s">
        <v>224</v>
      </c>
      <c r="AS371" s="816" t="s">
        <v>225</v>
      </c>
      <c r="AT371" s="816" t="s">
        <v>226</v>
      </c>
      <c r="AU371" s="166"/>
      <c r="AV371" s="166"/>
      <c r="AW371" s="166"/>
      <c r="AX371" s="166"/>
      <c r="AY371" s="166"/>
      <c r="AZ371" s="166"/>
      <c r="BA371" s="166"/>
      <c r="BB371" s="166"/>
      <c r="BC371" s="166"/>
      <c r="BD371" s="166"/>
      <c r="BE371" s="166"/>
    </row>
    <row r="372" spans="2:57" ht="14.4" x14ac:dyDescent="0.3">
      <c r="B372" s="813"/>
      <c r="C372" s="816">
        <v>0</v>
      </c>
      <c r="D372" s="816">
        <v>1</v>
      </c>
      <c r="E372" s="816">
        <v>2</v>
      </c>
      <c r="F372" s="816">
        <v>3</v>
      </c>
      <c r="G372" s="816">
        <v>4</v>
      </c>
      <c r="H372" s="816">
        <v>5</v>
      </c>
      <c r="I372" s="816">
        <v>6</v>
      </c>
      <c r="J372" s="816">
        <v>7</v>
      </c>
      <c r="K372" s="816">
        <v>8</v>
      </c>
      <c r="L372" s="816">
        <v>9</v>
      </c>
      <c r="M372" s="816">
        <v>10</v>
      </c>
      <c r="N372" s="816">
        <v>11</v>
      </c>
      <c r="O372" s="816">
        <v>12</v>
      </c>
      <c r="P372" s="816">
        <v>13</v>
      </c>
      <c r="Q372" s="816">
        <v>14</v>
      </c>
      <c r="R372" s="816">
        <v>15</v>
      </c>
      <c r="S372" s="816">
        <v>16</v>
      </c>
      <c r="T372" s="816">
        <v>17</v>
      </c>
      <c r="U372" s="816">
        <v>18</v>
      </c>
      <c r="V372" s="816">
        <v>19</v>
      </c>
      <c r="W372" s="816">
        <v>20</v>
      </c>
      <c r="X372" s="816">
        <v>21</v>
      </c>
      <c r="Y372" s="816">
        <v>22</v>
      </c>
      <c r="Z372" s="816">
        <v>23</v>
      </c>
      <c r="AA372" s="816">
        <v>24</v>
      </c>
      <c r="AB372" s="816">
        <v>25</v>
      </c>
      <c r="AC372" s="816">
        <v>26</v>
      </c>
      <c r="AD372" s="816">
        <v>27</v>
      </c>
      <c r="AE372" s="816">
        <v>28</v>
      </c>
      <c r="AF372" s="816">
        <v>29</v>
      </c>
      <c r="AG372" s="816">
        <v>30</v>
      </c>
      <c r="AH372" s="816">
        <v>31</v>
      </c>
      <c r="AI372" s="816">
        <v>32</v>
      </c>
      <c r="AJ372" s="816">
        <v>33</v>
      </c>
      <c r="AK372" s="816">
        <v>34</v>
      </c>
      <c r="AL372" s="816">
        <v>35</v>
      </c>
      <c r="AM372" s="816">
        <v>36</v>
      </c>
      <c r="AN372" s="816">
        <v>37</v>
      </c>
      <c r="AO372" s="816">
        <v>38</v>
      </c>
      <c r="AP372" s="816">
        <v>39</v>
      </c>
      <c r="AQ372" s="816">
        <v>40</v>
      </c>
      <c r="AR372" s="816">
        <v>41</v>
      </c>
      <c r="AS372" s="816">
        <v>42</v>
      </c>
      <c r="AT372" s="816">
        <v>43</v>
      </c>
      <c r="AU372" s="166"/>
      <c r="AV372" s="166"/>
      <c r="AW372" s="166"/>
      <c r="AX372" s="166"/>
      <c r="AY372" s="166"/>
      <c r="AZ372" s="166"/>
      <c r="BA372" s="166"/>
      <c r="BB372" s="166"/>
      <c r="BC372" s="166"/>
      <c r="BD372" s="166"/>
      <c r="BE372" s="166"/>
    </row>
    <row r="373" spans="2:57" ht="14.4" x14ac:dyDescent="0.3">
      <c r="B373" s="813"/>
      <c r="C373" s="816">
        <v>0</v>
      </c>
      <c r="D373" s="816">
        <v>0</v>
      </c>
      <c r="E373" s="816">
        <v>0</v>
      </c>
      <c r="F373" s="816">
        <v>0</v>
      </c>
      <c r="G373" s="816">
        <v>1</v>
      </c>
      <c r="H373" s="816">
        <v>2</v>
      </c>
      <c r="I373" s="816">
        <v>3</v>
      </c>
      <c r="J373" s="816">
        <v>4</v>
      </c>
      <c r="K373" s="816">
        <v>5</v>
      </c>
      <c r="L373" s="816">
        <v>6</v>
      </c>
      <c r="M373" s="816">
        <v>7</v>
      </c>
      <c r="N373" s="816">
        <v>8</v>
      </c>
      <c r="O373" s="816">
        <v>9</v>
      </c>
      <c r="P373" s="816">
        <v>10</v>
      </c>
      <c r="Q373" s="816">
        <v>11</v>
      </c>
      <c r="R373" s="816">
        <v>12</v>
      </c>
      <c r="S373" s="816">
        <v>13</v>
      </c>
      <c r="T373" s="816">
        <v>14</v>
      </c>
      <c r="U373" s="816">
        <v>15</v>
      </c>
      <c r="V373" s="816">
        <v>16</v>
      </c>
      <c r="W373" s="816">
        <v>17</v>
      </c>
      <c r="X373" s="816">
        <v>18</v>
      </c>
      <c r="Y373" s="816">
        <v>19</v>
      </c>
      <c r="Z373" s="816">
        <v>20</v>
      </c>
      <c r="AA373" s="816">
        <v>21</v>
      </c>
      <c r="AB373" s="816">
        <v>22</v>
      </c>
      <c r="AC373" s="816">
        <v>23</v>
      </c>
      <c r="AD373" s="816">
        <v>24</v>
      </c>
      <c r="AE373" s="816">
        <v>25</v>
      </c>
      <c r="AF373" s="816">
        <v>26</v>
      </c>
      <c r="AG373" s="816">
        <v>27</v>
      </c>
      <c r="AH373" s="816">
        <v>28</v>
      </c>
      <c r="AI373" s="816">
        <v>29</v>
      </c>
      <c r="AJ373" s="816">
        <v>30</v>
      </c>
      <c r="AK373" s="816">
        <v>31</v>
      </c>
      <c r="AL373" s="816">
        <v>32</v>
      </c>
      <c r="AM373" s="816">
        <v>33</v>
      </c>
      <c r="AN373" s="816">
        <v>34</v>
      </c>
      <c r="AO373" s="816">
        <v>35</v>
      </c>
      <c r="AP373" s="816">
        <v>36</v>
      </c>
      <c r="AQ373" s="816">
        <v>37</v>
      </c>
      <c r="AR373" s="816">
        <v>38</v>
      </c>
      <c r="AS373" s="816">
        <v>39</v>
      </c>
      <c r="AT373" s="816">
        <v>40</v>
      </c>
      <c r="AU373" s="166"/>
      <c r="AV373" s="166"/>
      <c r="AW373" s="166"/>
      <c r="AX373" s="166"/>
      <c r="AY373" s="166"/>
      <c r="AZ373" s="166"/>
      <c r="BA373" s="166"/>
      <c r="BB373" s="166"/>
      <c r="BC373" s="166"/>
      <c r="BD373" s="166"/>
      <c r="BE373" s="166"/>
    </row>
    <row r="374" spans="2:57" ht="14.4" x14ac:dyDescent="0.3">
      <c r="B374" s="813"/>
      <c r="C374" s="798"/>
      <c r="D374" s="798"/>
      <c r="E374" s="798"/>
      <c r="F374" s="798"/>
      <c r="G374" s="798"/>
      <c r="H374" s="798"/>
      <c r="I374" s="798"/>
      <c r="J374" s="798"/>
      <c r="K374" s="798"/>
      <c r="L374" s="798"/>
      <c r="M374" s="798"/>
      <c r="N374" s="798"/>
      <c r="O374" s="798"/>
      <c r="P374" s="798"/>
      <c r="Q374" s="798"/>
      <c r="R374" s="798"/>
      <c r="S374" s="798"/>
      <c r="T374" s="798"/>
      <c r="U374" s="798"/>
      <c r="V374" s="798"/>
      <c r="W374" s="798"/>
      <c r="X374" s="798"/>
      <c r="Y374" s="798"/>
      <c r="Z374" s="798"/>
      <c r="AA374" s="798"/>
      <c r="AB374" s="798"/>
      <c r="AC374" s="798"/>
      <c r="AD374" s="798"/>
      <c r="AE374" s="798"/>
      <c r="AF374" s="798"/>
      <c r="AG374" s="798"/>
      <c r="AH374" s="798"/>
      <c r="AI374" s="798"/>
      <c r="AJ374" s="798"/>
      <c r="AK374" s="798"/>
      <c r="AL374" s="798"/>
      <c r="AM374" s="798"/>
      <c r="AN374" s="798"/>
      <c r="AO374" s="798"/>
      <c r="AP374" s="798"/>
      <c r="AQ374" s="798"/>
      <c r="AR374" s="798"/>
      <c r="AS374" s="798"/>
      <c r="AT374" s="798"/>
      <c r="AU374" s="166"/>
      <c r="AV374" s="166"/>
      <c r="AW374" s="166"/>
      <c r="AX374" s="166"/>
      <c r="AY374" s="166"/>
      <c r="AZ374" s="166"/>
      <c r="BA374" s="166"/>
      <c r="BB374" s="166"/>
      <c r="BC374" s="166"/>
      <c r="BD374" s="166"/>
      <c r="BE374" s="166"/>
    </row>
    <row r="375" spans="2:57" ht="14.4" x14ac:dyDescent="0.25">
      <c r="B375" s="830" t="s">
        <v>434</v>
      </c>
      <c r="C375" s="807"/>
      <c r="D375" s="807"/>
      <c r="E375" s="807"/>
      <c r="F375" s="807"/>
      <c r="G375" s="807"/>
      <c r="H375" s="807"/>
      <c r="I375" s="807"/>
      <c r="J375" s="807"/>
      <c r="K375" s="807"/>
      <c r="L375" s="807"/>
      <c r="M375" s="807"/>
      <c r="N375" s="807"/>
      <c r="O375" s="807"/>
      <c r="P375" s="807"/>
      <c r="Q375" s="807"/>
      <c r="R375" s="807"/>
      <c r="S375" s="807"/>
      <c r="T375" s="807"/>
      <c r="U375" s="807"/>
      <c r="V375" s="807"/>
      <c r="W375" s="807"/>
      <c r="X375" s="807"/>
      <c r="Y375" s="807"/>
      <c r="Z375" s="807"/>
      <c r="AA375" s="807"/>
      <c r="AB375" s="807"/>
      <c r="AC375" s="807"/>
      <c r="AD375" s="807"/>
      <c r="AE375" s="807"/>
      <c r="AF375" s="807"/>
      <c r="AG375" s="807"/>
      <c r="AH375" s="807"/>
      <c r="AI375" s="807"/>
      <c r="AJ375" s="807"/>
      <c r="AK375" s="807"/>
      <c r="AL375" s="807"/>
      <c r="AM375" s="807"/>
      <c r="AN375" s="807"/>
      <c r="AO375" s="807"/>
      <c r="AP375" s="807"/>
      <c r="AQ375" s="807"/>
      <c r="AR375" s="807"/>
      <c r="AS375" s="807"/>
      <c r="AT375" s="807"/>
    </row>
    <row r="376" spans="2:57" x14ac:dyDescent="0.25">
      <c r="B376" s="831" t="s">
        <v>449</v>
      </c>
      <c r="C376" s="178">
        <v>0</v>
      </c>
      <c r="D376" s="178">
        <v>0</v>
      </c>
      <c r="E376" s="178">
        <v>0</v>
      </c>
      <c r="F376" s="178">
        <v>0</v>
      </c>
      <c r="G376" s="268">
        <f>G300</f>
        <v>3454589.5691445097</v>
      </c>
      <c r="H376" s="268">
        <f t="shared" ref="H376:AT376" si="1236">H300</f>
        <v>3546350.2599561452</v>
      </c>
      <c r="I376" s="268">
        <f t="shared" si="1236"/>
        <v>3629500.1452487805</v>
      </c>
      <c r="J376" s="268">
        <f t="shared" si="1236"/>
        <v>3714649.5304283733</v>
      </c>
      <c r="K376" s="268">
        <f t="shared" si="1236"/>
        <v>9294323.7646731809</v>
      </c>
      <c r="L376" s="268">
        <f t="shared" si="1236"/>
        <v>3891145.174125297</v>
      </c>
      <c r="M376" s="268">
        <f t="shared" si="1236"/>
        <v>3982593.760180179</v>
      </c>
      <c r="N376" s="268">
        <f t="shared" si="1236"/>
        <v>4076246.5661634705</v>
      </c>
      <c r="O376" s="268">
        <f t="shared" si="1236"/>
        <v>4172158.0442154035</v>
      </c>
      <c r="P376" s="268">
        <f t="shared" si="1236"/>
        <v>10305240.456239779</v>
      </c>
      <c r="Q376" s="268">
        <f t="shared" si="1236"/>
        <v>4370981.7449138239</v>
      </c>
      <c r="R376" s="268">
        <f t="shared" si="1236"/>
        <v>4474009.8993217153</v>
      </c>
      <c r="S376" s="268">
        <f t="shared" si="1236"/>
        <v>4579528.6633017063</v>
      </c>
      <c r="T376" s="268">
        <f t="shared" si="1236"/>
        <v>4687599.7384678498</v>
      </c>
      <c r="U376" s="268">
        <f t="shared" si="1236"/>
        <v>11429085.151702685</v>
      </c>
      <c r="V376" s="268">
        <f t="shared" si="1236"/>
        <v>4911653.4910183838</v>
      </c>
      <c r="W376" s="268">
        <f t="shared" si="1236"/>
        <v>5027767.5564522296</v>
      </c>
      <c r="X376" s="268">
        <f t="shared" si="1236"/>
        <v>5146696.7934412798</v>
      </c>
      <c r="Y376" s="268">
        <f t="shared" si="1236"/>
        <v>5268511.1412896216</v>
      </c>
      <c r="Z376" s="268">
        <f t="shared" si="1236"/>
        <v>12678875.013862662</v>
      </c>
      <c r="AA376" s="268">
        <f t="shared" si="1236"/>
        <v>5521083.8624752844</v>
      </c>
      <c r="AB376" s="268">
        <f t="shared" si="1236"/>
        <v>5651991.1898182109</v>
      </c>
      <c r="AC376" s="268">
        <f t="shared" si="1236"/>
        <v>5786081.6320499461</v>
      </c>
      <c r="AD376" s="268">
        <f t="shared" si="1236"/>
        <v>5923434.4919935949</v>
      </c>
      <c r="AE376" s="268">
        <f t="shared" si="1236"/>
        <v>14069181.394370388</v>
      </c>
      <c r="AF376" s="268">
        <f t="shared" si="1236"/>
        <v>6208254.835203521</v>
      </c>
      <c r="AG376" s="268">
        <f t="shared" si="1236"/>
        <v>6355891.2422239808</v>
      </c>
      <c r="AH376" s="268">
        <f t="shared" si="1236"/>
        <v>6507128.0239001652</v>
      </c>
      <c r="AI376" s="268">
        <f t="shared" si="1236"/>
        <v>6662055.1295457529</v>
      </c>
      <c r="AJ376" s="268">
        <f t="shared" si="1236"/>
        <v>15616322.452012271</v>
      </c>
      <c r="AK376" s="268">
        <f t="shared" si="1236"/>
        <v>6983351.6630770871</v>
      </c>
      <c r="AL376" s="268">
        <f t="shared" si="1236"/>
        <v>7149912.7241678927</v>
      </c>
      <c r="AM376" s="268">
        <f t="shared" si="1236"/>
        <v>7320547.5004008031</v>
      </c>
      <c r="AN376" s="268">
        <f t="shared" si="1236"/>
        <v>7495358.0500422539</v>
      </c>
      <c r="AO376" s="268">
        <f t="shared" si="1236"/>
        <v>17338580.552335452</v>
      </c>
      <c r="AP376" s="268">
        <f t="shared" si="1236"/>
        <v>7857927.8452074975</v>
      </c>
      <c r="AQ376" s="268">
        <f t="shared" si="1236"/>
        <v>8045904.5568202641</v>
      </c>
      <c r="AR376" s="268">
        <f t="shared" si="1236"/>
        <v>8238492.1162956236</v>
      </c>
      <c r="AS376" s="268">
        <f t="shared" si="1236"/>
        <v>8435806.3583844062</v>
      </c>
      <c r="AT376" s="268">
        <f t="shared" si="1236"/>
        <v>19256447.751688365</v>
      </c>
    </row>
    <row r="377" spans="2:57" x14ac:dyDescent="0.25">
      <c r="B377" s="832" t="s">
        <v>379</v>
      </c>
      <c r="C377" s="178">
        <v>0</v>
      </c>
      <c r="D377" s="178">
        <v>0</v>
      </c>
      <c r="E377" s="178">
        <v>0</v>
      </c>
      <c r="F377" s="178">
        <v>0</v>
      </c>
      <c r="G377" s="758">
        <f>DEMANDA!C51*PARAMETROS!$C$67</f>
        <v>6005400</v>
      </c>
      <c r="H377" s="758">
        <f>DEMANDA!D51*PARAMETROS!$C$67</f>
        <v>8007200</v>
      </c>
      <c r="I377" s="758">
        <f>DEMANDA!E51*PARAMETROS!$C$67</f>
        <v>8079786.6666666679</v>
      </c>
      <c r="J377" s="758">
        <f>DEMANDA!F51*PARAMETROS!$C$67</f>
        <v>8152373.3333333349</v>
      </c>
      <c r="K377" s="758">
        <f>DEMANDA!G51*PARAMETROS!$C$67</f>
        <v>8224960.0000000019</v>
      </c>
      <c r="L377" s="758">
        <f>DEMANDA!H51*PARAMETROS!$C$67</f>
        <v>8297546.6666666688</v>
      </c>
      <c r="M377" s="758">
        <f>DEMANDA!I51*PARAMETROS!$C$67</f>
        <v>8370133.3333333349</v>
      </c>
      <c r="N377" s="758">
        <f>DEMANDA!J51*PARAMETROS!$C$67</f>
        <v>8416050.4530568793</v>
      </c>
      <c r="O377" s="758">
        <f>DEMANDA!K51*PARAMETROS!$C$67</f>
        <v>8461967.5727804229</v>
      </c>
      <c r="P377" s="758">
        <f>DEMANDA!L51*PARAMETROS!$C$67</f>
        <v>8507884.6925039664</v>
      </c>
      <c r="Q377" s="758">
        <f>DEMANDA!M51*PARAMETROS!$C$67</f>
        <v>8553801.8122275099</v>
      </c>
      <c r="R377" s="758">
        <f>DEMANDA!N51*PARAMETROS!$C$67</f>
        <v>8599718.931951059</v>
      </c>
      <c r="S377" s="758">
        <f>DEMANDA!O51*PARAMETROS!$C$67</f>
        <v>8595581.7752519976</v>
      </c>
      <c r="T377" s="758">
        <f>DEMANDA!P51*PARAMETROS!$C$67</f>
        <v>8591444.6185529362</v>
      </c>
      <c r="U377" s="758">
        <f>DEMANDA!Q51*PARAMETROS!$C$67</f>
        <v>8587307.4618538767</v>
      </c>
      <c r="V377" s="758">
        <f>DEMANDA!R51*PARAMETROS!$C$67</f>
        <v>8583170.3051548153</v>
      </c>
      <c r="W377" s="758">
        <f>DEMANDA!S51*PARAMETROS!$C$67</f>
        <v>8579033.1484557595</v>
      </c>
      <c r="X377" s="758">
        <f>DEMANDA!T51*PARAMETROS!$C$67</f>
        <v>8637409.4008576758</v>
      </c>
      <c r="Y377" s="758">
        <f>DEMANDA!U51*PARAMETROS!$C$67</f>
        <v>8695785.6532595921</v>
      </c>
      <c r="Z377" s="758">
        <f>DEMANDA!V51*PARAMETROS!$C$67</f>
        <v>8754161.9056615066</v>
      </c>
      <c r="AA377" s="758">
        <f>DEMANDA!W51*PARAMETROS!$C$67</f>
        <v>8812538.1580634248</v>
      </c>
      <c r="AB377" s="758">
        <f>DEMANDA!X51*PARAMETROS!$C$67</f>
        <v>8870914.4104653373</v>
      </c>
      <c r="AC377" s="758">
        <f>DEMANDA!Y51*PARAMETROS!$C$67</f>
        <v>8870914.4104653373</v>
      </c>
      <c r="AD377" s="758">
        <f>DEMANDA!Z51*PARAMETROS!$C$67</f>
        <v>8870914.4104653373</v>
      </c>
      <c r="AE377" s="758">
        <f>DEMANDA!AA51*PARAMETROS!$C$67</f>
        <v>8870914.4104653373</v>
      </c>
      <c r="AF377" s="758">
        <f>DEMANDA!AB51*PARAMETROS!$C$67</f>
        <v>8870914.4104653373</v>
      </c>
      <c r="AG377" s="758">
        <f>DEMANDA!AC51*PARAMETROS!$C$67</f>
        <v>8870914.4104653373</v>
      </c>
      <c r="AH377" s="758">
        <f>DEMANDA!AD51*PARAMETROS!$C$67</f>
        <v>8870914.4104653373</v>
      </c>
      <c r="AI377" s="758">
        <f>DEMANDA!AE51*PARAMETROS!$C$67</f>
        <v>8870914.4104653373</v>
      </c>
      <c r="AJ377" s="758">
        <f>DEMANDA!AF51*PARAMETROS!$C$67</f>
        <v>8870914.4104653373</v>
      </c>
      <c r="AK377" s="758">
        <f>DEMANDA!AG51*PARAMETROS!$C$67</f>
        <v>8870914.4104653373</v>
      </c>
      <c r="AL377" s="758">
        <f>DEMANDA!AH51*PARAMETROS!$C$67</f>
        <v>8870914.4104653373</v>
      </c>
      <c r="AM377" s="758">
        <f>DEMANDA!AI51*PARAMETROS!$C$67</f>
        <v>8870914.4104653373</v>
      </c>
      <c r="AN377" s="758">
        <f>DEMANDA!AJ51*PARAMETROS!$C$67</f>
        <v>8870914.4104653373</v>
      </c>
      <c r="AO377" s="758">
        <f>DEMANDA!AK51*PARAMETROS!$C$67</f>
        <v>8870914.4104653373</v>
      </c>
      <c r="AP377" s="758">
        <f>DEMANDA!AL51*PARAMETROS!$C$67</f>
        <v>8870914.4104653373</v>
      </c>
      <c r="AQ377" s="758">
        <f>DEMANDA!AM51*PARAMETROS!$C$67</f>
        <v>8870914.4104653373</v>
      </c>
      <c r="AR377" s="758">
        <f>DEMANDA!AN51*PARAMETROS!$C$67</f>
        <v>8870914.4104653373</v>
      </c>
      <c r="AS377" s="758">
        <f>DEMANDA!AO51*PARAMETROS!$C$67</f>
        <v>8870914.4104653373</v>
      </c>
      <c r="AT377" s="758">
        <f>DEMANDA!AP51*PARAMETROS!$C$67</f>
        <v>8870914.4104653373</v>
      </c>
    </row>
    <row r="378" spans="2:57" x14ac:dyDescent="0.25">
      <c r="B378" s="832" t="s">
        <v>395</v>
      </c>
      <c r="C378" s="178">
        <v>0</v>
      </c>
      <c r="D378" s="178">
        <v>0</v>
      </c>
      <c r="E378" s="178">
        <v>0</v>
      </c>
      <c r="F378" s="178">
        <v>0</v>
      </c>
      <c r="G378" s="758">
        <f>'INGRESOS de pasajeros'!C59*PARAMETROS!$C$67</f>
        <v>7521848.4000000022</v>
      </c>
      <c r="H378" s="758">
        <f>'INGRESOS de pasajeros'!D59*PARAMETROS!$C$67</f>
        <v>10029131.200000001</v>
      </c>
      <c r="I378" s="758">
        <f>'INGRESOS de pasajeros'!E59*PARAMETROS!$C$67</f>
        <v>10596499.977360001</v>
      </c>
      <c r="J378" s="758">
        <f>'INGRESOS de pasajeros'!F59*PARAMETROS!$C$67</f>
        <v>10707543.285119999</v>
      </c>
      <c r="K378" s="758">
        <f>'INGRESOS de pasajeros'!G59*PARAMETROS!$C$67</f>
        <v>11255657.49123235</v>
      </c>
      <c r="L378" s="758">
        <f>'INGRESOS de pasajeros'!H59*PARAMETROS!$C$67</f>
        <v>11371186.948625857</v>
      </c>
      <c r="M378" s="758">
        <f>'INGRESOS de pasajeros'!I59*PARAMETROS!$C$67</f>
        <v>11950779.748822546</v>
      </c>
      <c r="N378" s="758">
        <f>'INGRESOS de pasajeros'!J59*PARAMETROS!$C$67</f>
        <v>12010333.160882905</v>
      </c>
      <c r="O378" s="758">
        <f>'INGRESOS de pasajeros'!K59*PARAMETROS!$C$67</f>
        <v>12557509.990490172</v>
      </c>
      <c r="P378" s="758">
        <f>'INGRESOS de pasajeros'!L59*PARAMETROS!$C$67</f>
        <v>12619469.360397771</v>
      </c>
      <c r="Q378" s="758">
        <f>'INGRESOS de pasajeros'!M59*PARAMETROS!$C$67</f>
        <v>13193758.451009708</v>
      </c>
      <c r="R378" s="758">
        <f>'INGRESOS de pasajeros'!N59*PARAMETROS!$C$67</f>
        <v>13258220.979461581</v>
      </c>
      <c r="S378" s="758">
        <f>'INGRESOS de pasajeros'!O59*PARAMETROS!$C$67</f>
        <v>13797441.14145251</v>
      </c>
      <c r="T378" s="758">
        <f>'INGRESOS de pasajeros'!P59*PARAMETROS!$C$67</f>
        <v>13801029.17587319</v>
      </c>
      <c r="U378" s="758">
        <f>'INGRESOS de pasajeros'!Q59*PARAMETROS!$C$67</f>
        <v>14362323.745589742</v>
      </c>
      <c r="V378" s="758">
        <f>'INGRESOS de pasajeros'!R59*PARAMETROS!$C$67</f>
        <v>14366056.736601023</v>
      </c>
      <c r="W378" s="758">
        <f>'INGRESOS de pasajeros'!S59*PARAMETROS!$C$67</f>
        <v>14950329.232607834</v>
      </c>
      <c r="X378" s="758">
        <f>'INGRESOS de pasajeros'!T59*PARAMETROS!$C$67</f>
        <v>15061242.198408959</v>
      </c>
      <c r="Y378" s="758">
        <f>'INGRESOS de pasajeros'!U59*PARAMETROS!$C$67</f>
        <v>15785110.232844178</v>
      </c>
      <c r="Z378" s="758">
        <f>'INGRESOS de pasajeros'!V59*PARAMETROS!$C$67</f>
        <v>15900504.082463671</v>
      </c>
      <c r="AA378" s="758">
        <f>'INGRESOS de pasajeros'!W59*PARAMETROS!$C$67</f>
        <v>16662940.208539316</v>
      </c>
      <c r="AB378" s="758">
        <f>'INGRESOS de pasajeros'!X59*PARAMETROS!$C$67</f>
        <v>16782995.969683435</v>
      </c>
      <c r="AC378" s="758">
        <f>'INGRESOS de pasajeros'!Y59*PARAMETROS!$C$67</f>
        <v>17461029.006858647</v>
      </c>
      <c r="AD378" s="758">
        <f>'INGRESOS de pasajeros'!Z59*PARAMETROS!$C$67</f>
        <v>17461029.006858647</v>
      </c>
      <c r="AE378" s="758">
        <f>'INGRESOS de pasajeros'!AA59*PARAMETROS!$C$67</f>
        <v>18166454.578735735</v>
      </c>
      <c r="AF378" s="758">
        <f>'INGRESOS de pasajeros'!AB59*PARAMETROS!$C$67</f>
        <v>18166454.578735735</v>
      </c>
      <c r="AG378" s="758">
        <f>'INGRESOS de pasajeros'!AC59*PARAMETROS!$C$67</f>
        <v>18900379.343716659</v>
      </c>
      <c r="AH378" s="758">
        <f>'INGRESOS de pasajeros'!AD59*PARAMETROS!$C$67</f>
        <v>18900379.343716659</v>
      </c>
      <c r="AI378" s="758">
        <f>'INGRESOS de pasajeros'!AE59*PARAMETROS!$C$67</f>
        <v>19663954.669202808</v>
      </c>
      <c r="AJ378" s="758">
        <f>'INGRESOS de pasajeros'!AF59*PARAMETROS!$C$67</f>
        <v>19663954.669202808</v>
      </c>
      <c r="AK378" s="758">
        <f>'INGRESOS de pasajeros'!AG59*PARAMETROS!$C$67</f>
        <v>20458378.437838603</v>
      </c>
      <c r="AL378" s="758">
        <f>'INGRESOS de pasajeros'!AH59*PARAMETROS!$C$67</f>
        <v>20458378.437838603</v>
      </c>
      <c r="AM378" s="758">
        <f>'INGRESOS de pasajeros'!AI59*PARAMETROS!$C$67</f>
        <v>21284896.92672728</v>
      </c>
      <c r="AN378" s="758">
        <f>'INGRESOS de pasajeros'!AJ59*PARAMETROS!$C$67</f>
        <v>21284896.92672728</v>
      </c>
      <c r="AO378" s="758">
        <f>'INGRESOS de pasajeros'!AK59*PARAMETROS!$C$67</f>
        <v>22144806.762567069</v>
      </c>
      <c r="AP378" s="758">
        <f>'INGRESOS de pasajeros'!AL59*PARAMETROS!$C$67</f>
        <v>22144806.762567069</v>
      </c>
      <c r="AQ378" s="758">
        <f>'INGRESOS de pasajeros'!AM59*PARAMETROS!$C$67</f>
        <v>23039456.955774777</v>
      </c>
      <c r="AR378" s="758">
        <f>'INGRESOS de pasajeros'!AN59*PARAMETROS!$C$67</f>
        <v>23039456.955774777</v>
      </c>
      <c r="AS378" s="758">
        <f>'INGRESOS de pasajeros'!AO59*PARAMETROS!$C$67</f>
        <v>23970251.01678808</v>
      </c>
      <c r="AT378" s="758">
        <f>'INGRESOS de pasajeros'!AP59*PARAMETROS!$C$67</f>
        <v>23970251.01678808</v>
      </c>
    </row>
    <row r="379" spans="2:57" x14ac:dyDescent="0.25">
      <c r="B379" s="832" t="s">
        <v>396</v>
      </c>
      <c r="C379" s="178">
        <v>0</v>
      </c>
      <c r="D379" s="178">
        <v>0</v>
      </c>
      <c r="E379" s="178">
        <v>0</v>
      </c>
      <c r="F379" s="178">
        <v>0</v>
      </c>
      <c r="G379" s="178">
        <f>$C$14*$C$15*12</f>
        <v>420000</v>
      </c>
      <c r="H379" s="178">
        <f t="shared" ref="H379:AT379" si="1237">$G$75*((1+$C$25)^G373)</f>
        <v>428400</v>
      </c>
      <c r="I379" s="178">
        <f t="shared" si="1237"/>
        <v>436968</v>
      </c>
      <c r="J379" s="178">
        <f t="shared" si="1237"/>
        <v>445707.36</v>
      </c>
      <c r="K379" s="178">
        <f t="shared" si="1237"/>
        <v>454621.50719999999</v>
      </c>
      <c r="L379" s="178">
        <f t="shared" si="1237"/>
        <v>463713.93734400003</v>
      </c>
      <c r="M379" s="178">
        <f t="shared" si="1237"/>
        <v>472988.21609088004</v>
      </c>
      <c r="N379" s="178">
        <f t="shared" si="1237"/>
        <v>482447.98041269754</v>
      </c>
      <c r="O379" s="178">
        <f t="shared" si="1237"/>
        <v>492096.9400209515</v>
      </c>
      <c r="P379" s="178">
        <f t="shared" si="1237"/>
        <v>501938.87882137054</v>
      </c>
      <c r="Q379" s="178">
        <f t="shared" si="1237"/>
        <v>511977.65639779798</v>
      </c>
      <c r="R379" s="178">
        <f t="shared" si="1237"/>
        <v>522217.20952575386</v>
      </c>
      <c r="S379" s="178">
        <f t="shared" si="1237"/>
        <v>532661.55371626897</v>
      </c>
      <c r="T379" s="178">
        <f t="shared" si="1237"/>
        <v>543314.78479059436</v>
      </c>
      <c r="U379" s="178">
        <f t="shared" si="1237"/>
        <v>554181.08048640634</v>
      </c>
      <c r="V379" s="178">
        <f t="shared" si="1237"/>
        <v>565264.70209613431</v>
      </c>
      <c r="W379" s="178">
        <f t="shared" si="1237"/>
        <v>576569.99613805709</v>
      </c>
      <c r="X379" s="178">
        <f t="shared" si="1237"/>
        <v>588101.39606081822</v>
      </c>
      <c r="Y379" s="178">
        <f t="shared" si="1237"/>
        <v>599863.42398203455</v>
      </c>
      <c r="Z379" s="178">
        <f t="shared" si="1237"/>
        <v>611860.69246167527</v>
      </c>
      <c r="AA379" s="178">
        <f t="shared" si="1237"/>
        <v>624097.90631090873</v>
      </c>
      <c r="AB379" s="178">
        <f t="shared" si="1237"/>
        <v>636579.8644371269</v>
      </c>
      <c r="AC379" s="178">
        <f t="shared" si="1237"/>
        <v>649311.46172586945</v>
      </c>
      <c r="AD379" s="178">
        <f t="shared" si="1237"/>
        <v>662297.69096038677</v>
      </c>
      <c r="AE379" s="178">
        <f t="shared" si="1237"/>
        <v>675543.6447795945</v>
      </c>
      <c r="AF379" s="178">
        <f t="shared" si="1237"/>
        <v>689054.51767518639</v>
      </c>
      <c r="AG379" s="178">
        <f t="shared" si="1237"/>
        <v>702835.60802869021</v>
      </c>
      <c r="AH379" s="178">
        <f t="shared" si="1237"/>
        <v>716892.3201892639</v>
      </c>
      <c r="AI379" s="178">
        <f t="shared" si="1237"/>
        <v>731230.1665930493</v>
      </c>
      <c r="AJ379" s="178">
        <f t="shared" si="1237"/>
        <v>745854.76992491016</v>
      </c>
      <c r="AK379" s="178">
        <f t="shared" si="1237"/>
        <v>760771.86532340851</v>
      </c>
      <c r="AL379" s="178">
        <f t="shared" si="1237"/>
        <v>775987.30262987642</v>
      </c>
      <c r="AM379" s="178">
        <f t="shared" si="1237"/>
        <v>791507.04868247418</v>
      </c>
      <c r="AN379" s="178">
        <f t="shared" si="1237"/>
        <v>807337.18965612364</v>
      </c>
      <c r="AO379" s="178">
        <f t="shared" si="1237"/>
        <v>823483.93344924611</v>
      </c>
      <c r="AP379" s="178">
        <f t="shared" si="1237"/>
        <v>839953.61211823102</v>
      </c>
      <c r="AQ379" s="178">
        <f t="shared" si="1237"/>
        <v>856752.68436059554</v>
      </c>
      <c r="AR379" s="178">
        <f t="shared" si="1237"/>
        <v>873887.73804780759</v>
      </c>
      <c r="AS379" s="178">
        <f t="shared" si="1237"/>
        <v>891365.49280876387</v>
      </c>
      <c r="AT379" s="178">
        <f t="shared" si="1237"/>
        <v>909192.80266493873</v>
      </c>
    </row>
    <row r="380" spans="2:57" x14ac:dyDescent="0.25">
      <c r="B380" s="832"/>
      <c r="C380" s="178"/>
      <c r="D380" s="178"/>
      <c r="E380" s="178"/>
      <c r="F380" s="178"/>
      <c r="G380" s="178"/>
      <c r="H380" s="178"/>
      <c r="I380" s="178"/>
      <c r="J380" s="178"/>
      <c r="K380" s="178"/>
      <c r="L380" s="178"/>
      <c r="M380" s="178"/>
      <c r="N380" s="178"/>
      <c r="O380" s="178"/>
      <c r="P380" s="178"/>
      <c r="Q380" s="178"/>
      <c r="R380" s="178"/>
      <c r="S380" s="178"/>
      <c r="T380" s="178"/>
      <c r="U380" s="178"/>
      <c r="V380" s="178"/>
      <c r="W380" s="178"/>
      <c r="X380" s="178"/>
      <c r="Y380" s="178"/>
      <c r="Z380" s="178"/>
      <c r="AA380" s="178"/>
      <c r="AB380" s="178"/>
      <c r="AC380" s="178"/>
      <c r="AD380" s="178"/>
      <c r="AE380" s="178"/>
      <c r="AF380" s="178"/>
      <c r="AG380" s="178"/>
      <c r="AH380" s="178"/>
      <c r="AI380" s="178"/>
      <c r="AJ380" s="178"/>
      <c r="AK380" s="178"/>
      <c r="AL380" s="178"/>
      <c r="AM380" s="178"/>
      <c r="AN380" s="178"/>
      <c r="AO380" s="178"/>
      <c r="AP380" s="178"/>
      <c r="AQ380" s="178"/>
      <c r="AR380" s="178"/>
      <c r="AS380" s="178"/>
      <c r="AT380" s="178"/>
    </row>
    <row r="381" spans="2:57" x14ac:dyDescent="0.25">
      <c r="B381" s="831" t="str">
        <f>B77</f>
        <v>Activos iniciales - Depreciacion 50 años</v>
      </c>
      <c r="C381" s="965">
        <f t="shared" ref="C381:AT381" si="1238">C77</f>
        <v>0</v>
      </c>
      <c r="D381" s="965">
        <f t="shared" si="1238"/>
        <v>0</v>
      </c>
      <c r="E381" s="965">
        <f t="shared" si="1238"/>
        <v>0</v>
      </c>
      <c r="F381" s="965">
        <f t="shared" si="1238"/>
        <v>0</v>
      </c>
      <c r="G381" s="965">
        <f t="shared" si="1238"/>
        <v>-686539.32037828083</v>
      </c>
      <c r="H381" s="965">
        <f t="shared" si="1238"/>
        <v>-686539.32037828083</v>
      </c>
      <c r="I381" s="965">
        <f t="shared" si="1238"/>
        <v>-686539.32037828083</v>
      </c>
      <c r="J381" s="965">
        <f t="shared" si="1238"/>
        <v>-686539.32037828083</v>
      </c>
      <c r="K381" s="965">
        <f t="shared" si="1238"/>
        <v>-686539.32037828083</v>
      </c>
      <c r="L381" s="965">
        <f t="shared" si="1238"/>
        <v>-686539.32037828083</v>
      </c>
      <c r="M381" s="965">
        <f t="shared" si="1238"/>
        <v>-686539.32037828083</v>
      </c>
      <c r="N381" s="965">
        <f t="shared" si="1238"/>
        <v>-686539.32037828083</v>
      </c>
      <c r="O381" s="965">
        <f t="shared" si="1238"/>
        <v>-686539.32037828083</v>
      </c>
      <c r="P381" s="965">
        <f t="shared" si="1238"/>
        <v>-686539.32037828083</v>
      </c>
      <c r="Q381" s="965">
        <f t="shared" si="1238"/>
        <v>-686539.32037828083</v>
      </c>
      <c r="R381" s="965">
        <f t="shared" si="1238"/>
        <v>-686539.32037828083</v>
      </c>
      <c r="S381" s="965">
        <f t="shared" si="1238"/>
        <v>-686539.32037828083</v>
      </c>
      <c r="T381" s="965">
        <f t="shared" si="1238"/>
        <v>-686539.32037828083</v>
      </c>
      <c r="U381" s="965">
        <f t="shared" si="1238"/>
        <v>-686539.32037828083</v>
      </c>
      <c r="V381" s="965">
        <f t="shared" si="1238"/>
        <v>-686539.32037828083</v>
      </c>
      <c r="W381" s="965">
        <f t="shared" si="1238"/>
        <v>-686539.32037828083</v>
      </c>
      <c r="X381" s="965">
        <f t="shared" si="1238"/>
        <v>-686539.32037828083</v>
      </c>
      <c r="Y381" s="965">
        <f t="shared" si="1238"/>
        <v>-686539.32037828083</v>
      </c>
      <c r="Z381" s="965">
        <f t="shared" si="1238"/>
        <v>-686539.32037828083</v>
      </c>
      <c r="AA381" s="965">
        <f t="shared" si="1238"/>
        <v>-686539.32037828083</v>
      </c>
      <c r="AB381" s="965">
        <f t="shared" si="1238"/>
        <v>-686539.32037828083</v>
      </c>
      <c r="AC381" s="965">
        <f t="shared" si="1238"/>
        <v>-686539.32037828083</v>
      </c>
      <c r="AD381" s="965">
        <f t="shared" si="1238"/>
        <v>-686539.32037828083</v>
      </c>
      <c r="AE381" s="965">
        <f t="shared" si="1238"/>
        <v>-686539.32037828083</v>
      </c>
      <c r="AF381" s="965">
        <f t="shared" si="1238"/>
        <v>-686539.32037828083</v>
      </c>
      <c r="AG381" s="965">
        <f t="shared" si="1238"/>
        <v>-686539.32037828083</v>
      </c>
      <c r="AH381" s="965">
        <f t="shared" si="1238"/>
        <v>-686539.32037828083</v>
      </c>
      <c r="AI381" s="965">
        <f t="shared" si="1238"/>
        <v>-686539.32037828083</v>
      </c>
      <c r="AJ381" s="965">
        <f t="shared" si="1238"/>
        <v>-686539.32037828083</v>
      </c>
      <c r="AK381" s="965">
        <f t="shared" si="1238"/>
        <v>-686539.32037828083</v>
      </c>
      <c r="AL381" s="965">
        <f t="shared" si="1238"/>
        <v>-686539.32037828083</v>
      </c>
      <c r="AM381" s="965">
        <f t="shared" si="1238"/>
        <v>-686539.32037828083</v>
      </c>
      <c r="AN381" s="965">
        <f t="shared" si="1238"/>
        <v>-686539.32037828083</v>
      </c>
      <c r="AO381" s="965">
        <f t="shared" si="1238"/>
        <v>-686539.32037828083</v>
      </c>
      <c r="AP381" s="965">
        <f t="shared" si="1238"/>
        <v>-686539.32037828083</v>
      </c>
      <c r="AQ381" s="965">
        <f t="shared" si="1238"/>
        <v>-686539.32037828083</v>
      </c>
      <c r="AR381" s="965">
        <f t="shared" si="1238"/>
        <v>-686539.32037828083</v>
      </c>
      <c r="AS381" s="965">
        <f t="shared" si="1238"/>
        <v>-686539.32037828083</v>
      </c>
      <c r="AT381" s="965">
        <f t="shared" si="1238"/>
        <v>-686539.32037828083</v>
      </c>
    </row>
    <row r="382" spans="2:57" x14ac:dyDescent="0.25">
      <c r="B382" s="831" t="str">
        <f t="shared" ref="B382:AT382" si="1239">B78</f>
        <v>Activos iniciales - Depreciacion 40 años</v>
      </c>
      <c r="C382" s="965">
        <f t="shared" si="1239"/>
        <v>0</v>
      </c>
      <c r="D382" s="965">
        <f t="shared" si="1239"/>
        <v>0</v>
      </c>
      <c r="E382" s="965">
        <f t="shared" si="1239"/>
        <v>0</v>
      </c>
      <c r="F382" s="965">
        <f t="shared" si="1239"/>
        <v>0</v>
      </c>
      <c r="G382" s="965">
        <f t="shared" si="1239"/>
        <v>-1442789.935138549</v>
      </c>
      <c r="H382" s="965">
        <f t="shared" si="1239"/>
        <v>-1442789.935138549</v>
      </c>
      <c r="I382" s="965">
        <f t="shared" si="1239"/>
        <v>-1442789.935138549</v>
      </c>
      <c r="J382" s="965">
        <f t="shared" si="1239"/>
        <v>-1442789.935138549</v>
      </c>
      <c r="K382" s="965">
        <f t="shared" si="1239"/>
        <v>-1442789.935138549</v>
      </c>
      <c r="L382" s="965">
        <f t="shared" si="1239"/>
        <v>-1442789.935138549</v>
      </c>
      <c r="M382" s="965">
        <f t="shared" si="1239"/>
        <v>-1442789.935138549</v>
      </c>
      <c r="N382" s="965">
        <f t="shared" si="1239"/>
        <v>-1442789.935138549</v>
      </c>
      <c r="O382" s="965">
        <f t="shared" si="1239"/>
        <v>-1442789.935138549</v>
      </c>
      <c r="P382" s="965">
        <f t="shared" si="1239"/>
        <v>-1442789.935138549</v>
      </c>
      <c r="Q382" s="965">
        <f t="shared" si="1239"/>
        <v>-1442789.935138549</v>
      </c>
      <c r="R382" s="965">
        <f t="shared" si="1239"/>
        <v>-1442789.935138549</v>
      </c>
      <c r="S382" s="965">
        <f t="shared" si="1239"/>
        <v>-1442789.935138549</v>
      </c>
      <c r="T382" s="965">
        <f t="shared" si="1239"/>
        <v>-1442789.935138549</v>
      </c>
      <c r="U382" s="965">
        <f t="shared" si="1239"/>
        <v>-1442789.935138549</v>
      </c>
      <c r="V382" s="965">
        <f t="shared" si="1239"/>
        <v>-1442789.935138549</v>
      </c>
      <c r="W382" s="965">
        <f t="shared" si="1239"/>
        <v>-1442789.935138549</v>
      </c>
      <c r="X382" s="965">
        <f t="shared" si="1239"/>
        <v>-1442789.935138549</v>
      </c>
      <c r="Y382" s="965">
        <f t="shared" si="1239"/>
        <v>-1442789.935138549</v>
      </c>
      <c r="Z382" s="965">
        <f t="shared" si="1239"/>
        <v>-1442789.935138549</v>
      </c>
      <c r="AA382" s="965">
        <f t="shared" si="1239"/>
        <v>-1442789.935138549</v>
      </c>
      <c r="AB382" s="965">
        <f t="shared" si="1239"/>
        <v>-1442789.935138549</v>
      </c>
      <c r="AC382" s="965">
        <f t="shared" si="1239"/>
        <v>-1442789.935138549</v>
      </c>
      <c r="AD382" s="965">
        <f t="shared" si="1239"/>
        <v>-1442789.935138549</v>
      </c>
      <c r="AE382" s="965">
        <f t="shared" si="1239"/>
        <v>-1442789.935138549</v>
      </c>
      <c r="AF382" s="965">
        <f t="shared" si="1239"/>
        <v>-1442789.935138549</v>
      </c>
      <c r="AG382" s="965">
        <f t="shared" si="1239"/>
        <v>-1442789.935138549</v>
      </c>
      <c r="AH382" s="965">
        <f t="shared" si="1239"/>
        <v>-1442789.935138549</v>
      </c>
      <c r="AI382" s="965">
        <f t="shared" si="1239"/>
        <v>-1442789.935138549</v>
      </c>
      <c r="AJ382" s="965">
        <f t="shared" si="1239"/>
        <v>-1442789.935138549</v>
      </c>
      <c r="AK382" s="965">
        <f t="shared" si="1239"/>
        <v>-1442789.935138549</v>
      </c>
      <c r="AL382" s="965">
        <f t="shared" si="1239"/>
        <v>-1442789.935138549</v>
      </c>
      <c r="AM382" s="965">
        <f t="shared" si="1239"/>
        <v>-1442789.935138549</v>
      </c>
      <c r="AN382" s="965">
        <f t="shared" si="1239"/>
        <v>-1442789.935138549</v>
      </c>
      <c r="AO382" s="965">
        <f t="shared" si="1239"/>
        <v>-1442789.935138549</v>
      </c>
      <c r="AP382" s="965">
        <f t="shared" si="1239"/>
        <v>-1442789.935138549</v>
      </c>
      <c r="AQ382" s="965">
        <f t="shared" si="1239"/>
        <v>-1442789.935138549</v>
      </c>
      <c r="AR382" s="965">
        <f t="shared" si="1239"/>
        <v>-1442789.935138549</v>
      </c>
      <c r="AS382" s="965">
        <f t="shared" si="1239"/>
        <v>-1442789.935138549</v>
      </c>
      <c r="AT382" s="965">
        <f t="shared" si="1239"/>
        <v>-1442789.935138549</v>
      </c>
    </row>
    <row r="383" spans="2:57" x14ac:dyDescent="0.25">
      <c r="B383" s="831" t="str">
        <f t="shared" ref="B383:AT383" si="1240">B79</f>
        <v>Activos iniciales - Depreciacion 15 años</v>
      </c>
      <c r="C383" s="965">
        <f t="shared" si="1240"/>
        <v>0</v>
      </c>
      <c r="D383" s="965">
        <f t="shared" si="1240"/>
        <v>0</v>
      </c>
      <c r="E383" s="965">
        <f t="shared" si="1240"/>
        <v>0</v>
      </c>
      <c r="F383" s="965">
        <f t="shared" si="1240"/>
        <v>0</v>
      </c>
      <c r="G383" s="965">
        <f t="shared" si="1240"/>
        <v>-846060.74954198557</v>
      </c>
      <c r="H383" s="965">
        <f t="shared" si="1240"/>
        <v>-846060.74954198557</v>
      </c>
      <c r="I383" s="965">
        <f t="shared" si="1240"/>
        <v>-846060.74954198557</v>
      </c>
      <c r="J383" s="965">
        <f t="shared" si="1240"/>
        <v>-846060.74954198557</v>
      </c>
      <c r="K383" s="965">
        <f t="shared" si="1240"/>
        <v>-846060.74954198557</v>
      </c>
      <c r="L383" s="965">
        <f t="shared" si="1240"/>
        <v>-846060.74954198557</v>
      </c>
      <c r="M383" s="965">
        <f t="shared" si="1240"/>
        <v>-846060.74954198557</v>
      </c>
      <c r="N383" s="965">
        <f t="shared" si="1240"/>
        <v>-846060.74954198557</v>
      </c>
      <c r="O383" s="965">
        <f t="shared" si="1240"/>
        <v>-846060.74954198557</v>
      </c>
      <c r="P383" s="965">
        <f t="shared" si="1240"/>
        <v>-846060.74954198557</v>
      </c>
      <c r="Q383" s="965">
        <f t="shared" si="1240"/>
        <v>-846060.74954198557</v>
      </c>
      <c r="R383" s="965">
        <f t="shared" si="1240"/>
        <v>-846060.74954198557</v>
      </c>
      <c r="S383" s="965">
        <f t="shared" si="1240"/>
        <v>-846060.74954198557</v>
      </c>
      <c r="T383" s="965">
        <f t="shared" si="1240"/>
        <v>-846060.74954198557</v>
      </c>
      <c r="U383" s="965">
        <f t="shared" si="1240"/>
        <v>-846060.74954198557</v>
      </c>
      <c r="V383" s="965">
        <f t="shared" si="1240"/>
        <v>0</v>
      </c>
      <c r="W383" s="965">
        <f t="shared" si="1240"/>
        <v>0</v>
      </c>
      <c r="X383" s="965">
        <f t="shared" si="1240"/>
        <v>0</v>
      </c>
      <c r="Y383" s="965">
        <f t="shared" si="1240"/>
        <v>0</v>
      </c>
      <c r="Z383" s="965">
        <f t="shared" si="1240"/>
        <v>0</v>
      </c>
      <c r="AA383" s="965">
        <f t="shared" si="1240"/>
        <v>0</v>
      </c>
      <c r="AB383" s="965">
        <f t="shared" si="1240"/>
        <v>0</v>
      </c>
      <c r="AC383" s="965">
        <f t="shared" si="1240"/>
        <v>0</v>
      </c>
      <c r="AD383" s="965">
        <f t="shared" si="1240"/>
        <v>0</v>
      </c>
      <c r="AE383" s="965">
        <f t="shared" si="1240"/>
        <v>0</v>
      </c>
      <c r="AF383" s="965">
        <f t="shared" si="1240"/>
        <v>0</v>
      </c>
      <c r="AG383" s="965">
        <f t="shared" si="1240"/>
        <v>0</v>
      </c>
      <c r="AH383" s="965">
        <f t="shared" si="1240"/>
        <v>0</v>
      </c>
      <c r="AI383" s="965">
        <f t="shared" si="1240"/>
        <v>0</v>
      </c>
      <c r="AJ383" s="965">
        <f t="shared" si="1240"/>
        <v>0</v>
      </c>
      <c r="AK383" s="965">
        <f t="shared" si="1240"/>
        <v>0</v>
      </c>
      <c r="AL383" s="965">
        <f t="shared" si="1240"/>
        <v>0</v>
      </c>
      <c r="AM383" s="965">
        <f t="shared" si="1240"/>
        <v>0</v>
      </c>
      <c r="AN383" s="965">
        <f t="shared" si="1240"/>
        <v>0</v>
      </c>
      <c r="AO383" s="965">
        <f t="shared" si="1240"/>
        <v>0</v>
      </c>
      <c r="AP383" s="965">
        <f t="shared" si="1240"/>
        <v>0</v>
      </c>
      <c r="AQ383" s="965">
        <f t="shared" si="1240"/>
        <v>0</v>
      </c>
      <c r="AR383" s="965">
        <f t="shared" si="1240"/>
        <v>0</v>
      </c>
      <c r="AS383" s="965">
        <f t="shared" si="1240"/>
        <v>0</v>
      </c>
      <c r="AT383" s="965">
        <f t="shared" si="1240"/>
        <v>0</v>
      </c>
    </row>
    <row r="384" spans="2:57" x14ac:dyDescent="0.25">
      <c r="B384" s="831" t="str">
        <f t="shared" ref="B384:AT384" si="1241">B80</f>
        <v>Activos iniciales - Depreciacion 10 años</v>
      </c>
      <c r="C384" s="965">
        <f t="shared" si="1241"/>
        <v>0</v>
      </c>
      <c r="D384" s="965">
        <f t="shared" si="1241"/>
        <v>0</v>
      </c>
      <c r="E384" s="965">
        <f t="shared" si="1241"/>
        <v>0</v>
      </c>
      <c r="F384" s="965">
        <f t="shared" si="1241"/>
        <v>0</v>
      </c>
      <c r="G384" s="965">
        <f t="shared" si="1241"/>
        <v>-483089.33345121983</v>
      </c>
      <c r="H384" s="965">
        <f t="shared" si="1241"/>
        <v>-483089.33345121983</v>
      </c>
      <c r="I384" s="965">
        <f t="shared" si="1241"/>
        <v>-483089.33345121983</v>
      </c>
      <c r="J384" s="965">
        <f t="shared" si="1241"/>
        <v>-483089.33345121983</v>
      </c>
      <c r="K384" s="965">
        <f t="shared" si="1241"/>
        <v>-483089.33345121983</v>
      </c>
      <c r="L384" s="965">
        <f t="shared" si="1241"/>
        <v>-483089.33345121983</v>
      </c>
      <c r="M384" s="965">
        <f t="shared" si="1241"/>
        <v>-483089.33345121983</v>
      </c>
      <c r="N384" s="965">
        <f t="shared" si="1241"/>
        <v>-483089.33345121983</v>
      </c>
      <c r="O384" s="965">
        <f t="shared" si="1241"/>
        <v>-483089.33345121983</v>
      </c>
      <c r="P384" s="965">
        <f t="shared" si="1241"/>
        <v>-483089.33345121983</v>
      </c>
      <c r="Q384" s="965">
        <f t="shared" si="1241"/>
        <v>0</v>
      </c>
      <c r="R384" s="965">
        <f t="shared" si="1241"/>
        <v>0</v>
      </c>
      <c r="S384" s="965">
        <f t="shared" si="1241"/>
        <v>0</v>
      </c>
      <c r="T384" s="965">
        <f t="shared" si="1241"/>
        <v>0</v>
      </c>
      <c r="U384" s="965">
        <f t="shared" si="1241"/>
        <v>0</v>
      </c>
      <c r="V384" s="965">
        <f t="shared" si="1241"/>
        <v>0</v>
      </c>
      <c r="W384" s="965">
        <f t="shared" si="1241"/>
        <v>0</v>
      </c>
      <c r="X384" s="965">
        <f t="shared" si="1241"/>
        <v>0</v>
      </c>
      <c r="Y384" s="965">
        <f t="shared" si="1241"/>
        <v>0</v>
      </c>
      <c r="Z384" s="965">
        <f t="shared" si="1241"/>
        <v>0</v>
      </c>
      <c r="AA384" s="965">
        <f t="shared" si="1241"/>
        <v>0</v>
      </c>
      <c r="AB384" s="965">
        <f t="shared" si="1241"/>
        <v>0</v>
      </c>
      <c r="AC384" s="965">
        <f t="shared" si="1241"/>
        <v>0</v>
      </c>
      <c r="AD384" s="965">
        <f t="shared" si="1241"/>
        <v>0</v>
      </c>
      <c r="AE384" s="965">
        <f t="shared" si="1241"/>
        <v>0</v>
      </c>
      <c r="AF384" s="965">
        <f t="shared" si="1241"/>
        <v>0</v>
      </c>
      <c r="AG384" s="965">
        <f t="shared" si="1241"/>
        <v>0</v>
      </c>
      <c r="AH384" s="965">
        <f t="shared" si="1241"/>
        <v>0</v>
      </c>
      <c r="AI384" s="965">
        <f t="shared" si="1241"/>
        <v>0</v>
      </c>
      <c r="AJ384" s="965">
        <f t="shared" si="1241"/>
        <v>0</v>
      </c>
      <c r="AK384" s="965">
        <f t="shared" si="1241"/>
        <v>0</v>
      </c>
      <c r="AL384" s="965">
        <f t="shared" si="1241"/>
        <v>0</v>
      </c>
      <c r="AM384" s="965">
        <f t="shared" si="1241"/>
        <v>0</v>
      </c>
      <c r="AN384" s="965">
        <f t="shared" si="1241"/>
        <v>0</v>
      </c>
      <c r="AO384" s="965">
        <f t="shared" si="1241"/>
        <v>0</v>
      </c>
      <c r="AP384" s="965">
        <f t="shared" si="1241"/>
        <v>0</v>
      </c>
      <c r="AQ384" s="965">
        <f t="shared" si="1241"/>
        <v>0</v>
      </c>
      <c r="AR384" s="965">
        <f t="shared" si="1241"/>
        <v>0</v>
      </c>
      <c r="AS384" s="965">
        <f t="shared" si="1241"/>
        <v>0</v>
      </c>
      <c r="AT384" s="965">
        <f t="shared" si="1241"/>
        <v>0</v>
      </c>
    </row>
    <row r="385" spans="2:46" x14ac:dyDescent="0.25">
      <c r="B385" s="831" t="str">
        <f t="shared" ref="B385:AT385" si="1242">B81</f>
        <v>Activos iniciales - Depreciacion 5 años</v>
      </c>
      <c r="C385" s="965">
        <f t="shared" si="1242"/>
        <v>0</v>
      </c>
      <c r="D385" s="965">
        <f t="shared" si="1242"/>
        <v>0</v>
      </c>
      <c r="E385" s="965">
        <f t="shared" si="1242"/>
        <v>0</v>
      </c>
      <c r="F385" s="965">
        <f t="shared" si="1242"/>
        <v>0</v>
      </c>
      <c r="G385" s="965">
        <f t="shared" si="1242"/>
        <v>-204364.92007479366</v>
      </c>
      <c r="H385" s="965">
        <f t="shared" si="1242"/>
        <v>-204364.92007479366</v>
      </c>
      <c r="I385" s="965">
        <f t="shared" si="1242"/>
        <v>-204364.92007479366</v>
      </c>
      <c r="J385" s="965">
        <f t="shared" si="1242"/>
        <v>-204364.92007479366</v>
      </c>
      <c r="K385" s="965">
        <f t="shared" si="1242"/>
        <v>-204364.92007479366</v>
      </c>
      <c r="L385" s="965">
        <f t="shared" si="1242"/>
        <v>0</v>
      </c>
      <c r="M385" s="965">
        <f t="shared" si="1242"/>
        <v>0</v>
      </c>
      <c r="N385" s="965">
        <f t="shared" si="1242"/>
        <v>0</v>
      </c>
      <c r="O385" s="965">
        <f t="shared" si="1242"/>
        <v>0</v>
      </c>
      <c r="P385" s="965">
        <f t="shared" si="1242"/>
        <v>0</v>
      </c>
      <c r="Q385" s="965">
        <f t="shared" si="1242"/>
        <v>0</v>
      </c>
      <c r="R385" s="965">
        <f t="shared" si="1242"/>
        <v>0</v>
      </c>
      <c r="S385" s="965">
        <f t="shared" si="1242"/>
        <v>0</v>
      </c>
      <c r="T385" s="965">
        <f t="shared" si="1242"/>
        <v>0</v>
      </c>
      <c r="U385" s="965">
        <f t="shared" si="1242"/>
        <v>0</v>
      </c>
      <c r="V385" s="965">
        <f t="shared" si="1242"/>
        <v>0</v>
      </c>
      <c r="W385" s="965">
        <f t="shared" si="1242"/>
        <v>0</v>
      </c>
      <c r="X385" s="965">
        <f t="shared" si="1242"/>
        <v>0</v>
      </c>
      <c r="Y385" s="965">
        <f t="shared" si="1242"/>
        <v>0</v>
      </c>
      <c r="Z385" s="965">
        <f t="shared" si="1242"/>
        <v>0</v>
      </c>
      <c r="AA385" s="965">
        <f t="shared" si="1242"/>
        <v>0</v>
      </c>
      <c r="AB385" s="965">
        <f t="shared" si="1242"/>
        <v>0</v>
      </c>
      <c r="AC385" s="965">
        <f t="shared" si="1242"/>
        <v>0</v>
      </c>
      <c r="AD385" s="965">
        <f t="shared" si="1242"/>
        <v>0</v>
      </c>
      <c r="AE385" s="965">
        <f t="shared" si="1242"/>
        <v>0</v>
      </c>
      <c r="AF385" s="965">
        <f t="shared" si="1242"/>
        <v>0</v>
      </c>
      <c r="AG385" s="965">
        <f t="shared" si="1242"/>
        <v>0</v>
      </c>
      <c r="AH385" s="965">
        <f t="shared" si="1242"/>
        <v>0</v>
      </c>
      <c r="AI385" s="965">
        <f t="shared" si="1242"/>
        <v>0</v>
      </c>
      <c r="AJ385" s="965">
        <f t="shared" si="1242"/>
        <v>0</v>
      </c>
      <c r="AK385" s="965">
        <f t="shared" si="1242"/>
        <v>0</v>
      </c>
      <c r="AL385" s="965">
        <f t="shared" si="1242"/>
        <v>0</v>
      </c>
      <c r="AM385" s="965">
        <f t="shared" si="1242"/>
        <v>0</v>
      </c>
      <c r="AN385" s="965">
        <f t="shared" si="1242"/>
        <v>0</v>
      </c>
      <c r="AO385" s="965">
        <f t="shared" si="1242"/>
        <v>0</v>
      </c>
      <c r="AP385" s="965">
        <f t="shared" si="1242"/>
        <v>0</v>
      </c>
      <c r="AQ385" s="965">
        <f t="shared" si="1242"/>
        <v>0</v>
      </c>
      <c r="AR385" s="965">
        <f t="shared" si="1242"/>
        <v>0</v>
      </c>
      <c r="AS385" s="965">
        <f t="shared" si="1242"/>
        <v>0</v>
      </c>
      <c r="AT385" s="965">
        <f t="shared" si="1242"/>
        <v>0</v>
      </c>
    </row>
    <row r="386" spans="2:46" x14ac:dyDescent="0.25">
      <c r="B386" s="831" t="str">
        <f t="shared" ref="B386:AT386" si="1243">B82</f>
        <v>Activos iniciales - Valor residual</v>
      </c>
      <c r="C386" s="965">
        <f t="shared" si="1243"/>
        <v>0</v>
      </c>
      <c r="D386" s="965">
        <f t="shared" si="1243"/>
        <v>0</v>
      </c>
      <c r="E386" s="965">
        <f t="shared" si="1243"/>
        <v>0</v>
      </c>
      <c r="F386" s="965">
        <f t="shared" si="1243"/>
        <v>0</v>
      </c>
      <c r="G386" s="965">
        <f t="shared" si="1243"/>
        <v>123619947.34560698</v>
      </c>
      <c r="H386" s="965">
        <f t="shared" si="1243"/>
        <v>119957103.08702216</v>
      </c>
      <c r="I386" s="965">
        <f t="shared" si="1243"/>
        <v>116294258.82843733</v>
      </c>
      <c r="J386" s="965">
        <f t="shared" si="1243"/>
        <v>112631414.5698525</v>
      </c>
      <c r="K386" s="965">
        <f t="shared" si="1243"/>
        <v>108968570.31126767</v>
      </c>
      <c r="L386" s="965">
        <f t="shared" si="1243"/>
        <v>105510090.97275764</v>
      </c>
      <c r="M386" s="965">
        <f t="shared" si="1243"/>
        <v>102051611.6342476</v>
      </c>
      <c r="N386" s="965">
        <f t="shared" si="1243"/>
        <v>98593132.295737565</v>
      </c>
      <c r="O386" s="965">
        <f t="shared" si="1243"/>
        <v>95134652.957227528</v>
      </c>
      <c r="P386" s="965">
        <f t="shared" si="1243"/>
        <v>91676173.618717492</v>
      </c>
      <c r="Q386" s="965">
        <f t="shared" si="1243"/>
        <v>88700783.613658682</v>
      </c>
      <c r="R386" s="965">
        <f t="shared" si="1243"/>
        <v>85725393.608599871</v>
      </c>
      <c r="S386" s="965">
        <f t="shared" si="1243"/>
        <v>82750003.603541061</v>
      </c>
      <c r="T386" s="965">
        <f t="shared" si="1243"/>
        <v>79774613.598482251</v>
      </c>
      <c r="U386" s="965">
        <f t="shared" si="1243"/>
        <v>76799223.593423441</v>
      </c>
      <c r="V386" s="965">
        <f t="shared" si="1243"/>
        <v>74669894.337906614</v>
      </c>
      <c r="W386" s="965">
        <f t="shared" si="1243"/>
        <v>72540565.082389787</v>
      </c>
      <c r="X386" s="965">
        <f t="shared" si="1243"/>
        <v>70411235.82687296</v>
      </c>
      <c r="Y386" s="965">
        <f t="shared" si="1243"/>
        <v>68281906.571356133</v>
      </c>
      <c r="Z386" s="965">
        <f t="shared" si="1243"/>
        <v>66152577.315839306</v>
      </c>
      <c r="AA386" s="965">
        <f t="shared" si="1243"/>
        <v>64023248.060322478</v>
      </c>
      <c r="AB386" s="965">
        <f t="shared" si="1243"/>
        <v>61893918.804805651</v>
      </c>
      <c r="AC386" s="965">
        <f t="shared" si="1243"/>
        <v>59764589.549288824</v>
      </c>
      <c r="AD386" s="965">
        <f t="shared" si="1243"/>
        <v>57635260.293771997</v>
      </c>
      <c r="AE386" s="965">
        <f t="shared" si="1243"/>
        <v>55505931.03825517</v>
      </c>
      <c r="AF386" s="965">
        <f t="shared" si="1243"/>
        <v>53376601.782738343</v>
      </c>
      <c r="AG386" s="965">
        <f t="shared" si="1243"/>
        <v>51247272.527221516</v>
      </c>
      <c r="AH386" s="965">
        <f t="shared" si="1243"/>
        <v>49117943.271704689</v>
      </c>
      <c r="AI386" s="965">
        <f t="shared" si="1243"/>
        <v>46988614.016187862</v>
      </c>
      <c r="AJ386" s="965">
        <f t="shared" si="1243"/>
        <v>44859284.760671034</v>
      </c>
      <c r="AK386" s="965">
        <f t="shared" si="1243"/>
        <v>42729955.505154207</v>
      </c>
      <c r="AL386" s="965">
        <f t="shared" si="1243"/>
        <v>40600626.24963738</v>
      </c>
      <c r="AM386" s="965">
        <f t="shared" si="1243"/>
        <v>38471296.994120553</v>
      </c>
      <c r="AN386" s="965">
        <f t="shared" si="1243"/>
        <v>36341967.738603726</v>
      </c>
      <c r="AO386" s="965">
        <f t="shared" si="1243"/>
        <v>34212638.483086899</v>
      </c>
      <c r="AP386" s="965">
        <f t="shared" si="1243"/>
        <v>32083309.227570068</v>
      </c>
      <c r="AQ386" s="965">
        <f t="shared" si="1243"/>
        <v>29953979.972053237</v>
      </c>
      <c r="AR386" s="965">
        <f t="shared" si="1243"/>
        <v>27824650.716536406</v>
      </c>
      <c r="AS386" s="965">
        <f t="shared" si="1243"/>
        <v>25695321.461019576</v>
      </c>
      <c r="AT386" s="965">
        <f t="shared" si="1243"/>
        <v>23565992.205502745</v>
      </c>
    </row>
    <row r="387" spans="2:46" x14ac:dyDescent="0.25">
      <c r="B387" s="831" t="str">
        <f t="shared" ref="B387:AT387" si="1244">B83</f>
        <v>Activos nuevos 1 - Depreciacion 10 años</v>
      </c>
      <c r="C387" s="965">
        <f t="shared" si="1244"/>
        <v>0</v>
      </c>
      <c r="D387" s="965">
        <f t="shared" si="1244"/>
        <v>0</v>
      </c>
      <c r="E387" s="965">
        <f t="shared" si="1244"/>
        <v>0</v>
      </c>
      <c r="F387" s="965">
        <f t="shared" si="1244"/>
        <v>0</v>
      </c>
      <c r="G387" s="965">
        <f t="shared" si="1244"/>
        <v>0</v>
      </c>
      <c r="H387" s="965">
        <f t="shared" si="1244"/>
        <v>0</v>
      </c>
      <c r="I387" s="965">
        <f t="shared" si="1244"/>
        <v>0</v>
      </c>
      <c r="J387" s="965">
        <f t="shared" si="1244"/>
        <v>0</v>
      </c>
      <c r="K387" s="965">
        <f t="shared" si="1244"/>
        <v>0</v>
      </c>
      <c r="L387" s="965">
        <f t="shared" si="1244"/>
        <v>0</v>
      </c>
      <c r="M387" s="965">
        <f t="shared" si="1244"/>
        <v>0</v>
      </c>
      <c r="N387" s="965">
        <f t="shared" si="1244"/>
        <v>0</v>
      </c>
      <c r="O387" s="965">
        <f t="shared" si="1244"/>
        <v>0</v>
      </c>
      <c r="P387" s="965">
        <f t="shared" si="1244"/>
        <v>0</v>
      </c>
      <c r="Q387" s="965">
        <f t="shared" si="1244"/>
        <v>0</v>
      </c>
      <c r="R387" s="965">
        <f t="shared" si="1244"/>
        <v>-618548.40493797127</v>
      </c>
      <c r="S387" s="965">
        <f t="shared" si="1244"/>
        <v>-618548.40493797127</v>
      </c>
      <c r="T387" s="965">
        <f t="shared" si="1244"/>
        <v>-618548.40493797127</v>
      </c>
      <c r="U387" s="965">
        <f t="shared" si="1244"/>
        <v>-618548.40493797127</v>
      </c>
      <c r="V387" s="965">
        <f t="shared" si="1244"/>
        <v>-618548.40493797127</v>
      </c>
      <c r="W387" s="965">
        <f t="shared" si="1244"/>
        <v>-618548.40493797127</v>
      </c>
      <c r="X387" s="965">
        <f t="shared" si="1244"/>
        <v>-618548.40493797127</v>
      </c>
      <c r="Y387" s="965">
        <f t="shared" si="1244"/>
        <v>-618548.40493797127</v>
      </c>
      <c r="Z387" s="965">
        <f t="shared" si="1244"/>
        <v>-618548.40493797127</v>
      </c>
      <c r="AA387" s="965">
        <f t="shared" si="1244"/>
        <v>-618548.40493797127</v>
      </c>
      <c r="AB387" s="965">
        <f t="shared" si="1244"/>
        <v>-618548.40493797127</v>
      </c>
      <c r="AC387" s="965">
        <f t="shared" si="1244"/>
        <v>0</v>
      </c>
      <c r="AD387" s="965">
        <f t="shared" si="1244"/>
        <v>0</v>
      </c>
      <c r="AE387" s="965">
        <f t="shared" si="1244"/>
        <v>0</v>
      </c>
      <c r="AF387" s="965">
        <f t="shared" si="1244"/>
        <v>0</v>
      </c>
      <c r="AG387" s="965">
        <f t="shared" si="1244"/>
        <v>0</v>
      </c>
      <c r="AH387" s="965">
        <f t="shared" si="1244"/>
        <v>0</v>
      </c>
      <c r="AI387" s="965">
        <f t="shared" si="1244"/>
        <v>0</v>
      </c>
      <c r="AJ387" s="965">
        <f t="shared" si="1244"/>
        <v>0</v>
      </c>
      <c r="AK387" s="965">
        <f t="shared" si="1244"/>
        <v>0</v>
      </c>
      <c r="AL387" s="965">
        <f t="shared" si="1244"/>
        <v>0</v>
      </c>
      <c r="AM387" s="965">
        <f t="shared" si="1244"/>
        <v>0</v>
      </c>
      <c r="AN387" s="965">
        <f t="shared" si="1244"/>
        <v>0</v>
      </c>
      <c r="AO387" s="965">
        <f t="shared" si="1244"/>
        <v>0</v>
      </c>
      <c r="AP387" s="965">
        <f t="shared" si="1244"/>
        <v>0</v>
      </c>
      <c r="AQ387" s="965">
        <f t="shared" si="1244"/>
        <v>0</v>
      </c>
      <c r="AR387" s="965">
        <f t="shared" si="1244"/>
        <v>0</v>
      </c>
      <c r="AS387" s="965">
        <f t="shared" si="1244"/>
        <v>0</v>
      </c>
      <c r="AT387" s="965">
        <f t="shared" si="1244"/>
        <v>0</v>
      </c>
    </row>
    <row r="388" spans="2:46" x14ac:dyDescent="0.25">
      <c r="B388" s="831" t="str">
        <f t="shared" ref="B388:AT388" si="1245">B84</f>
        <v>Activos nuevos 1 - Valor residual</v>
      </c>
      <c r="C388" s="965">
        <f t="shared" si="1245"/>
        <v>0</v>
      </c>
      <c r="D388" s="965">
        <f t="shared" si="1245"/>
        <v>0</v>
      </c>
      <c r="E388" s="965">
        <f t="shared" si="1245"/>
        <v>0</v>
      </c>
      <c r="F388" s="965">
        <f t="shared" si="1245"/>
        <v>0</v>
      </c>
      <c r="G388" s="965">
        <f t="shared" si="1245"/>
        <v>0</v>
      </c>
      <c r="H388" s="965">
        <f t="shared" si="1245"/>
        <v>0</v>
      </c>
      <c r="I388" s="965">
        <f t="shared" si="1245"/>
        <v>0</v>
      </c>
      <c r="J388" s="965">
        <f t="shared" si="1245"/>
        <v>0</v>
      </c>
      <c r="K388" s="965">
        <f t="shared" si="1245"/>
        <v>0</v>
      </c>
      <c r="L388" s="965">
        <f t="shared" si="1245"/>
        <v>0</v>
      </c>
      <c r="M388" s="965">
        <f t="shared" si="1245"/>
        <v>0</v>
      </c>
      <c r="N388" s="965">
        <f t="shared" si="1245"/>
        <v>0</v>
      </c>
      <c r="O388" s="965">
        <f t="shared" si="1245"/>
        <v>0</v>
      </c>
      <c r="P388" s="965">
        <f t="shared" si="1245"/>
        <v>0</v>
      </c>
      <c r="Q388" s="965">
        <f t="shared" si="1245"/>
        <v>0</v>
      </c>
      <c r="R388" s="965">
        <f t="shared" si="1245"/>
        <v>6185484.0493797129</v>
      </c>
      <c r="S388" s="965">
        <f t="shared" si="1245"/>
        <v>5566935.6444417415</v>
      </c>
      <c r="T388" s="965">
        <f t="shared" si="1245"/>
        <v>4948387.2395037701</v>
      </c>
      <c r="U388" s="965">
        <f t="shared" si="1245"/>
        <v>4329838.8345657988</v>
      </c>
      <c r="V388" s="965">
        <f t="shared" si="1245"/>
        <v>3711290.4296278274</v>
      </c>
      <c r="W388" s="965">
        <f t="shared" si="1245"/>
        <v>3092742.024689856</v>
      </c>
      <c r="X388" s="965">
        <f t="shared" si="1245"/>
        <v>2474193.6197518846</v>
      </c>
      <c r="Y388" s="965">
        <f t="shared" si="1245"/>
        <v>1855645.2148139132</v>
      </c>
      <c r="Z388" s="965">
        <f t="shared" si="1245"/>
        <v>1237096.8098759418</v>
      </c>
      <c r="AA388" s="965">
        <f t="shared" si="1245"/>
        <v>618548.40493797057</v>
      </c>
      <c r="AB388" s="965">
        <f t="shared" si="1245"/>
        <v>0</v>
      </c>
      <c r="AC388" s="965">
        <f t="shared" si="1245"/>
        <v>0</v>
      </c>
      <c r="AD388" s="965">
        <f t="shared" si="1245"/>
        <v>0</v>
      </c>
      <c r="AE388" s="965">
        <f t="shared" si="1245"/>
        <v>0</v>
      </c>
      <c r="AF388" s="965">
        <f t="shared" si="1245"/>
        <v>0</v>
      </c>
      <c r="AG388" s="965">
        <f t="shared" si="1245"/>
        <v>0</v>
      </c>
      <c r="AH388" s="965">
        <f t="shared" si="1245"/>
        <v>0</v>
      </c>
      <c r="AI388" s="965">
        <f t="shared" si="1245"/>
        <v>0</v>
      </c>
      <c r="AJ388" s="965">
        <f t="shared" si="1245"/>
        <v>0</v>
      </c>
      <c r="AK388" s="965">
        <f t="shared" si="1245"/>
        <v>0</v>
      </c>
      <c r="AL388" s="965">
        <f t="shared" si="1245"/>
        <v>0</v>
      </c>
      <c r="AM388" s="965">
        <f t="shared" si="1245"/>
        <v>0</v>
      </c>
      <c r="AN388" s="965">
        <f t="shared" si="1245"/>
        <v>0</v>
      </c>
      <c r="AO388" s="965">
        <f t="shared" si="1245"/>
        <v>0</v>
      </c>
      <c r="AP388" s="965">
        <f t="shared" si="1245"/>
        <v>0</v>
      </c>
      <c r="AQ388" s="965">
        <f t="shared" si="1245"/>
        <v>0</v>
      </c>
      <c r="AR388" s="965">
        <f t="shared" si="1245"/>
        <v>0</v>
      </c>
      <c r="AS388" s="965">
        <f t="shared" si="1245"/>
        <v>0</v>
      </c>
      <c r="AT388" s="965">
        <f t="shared" si="1245"/>
        <v>0</v>
      </c>
    </row>
    <row r="389" spans="2:46" x14ac:dyDescent="0.25">
      <c r="B389" s="831" t="str">
        <f t="shared" ref="B389:AT389" si="1246">B85</f>
        <v>Activos nuevos 2 - Depreciacion 15 años</v>
      </c>
      <c r="C389" s="965">
        <f t="shared" si="1246"/>
        <v>0</v>
      </c>
      <c r="D389" s="965">
        <f t="shared" si="1246"/>
        <v>0</v>
      </c>
      <c r="E389" s="965">
        <f t="shared" si="1246"/>
        <v>0</v>
      </c>
      <c r="F389" s="965">
        <f t="shared" si="1246"/>
        <v>0</v>
      </c>
      <c r="G389" s="965">
        <f t="shared" si="1246"/>
        <v>0</v>
      </c>
      <c r="H389" s="965">
        <f t="shared" si="1246"/>
        <v>0</v>
      </c>
      <c r="I389" s="965">
        <f t="shared" si="1246"/>
        <v>0</v>
      </c>
      <c r="J389" s="965">
        <f t="shared" si="1246"/>
        <v>0</v>
      </c>
      <c r="K389" s="965">
        <f t="shared" si="1246"/>
        <v>0</v>
      </c>
      <c r="L389" s="965">
        <f t="shared" si="1246"/>
        <v>0</v>
      </c>
      <c r="M389" s="965">
        <f t="shared" si="1246"/>
        <v>0</v>
      </c>
      <c r="N389" s="965">
        <f t="shared" si="1246"/>
        <v>0</v>
      </c>
      <c r="O389" s="965">
        <f t="shared" si="1246"/>
        <v>0</v>
      </c>
      <c r="P389" s="965">
        <f t="shared" si="1246"/>
        <v>0</v>
      </c>
      <c r="Q389" s="965">
        <f t="shared" si="1246"/>
        <v>0</v>
      </c>
      <c r="R389" s="965">
        <f t="shared" si="1246"/>
        <v>0</v>
      </c>
      <c r="S389" s="965">
        <f t="shared" si="1246"/>
        <v>0</v>
      </c>
      <c r="T389" s="965">
        <f t="shared" si="1246"/>
        <v>0</v>
      </c>
      <c r="U389" s="965">
        <f t="shared" si="1246"/>
        <v>0</v>
      </c>
      <c r="V389" s="965">
        <f t="shared" si="1246"/>
        <v>0</v>
      </c>
      <c r="W389" s="965">
        <f t="shared" si="1246"/>
        <v>0</v>
      </c>
      <c r="X389" s="965">
        <f t="shared" si="1246"/>
        <v>-1175246.5745210485</v>
      </c>
      <c r="Y389" s="965">
        <f t="shared" si="1246"/>
        <v>-1175246.5745210485</v>
      </c>
      <c r="Z389" s="965">
        <f t="shared" si="1246"/>
        <v>-1175246.5745210485</v>
      </c>
      <c r="AA389" s="965">
        <f t="shared" si="1246"/>
        <v>-1175246.5745210485</v>
      </c>
      <c r="AB389" s="965">
        <f t="shared" si="1246"/>
        <v>-1175246.5745210485</v>
      </c>
      <c r="AC389" s="965">
        <f t="shared" si="1246"/>
        <v>-1175246.5745210485</v>
      </c>
      <c r="AD389" s="965">
        <f t="shared" si="1246"/>
        <v>-1175246.5745210485</v>
      </c>
      <c r="AE389" s="965">
        <f t="shared" si="1246"/>
        <v>-1175246.5745210485</v>
      </c>
      <c r="AF389" s="965">
        <f t="shared" si="1246"/>
        <v>-1175246.5745210485</v>
      </c>
      <c r="AG389" s="965">
        <f t="shared" si="1246"/>
        <v>-1175246.5745210485</v>
      </c>
      <c r="AH389" s="965">
        <f t="shared" si="1246"/>
        <v>-1175246.5745210485</v>
      </c>
      <c r="AI389" s="965">
        <f t="shared" si="1246"/>
        <v>-1175246.5745210485</v>
      </c>
      <c r="AJ389" s="965">
        <f t="shared" si="1246"/>
        <v>-1175246.5745210485</v>
      </c>
      <c r="AK389" s="965">
        <f t="shared" si="1246"/>
        <v>-1175246.5745210485</v>
      </c>
      <c r="AL389" s="965">
        <f t="shared" si="1246"/>
        <v>-1175246.5745210485</v>
      </c>
      <c r="AM389" s="965">
        <f t="shared" si="1246"/>
        <v>0</v>
      </c>
      <c r="AN389" s="965">
        <f t="shared" si="1246"/>
        <v>0</v>
      </c>
      <c r="AO389" s="965">
        <f t="shared" si="1246"/>
        <v>0</v>
      </c>
      <c r="AP389" s="965">
        <f t="shared" si="1246"/>
        <v>0</v>
      </c>
      <c r="AQ389" s="965">
        <f t="shared" si="1246"/>
        <v>0</v>
      </c>
      <c r="AR389" s="965">
        <f t="shared" si="1246"/>
        <v>0</v>
      </c>
      <c r="AS389" s="965">
        <f t="shared" si="1246"/>
        <v>0</v>
      </c>
      <c r="AT389" s="965">
        <f t="shared" si="1246"/>
        <v>0</v>
      </c>
    </row>
    <row r="390" spans="2:46" x14ac:dyDescent="0.25">
      <c r="B390" s="831" t="str">
        <f t="shared" ref="B390:AT390" si="1247">B86</f>
        <v>Activos nuevos 2 - Valor residual</v>
      </c>
      <c r="C390" s="965">
        <f t="shared" si="1247"/>
        <v>0</v>
      </c>
      <c r="D390" s="965">
        <f t="shared" si="1247"/>
        <v>0</v>
      </c>
      <c r="E390" s="965">
        <f t="shared" si="1247"/>
        <v>0</v>
      </c>
      <c r="F390" s="965">
        <f t="shared" si="1247"/>
        <v>0</v>
      </c>
      <c r="G390" s="965">
        <f t="shared" si="1247"/>
        <v>0</v>
      </c>
      <c r="H390" s="965">
        <f t="shared" si="1247"/>
        <v>0</v>
      </c>
      <c r="I390" s="965">
        <f t="shared" si="1247"/>
        <v>0</v>
      </c>
      <c r="J390" s="965">
        <f t="shared" si="1247"/>
        <v>0</v>
      </c>
      <c r="K390" s="965">
        <f t="shared" si="1247"/>
        <v>0</v>
      </c>
      <c r="L390" s="965">
        <f t="shared" si="1247"/>
        <v>0</v>
      </c>
      <c r="M390" s="965">
        <f t="shared" si="1247"/>
        <v>0</v>
      </c>
      <c r="N390" s="965">
        <f t="shared" si="1247"/>
        <v>0</v>
      </c>
      <c r="O390" s="965">
        <f t="shared" si="1247"/>
        <v>0</v>
      </c>
      <c r="P390" s="965">
        <f t="shared" si="1247"/>
        <v>0</v>
      </c>
      <c r="Q390" s="965">
        <f t="shared" si="1247"/>
        <v>0</v>
      </c>
      <c r="R390" s="965">
        <f t="shared" si="1247"/>
        <v>0</v>
      </c>
      <c r="S390" s="965">
        <f t="shared" si="1247"/>
        <v>0</v>
      </c>
      <c r="T390" s="965">
        <f t="shared" si="1247"/>
        <v>0</v>
      </c>
      <c r="U390" s="965">
        <f t="shared" si="1247"/>
        <v>0</v>
      </c>
      <c r="V390" s="965">
        <f t="shared" si="1247"/>
        <v>0</v>
      </c>
      <c r="W390" s="965">
        <f t="shared" si="1247"/>
        <v>0</v>
      </c>
      <c r="X390" s="965">
        <f t="shared" si="1247"/>
        <v>16453452.043294678</v>
      </c>
      <c r="Y390" s="965">
        <f t="shared" si="1247"/>
        <v>15278205.46877363</v>
      </c>
      <c r="Z390" s="965">
        <f t="shared" si="1247"/>
        <v>14102958.894252582</v>
      </c>
      <c r="AA390" s="965">
        <f t="shared" si="1247"/>
        <v>12927712.319731534</v>
      </c>
      <c r="AB390" s="965">
        <f t="shared" si="1247"/>
        <v>11752465.745210486</v>
      </c>
      <c r="AC390" s="965">
        <f t="shared" si="1247"/>
        <v>10577219.170689438</v>
      </c>
      <c r="AD390" s="965">
        <f t="shared" si="1247"/>
        <v>9401972.5961683895</v>
      </c>
      <c r="AE390" s="965">
        <f t="shared" si="1247"/>
        <v>8226726.0216473415</v>
      </c>
      <c r="AF390" s="965">
        <f t="shared" si="1247"/>
        <v>7051479.4471262936</v>
      </c>
      <c r="AG390" s="965">
        <f t="shared" si="1247"/>
        <v>5876232.8726052456</v>
      </c>
      <c r="AH390" s="965">
        <f t="shared" si="1247"/>
        <v>4700986.2980841976</v>
      </c>
      <c r="AI390" s="965">
        <f t="shared" si="1247"/>
        <v>3525739.7235631491</v>
      </c>
      <c r="AJ390" s="965">
        <f t="shared" si="1247"/>
        <v>2350493.1490421006</v>
      </c>
      <c r="AK390" s="965">
        <f t="shared" si="1247"/>
        <v>1175246.5745210522</v>
      </c>
      <c r="AL390" s="965">
        <f t="shared" si="1247"/>
        <v>3.7252902984619141E-9</v>
      </c>
      <c r="AM390" s="965">
        <f t="shared" si="1247"/>
        <v>0</v>
      </c>
      <c r="AN390" s="965">
        <f t="shared" si="1247"/>
        <v>0</v>
      </c>
      <c r="AO390" s="965">
        <f t="shared" si="1247"/>
        <v>0</v>
      </c>
      <c r="AP390" s="965">
        <f t="shared" si="1247"/>
        <v>0</v>
      </c>
      <c r="AQ390" s="965">
        <f t="shared" si="1247"/>
        <v>0</v>
      </c>
      <c r="AR390" s="965">
        <f t="shared" si="1247"/>
        <v>0</v>
      </c>
      <c r="AS390" s="965">
        <f t="shared" si="1247"/>
        <v>0</v>
      </c>
      <c r="AT390" s="965">
        <f t="shared" si="1247"/>
        <v>0</v>
      </c>
    </row>
    <row r="391" spans="2:46" x14ac:dyDescent="0.25">
      <c r="B391" s="831" t="str">
        <f t="shared" ref="B391:AT391" si="1248">B87</f>
        <v>Activos nuevos 3 - Depreciacion 10 años</v>
      </c>
      <c r="C391" s="965">
        <f t="shared" si="1248"/>
        <v>0</v>
      </c>
      <c r="D391" s="965">
        <f t="shared" si="1248"/>
        <v>0</v>
      </c>
      <c r="E391" s="965">
        <f t="shared" si="1248"/>
        <v>0</v>
      </c>
      <c r="F391" s="965">
        <f t="shared" si="1248"/>
        <v>0</v>
      </c>
      <c r="G391" s="965">
        <f t="shared" si="1248"/>
        <v>0</v>
      </c>
      <c r="H391" s="965">
        <f t="shared" si="1248"/>
        <v>0</v>
      </c>
      <c r="I391" s="965">
        <f t="shared" si="1248"/>
        <v>0</v>
      </c>
      <c r="J391" s="965">
        <f t="shared" si="1248"/>
        <v>0</v>
      </c>
      <c r="K391" s="965">
        <f t="shared" si="1248"/>
        <v>0</v>
      </c>
      <c r="L391" s="965">
        <f t="shared" si="1248"/>
        <v>0</v>
      </c>
      <c r="M391" s="965">
        <f t="shared" si="1248"/>
        <v>0</v>
      </c>
      <c r="N391" s="965">
        <f t="shared" si="1248"/>
        <v>0</v>
      </c>
      <c r="O391" s="965">
        <f t="shared" si="1248"/>
        <v>0</v>
      </c>
      <c r="P391" s="965">
        <f t="shared" si="1248"/>
        <v>0</v>
      </c>
      <c r="Q391" s="965">
        <f t="shared" si="1248"/>
        <v>0</v>
      </c>
      <c r="R391" s="965">
        <f t="shared" si="1248"/>
        <v>0</v>
      </c>
      <c r="S391" s="965">
        <f t="shared" si="1248"/>
        <v>0</v>
      </c>
      <c r="T391" s="965">
        <f t="shared" si="1248"/>
        <v>0</v>
      </c>
      <c r="U391" s="965">
        <f t="shared" si="1248"/>
        <v>0</v>
      </c>
      <c r="V391" s="965">
        <f t="shared" si="1248"/>
        <v>0</v>
      </c>
      <c r="W391" s="965">
        <f t="shared" si="1248"/>
        <v>0</v>
      </c>
      <c r="X391" s="965">
        <f t="shared" si="1248"/>
        <v>0</v>
      </c>
      <c r="Y391" s="965">
        <f t="shared" si="1248"/>
        <v>0</v>
      </c>
      <c r="Z391" s="965">
        <f t="shared" si="1248"/>
        <v>0</v>
      </c>
      <c r="AA391" s="965">
        <f t="shared" si="1248"/>
        <v>0</v>
      </c>
      <c r="AB391" s="965">
        <f t="shared" si="1248"/>
        <v>0</v>
      </c>
      <c r="AC391" s="965">
        <f t="shared" si="1248"/>
        <v>-767541.03117502527</v>
      </c>
      <c r="AD391" s="965">
        <f t="shared" si="1248"/>
        <v>-767541.03117502527</v>
      </c>
      <c r="AE391" s="965">
        <f t="shared" si="1248"/>
        <v>-767541.03117502527</v>
      </c>
      <c r="AF391" s="965">
        <f t="shared" si="1248"/>
        <v>-767541.03117502527</v>
      </c>
      <c r="AG391" s="965">
        <f t="shared" si="1248"/>
        <v>-767541.03117502527</v>
      </c>
      <c r="AH391" s="965">
        <f t="shared" si="1248"/>
        <v>-767541.03117502527</v>
      </c>
      <c r="AI391" s="965">
        <f t="shared" si="1248"/>
        <v>-767541.03117502527</v>
      </c>
      <c r="AJ391" s="965">
        <f t="shared" si="1248"/>
        <v>-767541.03117502527</v>
      </c>
      <c r="AK391" s="965">
        <f t="shared" si="1248"/>
        <v>-767541.03117502527</v>
      </c>
      <c r="AL391" s="965">
        <f t="shared" si="1248"/>
        <v>-767541.03117502527</v>
      </c>
      <c r="AM391" s="965">
        <f t="shared" si="1248"/>
        <v>-767541.03117502527</v>
      </c>
      <c r="AN391" s="965">
        <f t="shared" si="1248"/>
        <v>0</v>
      </c>
      <c r="AO391" s="965">
        <f t="shared" si="1248"/>
        <v>0</v>
      </c>
      <c r="AP391" s="965">
        <f t="shared" si="1248"/>
        <v>0</v>
      </c>
      <c r="AQ391" s="965">
        <f t="shared" si="1248"/>
        <v>0</v>
      </c>
      <c r="AR391" s="965">
        <f t="shared" si="1248"/>
        <v>0</v>
      </c>
      <c r="AS391" s="965">
        <f t="shared" si="1248"/>
        <v>0</v>
      </c>
      <c r="AT391" s="965">
        <f t="shared" si="1248"/>
        <v>0</v>
      </c>
    </row>
    <row r="392" spans="2:46" x14ac:dyDescent="0.25">
      <c r="B392" s="831" t="str">
        <f t="shared" ref="B392:AT392" si="1249">B88</f>
        <v>Activos nuevos 3 - Valor residual</v>
      </c>
      <c r="C392" s="965">
        <f t="shared" si="1249"/>
        <v>0</v>
      </c>
      <c r="D392" s="965">
        <f t="shared" si="1249"/>
        <v>0</v>
      </c>
      <c r="E392" s="965">
        <f t="shared" si="1249"/>
        <v>0</v>
      </c>
      <c r="F392" s="965">
        <f t="shared" si="1249"/>
        <v>0</v>
      </c>
      <c r="G392" s="965">
        <f t="shared" si="1249"/>
        <v>0</v>
      </c>
      <c r="H392" s="965">
        <f t="shared" si="1249"/>
        <v>0</v>
      </c>
      <c r="I392" s="965">
        <f t="shared" si="1249"/>
        <v>0</v>
      </c>
      <c r="J392" s="965">
        <f t="shared" si="1249"/>
        <v>0</v>
      </c>
      <c r="K392" s="965">
        <f t="shared" si="1249"/>
        <v>0</v>
      </c>
      <c r="L392" s="965">
        <f t="shared" si="1249"/>
        <v>0</v>
      </c>
      <c r="M392" s="965">
        <f t="shared" si="1249"/>
        <v>0</v>
      </c>
      <c r="N392" s="965">
        <f t="shared" si="1249"/>
        <v>0</v>
      </c>
      <c r="O392" s="965">
        <f t="shared" si="1249"/>
        <v>0</v>
      </c>
      <c r="P392" s="965">
        <f t="shared" si="1249"/>
        <v>0</v>
      </c>
      <c r="Q392" s="965">
        <f t="shared" si="1249"/>
        <v>0</v>
      </c>
      <c r="R392" s="965">
        <f t="shared" si="1249"/>
        <v>0</v>
      </c>
      <c r="S392" s="965">
        <f t="shared" si="1249"/>
        <v>0</v>
      </c>
      <c r="T392" s="965">
        <f t="shared" si="1249"/>
        <v>0</v>
      </c>
      <c r="U392" s="965">
        <f t="shared" si="1249"/>
        <v>0</v>
      </c>
      <c r="V392" s="965">
        <f t="shared" si="1249"/>
        <v>0</v>
      </c>
      <c r="W392" s="965">
        <f t="shared" si="1249"/>
        <v>0</v>
      </c>
      <c r="X392" s="965">
        <f t="shared" si="1249"/>
        <v>0</v>
      </c>
      <c r="Y392" s="965">
        <f t="shared" si="1249"/>
        <v>0</v>
      </c>
      <c r="Z392" s="965">
        <f t="shared" si="1249"/>
        <v>0</v>
      </c>
      <c r="AA392" s="965">
        <f t="shared" si="1249"/>
        <v>0</v>
      </c>
      <c r="AB392" s="965">
        <f t="shared" si="1249"/>
        <v>0</v>
      </c>
      <c r="AC392" s="965">
        <f t="shared" si="1249"/>
        <v>7675410.3117502527</v>
      </c>
      <c r="AD392" s="965">
        <f t="shared" si="1249"/>
        <v>6907869.280575227</v>
      </c>
      <c r="AE392" s="965">
        <f t="shared" si="1249"/>
        <v>6140328.2494002022</v>
      </c>
      <c r="AF392" s="965">
        <f t="shared" si="1249"/>
        <v>5372787.2182251774</v>
      </c>
      <c r="AG392" s="965">
        <f t="shared" si="1249"/>
        <v>4605246.1870501526</v>
      </c>
      <c r="AH392" s="965">
        <f t="shared" si="1249"/>
        <v>3837705.1558751273</v>
      </c>
      <c r="AI392" s="965">
        <f t="shared" si="1249"/>
        <v>3070164.124700102</v>
      </c>
      <c r="AJ392" s="965">
        <f t="shared" si="1249"/>
        <v>2302623.0935250768</v>
      </c>
      <c r="AK392" s="965">
        <f t="shared" si="1249"/>
        <v>1535082.0623500515</v>
      </c>
      <c r="AL392" s="965">
        <f t="shared" si="1249"/>
        <v>767541.0311750262</v>
      </c>
      <c r="AM392" s="965">
        <f t="shared" si="1249"/>
        <v>9.3132257461547852E-10</v>
      </c>
      <c r="AN392" s="965">
        <f t="shared" si="1249"/>
        <v>0</v>
      </c>
      <c r="AO392" s="965">
        <f t="shared" si="1249"/>
        <v>0</v>
      </c>
      <c r="AP392" s="965">
        <f t="shared" si="1249"/>
        <v>0</v>
      </c>
      <c r="AQ392" s="965">
        <f t="shared" si="1249"/>
        <v>0</v>
      </c>
      <c r="AR392" s="965">
        <f t="shared" si="1249"/>
        <v>0</v>
      </c>
      <c r="AS392" s="965">
        <f t="shared" si="1249"/>
        <v>0</v>
      </c>
      <c r="AT392" s="965">
        <f t="shared" si="1249"/>
        <v>0</v>
      </c>
    </row>
    <row r="393" spans="2:46" x14ac:dyDescent="0.25">
      <c r="B393" s="831" t="str">
        <f t="shared" ref="B393:AT393" si="1250">B89</f>
        <v>Activos nuevos 4 - Depreciacion 15 años</v>
      </c>
      <c r="C393" s="965">
        <f t="shared" si="1250"/>
        <v>0</v>
      </c>
      <c r="D393" s="965">
        <f t="shared" si="1250"/>
        <v>0</v>
      </c>
      <c r="E393" s="965">
        <f t="shared" si="1250"/>
        <v>0</v>
      </c>
      <c r="F393" s="965">
        <f t="shared" si="1250"/>
        <v>0</v>
      </c>
      <c r="G393" s="965">
        <f t="shared" si="1250"/>
        <v>0</v>
      </c>
      <c r="H393" s="965">
        <f t="shared" si="1250"/>
        <v>0</v>
      </c>
      <c r="I393" s="965">
        <f t="shared" si="1250"/>
        <v>0</v>
      </c>
      <c r="J393" s="965">
        <f t="shared" si="1250"/>
        <v>0</v>
      </c>
      <c r="K393" s="965">
        <f t="shared" si="1250"/>
        <v>0</v>
      </c>
      <c r="L393" s="965">
        <f t="shared" si="1250"/>
        <v>0</v>
      </c>
      <c r="M393" s="965">
        <f t="shared" si="1250"/>
        <v>0</v>
      </c>
      <c r="N393" s="965">
        <f t="shared" si="1250"/>
        <v>0</v>
      </c>
      <c r="O393" s="965">
        <f t="shared" si="1250"/>
        <v>0</v>
      </c>
      <c r="P393" s="965">
        <f t="shared" si="1250"/>
        <v>0</v>
      </c>
      <c r="Q393" s="965">
        <f t="shared" si="1250"/>
        <v>0</v>
      </c>
      <c r="R393" s="965">
        <f t="shared" si="1250"/>
        <v>0</v>
      </c>
      <c r="S393" s="965">
        <f t="shared" si="1250"/>
        <v>0</v>
      </c>
      <c r="T393" s="965">
        <f t="shared" si="1250"/>
        <v>0</v>
      </c>
      <c r="U393" s="965">
        <f t="shared" si="1250"/>
        <v>0</v>
      </c>
      <c r="V393" s="965">
        <f t="shared" si="1250"/>
        <v>0</v>
      </c>
      <c r="W393" s="965">
        <f t="shared" si="1250"/>
        <v>0</v>
      </c>
      <c r="X393" s="965">
        <f t="shared" si="1250"/>
        <v>0</v>
      </c>
      <c r="Y393" s="965">
        <f t="shared" si="1250"/>
        <v>0</v>
      </c>
      <c r="Z393" s="965">
        <f t="shared" si="1250"/>
        <v>0</v>
      </c>
      <c r="AA393" s="965">
        <f t="shared" si="1250"/>
        <v>0</v>
      </c>
      <c r="AB393" s="965">
        <f t="shared" si="1250"/>
        <v>0</v>
      </c>
      <c r="AC393" s="965">
        <f t="shared" si="1250"/>
        <v>0</v>
      </c>
      <c r="AD393" s="965">
        <f t="shared" si="1250"/>
        <v>0</v>
      </c>
      <c r="AE393" s="965">
        <f t="shared" si="1250"/>
        <v>0</v>
      </c>
      <c r="AF393" s="965">
        <f t="shared" si="1250"/>
        <v>0</v>
      </c>
      <c r="AG393" s="965">
        <f t="shared" si="1250"/>
        <v>0</v>
      </c>
      <c r="AH393" s="965">
        <f t="shared" si="1250"/>
        <v>0</v>
      </c>
      <c r="AI393" s="965">
        <f t="shared" si="1250"/>
        <v>0</v>
      </c>
      <c r="AJ393" s="965">
        <f t="shared" si="1250"/>
        <v>0</v>
      </c>
      <c r="AK393" s="965">
        <f t="shared" si="1250"/>
        <v>0</v>
      </c>
      <c r="AL393" s="965">
        <f t="shared" si="1250"/>
        <v>0</v>
      </c>
      <c r="AM393" s="965">
        <f t="shared" si="1250"/>
        <v>0</v>
      </c>
      <c r="AN393" s="965">
        <f t="shared" si="1250"/>
        <v>0</v>
      </c>
      <c r="AO393" s="965">
        <f t="shared" si="1250"/>
        <v>-2405856.6464542625</v>
      </c>
      <c r="AP393" s="965">
        <f t="shared" si="1250"/>
        <v>-2405856.6464542625</v>
      </c>
      <c r="AQ393" s="965">
        <f t="shared" si="1250"/>
        <v>-2405856.6464542625</v>
      </c>
      <c r="AR393" s="965">
        <f t="shared" si="1250"/>
        <v>-2405856.6464542625</v>
      </c>
      <c r="AS393" s="965">
        <f t="shared" si="1250"/>
        <v>-2405856.6464542625</v>
      </c>
      <c r="AT393" s="965">
        <f t="shared" si="1250"/>
        <v>-2405856.6464542625</v>
      </c>
    </row>
    <row r="394" spans="2:46" x14ac:dyDescent="0.25">
      <c r="B394" s="846" t="str">
        <f t="shared" ref="B394:AT394" si="1251">B90</f>
        <v>Activos nuevos 4 - Valor residual</v>
      </c>
      <c r="C394" s="968">
        <f t="shared" si="1251"/>
        <v>0</v>
      </c>
      <c r="D394" s="968">
        <f t="shared" si="1251"/>
        <v>0</v>
      </c>
      <c r="E394" s="968">
        <f t="shared" si="1251"/>
        <v>0</v>
      </c>
      <c r="F394" s="968">
        <f t="shared" si="1251"/>
        <v>0</v>
      </c>
      <c r="G394" s="968">
        <f t="shared" si="1251"/>
        <v>0</v>
      </c>
      <c r="H394" s="968">
        <f t="shared" si="1251"/>
        <v>0</v>
      </c>
      <c r="I394" s="968">
        <f t="shared" si="1251"/>
        <v>0</v>
      </c>
      <c r="J394" s="968">
        <f t="shared" si="1251"/>
        <v>0</v>
      </c>
      <c r="K394" s="968">
        <f t="shared" si="1251"/>
        <v>0</v>
      </c>
      <c r="L394" s="968">
        <f t="shared" si="1251"/>
        <v>0</v>
      </c>
      <c r="M394" s="968">
        <f t="shared" si="1251"/>
        <v>0</v>
      </c>
      <c r="N394" s="968">
        <f t="shared" si="1251"/>
        <v>0</v>
      </c>
      <c r="O394" s="968">
        <f t="shared" si="1251"/>
        <v>0</v>
      </c>
      <c r="P394" s="968">
        <f t="shared" si="1251"/>
        <v>0</v>
      </c>
      <c r="Q394" s="968">
        <f t="shared" si="1251"/>
        <v>0</v>
      </c>
      <c r="R394" s="968">
        <f t="shared" si="1251"/>
        <v>0</v>
      </c>
      <c r="S394" s="968">
        <f t="shared" si="1251"/>
        <v>0</v>
      </c>
      <c r="T394" s="968">
        <f t="shared" si="1251"/>
        <v>0</v>
      </c>
      <c r="U394" s="968">
        <f t="shared" si="1251"/>
        <v>0</v>
      </c>
      <c r="V394" s="968">
        <f t="shared" si="1251"/>
        <v>0</v>
      </c>
      <c r="W394" s="968">
        <f t="shared" si="1251"/>
        <v>0</v>
      </c>
      <c r="X394" s="968">
        <f t="shared" si="1251"/>
        <v>0</v>
      </c>
      <c r="Y394" s="968">
        <f t="shared" si="1251"/>
        <v>0</v>
      </c>
      <c r="Z394" s="968">
        <f t="shared" si="1251"/>
        <v>0</v>
      </c>
      <c r="AA394" s="968">
        <f t="shared" si="1251"/>
        <v>0</v>
      </c>
      <c r="AB394" s="968">
        <f t="shared" si="1251"/>
        <v>0</v>
      </c>
      <c r="AC394" s="968">
        <f t="shared" si="1251"/>
        <v>0</v>
      </c>
      <c r="AD394" s="968">
        <f t="shared" si="1251"/>
        <v>0</v>
      </c>
      <c r="AE394" s="968">
        <f t="shared" si="1251"/>
        <v>0</v>
      </c>
      <c r="AF394" s="968">
        <f t="shared" si="1251"/>
        <v>0</v>
      </c>
      <c r="AG394" s="968">
        <f t="shared" si="1251"/>
        <v>0</v>
      </c>
      <c r="AH394" s="968">
        <f t="shared" si="1251"/>
        <v>0</v>
      </c>
      <c r="AI394" s="968">
        <f t="shared" si="1251"/>
        <v>0</v>
      </c>
      <c r="AJ394" s="968">
        <f t="shared" si="1251"/>
        <v>0</v>
      </c>
      <c r="AK394" s="968">
        <f t="shared" si="1251"/>
        <v>0</v>
      </c>
      <c r="AL394" s="968">
        <f t="shared" si="1251"/>
        <v>0</v>
      </c>
      <c r="AM394" s="968">
        <f t="shared" si="1251"/>
        <v>0</v>
      </c>
      <c r="AN394" s="968">
        <f t="shared" si="1251"/>
        <v>0</v>
      </c>
      <c r="AO394" s="968">
        <f t="shared" si="1251"/>
        <v>36087849.696813934</v>
      </c>
      <c r="AP394" s="968">
        <f t="shared" si="1251"/>
        <v>33681993.050359674</v>
      </c>
      <c r="AQ394" s="968">
        <f t="shared" si="1251"/>
        <v>31276136.40390541</v>
      </c>
      <c r="AR394" s="968">
        <f t="shared" si="1251"/>
        <v>28870279.757451147</v>
      </c>
      <c r="AS394" s="968">
        <f t="shared" si="1251"/>
        <v>26464423.110996883</v>
      </c>
      <c r="AT394" s="968">
        <f t="shared" si="1251"/>
        <v>24058566.46454262</v>
      </c>
    </row>
    <row r="395" spans="2:46" x14ac:dyDescent="0.25">
      <c r="B395" s="845" t="s">
        <v>441</v>
      </c>
      <c r="C395" s="824">
        <v>0</v>
      </c>
      <c r="D395" s="824">
        <v>0</v>
      </c>
      <c r="E395" s="824">
        <v>0</v>
      </c>
      <c r="F395" s="824">
        <v>0</v>
      </c>
      <c r="G395" s="824">
        <f>SUM(G381:G385)+G387+G389+G391+G393</f>
        <v>-3662844.258584829</v>
      </c>
      <c r="H395" s="824">
        <f t="shared" ref="H395:AT395" si="1252">SUM(H381:H385)+H387+H389+H391+H393</f>
        <v>-3662844.258584829</v>
      </c>
      <c r="I395" s="824">
        <f t="shared" si="1252"/>
        <v>-3662844.258584829</v>
      </c>
      <c r="J395" s="824">
        <f t="shared" si="1252"/>
        <v>-3662844.258584829</v>
      </c>
      <c r="K395" s="824">
        <f t="shared" si="1252"/>
        <v>-3662844.258584829</v>
      </c>
      <c r="L395" s="824">
        <f t="shared" si="1252"/>
        <v>-3458479.3385100355</v>
      </c>
      <c r="M395" s="824">
        <f t="shared" si="1252"/>
        <v>-3458479.3385100355</v>
      </c>
      <c r="N395" s="824">
        <f t="shared" si="1252"/>
        <v>-3458479.3385100355</v>
      </c>
      <c r="O395" s="824">
        <f t="shared" si="1252"/>
        <v>-3458479.3385100355</v>
      </c>
      <c r="P395" s="824">
        <f t="shared" si="1252"/>
        <v>-3458479.3385100355</v>
      </c>
      <c r="Q395" s="824">
        <f t="shared" si="1252"/>
        <v>-2975390.0050588157</v>
      </c>
      <c r="R395" s="824">
        <f t="shared" si="1252"/>
        <v>-3593938.4099967871</v>
      </c>
      <c r="S395" s="824">
        <f t="shared" si="1252"/>
        <v>-3593938.4099967871</v>
      </c>
      <c r="T395" s="824">
        <f t="shared" si="1252"/>
        <v>-3593938.4099967871</v>
      </c>
      <c r="U395" s="824">
        <f t="shared" si="1252"/>
        <v>-3593938.4099967871</v>
      </c>
      <c r="V395" s="824">
        <f t="shared" si="1252"/>
        <v>-2747877.6604548013</v>
      </c>
      <c r="W395" s="824">
        <f t="shared" si="1252"/>
        <v>-2747877.6604548013</v>
      </c>
      <c r="X395" s="824">
        <f t="shared" si="1252"/>
        <v>-3923124.2349758497</v>
      </c>
      <c r="Y395" s="824">
        <f t="shared" si="1252"/>
        <v>-3923124.2349758497</v>
      </c>
      <c r="Z395" s="824">
        <f t="shared" si="1252"/>
        <v>-3923124.2349758497</v>
      </c>
      <c r="AA395" s="824">
        <f t="shared" si="1252"/>
        <v>-3923124.2349758497</v>
      </c>
      <c r="AB395" s="824">
        <f t="shared" si="1252"/>
        <v>-3923124.2349758497</v>
      </c>
      <c r="AC395" s="824">
        <f t="shared" si="1252"/>
        <v>-4072116.8612129036</v>
      </c>
      <c r="AD395" s="824">
        <f t="shared" si="1252"/>
        <v>-4072116.8612129036</v>
      </c>
      <c r="AE395" s="824">
        <f t="shared" si="1252"/>
        <v>-4072116.8612129036</v>
      </c>
      <c r="AF395" s="824">
        <f t="shared" si="1252"/>
        <v>-4072116.8612129036</v>
      </c>
      <c r="AG395" s="824">
        <f t="shared" si="1252"/>
        <v>-4072116.8612129036</v>
      </c>
      <c r="AH395" s="824">
        <f t="shared" si="1252"/>
        <v>-4072116.8612129036</v>
      </c>
      <c r="AI395" s="824">
        <f t="shared" si="1252"/>
        <v>-4072116.8612129036</v>
      </c>
      <c r="AJ395" s="824">
        <f t="shared" si="1252"/>
        <v>-4072116.8612129036</v>
      </c>
      <c r="AK395" s="824">
        <f t="shared" si="1252"/>
        <v>-4072116.8612129036</v>
      </c>
      <c r="AL395" s="824">
        <f t="shared" si="1252"/>
        <v>-4072116.8612129036</v>
      </c>
      <c r="AM395" s="824">
        <f t="shared" si="1252"/>
        <v>-2896870.2866918552</v>
      </c>
      <c r="AN395" s="824">
        <f t="shared" si="1252"/>
        <v>-2129329.2555168299</v>
      </c>
      <c r="AO395" s="824">
        <f t="shared" si="1252"/>
        <v>-4535185.9019710924</v>
      </c>
      <c r="AP395" s="824">
        <f t="shared" si="1252"/>
        <v>-4535185.9019710924</v>
      </c>
      <c r="AQ395" s="824">
        <f t="shared" si="1252"/>
        <v>-4535185.9019710924</v>
      </c>
      <c r="AR395" s="824">
        <f t="shared" si="1252"/>
        <v>-4535185.9019710924</v>
      </c>
      <c r="AS395" s="824">
        <f t="shared" si="1252"/>
        <v>-4535185.9019710924</v>
      </c>
      <c r="AT395" s="824">
        <f t="shared" si="1252"/>
        <v>-4535185.9019710924</v>
      </c>
    </row>
    <row r="396" spans="2:46" x14ac:dyDescent="0.25">
      <c r="B396" s="833" t="s">
        <v>435</v>
      </c>
      <c r="C396" s="824">
        <f>C386+C390+C394</f>
        <v>0</v>
      </c>
      <c r="D396" s="824">
        <f t="shared" ref="D396:F396" si="1253">D386+D390+D394</f>
        <v>0</v>
      </c>
      <c r="E396" s="824">
        <f t="shared" si="1253"/>
        <v>0</v>
      </c>
      <c r="F396" s="824">
        <f t="shared" si="1253"/>
        <v>0</v>
      </c>
      <c r="G396" s="824">
        <f>G386+G388+G390+G392+G394</f>
        <v>123619947.34560698</v>
      </c>
      <c r="H396" s="824">
        <f t="shared" ref="H396:AT396" si="1254">H386+H388+H390+H392+H394</f>
        <v>119957103.08702216</v>
      </c>
      <c r="I396" s="824">
        <f t="shared" si="1254"/>
        <v>116294258.82843733</v>
      </c>
      <c r="J396" s="824">
        <f t="shared" si="1254"/>
        <v>112631414.5698525</v>
      </c>
      <c r="K396" s="824">
        <f t="shared" si="1254"/>
        <v>108968570.31126767</v>
      </c>
      <c r="L396" s="824">
        <f t="shared" si="1254"/>
        <v>105510090.97275764</v>
      </c>
      <c r="M396" s="824">
        <f t="shared" si="1254"/>
        <v>102051611.6342476</v>
      </c>
      <c r="N396" s="824">
        <f t="shared" si="1254"/>
        <v>98593132.295737565</v>
      </c>
      <c r="O396" s="824">
        <f t="shared" si="1254"/>
        <v>95134652.957227528</v>
      </c>
      <c r="P396" s="824">
        <f t="shared" si="1254"/>
        <v>91676173.618717492</v>
      </c>
      <c r="Q396" s="824">
        <f t="shared" si="1254"/>
        <v>88700783.613658682</v>
      </c>
      <c r="R396" s="824">
        <f t="shared" si="1254"/>
        <v>91910877.657979578</v>
      </c>
      <c r="S396" s="824">
        <f t="shared" si="1254"/>
        <v>88316939.2479828</v>
      </c>
      <c r="T396" s="824">
        <f t="shared" si="1254"/>
        <v>84723000.837986022</v>
      </c>
      <c r="U396" s="824">
        <f t="shared" si="1254"/>
        <v>81129062.427989244</v>
      </c>
      <c r="V396" s="824">
        <f t="shared" si="1254"/>
        <v>78381184.767534435</v>
      </c>
      <c r="W396" s="824">
        <f t="shared" si="1254"/>
        <v>75633307.10707964</v>
      </c>
      <c r="X396" s="824">
        <f t="shared" si="1254"/>
        <v>89338881.489919528</v>
      </c>
      <c r="Y396" s="824">
        <f t="shared" si="1254"/>
        <v>85415757.254943684</v>
      </c>
      <c r="Z396" s="824">
        <f t="shared" si="1254"/>
        <v>81492633.019967824</v>
      </c>
      <c r="AA396" s="824">
        <f t="shared" si="1254"/>
        <v>77569508.78499198</v>
      </c>
      <c r="AB396" s="824">
        <f t="shared" si="1254"/>
        <v>73646384.550016135</v>
      </c>
      <c r="AC396" s="824">
        <f t="shared" si="1254"/>
        <v>78017219.031728506</v>
      </c>
      <c r="AD396" s="824">
        <f t="shared" si="1254"/>
        <v>73945102.170515612</v>
      </c>
      <c r="AE396" s="824">
        <f t="shared" si="1254"/>
        <v>69872985.309302717</v>
      </c>
      <c r="AF396" s="824">
        <f t="shared" si="1254"/>
        <v>65800868.448089808</v>
      </c>
      <c r="AG396" s="824">
        <f t="shared" si="1254"/>
        <v>61728751.586876914</v>
      </c>
      <c r="AH396" s="824">
        <f t="shared" si="1254"/>
        <v>57656634.725664012</v>
      </c>
      <c r="AI396" s="824">
        <f t="shared" si="1254"/>
        <v>53584517.86445111</v>
      </c>
      <c r="AJ396" s="824">
        <f t="shared" si="1254"/>
        <v>49512401.003238209</v>
      </c>
      <c r="AK396" s="824">
        <f t="shared" si="1254"/>
        <v>45440284.142025307</v>
      </c>
      <c r="AL396" s="824">
        <f t="shared" si="1254"/>
        <v>41368167.280812405</v>
      </c>
      <c r="AM396" s="824">
        <f t="shared" si="1254"/>
        <v>38471296.994120553</v>
      </c>
      <c r="AN396" s="824">
        <f t="shared" si="1254"/>
        <v>36341967.738603726</v>
      </c>
      <c r="AO396" s="824">
        <f t="shared" si="1254"/>
        <v>70300488.179900825</v>
      </c>
      <c r="AP396" s="824">
        <f t="shared" si="1254"/>
        <v>65765302.277929738</v>
      </c>
      <c r="AQ396" s="824">
        <f t="shared" si="1254"/>
        <v>61230116.375958651</v>
      </c>
      <c r="AR396" s="824">
        <f t="shared" si="1254"/>
        <v>56694930.47398755</v>
      </c>
      <c r="AS396" s="824">
        <f t="shared" si="1254"/>
        <v>52159744.572016463</v>
      </c>
      <c r="AT396" s="824">
        <f t="shared" si="1254"/>
        <v>47624558.670045361</v>
      </c>
    </row>
    <row r="397" spans="2:46" x14ac:dyDescent="0.25">
      <c r="B397" s="481"/>
      <c r="C397" s="382"/>
      <c r="D397" s="382"/>
      <c r="E397" s="382"/>
      <c r="F397" s="382"/>
      <c r="G397" s="382"/>
      <c r="H397" s="382"/>
      <c r="I397" s="382"/>
      <c r="J397" s="382"/>
      <c r="K397" s="382"/>
      <c r="L397" s="382"/>
      <c r="M397" s="382"/>
      <c r="N397" s="382"/>
      <c r="O397" s="382"/>
      <c r="P397" s="382"/>
      <c r="Q397" s="382"/>
      <c r="R397" s="382"/>
      <c r="S397" s="382"/>
      <c r="T397" s="382"/>
      <c r="U397" s="382"/>
      <c r="V397" s="382"/>
      <c r="W397" s="382"/>
      <c r="X397" s="382"/>
      <c r="Y397" s="382"/>
      <c r="Z397" s="382"/>
      <c r="AA397" s="382"/>
      <c r="AB397" s="382"/>
      <c r="AC397" s="382"/>
      <c r="AD397" s="382"/>
      <c r="AE397" s="382"/>
      <c r="AF397" s="382"/>
      <c r="AG397" s="382"/>
      <c r="AH397" s="382"/>
      <c r="AI397" s="382"/>
      <c r="AJ397" s="382"/>
      <c r="AK397" s="382"/>
      <c r="AL397" s="382"/>
      <c r="AM397" s="382"/>
      <c r="AN397" s="382"/>
      <c r="AO397" s="382"/>
      <c r="AP397" s="382"/>
      <c r="AQ397" s="382"/>
      <c r="AR397" s="382"/>
      <c r="AS397" s="382"/>
      <c r="AT397" s="382"/>
    </row>
    <row r="398" spans="2:46" ht="13.8" thickBot="1" x14ac:dyDescent="0.3">
      <c r="B398" s="834"/>
      <c r="C398" s="178"/>
      <c r="D398" s="178"/>
      <c r="E398" s="178"/>
      <c r="F398" s="178"/>
      <c r="G398" s="178"/>
      <c r="H398" s="178"/>
      <c r="I398" s="178"/>
      <c r="J398" s="178"/>
      <c r="K398" s="178"/>
      <c r="L398" s="178"/>
      <c r="M398" s="178"/>
      <c r="N398" s="178"/>
      <c r="O398" s="178"/>
      <c r="P398" s="178"/>
      <c r="Q398" s="178"/>
      <c r="R398" s="178"/>
      <c r="S398" s="178"/>
      <c r="T398" s="178"/>
      <c r="U398" s="178"/>
      <c r="V398" s="178"/>
      <c r="W398" s="178"/>
      <c r="X398" s="178"/>
      <c r="Y398" s="178"/>
      <c r="Z398" s="178"/>
      <c r="AA398" s="178"/>
      <c r="AB398" s="178"/>
      <c r="AC398" s="178"/>
      <c r="AD398" s="178"/>
      <c r="AE398" s="178"/>
      <c r="AF398" s="178"/>
      <c r="AG398" s="178"/>
      <c r="AH398" s="178"/>
      <c r="AI398" s="178"/>
      <c r="AJ398" s="178"/>
      <c r="AK398" s="178"/>
      <c r="AL398" s="178"/>
      <c r="AM398" s="178"/>
      <c r="AN398" s="178"/>
      <c r="AO398" s="178"/>
      <c r="AP398" s="178"/>
      <c r="AQ398" s="178"/>
      <c r="AR398" s="178"/>
      <c r="AS398" s="178"/>
      <c r="AT398" s="178"/>
    </row>
    <row r="399" spans="2:46" ht="14.4" x14ac:dyDescent="0.25">
      <c r="B399" s="835" t="s">
        <v>390</v>
      </c>
      <c r="C399" s="818"/>
      <c r="D399" s="818"/>
      <c r="E399" s="818"/>
      <c r="F399" s="818"/>
      <c r="G399" s="818"/>
      <c r="H399" s="818"/>
      <c r="I399" s="818"/>
      <c r="J399" s="818"/>
      <c r="K399" s="818"/>
      <c r="L399" s="818"/>
      <c r="M399" s="818"/>
      <c r="N399" s="818"/>
      <c r="O399" s="818"/>
      <c r="P399" s="818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  <c r="AA399" s="818"/>
      <c r="AB399" s="818"/>
      <c r="AC399" s="818"/>
      <c r="AD399" s="818"/>
      <c r="AE399" s="818"/>
      <c r="AF399" s="818"/>
      <c r="AG399" s="818"/>
      <c r="AH399" s="818"/>
      <c r="AI399" s="818"/>
      <c r="AJ399" s="818"/>
      <c r="AK399" s="818"/>
      <c r="AL399" s="818"/>
      <c r="AM399" s="818"/>
      <c r="AN399" s="818"/>
      <c r="AO399" s="818"/>
      <c r="AP399" s="818"/>
      <c r="AQ399" s="818"/>
      <c r="AR399" s="818"/>
      <c r="AS399" s="818"/>
      <c r="AT399" s="819"/>
    </row>
    <row r="400" spans="2:46" x14ac:dyDescent="0.25">
      <c r="B400" s="836" t="s">
        <v>391</v>
      </c>
      <c r="C400" s="268">
        <v>0</v>
      </c>
      <c r="D400" s="268">
        <v>0</v>
      </c>
      <c r="E400" s="268">
        <v>0</v>
      </c>
      <c r="F400" s="268">
        <v>0</v>
      </c>
      <c r="G400" s="268">
        <f>-G376</f>
        <v>-3454589.5691445097</v>
      </c>
      <c r="H400" s="268">
        <f t="shared" ref="H400:AT400" si="1255">-H376</f>
        <v>-3546350.2599561452</v>
      </c>
      <c r="I400" s="268">
        <f t="shared" si="1255"/>
        <v>-3629500.1452487805</v>
      </c>
      <c r="J400" s="268">
        <f t="shared" si="1255"/>
        <v>-3714649.5304283733</v>
      </c>
      <c r="K400" s="268">
        <f t="shared" si="1255"/>
        <v>-9294323.7646731809</v>
      </c>
      <c r="L400" s="268">
        <f t="shared" si="1255"/>
        <v>-3891145.174125297</v>
      </c>
      <c r="M400" s="268">
        <f t="shared" si="1255"/>
        <v>-3982593.760180179</v>
      </c>
      <c r="N400" s="268">
        <f t="shared" si="1255"/>
        <v>-4076246.5661634705</v>
      </c>
      <c r="O400" s="268">
        <f t="shared" si="1255"/>
        <v>-4172158.0442154035</v>
      </c>
      <c r="P400" s="268">
        <f t="shared" si="1255"/>
        <v>-10305240.456239779</v>
      </c>
      <c r="Q400" s="268">
        <f t="shared" si="1255"/>
        <v>-4370981.7449138239</v>
      </c>
      <c r="R400" s="268">
        <f t="shared" si="1255"/>
        <v>-4474009.8993217153</v>
      </c>
      <c r="S400" s="268">
        <f t="shared" si="1255"/>
        <v>-4579528.6633017063</v>
      </c>
      <c r="T400" s="268">
        <f t="shared" si="1255"/>
        <v>-4687599.7384678498</v>
      </c>
      <c r="U400" s="268">
        <f t="shared" si="1255"/>
        <v>-11429085.151702685</v>
      </c>
      <c r="V400" s="268">
        <f t="shared" si="1255"/>
        <v>-4911653.4910183838</v>
      </c>
      <c r="W400" s="268">
        <f t="shared" si="1255"/>
        <v>-5027767.5564522296</v>
      </c>
      <c r="X400" s="268">
        <f t="shared" si="1255"/>
        <v>-5146696.7934412798</v>
      </c>
      <c r="Y400" s="268">
        <f t="shared" si="1255"/>
        <v>-5268511.1412896216</v>
      </c>
      <c r="Z400" s="268">
        <f t="shared" si="1255"/>
        <v>-12678875.013862662</v>
      </c>
      <c r="AA400" s="268">
        <f t="shared" si="1255"/>
        <v>-5521083.8624752844</v>
      </c>
      <c r="AB400" s="268">
        <f t="shared" si="1255"/>
        <v>-5651991.1898182109</v>
      </c>
      <c r="AC400" s="268">
        <f t="shared" si="1255"/>
        <v>-5786081.6320499461</v>
      </c>
      <c r="AD400" s="268">
        <f t="shared" si="1255"/>
        <v>-5923434.4919935949</v>
      </c>
      <c r="AE400" s="268">
        <f t="shared" si="1255"/>
        <v>-14069181.394370388</v>
      </c>
      <c r="AF400" s="268">
        <f t="shared" si="1255"/>
        <v>-6208254.835203521</v>
      </c>
      <c r="AG400" s="268">
        <f t="shared" si="1255"/>
        <v>-6355891.2422239808</v>
      </c>
      <c r="AH400" s="268">
        <f t="shared" si="1255"/>
        <v>-6507128.0239001652</v>
      </c>
      <c r="AI400" s="268">
        <f t="shared" si="1255"/>
        <v>-6662055.1295457529</v>
      </c>
      <c r="AJ400" s="268">
        <f t="shared" si="1255"/>
        <v>-15616322.452012271</v>
      </c>
      <c r="AK400" s="268">
        <f t="shared" si="1255"/>
        <v>-6983351.6630770871</v>
      </c>
      <c r="AL400" s="268">
        <f t="shared" si="1255"/>
        <v>-7149912.7241678927</v>
      </c>
      <c r="AM400" s="268">
        <f t="shared" si="1255"/>
        <v>-7320547.5004008031</v>
      </c>
      <c r="AN400" s="268">
        <f t="shared" si="1255"/>
        <v>-7495358.0500422539</v>
      </c>
      <c r="AO400" s="268">
        <f t="shared" si="1255"/>
        <v>-17338580.552335452</v>
      </c>
      <c r="AP400" s="268">
        <f t="shared" si="1255"/>
        <v>-7857927.8452074975</v>
      </c>
      <c r="AQ400" s="268">
        <f t="shared" si="1255"/>
        <v>-8045904.5568202641</v>
      </c>
      <c r="AR400" s="268">
        <f t="shared" si="1255"/>
        <v>-8238492.1162956236</v>
      </c>
      <c r="AS400" s="268">
        <f t="shared" si="1255"/>
        <v>-8435806.3583844062</v>
      </c>
      <c r="AT400" s="799">
        <f t="shared" si="1255"/>
        <v>-19256447.751688365</v>
      </c>
    </row>
    <row r="401" spans="2:46" ht="15" thickBot="1" x14ac:dyDescent="0.3">
      <c r="B401" s="842" t="s">
        <v>389</v>
      </c>
      <c r="C401" s="820"/>
      <c r="D401" s="820"/>
      <c r="E401" s="820"/>
      <c r="F401" s="820"/>
      <c r="G401" s="820">
        <f>G400</f>
        <v>-3454589.5691445097</v>
      </c>
      <c r="H401" s="820">
        <f t="shared" ref="H401" si="1256">H400</f>
        <v>-3546350.2599561452</v>
      </c>
      <c r="I401" s="820">
        <f t="shared" ref="I401" si="1257">I400</f>
        <v>-3629500.1452487805</v>
      </c>
      <c r="J401" s="820">
        <f t="shared" ref="J401" si="1258">J400</f>
        <v>-3714649.5304283733</v>
      </c>
      <c r="K401" s="820">
        <f t="shared" ref="K401" si="1259">K400</f>
        <v>-9294323.7646731809</v>
      </c>
      <c r="L401" s="820">
        <f t="shared" ref="L401" si="1260">L400</f>
        <v>-3891145.174125297</v>
      </c>
      <c r="M401" s="820">
        <f t="shared" ref="M401" si="1261">M400</f>
        <v>-3982593.760180179</v>
      </c>
      <c r="N401" s="820">
        <f t="shared" ref="N401" si="1262">N400</f>
        <v>-4076246.5661634705</v>
      </c>
      <c r="O401" s="820">
        <f t="shared" ref="O401" si="1263">O400</f>
        <v>-4172158.0442154035</v>
      </c>
      <c r="P401" s="820">
        <f t="shared" ref="P401" si="1264">P400</f>
        <v>-10305240.456239779</v>
      </c>
      <c r="Q401" s="820">
        <f t="shared" ref="Q401" si="1265">Q400</f>
        <v>-4370981.7449138239</v>
      </c>
      <c r="R401" s="820">
        <f t="shared" ref="R401" si="1266">R400</f>
        <v>-4474009.8993217153</v>
      </c>
      <c r="S401" s="820">
        <f t="shared" ref="S401" si="1267">S400</f>
        <v>-4579528.6633017063</v>
      </c>
      <c r="T401" s="820">
        <f t="shared" ref="T401" si="1268">T400</f>
        <v>-4687599.7384678498</v>
      </c>
      <c r="U401" s="820">
        <f t="shared" ref="U401" si="1269">U400</f>
        <v>-11429085.151702685</v>
      </c>
      <c r="V401" s="820">
        <f t="shared" ref="V401" si="1270">V400</f>
        <v>-4911653.4910183838</v>
      </c>
      <c r="W401" s="820">
        <f t="shared" ref="W401" si="1271">W400</f>
        <v>-5027767.5564522296</v>
      </c>
      <c r="X401" s="820">
        <f t="shared" ref="X401" si="1272">X400</f>
        <v>-5146696.7934412798</v>
      </c>
      <c r="Y401" s="820">
        <f t="shared" ref="Y401" si="1273">Y400</f>
        <v>-5268511.1412896216</v>
      </c>
      <c r="Z401" s="820">
        <f t="shared" ref="Z401" si="1274">Z400</f>
        <v>-12678875.013862662</v>
      </c>
      <c r="AA401" s="820">
        <f t="shared" ref="AA401" si="1275">AA400</f>
        <v>-5521083.8624752844</v>
      </c>
      <c r="AB401" s="820">
        <f t="shared" ref="AB401" si="1276">AB400</f>
        <v>-5651991.1898182109</v>
      </c>
      <c r="AC401" s="820">
        <f t="shared" ref="AC401" si="1277">AC400</f>
        <v>-5786081.6320499461</v>
      </c>
      <c r="AD401" s="820">
        <f t="shared" ref="AD401" si="1278">AD400</f>
        <v>-5923434.4919935949</v>
      </c>
      <c r="AE401" s="820">
        <f t="shared" ref="AE401" si="1279">AE400</f>
        <v>-14069181.394370388</v>
      </c>
      <c r="AF401" s="820">
        <f t="shared" ref="AF401" si="1280">AF400</f>
        <v>-6208254.835203521</v>
      </c>
      <c r="AG401" s="820">
        <f t="shared" ref="AG401" si="1281">AG400</f>
        <v>-6355891.2422239808</v>
      </c>
      <c r="AH401" s="820">
        <f t="shared" ref="AH401" si="1282">AH400</f>
        <v>-6507128.0239001652</v>
      </c>
      <c r="AI401" s="820">
        <f t="shared" ref="AI401" si="1283">AI400</f>
        <v>-6662055.1295457529</v>
      </c>
      <c r="AJ401" s="820">
        <f t="shared" ref="AJ401" si="1284">AJ400</f>
        <v>-15616322.452012271</v>
      </c>
      <c r="AK401" s="820">
        <f t="shared" ref="AK401" si="1285">AK400</f>
        <v>-6983351.6630770871</v>
      </c>
      <c r="AL401" s="820">
        <f t="shared" ref="AL401" si="1286">AL400</f>
        <v>-7149912.7241678927</v>
      </c>
      <c r="AM401" s="820">
        <f t="shared" ref="AM401" si="1287">AM400</f>
        <v>-7320547.5004008031</v>
      </c>
      <c r="AN401" s="820">
        <f t="shared" ref="AN401" si="1288">AN400</f>
        <v>-7495358.0500422539</v>
      </c>
      <c r="AO401" s="820">
        <f t="shared" ref="AO401" si="1289">AO400</f>
        <v>-17338580.552335452</v>
      </c>
      <c r="AP401" s="820">
        <f t="shared" ref="AP401" si="1290">AP400</f>
        <v>-7857927.8452074975</v>
      </c>
      <c r="AQ401" s="820">
        <f t="shared" ref="AQ401" si="1291">AQ400</f>
        <v>-8045904.5568202641</v>
      </c>
      <c r="AR401" s="820">
        <f t="shared" ref="AR401" si="1292">AR400</f>
        <v>-8238492.1162956236</v>
      </c>
      <c r="AS401" s="820">
        <f t="shared" ref="AS401" si="1293">AS400</f>
        <v>-8435806.3583844062</v>
      </c>
      <c r="AT401" s="821">
        <f t="shared" ref="AT401" si="1294">AT400</f>
        <v>-19256447.751688365</v>
      </c>
    </row>
    <row r="402" spans="2:46" ht="15" thickBot="1" x14ac:dyDescent="0.3">
      <c r="B402" s="837"/>
      <c r="C402" s="824"/>
      <c r="D402" s="824"/>
      <c r="E402" s="824"/>
      <c r="F402" s="824"/>
      <c r="G402" s="824"/>
      <c r="H402" s="824"/>
      <c r="I402" s="824"/>
      <c r="J402" s="824"/>
      <c r="K402" s="824"/>
      <c r="L402" s="824"/>
      <c r="M402" s="824"/>
      <c r="N402" s="824"/>
      <c r="O402" s="824"/>
      <c r="P402" s="824"/>
      <c r="Q402" s="824"/>
      <c r="R402" s="824"/>
      <c r="S402" s="824"/>
      <c r="T402" s="824"/>
      <c r="U402" s="824"/>
      <c r="V402" s="824"/>
      <c r="W402" s="824"/>
      <c r="X402" s="824"/>
      <c r="Y402" s="824"/>
      <c r="Z402" s="824"/>
      <c r="AA402" s="824"/>
      <c r="AB402" s="824"/>
      <c r="AC402" s="824"/>
      <c r="AD402" s="824"/>
      <c r="AE402" s="824"/>
      <c r="AF402" s="824"/>
      <c r="AG402" s="824"/>
      <c r="AH402" s="824"/>
      <c r="AI402" s="824"/>
      <c r="AJ402" s="824"/>
      <c r="AK402" s="824"/>
      <c r="AL402" s="824"/>
      <c r="AM402" s="824"/>
      <c r="AN402" s="824"/>
      <c r="AO402" s="824"/>
      <c r="AP402" s="824"/>
      <c r="AQ402" s="824"/>
      <c r="AR402" s="824"/>
      <c r="AS402" s="824"/>
      <c r="AT402" s="824"/>
    </row>
    <row r="403" spans="2:46" ht="14.4" x14ac:dyDescent="0.25">
      <c r="B403" s="835" t="s">
        <v>392</v>
      </c>
      <c r="C403" s="818"/>
      <c r="D403" s="818"/>
      <c r="E403" s="818"/>
      <c r="F403" s="818"/>
      <c r="G403" s="818"/>
      <c r="H403" s="818"/>
      <c r="I403" s="818"/>
      <c r="J403" s="818"/>
      <c r="K403" s="818"/>
      <c r="L403" s="818"/>
      <c r="M403" s="818"/>
      <c r="N403" s="818"/>
      <c r="O403" s="818"/>
      <c r="P403" s="818"/>
      <c r="Q403" s="818"/>
      <c r="R403" s="818"/>
      <c r="S403" s="818"/>
      <c r="T403" s="818"/>
      <c r="U403" s="818"/>
      <c r="V403" s="818"/>
      <c r="W403" s="818"/>
      <c r="X403" s="818"/>
      <c r="Y403" s="818"/>
      <c r="Z403" s="818"/>
      <c r="AA403" s="818"/>
      <c r="AB403" s="818"/>
      <c r="AC403" s="818"/>
      <c r="AD403" s="818"/>
      <c r="AE403" s="818"/>
      <c r="AF403" s="818"/>
      <c r="AG403" s="818"/>
      <c r="AH403" s="818"/>
      <c r="AI403" s="818"/>
      <c r="AJ403" s="818"/>
      <c r="AK403" s="818"/>
      <c r="AL403" s="818"/>
      <c r="AM403" s="818"/>
      <c r="AN403" s="818"/>
      <c r="AO403" s="818"/>
      <c r="AP403" s="818"/>
      <c r="AQ403" s="818"/>
      <c r="AR403" s="818"/>
      <c r="AS403" s="818"/>
      <c r="AT403" s="819"/>
    </row>
    <row r="404" spans="2:46" x14ac:dyDescent="0.25">
      <c r="B404" s="836" t="s">
        <v>393</v>
      </c>
      <c r="C404" s="268">
        <v>0</v>
      </c>
      <c r="D404" s="268">
        <v>0</v>
      </c>
      <c r="E404" s="268">
        <v>0</v>
      </c>
      <c r="F404" s="268">
        <v>0</v>
      </c>
      <c r="G404" s="178">
        <f>G378</f>
        <v>7521848.4000000022</v>
      </c>
      <c r="H404" s="178">
        <f t="shared" ref="H404:AT404" si="1295">H378</f>
        <v>10029131.200000001</v>
      </c>
      <c r="I404" s="178">
        <f t="shared" si="1295"/>
        <v>10596499.977360001</v>
      </c>
      <c r="J404" s="178">
        <f t="shared" si="1295"/>
        <v>10707543.285119999</v>
      </c>
      <c r="K404" s="178">
        <f t="shared" si="1295"/>
        <v>11255657.49123235</v>
      </c>
      <c r="L404" s="178">
        <f t="shared" si="1295"/>
        <v>11371186.948625857</v>
      </c>
      <c r="M404" s="178">
        <f t="shared" si="1295"/>
        <v>11950779.748822546</v>
      </c>
      <c r="N404" s="178">
        <f t="shared" si="1295"/>
        <v>12010333.160882905</v>
      </c>
      <c r="O404" s="178">
        <f t="shared" si="1295"/>
        <v>12557509.990490172</v>
      </c>
      <c r="P404" s="178">
        <f t="shared" si="1295"/>
        <v>12619469.360397771</v>
      </c>
      <c r="Q404" s="178">
        <f t="shared" si="1295"/>
        <v>13193758.451009708</v>
      </c>
      <c r="R404" s="178">
        <f t="shared" si="1295"/>
        <v>13258220.979461581</v>
      </c>
      <c r="S404" s="178">
        <f t="shared" si="1295"/>
        <v>13797441.14145251</v>
      </c>
      <c r="T404" s="178">
        <f t="shared" si="1295"/>
        <v>13801029.17587319</v>
      </c>
      <c r="U404" s="178">
        <f t="shared" si="1295"/>
        <v>14362323.745589742</v>
      </c>
      <c r="V404" s="178">
        <f t="shared" si="1295"/>
        <v>14366056.736601023</v>
      </c>
      <c r="W404" s="178">
        <f t="shared" si="1295"/>
        <v>14950329.232607834</v>
      </c>
      <c r="X404" s="178">
        <f t="shared" si="1295"/>
        <v>15061242.198408959</v>
      </c>
      <c r="Y404" s="178">
        <f t="shared" si="1295"/>
        <v>15785110.232844178</v>
      </c>
      <c r="Z404" s="178">
        <f t="shared" si="1295"/>
        <v>15900504.082463671</v>
      </c>
      <c r="AA404" s="178">
        <f t="shared" si="1295"/>
        <v>16662940.208539316</v>
      </c>
      <c r="AB404" s="178">
        <f t="shared" si="1295"/>
        <v>16782995.969683435</v>
      </c>
      <c r="AC404" s="178">
        <f t="shared" si="1295"/>
        <v>17461029.006858647</v>
      </c>
      <c r="AD404" s="178">
        <f t="shared" si="1295"/>
        <v>17461029.006858647</v>
      </c>
      <c r="AE404" s="178">
        <f t="shared" si="1295"/>
        <v>18166454.578735735</v>
      </c>
      <c r="AF404" s="178">
        <f t="shared" si="1295"/>
        <v>18166454.578735735</v>
      </c>
      <c r="AG404" s="178">
        <f t="shared" si="1295"/>
        <v>18900379.343716659</v>
      </c>
      <c r="AH404" s="178">
        <f t="shared" si="1295"/>
        <v>18900379.343716659</v>
      </c>
      <c r="AI404" s="178">
        <f t="shared" si="1295"/>
        <v>19663954.669202808</v>
      </c>
      <c r="AJ404" s="178">
        <f t="shared" si="1295"/>
        <v>19663954.669202808</v>
      </c>
      <c r="AK404" s="178">
        <f t="shared" si="1295"/>
        <v>20458378.437838603</v>
      </c>
      <c r="AL404" s="178">
        <f t="shared" si="1295"/>
        <v>20458378.437838603</v>
      </c>
      <c r="AM404" s="178">
        <f t="shared" si="1295"/>
        <v>21284896.92672728</v>
      </c>
      <c r="AN404" s="178">
        <f t="shared" si="1295"/>
        <v>21284896.92672728</v>
      </c>
      <c r="AO404" s="178">
        <f t="shared" si="1295"/>
        <v>22144806.762567069</v>
      </c>
      <c r="AP404" s="178">
        <f t="shared" si="1295"/>
        <v>22144806.762567069</v>
      </c>
      <c r="AQ404" s="178">
        <f t="shared" si="1295"/>
        <v>23039456.955774777</v>
      </c>
      <c r="AR404" s="178">
        <f t="shared" si="1295"/>
        <v>23039456.955774777</v>
      </c>
      <c r="AS404" s="178">
        <f t="shared" si="1295"/>
        <v>23970251.01678808</v>
      </c>
      <c r="AT404" s="265">
        <f t="shared" si="1295"/>
        <v>23970251.01678808</v>
      </c>
    </row>
    <row r="405" spans="2:46" x14ac:dyDescent="0.25">
      <c r="B405" s="836" t="s">
        <v>394</v>
      </c>
      <c r="C405" s="268">
        <v>0</v>
      </c>
      <c r="D405" s="268">
        <v>0</v>
      </c>
      <c r="E405" s="268">
        <v>0</v>
      </c>
      <c r="F405" s="268">
        <v>0</v>
      </c>
      <c r="G405" s="178">
        <f>G379</f>
        <v>420000</v>
      </c>
      <c r="H405" s="178">
        <f t="shared" ref="H405:AT405" si="1296">H379</f>
        <v>428400</v>
      </c>
      <c r="I405" s="178">
        <f t="shared" si="1296"/>
        <v>436968</v>
      </c>
      <c r="J405" s="178">
        <f t="shared" si="1296"/>
        <v>445707.36</v>
      </c>
      <c r="K405" s="178">
        <f t="shared" si="1296"/>
        <v>454621.50719999999</v>
      </c>
      <c r="L405" s="178">
        <f t="shared" si="1296"/>
        <v>463713.93734400003</v>
      </c>
      <c r="M405" s="178">
        <f t="shared" si="1296"/>
        <v>472988.21609088004</v>
      </c>
      <c r="N405" s="178">
        <f t="shared" si="1296"/>
        <v>482447.98041269754</v>
      </c>
      <c r="O405" s="178">
        <f t="shared" si="1296"/>
        <v>492096.9400209515</v>
      </c>
      <c r="P405" s="178">
        <f t="shared" si="1296"/>
        <v>501938.87882137054</v>
      </c>
      <c r="Q405" s="178">
        <f t="shared" si="1296"/>
        <v>511977.65639779798</v>
      </c>
      <c r="R405" s="178">
        <f t="shared" si="1296"/>
        <v>522217.20952575386</v>
      </c>
      <c r="S405" s="178">
        <f t="shared" si="1296"/>
        <v>532661.55371626897</v>
      </c>
      <c r="T405" s="178">
        <f t="shared" si="1296"/>
        <v>543314.78479059436</v>
      </c>
      <c r="U405" s="178">
        <f t="shared" si="1296"/>
        <v>554181.08048640634</v>
      </c>
      <c r="V405" s="178">
        <f t="shared" si="1296"/>
        <v>565264.70209613431</v>
      </c>
      <c r="W405" s="178">
        <f t="shared" si="1296"/>
        <v>576569.99613805709</v>
      </c>
      <c r="X405" s="178">
        <f t="shared" si="1296"/>
        <v>588101.39606081822</v>
      </c>
      <c r="Y405" s="178">
        <f t="shared" si="1296"/>
        <v>599863.42398203455</v>
      </c>
      <c r="Z405" s="178">
        <f t="shared" si="1296"/>
        <v>611860.69246167527</v>
      </c>
      <c r="AA405" s="178">
        <f t="shared" si="1296"/>
        <v>624097.90631090873</v>
      </c>
      <c r="AB405" s="178">
        <f t="shared" si="1296"/>
        <v>636579.8644371269</v>
      </c>
      <c r="AC405" s="178">
        <f t="shared" si="1296"/>
        <v>649311.46172586945</v>
      </c>
      <c r="AD405" s="178">
        <f t="shared" si="1296"/>
        <v>662297.69096038677</v>
      </c>
      <c r="AE405" s="178">
        <f t="shared" si="1296"/>
        <v>675543.6447795945</v>
      </c>
      <c r="AF405" s="178">
        <f t="shared" si="1296"/>
        <v>689054.51767518639</v>
      </c>
      <c r="AG405" s="178">
        <f t="shared" si="1296"/>
        <v>702835.60802869021</v>
      </c>
      <c r="AH405" s="178">
        <f t="shared" si="1296"/>
        <v>716892.3201892639</v>
      </c>
      <c r="AI405" s="178">
        <f t="shared" si="1296"/>
        <v>731230.1665930493</v>
      </c>
      <c r="AJ405" s="178">
        <f t="shared" si="1296"/>
        <v>745854.76992491016</v>
      </c>
      <c r="AK405" s="178">
        <f t="shared" si="1296"/>
        <v>760771.86532340851</v>
      </c>
      <c r="AL405" s="178">
        <f t="shared" si="1296"/>
        <v>775987.30262987642</v>
      </c>
      <c r="AM405" s="178">
        <f t="shared" si="1296"/>
        <v>791507.04868247418</v>
      </c>
      <c r="AN405" s="178">
        <f t="shared" si="1296"/>
        <v>807337.18965612364</v>
      </c>
      <c r="AO405" s="178">
        <f t="shared" si="1296"/>
        <v>823483.93344924611</v>
      </c>
      <c r="AP405" s="178">
        <f t="shared" si="1296"/>
        <v>839953.61211823102</v>
      </c>
      <c r="AQ405" s="178">
        <f t="shared" si="1296"/>
        <v>856752.68436059554</v>
      </c>
      <c r="AR405" s="178">
        <f t="shared" si="1296"/>
        <v>873887.73804780759</v>
      </c>
      <c r="AS405" s="178">
        <f t="shared" si="1296"/>
        <v>891365.49280876387</v>
      </c>
      <c r="AT405" s="265">
        <f t="shared" si="1296"/>
        <v>909192.80266493873</v>
      </c>
    </row>
    <row r="406" spans="2:46" ht="15" thickBot="1" x14ac:dyDescent="0.3">
      <c r="B406" s="842" t="s">
        <v>388</v>
      </c>
      <c r="C406" s="822">
        <v>0</v>
      </c>
      <c r="D406" s="822">
        <v>0</v>
      </c>
      <c r="E406" s="822">
        <v>0</v>
      </c>
      <c r="F406" s="822">
        <v>0</v>
      </c>
      <c r="G406" s="822">
        <f>G404+G405</f>
        <v>7941848.4000000022</v>
      </c>
      <c r="H406" s="822">
        <f t="shared" ref="H406" si="1297">H404+H405</f>
        <v>10457531.200000001</v>
      </c>
      <c r="I406" s="822">
        <f t="shared" ref="I406" si="1298">I404+I405</f>
        <v>11033467.977360001</v>
      </c>
      <c r="J406" s="822">
        <f t="shared" ref="J406" si="1299">J404+J405</f>
        <v>11153250.645119999</v>
      </c>
      <c r="K406" s="822">
        <f t="shared" ref="K406" si="1300">K404+K405</f>
        <v>11710278.998432351</v>
      </c>
      <c r="L406" s="822">
        <f t="shared" ref="L406" si="1301">L404+L405</f>
        <v>11834900.885969857</v>
      </c>
      <c r="M406" s="822">
        <f t="shared" ref="M406" si="1302">M404+M405</f>
        <v>12423767.964913426</v>
      </c>
      <c r="N406" s="822">
        <f t="shared" ref="N406" si="1303">N404+N405</f>
        <v>12492781.141295603</v>
      </c>
      <c r="O406" s="822">
        <f t="shared" ref="O406" si="1304">O404+O405</f>
        <v>13049606.930511124</v>
      </c>
      <c r="P406" s="822">
        <f t="shared" ref="P406" si="1305">P404+P405</f>
        <v>13121408.239219142</v>
      </c>
      <c r="Q406" s="822">
        <f t="shared" ref="Q406" si="1306">Q404+Q405</f>
        <v>13705736.107407505</v>
      </c>
      <c r="R406" s="822">
        <f t="shared" ref="R406" si="1307">R404+R405</f>
        <v>13780438.188987335</v>
      </c>
      <c r="S406" s="822">
        <f t="shared" ref="S406" si="1308">S404+S405</f>
        <v>14330102.695168778</v>
      </c>
      <c r="T406" s="822">
        <f t="shared" ref="T406" si="1309">T404+T405</f>
        <v>14344343.960663784</v>
      </c>
      <c r="U406" s="822">
        <f t="shared" ref="U406" si="1310">U404+U405</f>
        <v>14916504.826076148</v>
      </c>
      <c r="V406" s="822">
        <f t="shared" ref="V406" si="1311">V404+V405</f>
        <v>14931321.438697157</v>
      </c>
      <c r="W406" s="822">
        <f t="shared" ref="W406" si="1312">W404+W405</f>
        <v>15526899.228745891</v>
      </c>
      <c r="X406" s="822">
        <f t="shared" ref="X406" si="1313">X404+X405</f>
        <v>15649343.594469778</v>
      </c>
      <c r="Y406" s="822">
        <f t="shared" ref="Y406" si="1314">Y404+Y405</f>
        <v>16384973.656826213</v>
      </c>
      <c r="Z406" s="822">
        <f t="shared" ref="Z406" si="1315">Z404+Z405</f>
        <v>16512364.774925346</v>
      </c>
      <c r="AA406" s="822">
        <f t="shared" ref="AA406" si="1316">AA404+AA405</f>
        <v>17287038.114850227</v>
      </c>
      <c r="AB406" s="822">
        <f t="shared" ref="AB406" si="1317">AB404+AB405</f>
        <v>17419575.83412056</v>
      </c>
      <c r="AC406" s="822">
        <f t="shared" ref="AC406" si="1318">AC404+AC405</f>
        <v>18110340.468584515</v>
      </c>
      <c r="AD406" s="822">
        <f t="shared" ref="AD406" si="1319">AD404+AD405</f>
        <v>18123326.697819032</v>
      </c>
      <c r="AE406" s="822">
        <f t="shared" ref="AE406" si="1320">AE404+AE405</f>
        <v>18841998.223515328</v>
      </c>
      <c r="AF406" s="822">
        <f t="shared" ref="AF406" si="1321">AF404+AF405</f>
        <v>18855509.096410923</v>
      </c>
      <c r="AG406" s="822">
        <f t="shared" ref="AG406" si="1322">AG404+AG405</f>
        <v>19603214.95174535</v>
      </c>
      <c r="AH406" s="822">
        <f t="shared" ref="AH406" si="1323">AH404+AH405</f>
        <v>19617271.663905922</v>
      </c>
      <c r="AI406" s="822">
        <f t="shared" ref="AI406" si="1324">AI404+AI405</f>
        <v>20395184.835795857</v>
      </c>
      <c r="AJ406" s="822">
        <f t="shared" ref="AJ406" si="1325">AJ404+AJ405</f>
        <v>20409809.439127717</v>
      </c>
      <c r="AK406" s="822">
        <f t="shared" ref="AK406" si="1326">AK404+AK405</f>
        <v>21219150.303162012</v>
      </c>
      <c r="AL406" s="822">
        <f t="shared" ref="AL406" si="1327">AL404+AL405</f>
        <v>21234365.74046848</v>
      </c>
      <c r="AM406" s="822">
        <f t="shared" ref="AM406" si="1328">AM404+AM405</f>
        <v>22076403.975409754</v>
      </c>
      <c r="AN406" s="822">
        <f t="shared" ref="AN406" si="1329">AN404+AN405</f>
        <v>22092234.116383404</v>
      </c>
      <c r="AO406" s="822">
        <f t="shared" ref="AO406" si="1330">AO404+AO405</f>
        <v>22968290.696016315</v>
      </c>
      <c r="AP406" s="822">
        <f t="shared" ref="AP406" si="1331">AP404+AP405</f>
        <v>22984760.374685299</v>
      </c>
      <c r="AQ406" s="822">
        <f t="shared" ref="AQ406" si="1332">AQ404+AQ405</f>
        <v>23896209.640135374</v>
      </c>
      <c r="AR406" s="822">
        <f t="shared" ref="AR406" si="1333">AR404+AR405</f>
        <v>23913344.693822585</v>
      </c>
      <c r="AS406" s="822">
        <f t="shared" ref="AS406" si="1334">AS404+AS405</f>
        <v>24861616.509596843</v>
      </c>
      <c r="AT406" s="823">
        <f t="shared" ref="AT406" si="1335">AT404+AT405</f>
        <v>24879443.81945302</v>
      </c>
    </row>
    <row r="407" spans="2:46" ht="15" thickBot="1" x14ac:dyDescent="0.3">
      <c r="B407" s="838"/>
      <c r="C407" s="178"/>
      <c r="D407" s="178"/>
      <c r="E407" s="178"/>
      <c r="F407" s="178"/>
      <c r="G407" s="178"/>
      <c r="H407" s="178"/>
      <c r="I407" s="178"/>
      <c r="J407" s="178"/>
      <c r="K407" s="178"/>
      <c r="L407" s="178"/>
      <c r="M407" s="178"/>
      <c r="N407" s="178"/>
      <c r="O407" s="178"/>
      <c r="P407" s="178"/>
      <c r="Q407" s="178"/>
      <c r="R407" s="178"/>
      <c r="S407" s="178"/>
      <c r="T407" s="178"/>
      <c r="U407" s="178"/>
      <c r="V407" s="178"/>
      <c r="W407" s="178"/>
      <c r="X407" s="178"/>
      <c r="Y407" s="178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/>
      <c r="AS407" s="178"/>
      <c r="AT407" s="178"/>
    </row>
    <row r="408" spans="2:46" ht="15" thickBot="1" x14ac:dyDescent="0.3">
      <c r="B408" s="843" t="s">
        <v>387</v>
      </c>
      <c r="C408" s="825"/>
      <c r="D408" s="825"/>
      <c r="E408" s="825"/>
      <c r="F408" s="825"/>
      <c r="G408" s="826">
        <f>G406+G401</f>
        <v>4487258.8308554925</v>
      </c>
      <c r="H408" s="826">
        <f t="shared" ref="H408:AT408" si="1336">H406+H401</f>
        <v>6911180.9400438555</v>
      </c>
      <c r="I408" s="826">
        <f t="shared" si="1336"/>
        <v>7403967.8321112208</v>
      </c>
      <c r="J408" s="826">
        <f t="shared" si="1336"/>
        <v>7438601.1146916253</v>
      </c>
      <c r="K408" s="826">
        <f t="shared" si="1336"/>
        <v>2415955.2337591704</v>
      </c>
      <c r="L408" s="826">
        <f t="shared" si="1336"/>
        <v>7943755.7118445598</v>
      </c>
      <c r="M408" s="826">
        <f t="shared" si="1336"/>
        <v>8441174.2047332469</v>
      </c>
      <c r="N408" s="826">
        <f t="shared" si="1336"/>
        <v>8416534.5751321316</v>
      </c>
      <c r="O408" s="826">
        <f t="shared" si="1336"/>
        <v>8877448.8862957209</v>
      </c>
      <c r="P408" s="826">
        <f t="shared" si="1336"/>
        <v>2816167.7829793636</v>
      </c>
      <c r="Q408" s="826">
        <f t="shared" si="1336"/>
        <v>9334754.3624936808</v>
      </c>
      <c r="R408" s="826">
        <f t="shared" si="1336"/>
        <v>9306428.2896656208</v>
      </c>
      <c r="S408" s="826">
        <f t="shared" si="1336"/>
        <v>9750574.031867072</v>
      </c>
      <c r="T408" s="826">
        <f t="shared" si="1336"/>
        <v>9656744.2221959345</v>
      </c>
      <c r="U408" s="826">
        <f t="shared" si="1336"/>
        <v>3487419.6743734628</v>
      </c>
      <c r="V408" s="826">
        <f t="shared" si="1336"/>
        <v>10019667.947678775</v>
      </c>
      <c r="W408" s="826">
        <f t="shared" si="1336"/>
        <v>10499131.672293661</v>
      </c>
      <c r="X408" s="826">
        <f t="shared" si="1336"/>
        <v>10502646.801028498</v>
      </c>
      <c r="Y408" s="826">
        <f t="shared" si="1336"/>
        <v>11116462.515536591</v>
      </c>
      <c r="Z408" s="826">
        <f t="shared" si="1336"/>
        <v>3833489.7610626835</v>
      </c>
      <c r="AA408" s="826">
        <f t="shared" si="1336"/>
        <v>11765954.252374943</v>
      </c>
      <c r="AB408" s="826">
        <f t="shared" si="1336"/>
        <v>11767584.64430235</v>
      </c>
      <c r="AC408" s="826">
        <f t="shared" si="1336"/>
        <v>12324258.836534569</v>
      </c>
      <c r="AD408" s="826">
        <f t="shared" si="1336"/>
        <v>12199892.205825437</v>
      </c>
      <c r="AE408" s="826">
        <f t="shared" si="1336"/>
        <v>4772816.8291449398</v>
      </c>
      <c r="AF408" s="826">
        <f t="shared" si="1336"/>
        <v>12647254.261207402</v>
      </c>
      <c r="AG408" s="826">
        <f t="shared" si="1336"/>
        <v>13247323.709521368</v>
      </c>
      <c r="AH408" s="826">
        <f t="shared" si="1336"/>
        <v>13110143.640005756</v>
      </c>
      <c r="AI408" s="826">
        <f t="shared" si="1336"/>
        <v>13733129.706250105</v>
      </c>
      <c r="AJ408" s="826">
        <f t="shared" si="1336"/>
        <v>4793486.9871154465</v>
      </c>
      <c r="AK408" s="826">
        <f t="shared" si="1336"/>
        <v>14235798.640084926</v>
      </c>
      <c r="AL408" s="826">
        <f t="shared" si="1336"/>
        <v>14084453.016300587</v>
      </c>
      <c r="AM408" s="826">
        <f t="shared" si="1336"/>
        <v>14755856.47500895</v>
      </c>
      <c r="AN408" s="826">
        <f t="shared" si="1336"/>
        <v>14596876.066341151</v>
      </c>
      <c r="AO408" s="826">
        <f t="shared" si="1336"/>
        <v>5629710.1436808631</v>
      </c>
      <c r="AP408" s="826">
        <f t="shared" si="1336"/>
        <v>15126832.529477801</v>
      </c>
      <c r="AQ408" s="826">
        <f t="shared" si="1336"/>
        <v>15850305.08331511</v>
      </c>
      <c r="AR408" s="826">
        <f t="shared" si="1336"/>
        <v>15674852.577526961</v>
      </c>
      <c r="AS408" s="826">
        <f t="shared" si="1336"/>
        <v>16425810.151212437</v>
      </c>
      <c r="AT408" s="827">
        <f t="shared" si="1336"/>
        <v>5622996.0677646548</v>
      </c>
    </row>
    <row r="409" spans="2:46" ht="15" thickBot="1" x14ac:dyDescent="0.3">
      <c r="B409" s="839"/>
      <c r="C409" s="801"/>
      <c r="D409" s="801"/>
      <c r="E409" s="801"/>
      <c r="F409" s="801"/>
      <c r="G409" s="824"/>
      <c r="H409" s="824"/>
      <c r="I409" s="824"/>
      <c r="J409" s="824"/>
      <c r="K409" s="824"/>
      <c r="L409" s="824"/>
      <c r="M409" s="824"/>
      <c r="N409" s="824"/>
      <c r="O409" s="824"/>
      <c r="P409" s="824"/>
      <c r="Q409" s="824"/>
      <c r="R409" s="824"/>
      <c r="S409" s="824"/>
      <c r="T409" s="824"/>
      <c r="U409" s="824"/>
      <c r="V409" s="824"/>
      <c r="W409" s="824"/>
      <c r="X409" s="824"/>
      <c r="Y409" s="824"/>
      <c r="Z409" s="824"/>
      <c r="AA409" s="824"/>
      <c r="AB409" s="824"/>
      <c r="AC409" s="824"/>
      <c r="AD409" s="824"/>
      <c r="AE409" s="824"/>
      <c r="AF409" s="824"/>
      <c r="AG409" s="824"/>
      <c r="AH409" s="824"/>
      <c r="AI409" s="824"/>
      <c r="AJ409" s="824"/>
      <c r="AK409" s="824"/>
      <c r="AL409" s="824"/>
      <c r="AM409" s="824"/>
      <c r="AN409" s="824"/>
      <c r="AO409" s="824"/>
      <c r="AP409" s="824"/>
      <c r="AQ409" s="824"/>
      <c r="AR409" s="824"/>
      <c r="AS409" s="824"/>
      <c r="AT409" s="824"/>
    </row>
    <row r="410" spans="2:46" ht="14.4" x14ac:dyDescent="0.25">
      <c r="B410" s="835" t="s">
        <v>397</v>
      </c>
      <c r="C410" s="818"/>
      <c r="D410" s="818"/>
      <c r="E410" s="818"/>
      <c r="F410" s="818"/>
      <c r="G410" s="818"/>
      <c r="H410" s="818"/>
      <c r="I410" s="818"/>
      <c r="J410" s="818"/>
      <c r="K410" s="818"/>
      <c r="L410" s="818"/>
      <c r="M410" s="818"/>
      <c r="N410" s="818"/>
      <c r="O410" s="818"/>
      <c r="P410" s="818"/>
      <c r="Q410" s="818"/>
      <c r="R410" s="818"/>
      <c r="S410" s="818"/>
      <c r="T410" s="818"/>
      <c r="U410" s="818"/>
      <c r="V410" s="818"/>
      <c r="W410" s="818"/>
      <c r="X410" s="818"/>
      <c r="Y410" s="818"/>
      <c r="Z410" s="818"/>
      <c r="AA410" s="818"/>
      <c r="AB410" s="818"/>
      <c r="AC410" s="818"/>
      <c r="AD410" s="818"/>
      <c r="AE410" s="818"/>
      <c r="AF410" s="818"/>
      <c r="AG410" s="818"/>
      <c r="AH410" s="818"/>
      <c r="AI410" s="818"/>
      <c r="AJ410" s="818"/>
      <c r="AK410" s="818"/>
      <c r="AL410" s="818"/>
      <c r="AM410" s="818"/>
      <c r="AN410" s="818"/>
      <c r="AO410" s="818"/>
      <c r="AP410" s="818"/>
      <c r="AQ410" s="818"/>
      <c r="AR410" s="818"/>
      <c r="AS410" s="818"/>
      <c r="AT410" s="819"/>
    </row>
    <row r="411" spans="2:46" x14ac:dyDescent="0.25">
      <c r="B411" s="836" t="s">
        <v>442</v>
      </c>
      <c r="C411" s="268">
        <v>0</v>
      </c>
      <c r="D411" s="268">
        <v>0</v>
      </c>
      <c r="E411" s="268">
        <v>0</v>
      </c>
      <c r="F411" s="268">
        <v>0</v>
      </c>
      <c r="G411" s="178">
        <f>G408</f>
        <v>4487258.8308554925</v>
      </c>
      <c r="H411" s="178">
        <f t="shared" ref="H411:AT411" si="1337">H408</f>
        <v>6911180.9400438555</v>
      </c>
      <c r="I411" s="178">
        <f t="shared" si="1337"/>
        <v>7403967.8321112208</v>
      </c>
      <c r="J411" s="178">
        <f t="shared" si="1337"/>
        <v>7438601.1146916253</v>
      </c>
      <c r="K411" s="178">
        <f t="shared" si="1337"/>
        <v>2415955.2337591704</v>
      </c>
      <c r="L411" s="178">
        <f t="shared" si="1337"/>
        <v>7943755.7118445598</v>
      </c>
      <c r="M411" s="178">
        <f t="shared" si="1337"/>
        <v>8441174.2047332469</v>
      </c>
      <c r="N411" s="178">
        <f t="shared" si="1337"/>
        <v>8416534.5751321316</v>
      </c>
      <c r="O411" s="178">
        <f t="shared" si="1337"/>
        <v>8877448.8862957209</v>
      </c>
      <c r="P411" s="178">
        <f t="shared" si="1337"/>
        <v>2816167.7829793636</v>
      </c>
      <c r="Q411" s="178">
        <f t="shared" si="1337"/>
        <v>9334754.3624936808</v>
      </c>
      <c r="R411" s="178">
        <f t="shared" si="1337"/>
        <v>9306428.2896656208</v>
      </c>
      <c r="S411" s="178">
        <f t="shared" si="1337"/>
        <v>9750574.031867072</v>
      </c>
      <c r="T411" s="178">
        <f t="shared" si="1337"/>
        <v>9656744.2221959345</v>
      </c>
      <c r="U411" s="178">
        <f t="shared" si="1337"/>
        <v>3487419.6743734628</v>
      </c>
      <c r="V411" s="178">
        <f t="shared" si="1337"/>
        <v>10019667.947678775</v>
      </c>
      <c r="W411" s="178">
        <f t="shared" si="1337"/>
        <v>10499131.672293661</v>
      </c>
      <c r="X411" s="178">
        <f t="shared" si="1337"/>
        <v>10502646.801028498</v>
      </c>
      <c r="Y411" s="178">
        <f t="shared" si="1337"/>
        <v>11116462.515536591</v>
      </c>
      <c r="Z411" s="178">
        <f t="shared" si="1337"/>
        <v>3833489.7610626835</v>
      </c>
      <c r="AA411" s="178">
        <f t="shared" si="1337"/>
        <v>11765954.252374943</v>
      </c>
      <c r="AB411" s="178">
        <f t="shared" si="1337"/>
        <v>11767584.64430235</v>
      </c>
      <c r="AC411" s="178">
        <f t="shared" si="1337"/>
        <v>12324258.836534569</v>
      </c>
      <c r="AD411" s="178">
        <f t="shared" si="1337"/>
        <v>12199892.205825437</v>
      </c>
      <c r="AE411" s="178">
        <f t="shared" si="1337"/>
        <v>4772816.8291449398</v>
      </c>
      <c r="AF411" s="178">
        <f t="shared" si="1337"/>
        <v>12647254.261207402</v>
      </c>
      <c r="AG411" s="178">
        <f t="shared" si="1337"/>
        <v>13247323.709521368</v>
      </c>
      <c r="AH411" s="178">
        <f t="shared" si="1337"/>
        <v>13110143.640005756</v>
      </c>
      <c r="AI411" s="178">
        <f t="shared" si="1337"/>
        <v>13733129.706250105</v>
      </c>
      <c r="AJ411" s="178">
        <f t="shared" si="1337"/>
        <v>4793486.9871154465</v>
      </c>
      <c r="AK411" s="178">
        <f t="shared" si="1337"/>
        <v>14235798.640084926</v>
      </c>
      <c r="AL411" s="178">
        <f t="shared" si="1337"/>
        <v>14084453.016300587</v>
      </c>
      <c r="AM411" s="178">
        <f t="shared" si="1337"/>
        <v>14755856.47500895</v>
      </c>
      <c r="AN411" s="178">
        <f t="shared" si="1337"/>
        <v>14596876.066341151</v>
      </c>
      <c r="AO411" s="178">
        <f t="shared" si="1337"/>
        <v>5629710.1436808631</v>
      </c>
      <c r="AP411" s="178">
        <f t="shared" si="1337"/>
        <v>15126832.529477801</v>
      </c>
      <c r="AQ411" s="178">
        <f t="shared" si="1337"/>
        <v>15850305.08331511</v>
      </c>
      <c r="AR411" s="178">
        <f t="shared" si="1337"/>
        <v>15674852.577526961</v>
      </c>
      <c r="AS411" s="178">
        <f t="shared" si="1337"/>
        <v>16425810.151212437</v>
      </c>
      <c r="AT411" s="265">
        <f t="shared" si="1337"/>
        <v>5622996.0677646548</v>
      </c>
    </row>
    <row r="412" spans="2:46" x14ac:dyDescent="0.25">
      <c r="B412" s="836" t="s">
        <v>440</v>
      </c>
      <c r="C412" s="268">
        <v>0</v>
      </c>
      <c r="D412" s="268">
        <v>0</v>
      </c>
      <c r="E412" s="268">
        <v>0</v>
      </c>
      <c r="F412" s="268">
        <v>0</v>
      </c>
      <c r="G412" s="178">
        <f>IF(G411&gt;0,-$C$23*G411,0)</f>
        <v>0</v>
      </c>
      <c r="H412" s="178">
        <f t="shared" ref="H412" si="1338">IF(H411&gt;0,-$C$23*H411,0)</f>
        <v>0</v>
      </c>
      <c r="I412" s="178">
        <f t="shared" ref="I412" si="1339">IF(I411&gt;0,-$C$23*I411,0)</f>
        <v>0</v>
      </c>
      <c r="J412" s="178">
        <f t="shared" ref="J412" si="1340">IF(J411&gt;0,-$C$23*J411,0)</f>
        <v>0</v>
      </c>
      <c r="K412" s="178">
        <f t="shared" ref="K412" si="1341">IF(K411&gt;0,-$C$23*K411,0)</f>
        <v>0</v>
      </c>
      <c r="L412" s="178">
        <f t="shared" ref="L412" si="1342">IF(L411&gt;0,-$C$23*L411,0)</f>
        <v>0</v>
      </c>
      <c r="M412" s="178">
        <f t="shared" ref="M412" si="1343">IF(M411&gt;0,-$C$23*M411,0)</f>
        <v>0</v>
      </c>
      <c r="N412" s="178">
        <f t="shared" ref="N412" si="1344">IF(N411&gt;0,-$C$23*N411,0)</f>
        <v>0</v>
      </c>
      <c r="O412" s="178">
        <f t="shared" ref="O412" si="1345">IF(O411&gt;0,-$C$23*O411,0)</f>
        <v>0</v>
      </c>
      <c r="P412" s="178">
        <f t="shared" ref="P412" si="1346">IF(P411&gt;0,-$C$23*P411,0)</f>
        <v>0</v>
      </c>
      <c r="Q412" s="178">
        <f t="shared" ref="Q412" si="1347">IF(Q411&gt;0,-$C$23*Q411,0)</f>
        <v>0</v>
      </c>
      <c r="R412" s="178">
        <f t="shared" ref="R412" si="1348">IF(R411&gt;0,-$C$23*R411,0)</f>
        <v>0</v>
      </c>
      <c r="S412" s="178">
        <f t="shared" ref="S412" si="1349">IF(S411&gt;0,-$C$23*S411,0)</f>
        <v>0</v>
      </c>
      <c r="T412" s="178">
        <f t="shared" ref="T412" si="1350">IF(T411&gt;0,-$C$23*T411,0)</f>
        <v>0</v>
      </c>
      <c r="U412" s="178">
        <f t="shared" ref="U412" si="1351">IF(U411&gt;0,-$C$23*U411,0)</f>
        <v>0</v>
      </c>
      <c r="V412" s="178">
        <f t="shared" ref="V412" si="1352">IF(V411&gt;0,-$C$23*V411,0)</f>
        <v>0</v>
      </c>
      <c r="W412" s="178">
        <f t="shared" ref="W412" si="1353">IF(W411&gt;0,-$C$23*W411,0)</f>
        <v>0</v>
      </c>
      <c r="X412" s="178">
        <f t="shared" ref="X412" si="1354">IF(X411&gt;0,-$C$23*X411,0)</f>
        <v>0</v>
      </c>
      <c r="Y412" s="178">
        <f t="shared" ref="Y412" si="1355">IF(Y411&gt;0,-$C$23*Y411,0)</f>
        <v>0</v>
      </c>
      <c r="Z412" s="178">
        <f t="shared" ref="Z412" si="1356">IF(Z411&gt;0,-$C$23*Z411,0)</f>
        <v>0</v>
      </c>
      <c r="AA412" s="178">
        <f t="shared" ref="AA412" si="1357">IF(AA411&gt;0,-$C$23*AA411,0)</f>
        <v>0</v>
      </c>
      <c r="AB412" s="178">
        <f t="shared" ref="AB412" si="1358">IF(AB411&gt;0,-$C$23*AB411,0)</f>
        <v>0</v>
      </c>
      <c r="AC412" s="178">
        <f t="shared" ref="AC412" si="1359">IF(AC411&gt;0,-$C$23*AC411,0)</f>
        <v>0</v>
      </c>
      <c r="AD412" s="178">
        <f t="shared" ref="AD412" si="1360">IF(AD411&gt;0,-$C$23*AD411,0)</f>
        <v>0</v>
      </c>
      <c r="AE412" s="178">
        <f t="shared" ref="AE412" si="1361">IF(AE411&gt;0,-$C$23*AE411,0)</f>
        <v>0</v>
      </c>
      <c r="AF412" s="178">
        <f t="shared" ref="AF412" si="1362">IF(AF411&gt;0,-$C$23*AF411,0)</f>
        <v>0</v>
      </c>
      <c r="AG412" s="178">
        <f t="shared" ref="AG412" si="1363">IF(AG411&gt;0,-$C$23*AG411,0)</f>
        <v>0</v>
      </c>
      <c r="AH412" s="178">
        <f t="shared" ref="AH412" si="1364">IF(AH411&gt;0,-$C$23*AH411,0)</f>
        <v>0</v>
      </c>
      <c r="AI412" s="178">
        <f t="shared" ref="AI412" si="1365">IF(AI411&gt;0,-$C$23*AI411,0)</f>
        <v>0</v>
      </c>
      <c r="AJ412" s="178">
        <f t="shared" ref="AJ412" si="1366">IF(AJ411&gt;0,-$C$23*AJ411,0)</f>
        <v>0</v>
      </c>
      <c r="AK412" s="178">
        <f t="shared" ref="AK412" si="1367">IF(AK411&gt;0,-$C$23*AK411,0)</f>
        <v>0</v>
      </c>
      <c r="AL412" s="178">
        <f t="shared" ref="AL412" si="1368">IF(AL411&gt;0,-$C$23*AL411,0)</f>
        <v>0</v>
      </c>
      <c r="AM412" s="178">
        <f t="shared" ref="AM412" si="1369">IF(AM411&gt;0,-$C$23*AM411,0)</f>
        <v>0</v>
      </c>
      <c r="AN412" s="178">
        <f t="shared" ref="AN412" si="1370">IF(AN411&gt;0,-$C$23*AN411,0)</f>
        <v>0</v>
      </c>
      <c r="AO412" s="178">
        <f t="shared" ref="AO412" si="1371">IF(AO411&gt;0,-$C$23*AO411,0)</f>
        <v>0</v>
      </c>
      <c r="AP412" s="178">
        <f t="shared" ref="AP412" si="1372">IF(AP411&gt;0,-$C$23*AP411,0)</f>
        <v>0</v>
      </c>
      <c r="AQ412" s="178">
        <f t="shared" ref="AQ412" si="1373">IF(AQ411&gt;0,-$C$23*AQ411,0)</f>
        <v>0</v>
      </c>
      <c r="AR412" s="178">
        <f t="shared" ref="AR412" si="1374">IF(AR411&gt;0,-$C$23*AR411,0)</f>
        <v>0</v>
      </c>
      <c r="AS412" s="178">
        <f t="shared" ref="AS412" si="1375">IF(AS411&gt;0,-$C$23*AS411,0)</f>
        <v>0</v>
      </c>
      <c r="AT412" s="265">
        <f t="shared" ref="AT412" si="1376">IF(AT411&gt;0,-$C$23*AT411,0)</f>
        <v>0</v>
      </c>
    </row>
    <row r="413" spans="2:46" ht="14.4" x14ac:dyDescent="0.25">
      <c r="B413" s="840" t="s">
        <v>175</v>
      </c>
      <c r="C413" s="800">
        <v>0</v>
      </c>
      <c r="D413" s="800">
        <v>0</v>
      </c>
      <c r="E413" s="800">
        <v>0</v>
      </c>
      <c r="F413" s="800">
        <v>0</v>
      </c>
      <c r="G413" s="261">
        <f>G395</f>
        <v>-3662844.258584829</v>
      </c>
      <c r="H413" s="261">
        <f t="shared" ref="H413:AT413" si="1377">H395</f>
        <v>-3662844.258584829</v>
      </c>
      <c r="I413" s="261">
        <f t="shared" si="1377"/>
        <v>-3662844.258584829</v>
      </c>
      <c r="J413" s="261">
        <f t="shared" si="1377"/>
        <v>-3662844.258584829</v>
      </c>
      <c r="K413" s="261">
        <f t="shared" si="1377"/>
        <v>-3662844.258584829</v>
      </c>
      <c r="L413" s="261">
        <f t="shared" si="1377"/>
        <v>-3458479.3385100355</v>
      </c>
      <c r="M413" s="261">
        <f t="shared" si="1377"/>
        <v>-3458479.3385100355</v>
      </c>
      <c r="N413" s="261">
        <f t="shared" si="1377"/>
        <v>-3458479.3385100355</v>
      </c>
      <c r="O413" s="261">
        <f t="shared" si="1377"/>
        <v>-3458479.3385100355</v>
      </c>
      <c r="P413" s="261">
        <f t="shared" si="1377"/>
        <v>-3458479.3385100355</v>
      </c>
      <c r="Q413" s="261">
        <f t="shared" si="1377"/>
        <v>-2975390.0050588157</v>
      </c>
      <c r="R413" s="261">
        <f t="shared" si="1377"/>
        <v>-3593938.4099967871</v>
      </c>
      <c r="S413" s="261">
        <f t="shared" si="1377"/>
        <v>-3593938.4099967871</v>
      </c>
      <c r="T413" s="261">
        <f t="shared" si="1377"/>
        <v>-3593938.4099967871</v>
      </c>
      <c r="U413" s="261">
        <f t="shared" si="1377"/>
        <v>-3593938.4099967871</v>
      </c>
      <c r="V413" s="261">
        <f t="shared" si="1377"/>
        <v>-2747877.6604548013</v>
      </c>
      <c r="W413" s="261">
        <f t="shared" si="1377"/>
        <v>-2747877.6604548013</v>
      </c>
      <c r="X413" s="261">
        <f t="shared" si="1377"/>
        <v>-3923124.2349758497</v>
      </c>
      <c r="Y413" s="261">
        <f t="shared" si="1377"/>
        <v>-3923124.2349758497</v>
      </c>
      <c r="Z413" s="261">
        <f t="shared" si="1377"/>
        <v>-3923124.2349758497</v>
      </c>
      <c r="AA413" s="261">
        <f t="shared" si="1377"/>
        <v>-3923124.2349758497</v>
      </c>
      <c r="AB413" s="261">
        <f t="shared" si="1377"/>
        <v>-3923124.2349758497</v>
      </c>
      <c r="AC413" s="261">
        <f t="shared" si="1377"/>
        <v>-4072116.8612129036</v>
      </c>
      <c r="AD413" s="261">
        <f t="shared" si="1377"/>
        <v>-4072116.8612129036</v>
      </c>
      <c r="AE413" s="261">
        <f t="shared" si="1377"/>
        <v>-4072116.8612129036</v>
      </c>
      <c r="AF413" s="261">
        <f t="shared" si="1377"/>
        <v>-4072116.8612129036</v>
      </c>
      <c r="AG413" s="261">
        <f t="shared" si="1377"/>
        <v>-4072116.8612129036</v>
      </c>
      <c r="AH413" s="261">
        <f t="shared" si="1377"/>
        <v>-4072116.8612129036</v>
      </c>
      <c r="AI413" s="261">
        <f t="shared" si="1377"/>
        <v>-4072116.8612129036</v>
      </c>
      <c r="AJ413" s="261">
        <f t="shared" si="1377"/>
        <v>-4072116.8612129036</v>
      </c>
      <c r="AK413" s="261">
        <f t="shared" si="1377"/>
        <v>-4072116.8612129036</v>
      </c>
      <c r="AL413" s="261">
        <f t="shared" si="1377"/>
        <v>-4072116.8612129036</v>
      </c>
      <c r="AM413" s="261">
        <f t="shared" si="1377"/>
        <v>-2896870.2866918552</v>
      </c>
      <c r="AN413" s="261">
        <f t="shared" si="1377"/>
        <v>-2129329.2555168299</v>
      </c>
      <c r="AO413" s="261">
        <f t="shared" si="1377"/>
        <v>-4535185.9019710924</v>
      </c>
      <c r="AP413" s="261">
        <f t="shared" si="1377"/>
        <v>-4535185.9019710924</v>
      </c>
      <c r="AQ413" s="261">
        <f t="shared" si="1377"/>
        <v>-4535185.9019710924</v>
      </c>
      <c r="AR413" s="261">
        <f t="shared" si="1377"/>
        <v>-4535185.9019710924</v>
      </c>
      <c r="AS413" s="261">
        <f t="shared" si="1377"/>
        <v>-4535185.9019710924</v>
      </c>
      <c r="AT413" s="266">
        <f t="shared" si="1377"/>
        <v>-4535185.9019710924</v>
      </c>
    </row>
    <row r="414" spans="2:46" x14ac:dyDescent="0.25">
      <c r="B414" s="836" t="s">
        <v>444</v>
      </c>
      <c r="C414" s="268">
        <v>0</v>
      </c>
      <c r="D414" s="268">
        <v>0</v>
      </c>
      <c r="E414" s="268">
        <v>0</v>
      </c>
      <c r="F414" s="268">
        <v>0</v>
      </c>
      <c r="G414" s="178">
        <f t="shared" ref="G414" si="1378">G411+G412+G413</f>
        <v>824414.57227066346</v>
      </c>
      <c r="H414" s="178">
        <f t="shared" ref="H414" si="1379">H411+H412+H413</f>
        <v>3248336.6814590264</v>
      </c>
      <c r="I414" s="178">
        <f t="shared" ref="I414" si="1380">I411+I412+I413</f>
        <v>3741123.5735263918</v>
      </c>
      <c r="J414" s="178">
        <f t="shared" ref="J414" si="1381">J411+J412+J413</f>
        <v>3775756.8561067963</v>
      </c>
      <c r="K414" s="178">
        <f t="shared" ref="K414" si="1382">K411+K412+K413</f>
        <v>-1246889.0248256586</v>
      </c>
      <c r="L414" s="178">
        <f t="shared" ref="L414" si="1383">L411+L412+L413</f>
        <v>4485276.3733345242</v>
      </c>
      <c r="M414" s="178">
        <f t="shared" ref="M414" si="1384">M411+M412+M413</f>
        <v>4982694.8662232114</v>
      </c>
      <c r="N414" s="178">
        <f t="shared" ref="N414" si="1385">N411+N412+N413</f>
        <v>4958055.236622096</v>
      </c>
      <c r="O414" s="178">
        <f t="shared" ref="O414" si="1386">O411+O412+O413</f>
        <v>5418969.5477856854</v>
      </c>
      <c r="P414" s="178">
        <f t="shared" ref="P414" si="1387">P411+P412+P413</f>
        <v>-642311.55553067196</v>
      </c>
      <c r="Q414" s="178">
        <f t="shared" ref="Q414" si="1388">Q411+Q412+Q413</f>
        <v>6359364.3574348651</v>
      </c>
      <c r="R414" s="178">
        <f t="shared" ref="R414" si="1389">R411+R412+R413</f>
        <v>5712489.8796688337</v>
      </c>
      <c r="S414" s="178">
        <f t="shared" ref="S414" si="1390">S411+S412+S413</f>
        <v>6156635.6218702849</v>
      </c>
      <c r="T414" s="178">
        <f t="shared" ref="T414" si="1391">T411+T412+T413</f>
        <v>6062805.8121991474</v>
      </c>
      <c r="U414" s="178">
        <f t="shared" ref="U414" si="1392">U411+U412+U413</f>
        <v>-106518.73562332429</v>
      </c>
      <c r="V414" s="178">
        <f t="shared" ref="V414" si="1393">V411+V412+V413</f>
        <v>7271790.2872239733</v>
      </c>
      <c r="W414" s="178">
        <f t="shared" ref="W414" si="1394">W411+W412+W413</f>
        <v>7751254.0118388599</v>
      </c>
      <c r="X414" s="178">
        <f t="shared" ref="X414" si="1395">X411+X412+X413</f>
        <v>6579522.5660526473</v>
      </c>
      <c r="Y414" s="178">
        <f t="shared" ref="Y414" si="1396">Y411+Y412+Y413</f>
        <v>7193338.2805607412</v>
      </c>
      <c r="Z414" s="178">
        <f t="shared" ref="Z414" si="1397">Z411+Z412+Z413</f>
        <v>-89634.473913166206</v>
      </c>
      <c r="AA414" s="178">
        <f t="shared" ref="AA414" si="1398">AA411+AA412+AA413</f>
        <v>7842830.0173990931</v>
      </c>
      <c r="AB414" s="178">
        <f t="shared" ref="AB414" si="1399">AB411+AB412+AB413</f>
        <v>7844460.4093264993</v>
      </c>
      <c r="AC414" s="178">
        <f t="shared" ref="AC414" si="1400">AC411+AC412+AC413</f>
        <v>8252141.9753216654</v>
      </c>
      <c r="AD414" s="178">
        <f t="shared" ref="AD414" si="1401">AD411+AD412+AD413</f>
        <v>8127775.3446125332</v>
      </c>
      <c r="AE414" s="178">
        <f t="shared" ref="AE414" si="1402">AE411+AE412+AE413</f>
        <v>700699.96793203615</v>
      </c>
      <c r="AF414" s="178">
        <f t="shared" ref="AF414" si="1403">AF411+AF412+AF413</f>
        <v>8575137.3999944981</v>
      </c>
      <c r="AG414" s="178">
        <f t="shared" ref="AG414" si="1404">AG411+AG412+AG413</f>
        <v>9175206.8483084645</v>
      </c>
      <c r="AH414" s="178">
        <f t="shared" ref="AH414" si="1405">AH411+AH412+AH413</f>
        <v>9038026.7787928525</v>
      </c>
      <c r="AI414" s="178">
        <f t="shared" ref="AI414" si="1406">AI411+AI412+AI413</f>
        <v>9661012.8450372014</v>
      </c>
      <c r="AJ414" s="178">
        <f t="shared" ref="AJ414" si="1407">AJ411+AJ412+AJ413</f>
        <v>721370.12590254284</v>
      </c>
      <c r="AK414" s="178">
        <f t="shared" ref="AK414" si="1408">AK411+AK412+AK413</f>
        <v>10163681.778872022</v>
      </c>
      <c r="AL414" s="178">
        <f t="shared" ref="AL414" si="1409">AL411+AL412+AL413</f>
        <v>10012336.155087683</v>
      </c>
      <c r="AM414" s="178">
        <f t="shared" ref="AM414" si="1410">AM411+AM412+AM413</f>
        <v>11858986.188317094</v>
      </c>
      <c r="AN414" s="178">
        <f t="shared" ref="AN414" si="1411">AN411+AN412+AN413</f>
        <v>12467546.81082432</v>
      </c>
      <c r="AO414" s="178">
        <f t="shared" ref="AO414" si="1412">AO411+AO412+AO413</f>
        <v>1094524.2417097706</v>
      </c>
      <c r="AP414" s="178">
        <f t="shared" ref="AP414" si="1413">AP411+AP412+AP413</f>
        <v>10591646.627506709</v>
      </c>
      <c r="AQ414" s="178">
        <f t="shared" ref="AQ414" si="1414">AQ411+AQ412+AQ413</f>
        <v>11315119.181344017</v>
      </c>
      <c r="AR414" s="178">
        <f t="shared" ref="AR414" si="1415">AR411+AR412+AR413</f>
        <v>11139666.675555868</v>
      </c>
      <c r="AS414" s="178">
        <f t="shared" ref="AS414" si="1416">AS411+AS412+AS413</f>
        <v>11890624.249241345</v>
      </c>
      <c r="AT414" s="265">
        <f t="shared" ref="AT414" si="1417">AT411+AT412+AT413</f>
        <v>1087810.1657935623</v>
      </c>
    </row>
    <row r="415" spans="2:46" x14ac:dyDescent="0.25">
      <c r="B415" s="836" t="s">
        <v>443</v>
      </c>
      <c r="C415" s="268">
        <v>0</v>
      </c>
      <c r="D415" s="268">
        <v>0</v>
      </c>
      <c r="E415" s="268">
        <v>0</v>
      </c>
      <c r="F415" s="268">
        <v>0</v>
      </c>
      <c r="G415" s="178">
        <f>IF(G414&gt;0,-$C$24*G414,0)</f>
        <v>-288545.1002947322</v>
      </c>
      <c r="H415" s="178">
        <f t="shared" ref="H415" si="1418">IF(H414&gt;0,-$C$24*H414,0)</f>
        <v>-1136917.8385106591</v>
      </c>
      <c r="I415" s="178">
        <f t="shared" ref="I415" si="1419">IF(I414&gt;0,-$C$24*I414,0)</f>
        <v>-1309393.250734237</v>
      </c>
      <c r="J415" s="178">
        <f t="shared" ref="J415" si="1420">IF(J414&gt;0,-$C$24*J414,0)</f>
        <v>-1321514.8996373785</v>
      </c>
      <c r="K415" s="178">
        <f t="shared" ref="K415" si="1421">IF(K414&gt;0,-$C$24*K414,0)</f>
        <v>0</v>
      </c>
      <c r="L415" s="178">
        <f t="shared" ref="L415" si="1422">IF(L414&gt;0,-$C$24*L414,0)</f>
        <v>-1569846.7306670833</v>
      </c>
      <c r="M415" s="178">
        <f t="shared" ref="M415" si="1423">IF(M414&gt;0,-$C$24*M414,0)</f>
        <v>-1743943.2031781238</v>
      </c>
      <c r="N415" s="178">
        <f t="shared" ref="N415" si="1424">IF(N414&gt;0,-$C$24*N414,0)</f>
        <v>-1735319.3328177335</v>
      </c>
      <c r="O415" s="178">
        <f t="shared" ref="O415" si="1425">IF(O414&gt;0,-$C$24*O414,0)</f>
        <v>-1896639.3417249897</v>
      </c>
      <c r="P415" s="178">
        <f t="shared" ref="P415" si="1426">IF(P414&gt;0,-$C$24*P414,0)</f>
        <v>0</v>
      </c>
      <c r="Q415" s="178">
        <f t="shared" ref="Q415" si="1427">IF(Q414&gt;0,-$C$24*Q414,0)</f>
        <v>-2225777.5251022028</v>
      </c>
      <c r="R415" s="178">
        <f t="shared" ref="R415" si="1428">IF(R414&gt;0,-$C$24*R414,0)</f>
        <v>-1999371.4578840917</v>
      </c>
      <c r="S415" s="178">
        <f t="shared" ref="S415" si="1429">IF(S414&gt;0,-$C$24*S414,0)</f>
        <v>-2154822.4676545998</v>
      </c>
      <c r="T415" s="178">
        <f t="shared" ref="T415" si="1430">IF(T414&gt;0,-$C$24*T414,0)</f>
        <v>-2121982.0342697017</v>
      </c>
      <c r="U415" s="178">
        <f t="shared" ref="U415" si="1431">IF(U414&gt;0,-$C$24*U414,0)</f>
        <v>0</v>
      </c>
      <c r="V415" s="178">
        <f t="shared" ref="V415" si="1432">IF(V414&gt;0,-$C$24*V414,0)</f>
        <v>-2545126.6005283906</v>
      </c>
      <c r="W415" s="178">
        <f t="shared" ref="W415" si="1433">IF(W414&gt;0,-$C$24*W414,0)</f>
        <v>-2712938.9041436007</v>
      </c>
      <c r="X415" s="178">
        <f t="shared" ref="X415" si="1434">IF(X414&gt;0,-$C$24*X414,0)</f>
        <v>-2302832.8981184266</v>
      </c>
      <c r="Y415" s="178">
        <f t="shared" ref="Y415" si="1435">IF(Y414&gt;0,-$C$24*Y414,0)</f>
        <v>-2517668.398196259</v>
      </c>
      <c r="Z415" s="178">
        <f t="shared" ref="Z415" si="1436">IF(Z414&gt;0,-$C$24*Z414,0)</f>
        <v>0</v>
      </c>
      <c r="AA415" s="178">
        <f t="shared" ref="AA415" si="1437">IF(AA414&gt;0,-$C$24*AA414,0)</f>
        <v>-2744990.5060896822</v>
      </c>
      <c r="AB415" s="178">
        <f t="shared" ref="AB415" si="1438">IF(AB414&gt;0,-$C$24*AB414,0)</f>
        <v>-2745561.1432642746</v>
      </c>
      <c r="AC415" s="178">
        <f t="shared" ref="AC415" si="1439">IF(AC414&gt;0,-$C$24*AC414,0)</f>
        <v>-2888249.6913625826</v>
      </c>
      <c r="AD415" s="178">
        <f t="shared" ref="AD415" si="1440">IF(AD414&gt;0,-$C$24*AD414,0)</f>
        <v>-2844721.3706143866</v>
      </c>
      <c r="AE415" s="178">
        <f t="shared" ref="AE415" si="1441">IF(AE414&gt;0,-$C$24*AE414,0)</f>
        <v>-245244.98877621265</v>
      </c>
      <c r="AF415" s="178">
        <f t="shared" ref="AF415" si="1442">IF(AF414&gt;0,-$C$24*AF414,0)</f>
        <v>-3001298.0899980743</v>
      </c>
      <c r="AG415" s="178">
        <f t="shared" ref="AG415" si="1443">IF(AG414&gt;0,-$C$24*AG414,0)</f>
        <v>-3211322.3969079624</v>
      </c>
      <c r="AH415" s="178">
        <f t="shared" ref="AH415" si="1444">IF(AH414&gt;0,-$C$24*AH414,0)</f>
        <v>-3163309.3725774982</v>
      </c>
      <c r="AI415" s="178">
        <f t="shared" ref="AI415" si="1445">IF(AI414&gt;0,-$C$24*AI414,0)</f>
        <v>-3381354.4957630201</v>
      </c>
      <c r="AJ415" s="178">
        <f t="shared" ref="AJ415" si="1446">IF(AJ414&gt;0,-$C$24*AJ414,0)</f>
        <v>-252479.54406588999</v>
      </c>
      <c r="AK415" s="178">
        <f t="shared" ref="AK415" si="1447">IF(AK414&gt;0,-$C$24*AK414,0)</f>
        <v>-3557288.6226052078</v>
      </c>
      <c r="AL415" s="178">
        <f t="shared" ref="AL415" si="1448">IF(AL414&gt;0,-$C$24*AL414,0)</f>
        <v>-3504317.6542806891</v>
      </c>
      <c r="AM415" s="178">
        <f t="shared" ref="AM415" si="1449">IF(AM414&gt;0,-$C$24*AM414,0)</f>
        <v>-4150645.1659109825</v>
      </c>
      <c r="AN415" s="178">
        <f t="shared" ref="AN415" si="1450">IF(AN414&gt;0,-$C$24*AN414,0)</f>
        <v>-4363641.3837885121</v>
      </c>
      <c r="AO415" s="178">
        <f t="shared" ref="AO415" si="1451">IF(AO414&gt;0,-$C$24*AO414,0)</f>
        <v>-383083.48459841969</v>
      </c>
      <c r="AP415" s="178">
        <f t="shared" ref="AP415" si="1452">IF(AP414&gt;0,-$C$24*AP414,0)</f>
        <v>-3707076.3196273479</v>
      </c>
      <c r="AQ415" s="178">
        <f t="shared" ref="AQ415" si="1453">IF(AQ414&gt;0,-$C$24*AQ414,0)</f>
        <v>-3960291.7134704059</v>
      </c>
      <c r="AR415" s="178">
        <f t="shared" ref="AR415" si="1454">IF(AR414&gt;0,-$C$24*AR414,0)</f>
        <v>-3898883.3364445535</v>
      </c>
      <c r="AS415" s="178">
        <f t="shared" ref="AS415" si="1455">IF(AS414&gt;0,-$C$24*AS414,0)</f>
        <v>-4161718.4872344704</v>
      </c>
      <c r="AT415" s="265">
        <f t="shared" ref="AT415" si="1456">IF(AT414&gt;0,-$C$24*AT414,0)</f>
        <v>-380733.5580277468</v>
      </c>
    </row>
    <row r="416" spans="2:46" ht="14.4" x14ac:dyDescent="0.25">
      <c r="B416" s="841" t="s">
        <v>445</v>
      </c>
      <c r="C416" s="801">
        <v>0</v>
      </c>
      <c r="D416" s="801">
        <v>0</v>
      </c>
      <c r="E416" s="801">
        <v>0</v>
      </c>
      <c r="F416" s="801">
        <v>0</v>
      </c>
      <c r="G416" s="262">
        <f>G414+G415</f>
        <v>535869.4719759312</v>
      </c>
      <c r="H416" s="262">
        <f t="shared" ref="H416" si="1457">H414+H415</f>
        <v>2111418.8429483674</v>
      </c>
      <c r="I416" s="262">
        <f t="shared" ref="I416" si="1458">I414+I415</f>
        <v>2431730.3227921547</v>
      </c>
      <c r="J416" s="262">
        <f t="shared" ref="J416" si="1459">J414+J415</f>
        <v>2454241.9564694175</v>
      </c>
      <c r="K416" s="262">
        <f t="shared" ref="K416" si="1460">K414+K415</f>
        <v>-1246889.0248256586</v>
      </c>
      <c r="L416" s="262">
        <f t="shared" ref="L416" si="1461">L414+L415</f>
        <v>2915429.6426674407</v>
      </c>
      <c r="M416" s="262">
        <f t="shared" ref="M416" si="1462">M414+M415</f>
        <v>3238751.6630450878</v>
      </c>
      <c r="N416" s="262">
        <f t="shared" ref="N416" si="1463">N414+N415</f>
        <v>3222735.9038043628</v>
      </c>
      <c r="O416" s="262">
        <f t="shared" ref="O416" si="1464">O414+O415</f>
        <v>3522330.2060606955</v>
      </c>
      <c r="P416" s="262">
        <f t="shared" ref="P416" si="1465">P414+P415</f>
        <v>-642311.55553067196</v>
      </c>
      <c r="Q416" s="262">
        <f t="shared" ref="Q416" si="1466">Q414+Q415</f>
        <v>4133586.8323326623</v>
      </c>
      <c r="R416" s="262">
        <f t="shared" ref="R416" si="1467">R414+R415</f>
        <v>3713118.4217847418</v>
      </c>
      <c r="S416" s="262">
        <f t="shared" ref="S416" si="1468">S414+S415</f>
        <v>4001813.1542156851</v>
      </c>
      <c r="T416" s="262">
        <f t="shared" ref="T416" si="1469">T414+T415</f>
        <v>3940823.7779294457</v>
      </c>
      <c r="U416" s="262">
        <f t="shared" ref="U416" si="1470">U414+U415</f>
        <v>-106518.73562332429</v>
      </c>
      <c r="V416" s="262">
        <f t="shared" ref="V416" si="1471">V414+V415</f>
        <v>4726663.6866955832</v>
      </c>
      <c r="W416" s="262">
        <f t="shared" ref="W416" si="1472">W414+W415</f>
        <v>5038315.1076952592</v>
      </c>
      <c r="X416" s="262">
        <f t="shared" ref="X416" si="1473">X414+X415</f>
        <v>4276689.6679342203</v>
      </c>
      <c r="Y416" s="262">
        <f t="shared" ref="Y416" si="1474">Y414+Y415</f>
        <v>4675669.8823644817</v>
      </c>
      <c r="Z416" s="262">
        <f t="shared" ref="Z416" si="1475">Z414+Z415</f>
        <v>-89634.473913166206</v>
      </c>
      <c r="AA416" s="262">
        <f t="shared" ref="AA416" si="1476">AA414+AA415</f>
        <v>5097839.5113094114</v>
      </c>
      <c r="AB416" s="262">
        <f t="shared" ref="AB416" si="1477">AB414+AB415</f>
        <v>5098899.2660622243</v>
      </c>
      <c r="AC416" s="262">
        <f t="shared" ref="AC416" si="1478">AC414+AC415</f>
        <v>5363892.2839590833</v>
      </c>
      <c r="AD416" s="262">
        <f t="shared" ref="AD416" si="1479">AD414+AD415</f>
        <v>5283053.9739981461</v>
      </c>
      <c r="AE416" s="262">
        <f t="shared" ref="AE416" si="1480">AE414+AE415</f>
        <v>455454.97915582347</v>
      </c>
      <c r="AF416" s="262">
        <f t="shared" ref="AF416" si="1481">AF414+AF415</f>
        <v>5573839.3099964242</v>
      </c>
      <c r="AG416" s="262">
        <f t="shared" ref="AG416" si="1482">AG414+AG415</f>
        <v>5963884.4514005017</v>
      </c>
      <c r="AH416" s="262">
        <f t="shared" ref="AH416" si="1483">AH414+AH415</f>
        <v>5874717.4062153548</v>
      </c>
      <c r="AI416" s="262">
        <f t="shared" ref="AI416" si="1484">AI414+AI415</f>
        <v>6279658.3492741808</v>
      </c>
      <c r="AJ416" s="262">
        <f t="shared" ref="AJ416" si="1485">AJ414+AJ415</f>
        <v>468890.58183665283</v>
      </c>
      <c r="AK416" s="262">
        <f t="shared" ref="AK416" si="1486">AK414+AK415</f>
        <v>6606393.1562668141</v>
      </c>
      <c r="AL416" s="262">
        <f t="shared" ref="AL416" si="1487">AL414+AL415</f>
        <v>6508018.5008069947</v>
      </c>
      <c r="AM416" s="262">
        <f t="shared" ref="AM416" si="1488">AM414+AM415</f>
        <v>7708341.0224061115</v>
      </c>
      <c r="AN416" s="262">
        <f t="shared" ref="AN416" si="1489">AN414+AN415</f>
        <v>8103905.4270358076</v>
      </c>
      <c r="AO416" s="262">
        <f t="shared" ref="AO416" si="1490">AO414+AO415</f>
        <v>711440.75711135101</v>
      </c>
      <c r="AP416" s="262">
        <f t="shared" ref="AP416" si="1491">AP414+AP415</f>
        <v>6884570.3078793604</v>
      </c>
      <c r="AQ416" s="262">
        <f t="shared" ref="AQ416" si="1492">AQ414+AQ415</f>
        <v>7354827.4678736115</v>
      </c>
      <c r="AR416" s="262">
        <f t="shared" ref="AR416" si="1493">AR414+AR415</f>
        <v>7240783.3391113151</v>
      </c>
      <c r="AS416" s="262">
        <f t="shared" ref="AS416" si="1494">AS414+AS415</f>
        <v>7728905.7620068742</v>
      </c>
      <c r="AT416" s="267">
        <f t="shared" ref="AT416" si="1495">AT414+AT415</f>
        <v>707076.60776581545</v>
      </c>
    </row>
    <row r="417" spans="2:46" x14ac:dyDescent="0.25">
      <c r="B417" s="836" t="s">
        <v>446</v>
      </c>
      <c r="C417" s="268">
        <v>0</v>
      </c>
      <c r="D417" s="268">
        <v>0</v>
      </c>
      <c r="E417" s="268">
        <v>0</v>
      </c>
      <c r="F417" s="268">
        <v>0</v>
      </c>
      <c r="G417" s="178">
        <f>-G413</f>
        <v>3662844.258584829</v>
      </c>
      <c r="H417" s="178">
        <f t="shared" ref="H417:AT417" si="1496">-H413</f>
        <v>3662844.258584829</v>
      </c>
      <c r="I417" s="178">
        <f t="shared" si="1496"/>
        <v>3662844.258584829</v>
      </c>
      <c r="J417" s="178">
        <f t="shared" si="1496"/>
        <v>3662844.258584829</v>
      </c>
      <c r="K417" s="178">
        <f t="shared" si="1496"/>
        <v>3662844.258584829</v>
      </c>
      <c r="L417" s="178">
        <f t="shared" si="1496"/>
        <v>3458479.3385100355</v>
      </c>
      <c r="M417" s="178">
        <f t="shared" si="1496"/>
        <v>3458479.3385100355</v>
      </c>
      <c r="N417" s="178">
        <f t="shared" si="1496"/>
        <v>3458479.3385100355</v>
      </c>
      <c r="O417" s="178">
        <f t="shared" si="1496"/>
        <v>3458479.3385100355</v>
      </c>
      <c r="P417" s="178">
        <f t="shared" si="1496"/>
        <v>3458479.3385100355</v>
      </c>
      <c r="Q417" s="178">
        <f t="shared" si="1496"/>
        <v>2975390.0050588157</v>
      </c>
      <c r="R417" s="178">
        <f t="shared" si="1496"/>
        <v>3593938.4099967871</v>
      </c>
      <c r="S417" s="178">
        <f t="shared" si="1496"/>
        <v>3593938.4099967871</v>
      </c>
      <c r="T417" s="178">
        <f t="shared" si="1496"/>
        <v>3593938.4099967871</v>
      </c>
      <c r="U417" s="178">
        <f t="shared" si="1496"/>
        <v>3593938.4099967871</v>
      </c>
      <c r="V417" s="178">
        <f t="shared" si="1496"/>
        <v>2747877.6604548013</v>
      </c>
      <c r="W417" s="178">
        <f t="shared" si="1496"/>
        <v>2747877.6604548013</v>
      </c>
      <c r="X417" s="178">
        <f t="shared" si="1496"/>
        <v>3923124.2349758497</v>
      </c>
      <c r="Y417" s="178">
        <f t="shared" si="1496"/>
        <v>3923124.2349758497</v>
      </c>
      <c r="Z417" s="178">
        <f t="shared" si="1496"/>
        <v>3923124.2349758497</v>
      </c>
      <c r="AA417" s="178">
        <f t="shared" si="1496"/>
        <v>3923124.2349758497</v>
      </c>
      <c r="AB417" s="178">
        <f t="shared" si="1496"/>
        <v>3923124.2349758497</v>
      </c>
      <c r="AC417" s="178">
        <f t="shared" si="1496"/>
        <v>4072116.8612129036</v>
      </c>
      <c r="AD417" s="178">
        <f t="shared" si="1496"/>
        <v>4072116.8612129036</v>
      </c>
      <c r="AE417" s="178">
        <f t="shared" si="1496"/>
        <v>4072116.8612129036</v>
      </c>
      <c r="AF417" s="178">
        <f t="shared" si="1496"/>
        <v>4072116.8612129036</v>
      </c>
      <c r="AG417" s="178">
        <f t="shared" si="1496"/>
        <v>4072116.8612129036</v>
      </c>
      <c r="AH417" s="178">
        <f t="shared" si="1496"/>
        <v>4072116.8612129036</v>
      </c>
      <c r="AI417" s="178">
        <f t="shared" si="1496"/>
        <v>4072116.8612129036</v>
      </c>
      <c r="AJ417" s="178">
        <f t="shared" si="1496"/>
        <v>4072116.8612129036</v>
      </c>
      <c r="AK417" s="178">
        <f t="shared" si="1496"/>
        <v>4072116.8612129036</v>
      </c>
      <c r="AL417" s="178">
        <f t="shared" si="1496"/>
        <v>4072116.8612129036</v>
      </c>
      <c r="AM417" s="178">
        <f t="shared" si="1496"/>
        <v>2896870.2866918552</v>
      </c>
      <c r="AN417" s="178">
        <f t="shared" si="1496"/>
        <v>2129329.2555168299</v>
      </c>
      <c r="AO417" s="178">
        <f t="shared" si="1496"/>
        <v>4535185.9019710924</v>
      </c>
      <c r="AP417" s="178">
        <f t="shared" si="1496"/>
        <v>4535185.9019710924</v>
      </c>
      <c r="AQ417" s="178">
        <f t="shared" si="1496"/>
        <v>4535185.9019710924</v>
      </c>
      <c r="AR417" s="178">
        <f t="shared" si="1496"/>
        <v>4535185.9019710924</v>
      </c>
      <c r="AS417" s="178">
        <f t="shared" si="1496"/>
        <v>4535185.9019710924</v>
      </c>
      <c r="AT417" s="265">
        <f t="shared" si="1496"/>
        <v>4535185.9019710924</v>
      </c>
    </row>
    <row r="418" spans="2:46" ht="15" thickBot="1" x14ac:dyDescent="0.3">
      <c r="B418" s="842" t="s">
        <v>386</v>
      </c>
      <c r="C418" s="828"/>
      <c r="D418" s="828"/>
      <c r="E418" s="828"/>
      <c r="F418" s="828"/>
      <c r="G418" s="828">
        <f>G416+G417</f>
        <v>4198713.73056076</v>
      </c>
      <c r="H418" s="828">
        <f t="shared" ref="H418" si="1497">H416+H417</f>
        <v>5774263.1015331969</v>
      </c>
      <c r="I418" s="828">
        <f t="shared" ref="I418" si="1498">I416+I417</f>
        <v>6094574.5813769838</v>
      </c>
      <c r="J418" s="828">
        <f t="shared" ref="J418" si="1499">J416+J417</f>
        <v>6117086.2150542466</v>
      </c>
      <c r="K418" s="828">
        <f t="shared" ref="K418" si="1500">K416+K417</f>
        <v>2415955.2337591704</v>
      </c>
      <c r="L418" s="828">
        <f t="shared" ref="L418" si="1501">L416+L417</f>
        <v>6373908.9811774762</v>
      </c>
      <c r="M418" s="828">
        <f t="shared" ref="M418" si="1502">M416+M417</f>
        <v>6697231.0015551234</v>
      </c>
      <c r="N418" s="828">
        <f t="shared" ref="N418" si="1503">N416+N417</f>
        <v>6681215.2423143983</v>
      </c>
      <c r="O418" s="828">
        <f t="shared" ref="O418" si="1504">O416+O417</f>
        <v>6980809.544570731</v>
      </c>
      <c r="P418" s="828">
        <f t="shared" ref="P418" si="1505">P416+P417</f>
        <v>2816167.7829793636</v>
      </c>
      <c r="Q418" s="828">
        <f t="shared" ref="Q418" si="1506">Q416+Q417</f>
        <v>7108976.837391478</v>
      </c>
      <c r="R418" s="828">
        <f t="shared" ref="R418" si="1507">R416+R417</f>
        <v>7307056.8317815289</v>
      </c>
      <c r="S418" s="828">
        <f t="shared" ref="S418" si="1508">S416+S417</f>
        <v>7595751.5642124722</v>
      </c>
      <c r="T418" s="828">
        <f t="shared" ref="T418" si="1509">T416+T417</f>
        <v>7534762.1879262328</v>
      </c>
      <c r="U418" s="828">
        <f t="shared" ref="U418" si="1510">U416+U417</f>
        <v>3487419.6743734628</v>
      </c>
      <c r="V418" s="828">
        <f t="shared" ref="V418" si="1511">V416+V417</f>
        <v>7474541.3471503844</v>
      </c>
      <c r="W418" s="828">
        <f t="shared" ref="W418" si="1512">W416+W417</f>
        <v>7786192.7681500604</v>
      </c>
      <c r="X418" s="828">
        <f t="shared" ref="X418" si="1513">X416+X417</f>
        <v>8199813.9029100705</v>
      </c>
      <c r="Y418" s="828">
        <f t="shared" ref="Y418" si="1514">Y416+Y417</f>
        <v>8598794.1173403319</v>
      </c>
      <c r="Z418" s="828">
        <f t="shared" ref="Z418" si="1515">Z416+Z417</f>
        <v>3833489.7610626835</v>
      </c>
      <c r="AA418" s="828">
        <f t="shared" ref="AA418" si="1516">AA416+AA417</f>
        <v>9020963.7462852616</v>
      </c>
      <c r="AB418" s="828">
        <f t="shared" ref="AB418" si="1517">AB416+AB417</f>
        <v>9022023.5010380745</v>
      </c>
      <c r="AC418" s="828">
        <f t="shared" ref="AC418" si="1518">AC416+AC417</f>
        <v>9436009.1451719869</v>
      </c>
      <c r="AD418" s="828">
        <f t="shared" ref="AD418" si="1519">AD416+AD417</f>
        <v>9355170.8352110498</v>
      </c>
      <c r="AE418" s="828">
        <f t="shared" ref="AE418" si="1520">AE416+AE417</f>
        <v>4527571.8403687272</v>
      </c>
      <c r="AF418" s="828">
        <f t="shared" ref="AF418" si="1521">AF416+AF417</f>
        <v>9645956.1712093279</v>
      </c>
      <c r="AG418" s="828">
        <f t="shared" ref="AG418" si="1522">AG416+AG417</f>
        <v>10036001.312613405</v>
      </c>
      <c r="AH418" s="828">
        <f t="shared" ref="AH418" si="1523">AH416+AH417</f>
        <v>9946834.2674282584</v>
      </c>
      <c r="AI418" s="828">
        <f t="shared" ref="AI418" si="1524">AI416+AI417</f>
        <v>10351775.210487084</v>
      </c>
      <c r="AJ418" s="828">
        <f t="shared" ref="AJ418" si="1525">AJ416+AJ417</f>
        <v>4541007.4430495566</v>
      </c>
      <c r="AK418" s="828">
        <f t="shared" ref="AK418" si="1526">AK416+AK417</f>
        <v>10678510.017479718</v>
      </c>
      <c r="AL418" s="828">
        <f t="shared" ref="AL418" si="1527">AL416+AL417</f>
        <v>10580135.362019898</v>
      </c>
      <c r="AM418" s="828">
        <f t="shared" ref="AM418" si="1528">AM416+AM417</f>
        <v>10605211.309097966</v>
      </c>
      <c r="AN418" s="828">
        <f t="shared" ref="AN418" si="1529">AN416+AN417</f>
        <v>10233234.682552638</v>
      </c>
      <c r="AO418" s="828">
        <f t="shared" ref="AO418" si="1530">AO416+AO417</f>
        <v>5246626.6590824435</v>
      </c>
      <c r="AP418" s="828">
        <f t="shared" ref="AP418" si="1531">AP416+AP417</f>
        <v>11419756.209850453</v>
      </c>
      <c r="AQ418" s="828">
        <f t="shared" ref="AQ418" si="1532">AQ416+AQ417</f>
        <v>11890013.369844705</v>
      </c>
      <c r="AR418" s="828">
        <f t="shared" ref="AR418" si="1533">AR416+AR417</f>
        <v>11775969.241082408</v>
      </c>
      <c r="AS418" s="828">
        <f t="shared" ref="AS418" si="1534">AS416+AS417</f>
        <v>12264091.663977966</v>
      </c>
      <c r="AT418" s="829">
        <f t="shared" ref="AT418" si="1535">AT416+AT417</f>
        <v>5242262.5097369077</v>
      </c>
    </row>
    <row r="419" spans="2:46" ht="15" thickBot="1" x14ac:dyDescent="0.3">
      <c r="B419" s="839"/>
      <c r="C419" s="811"/>
      <c r="D419" s="811"/>
      <c r="E419" s="811"/>
      <c r="F419" s="811"/>
      <c r="G419" s="811"/>
      <c r="H419" s="811"/>
      <c r="I419" s="811"/>
      <c r="J419" s="811"/>
      <c r="K419" s="811"/>
      <c r="L419" s="811"/>
      <c r="M419" s="811"/>
      <c r="N419" s="811"/>
      <c r="O419" s="811"/>
      <c r="P419" s="811"/>
      <c r="Q419" s="811"/>
      <c r="R419" s="811"/>
      <c r="S419" s="811"/>
      <c r="T419" s="811"/>
      <c r="U419" s="811"/>
      <c r="V419" s="811"/>
      <c r="W419" s="811"/>
      <c r="X419" s="811"/>
      <c r="Y419" s="811"/>
      <c r="Z419" s="811"/>
      <c r="AA419" s="811"/>
      <c r="AB419" s="811"/>
      <c r="AC419" s="811"/>
      <c r="AD419" s="811"/>
      <c r="AE419" s="811"/>
      <c r="AF419" s="811"/>
      <c r="AG419" s="811"/>
      <c r="AH419" s="811"/>
      <c r="AI419" s="811"/>
      <c r="AJ419" s="811"/>
      <c r="AK419" s="811"/>
      <c r="AL419" s="811"/>
      <c r="AM419" s="811"/>
      <c r="AN419" s="811"/>
      <c r="AO419" s="811"/>
      <c r="AP419" s="811"/>
      <c r="AQ419" s="811"/>
      <c r="AR419" s="811"/>
      <c r="AS419" s="811"/>
      <c r="AT419" s="811"/>
    </row>
    <row r="420" spans="2:46" ht="14.4" x14ac:dyDescent="0.25">
      <c r="B420" s="835" t="s">
        <v>447</v>
      </c>
      <c r="C420" s="818"/>
      <c r="D420" s="818"/>
      <c r="E420" s="818"/>
      <c r="F420" s="818"/>
      <c r="G420" s="818"/>
      <c r="H420" s="818"/>
      <c r="I420" s="818"/>
      <c r="J420" s="818"/>
      <c r="K420" s="818"/>
      <c r="L420" s="818"/>
      <c r="M420" s="818"/>
      <c r="N420" s="818"/>
      <c r="O420" s="818"/>
      <c r="P420" s="818"/>
      <c r="Q420" s="818"/>
      <c r="R420" s="818"/>
      <c r="S420" s="818"/>
      <c r="T420" s="818"/>
      <c r="U420" s="818"/>
      <c r="V420" s="818"/>
      <c r="W420" s="818"/>
      <c r="X420" s="818"/>
      <c r="Y420" s="818"/>
      <c r="Z420" s="818"/>
      <c r="AA420" s="818"/>
      <c r="AB420" s="818"/>
      <c r="AC420" s="818"/>
      <c r="AD420" s="818"/>
      <c r="AE420" s="818"/>
      <c r="AF420" s="818"/>
      <c r="AG420" s="818"/>
      <c r="AH420" s="818"/>
      <c r="AI420" s="818"/>
      <c r="AJ420" s="818"/>
      <c r="AK420" s="818"/>
      <c r="AL420" s="818"/>
      <c r="AM420" s="818"/>
      <c r="AN420" s="818"/>
      <c r="AO420" s="818"/>
      <c r="AP420" s="818"/>
      <c r="AQ420" s="818"/>
      <c r="AR420" s="818"/>
      <c r="AS420" s="818"/>
      <c r="AT420" s="819"/>
    </row>
    <row r="421" spans="2:46" x14ac:dyDescent="0.25">
      <c r="B421" s="836" t="s">
        <v>448</v>
      </c>
      <c r="C421" s="268">
        <f>C345</f>
        <v>-7217680.5455314573</v>
      </c>
      <c r="D421" s="268">
        <f t="shared" ref="D421:F421" si="1536">D345</f>
        <v>-25976311.77290494</v>
      </c>
      <c r="E421" s="268">
        <f t="shared" si="1536"/>
        <v>-66708323.717887178</v>
      </c>
      <c r="F421" s="268">
        <f t="shared" si="1536"/>
        <v>-27380475.56786824</v>
      </c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8"/>
      <c r="Z421" s="178"/>
      <c r="AA421" s="178"/>
      <c r="AB421" s="178"/>
      <c r="AC421" s="178"/>
      <c r="AD421" s="178"/>
      <c r="AE421" s="178"/>
      <c r="AF421" s="178"/>
      <c r="AG421" s="178"/>
      <c r="AH421" s="178"/>
      <c r="AI421" s="178"/>
      <c r="AJ421" s="178"/>
      <c r="AK421" s="178"/>
      <c r="AL421" s="178"/>
      <c r="AM421" s="178"/>
      <c r="AN421" s="178"/>
      <c r="AO421" s="178"/>
      <c r="AP421" s="178"/>
      <c r="AQ421" s="178"/>
      <c r="AR421" s="178"/>
      <c r="AS421" s="178"/>
      <c r="AT421" s="265"/>
    </row>
    <row r="422" spans="2:46" x14ac:dyDescent="0.25">
      <c r="B422" s="836" t="s">
        <v>383</v>
      </c>
      <c r="C422" s="178"/>
      <c r="D422" s="178"/>
      <c r="E422" s="178"/>
      <c r="F422" s="178"/>
      <c r="G422" s="268">
        <f t="shared" ref="G422:AT422" si="1537">G346</f>
        <v>0</v>
      </c>
      <c r="H422" s="268">
        <f t="shared" si="1537"/>
        <v>0</v>
      </c>
      <c r="I422" s="268">
        <f t="shared" si="1537"/>
        <v>0</v>
      </c>
      <c r="J422" s="268">
        <f t="shared" si="1537"/>
        <v>0</v>
      </c>
      <c r="K422" s="268">
        <f t="shared" si="1537"/>
        <v>0</v>
      </c>
      <c r="L422" s="268">
        <f t="shared" si="1537"/>
        <v>0</v>
      </c>
      <c r="M422" s="268">
        <f t="shared" si="1537"/>
        <v>0</v>
      </c>
      <c r="N422" s="268">
        <f t="shared" si="1537"/>
        <v>0</v>
      </c>
      <c r="O422" s="268">
        <f t="shared" si="1537"/>
        <v>0</v>
      </c>
      <c r="P422" s="268">
        <f t="shared" si="1537"/>
        <v>-2723541.3615541044</v>
      </c>
      <c r="Q422" s="268">
        <f t="shared" si="1537"/>
        <v>-3461942.6878256085</v>
      </c>
      <c r="R422" s="268">
        <f t="shared" si="1537"/>
        <v>0</v>
      </c>
      <c r="S422" s="268">
        <f t="shared" si="1537"/>
        <v>0</v>
      </c>
      <c r="T422" s="268">
        <f t="shared" si="1537"/>
        <v>0</v>
      </c>
      <c r="U422" s="268">
        <f t="shared" si="1537"/>
        <v>-3273399.4420900545</v>
      </c>
      <c r="V422" s="268">
        <f t="shared" si="1537"/>
        <v>-9774797.0868826061</v>
      </c>
      <c r="W422" s="268">
        <f t="shared" si="1537"/>
        <v>-4580502.0888430635</v>
      </c>
      <c r="X422" s="268">
        <f t="shared" si="1537"/>
        <v>0</v>
      </c>
      <c r="Y422" s="268">
        <f t="shared" si="1537"/>
        <v>0</v>
      </c>
      <c r="Z422" s="268">
        <f t="shared" si="1537"/>
        <v>0</v>
      </c>
      <c r="AA422" s="268">
        <f t="shared" si="1537"/>
        <v>-3379570.3773918124</v>
      </c>
      <c r="AB422" s="268">
        <f t="shared" si="1537"/>
        <v>-4295839.9343584403</v>
      </c>
      <c r="AC422" s="268">
        <f t="shared" si="1537"/>
        <v>0</v>
      </c>
      <c r="AD422" s="268">
        <f t="shared" si="1537"/>
        <v>0</v>
      </c>
      <c r="AE422" s="268">
        <f t="shared" si="1537"/>
        <v>0</v>
      </c>
      <c r="AF422" s="268">
        <f t="shared" si="1537"/>
        <v>0</v>
      </c>
      <c r="AG422" s="268">
        <f t="shared" si="1537"/>
        <v>0</v>
      </c>
      <c r="AH422" s="268">
        <f t="shared" si="1537"/>
        <v>0</v>
      </c>
      <c r="AI422" s="268">
        <f t="shared" si="1537"/>
        <v>0</v>
      </c>
      <c r="AJ422" s="268">
        <f t="shared" si="1537"/>
        <v>0</v>
      </c>
      <c r="AK422" s="268">
        <f t="shared" si="1537"/>
        <v>0</v>
      </c>
      <c r="AL422" s="268">
        <f t="shared" si="1537"/>
        <v>-8716196.7525265142</v>
      </c>
      <c r="AM422" s="268">
        <f t="shared" si="1537"/>
        <v>-18683131.091712683</v>
      </c>
      <c r="AN422" s="268">
        <f t="shared" si="1537"/>
        <v>-6282665.206120478</v>
      </c>
      <c r="AO422" s="268">
        <f t="shared" si="1537"/>
        <v>0</v>
      </c>
      <c r="AP422" s="268">
        <f t="shared" si="1537"/>
        <v>0</v>
      </c>
      <c r="AQ422" s="268">
        <f t="shared" si="1537"/>
        <v>0</v>
      </c>
      <c r="AR422" s="268">
        <f t="shared" si="1537"/>
        <v>0</v>
      </c>
      <c r="AS422" s="268">
        <f t="shared" si="1537"/>
        <v>0</v>
      </c>
      <c r="AT422" s="799">
        <f t="shared" si="1537"/>
        <v>0</v>
      </c>
    </row>
    <row r="423" spans="2:46" x14ac:dyDescent="0.25">
      <c r="B423" s="836" t="s">
        <v>384</v>
      </c>
      <c r="C423" s="178"/>
      <c r="D423" s="178"/>
      <c r="E423" s="178"/>
      <c r="F423" s="178"/>
      <c r="G423" s="178"/>
      <c r="H423" s="178"/>
      <c r="I423" s="178"/>
      <c r="J423" s="178"/>
      <c r="K423" s="178"/>
      <c r="L423" s="178"/>
      <c r="M423" s="178"/>
      <c r="N423" s="178"/>
      <c r="O423" s="178"/>
      <c r="P423" s="178"/>
      <c r="Q423" s="178"/>
      <c r="R423" s="178"/>
      <c r="S423" s="178"/>
      <c r="T423" s="178"/>
      <c r="U423" s="178"/>
      <c r="V423" s="178"/>
      <c r="W423" s="178"/>
      <c r="X423" s="178"/>
      <c r="Y423" s="178"/>
      <c r="Z423" s="178"/>
      <c r="AA423" s="178"/>
      <c r="AB423" s="178"/>
      <c r="AC423" s="178"/>
      <c r="AD423" s="178"/>
      <c r="AE423" s="178"/>
      <c r="AF423" s="178"/>
      <c r="AG423" s="178"/>
      <c r="AH423" s="178"/>
      <c r="AI423" s="178"/>
      <c r="AJ423" s="758">
        <f>AJ396</f>
        <v>49512401.003238209</v>
      </c>
      <c r="AK423" s="178"/>
      <c r="AL423" s="178"/>
      <c r="AM423" s="178"/>
      <c r="AN423" s="178"/>
      <c r="AO423" s="178"/>
      <c r="AP423" s="178"/>
      <c r="AQ423" s="178"/>
      <c r="AR423" s="178"/>
      <c r="AS423" s="178"/>
      <c r="AT423" s="847">
        <f>AT396</f>
        <v>47624558.670045361</v>
      </c>
    </row>
    <row r="424" spans="2:46" ht="15" thickBot="1" x14ac:dyDescent="0.3">
      <c r="B424" s="842" t="s">
        <v>385</v>
      </c>
      <c r="C424" s="822">
        <f t="shared" ref="C424:AT424" si="1538">C421+C422+C423</f>
        <v>-7217680.5455314573</v>
      </c>
      <c r="D424" s="822">
        <f t="shared" si="1538"/>
        <v>-25976311.77290494</v>
      </c>
      <c r="E424" s="822">
        <f t="shared" si="1538"/>
        <v>-66708323.717887178</v>
      </c>
      <c r="F424" s="822">
        <f t="shared" si="1538"/>
        <v>-27380475.56786824</v>
      </c>
      <c r="G424" s="822">
        <f t="shared" si="1538"/>
        <v>0</v>
      </c>
      <c r="H424" s="822">
        <f t="shared" si="1538"/>
        <v>0</v>
      </c>
      <c r="I424" s="822">
        <f t="shared" si="1538"/>
        <v>0</v>
      </c>
      <c r="J424" s="822">
        <f t="shared" si="1538"/>
        <v>0</v>
      </c>
      <c r="K424" s="822">
        <f t="shared" si="1538"/>
        <v>0</v>
      </c>
      <c r="L424" s="822">
        <f t="shared" si="1538"/>
        <v>0</v>
      </c>
      <c r="M424" s="822">
        <f t="shared" si="1538"/>
        <v>0</v>
      </c>
      <c r="N424" s="822">
        <f t="shared" si="1538"/>
        <v>0</v>
      </c>
      <c r="O424" s="822">
        <f t="shared" si="1538"/>
        <v>0</v>
      </c>
      <c r="P424" s="822">
        <f t="shared" si="1538"/>
        <v>-2723541.3615541044</v>
      </c>
      <c r="Q424" s="822">
        <f t="shared" si="1538"/>
        <v>-3461942.6878256085</v>
      </c>
      <c r="R424" s="822">
        <f t="shared" si="1538"/>
        <v>0</v>
      </c>
      <c r="S424" s="822">
        <f t="shared" si="1538"/>
        <v>0</v>
      </c>
      <c r="T424" s="822">
        <f t="shared" si="1538"/>
        <v>0</v>
      </c>
      <c r="U424" s="822">
        <f t="shared" si="1538"/>
        <v>-3273399.4420900545</v>
      </c>
      <c r="V424" s="822">
        <f t="shared" si="1538"/>
        <v>-9774797.0868826061</v>
      </c>
      <c r="W424" s="822">
        <f t="shared" si="1538"/>
        <v>-4580502.0888430635</v>
      </c>
      <c r="X424" s="822">
        <f t="shared" si="1538"/>
        <v>0</v>
      </c>
      <c r="Y424" s="822">
        <f t="shared" si="1538"/>
        <v>0</v>
      </c>
      <c r="Z424" s="822">
        <f t="shared" si="1538"/>
        <v>0</v>
      </c>
      <c r="AA424" s="822">
        <f t="shared" si="1538"/>
        <v>-3379570.3773918124</v>
      </c>
      <c r="AB424" s="822">
        <f t="shared" si="1538"/>
        <v>-4295839.9343584403</v>
      </c>
      <c r="AC424" s="822">
        <f t="shared" si="1538"/>
        <v>0</v>
      </c>
      <c r="AD424" s="822">
        <f t="shared" si="1538"/>
        <v>0</v>
      </c>
      <c r="AE424" s="822">
        <f t="shared" si="1538"/>
        <v>0</v>
      </c>
      <c r="AF424" s="822">
        <f t="shared" si="1538"/>
        <v>0</v>
      </c>
      <c r="AG424" s="822">
        <f t="shared" si="1538"/>
        <v>0</v>
      </c>
      <c r="AH424" s="822">
        <f t="shared" si="1538"/>
        <v>0</v>
      </c>
      <c r="AI424" s="822">
        <f t="shared" si="1538"/>
        <v>0</v>
      </c>
      <c r="AJ424" s="822">
        <f t="shared" si="1538"/>
        <v>49512401.003238209</v>
      </c>
      <c r="AK424" s="822">
        <f t="shared" si="1538"/>
        <v>0</v>
      </c>
      <c r="AL424" s="822">
        <f t="shared" si="1538"/>
        <v>-8716196.7525265142</v>
      </c>
      <c r="AM424" s="822">
        <f t="shared" si="1538"/>
        <v>-18683131.091712683</v>
      </c>
      <c r="AN424" s="822">
        <f t="shared" si="1538"/>
        <v>-6282665.206120478</v>
      </c>
      <c r="AO424" s="822">
        <f t="shared" si="1538"/>
        <v>0</v>
      </c>
      <c r="AP424" s="822">
        <f t="shared" si="1538"/>
        <v>0</v>
      </c>
      <c r="AQ424" s="822">
        <f t="shared" si="1538"/>
        <v>0</v>
      </c>
      <c r="AR424" s="822">
        <f t="shared" si="1538"/>
        <v>0</v>
      </c>
      <c r="AS424" s="822">
        <f t="shared" si="1538"/>
        <v>0</v>
      </c>
      <c r="AT424" s="823">
        <f t="shared" si="1538"/>
        <v>47624558.670045361</v>
      </c>
    </row>
    <row r="425" spans="2:46" ht="14.4" x14ac:dyDescent="0.25">
      <c r="B425" s="838"/>
      <c r="C425" s="178"/>
      <c r="D425" s="178"/>
      <c r="E425" s="178"/>
      <c r="F425" s="178"/>
      <c r="G425" s="178"/>
      <c r="H425" s="178"/>
      <c r="I425" s="178"/>
      <c r="J425" s="178"/>
      <c r="K425" s="178"/>
      <c r="L425" s="178"/>
      <c r="M425" s="178"/>
      <c r="N425" s="178"/>
      <c r="O425" s="178"/>
      <c r="P425" s="178"/>
      <c r="Q425" s="178"/>
      <c r="R425" s="178"/>
      <c r="S425" s="178"/>
      <c r="T425" s="178"/>
      <c r="U425" s="178"/>
      <c r="V425" s="178"/>
      <c r="W425" s="178"/>
      <c r="X425" s="178"/>
      <c r="Y425" s="178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/>
      <c r="AS425" s="178"/>
      <c r="AT425" s="178"/>
    </row>
    <row r="426" spans="2:46" ht="14.4" x14ac:dyDescent="0.25">
      <c r="B426" s="838"/>
      <c r="C426" s="178"/>
      <c r="D426" s="178"/>
      <c r="E426" s="884" t="s">
        <v>473</v>
      </c>
      <c r="F426" s="178">
        <f>C424+D424+E424+F424</f>
        <v>-127282791.60419181</v>
      </c>
      <c r="G426" s="178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  <c r="R426" s="178"/>
      <c r="S426" s="178"/>
      <c r="T426" s="178"/>
      <c r="U426" s="178"/>
      <c r="V426" s="178"/>
      <c r="W426" s="178"/>
      <c r="X426" s="178"/>
      <c r="Y426" s="178"/>
      <c r="Z426" s="178"/>
      <c r="AA426" s="178"/>
      <c r="AB426" s="178"/>
      <c r="AC426" s="178"/>
      <c r="AD426" s="178"/>
      <c r="AE426" s="178"/>
      <c r="AF426" s="178"/>
      <c r="AG426" s="178"/>
      <c r="AH426" s="178"/>
      <c r="AI426" s="178"/>
      <c r="AJ426" s="178"/>
      <c r="AK426" s="178"/>
      <c r="AL426" s="178"/>
      <c r="AM426" s="178"/>
      <c r="AN426" s="178"/>
      <c r="AO426" s="178"/>
      <c r="AP426" s="178"/>
      <c r="AQ426" s="178"/>
      <c r="AR426" s="178"/>
      <c r="AS426" s="178"/>
      <c r="AT426" s="178"/>
    </row>
    <row r="427" spans="2:46" ht="14.4" x14ac:dyDescent="0.25">
      <c r="B427" s="838"/>
      <c r="C427" s="178"/>
      <c r="D427" s="178"/>
      <c r="E427" s="178"/>
      <c r="F427" s="178"/>
      <c r="G427" s="178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78"/>
      <c r="S427" s="178"/>
      <c r="T427" s="178"/>
      <c r="U427" s="178"/>
      <c r="V427" s="178"/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</row>
    <row r="428" spans="2:46" ht="14.4" x14ac:dyDescent="0.25">
      <c r="B428" s="844" t="s">
        <v>436</v>
      </c>
      <c r="C428" s="178">
        <f t="shared" ref="C428:AJ428" si="1539">C418+C424</f>
        <v>-7217680.5455314573</v>
      </c>
      <c r="D428" s="178">
        <f t="shared" si="1539"/>
        <v>-25976311.77290494</v>
      </c>
      <c r="E428" s="178">
        <f t="shared" si="1539"/>
        <v>-66708323.717887178</v>
      </c>
      <c r="F428" s="178">
        <f t="shared" si="1539"/>
        <v>-27380475.56786824</v>
      </c>
      <c r="G428" s="178">
        <f t="shared" si="1539"/>
        <v>4198713.73056076</v>
      </c>
      <c r="H428" s="178">
        <f t="shared" si="1539"/>
        <v>5774263.1015331969</v>
      </c>
      <c r="I428" s="178">
        <f t="shared" si="1539"/>
        <v>6094574.5813769838</v>
      </c>
      <c r="J428" s="178">
        <f t="shared" si="1539"/>
        <v>6117086.2150542466</v>
      </c>
      <c r="K428" s="178">
        <f t="shared" si="1539"/>
        <v>2415955.2337591704</v>
      </c>
      <c r="L428" s="178">
        <f t="shared" si="1539"/>
        <v>6373908.9811774762</v>
      </c>
      <c r="M428" s="178">
        <f t="shared" si="1539"/>
        <v>6697231.0015551234</v>
      </c>
      <c r="N428" s="178">
        <f t="shared" si="1539"/>
        <v>6681215.2423143983</v>
      </c>
      <c r="O428" s="178">
        <f t="shared" si="1539"/>
        <v>6980809.544570731</v>
      </c>
      <c r="P428" s="178">
        <f t="shared" si="1539"/>
        <v>92626.421425259206</v>
      </c>
      <c r="Q428" s="178">
        <f t="shared" si="1539"/>
        <v>3647034.1495658695</v>
      </c>
      <c r="R428" s="178">
        <f t="shared" si="1539"/>
        <v>7307056.8317815289</v>
      </c>
      <c r="S428" s="178">
        <f t="shared" si="1539"/>
        <v>7595751.5642124722</v>
      </c>
      <c r="T428" s="178">
        <f t="shared" si="1539"/>
        <v>7534762.1879262328</v>
      </c>
      <c r="U428" s="178">
        <f t="shared" si="1539"/>
        <v>214020.23228340829</v>
      </c>
      <c r="V428" s="178">
        <f t="shared" si="1539"/>
        <v>-2300255.7397322217</v>
      </c>
      <c r="W428" s="178">
        <f t="shared" si="1539"/>
        <v>3205690.679306997</v>
      </c>
      <c r="X428" s="178">
        <f t="shared" si="1539"/>
        <v>8199813.9029100705</v>
      </c>
      <c r="Y428" s="178">
        <f t="shared" si="1539"/>
        <v>8598794.1173403319</v>
      </c>
      <c r="Z428" s="178">
        <f t="shared" si="1539"/>
        <v>3833489.7610626835</v>
      </c>
      <c r="AA428" s="178">
        <f t="shared" si="1539"/>
        <v>5641393.3688934492</v>
      </c>
      <c r="AB428" s="178">
        <f t="shared" si="1539"/>
        <v>4726183.5666796342</v>
      </c>
      <c r="AC428" s="178">
        <f t="shared" si="1539"/>
        <v>9436009.1451719869</v>
      </c>
      <c r="AD428" s="178">
        <f t="shared" si="1539"/>
        <v>9355170.8352110498</v>
      </c>
      <c r="AE428" s="178">
        <f t="shared" si="1539"/>
        <v>4527571.8403687272</v>
      </c>
      <c r="AF428" s="178">
        <f t="shared" si="1539"/>
        <v>9645956.1712093279</v>
      </c>
      <c r="AG428" s="178">
        <f t="shared" si="1539"/>
        <v>10036001.312613405</v>
      </c>
      <c r="AH428" s="178">
        <f t="shared" si="1539"/>
        <v>9946834.2674282584</v>
      </c>
      <c r="AI428" s="178">
        <f t="shared" si="1539"/>
        <v>10351775.210487084</v>
      </c>
      <c r="AJ428" s="178">
        <f t="shared" si="1539"/>
        <v>54053408.446287766</v>
      </c>
      <c r="AK428" s="178"/>
      <c r="AL428" s="178"/>
      <c r="AM428" s="178"/>
      <c r="AN428" s="178"/>
      <c r="AO428" s="178"/>
      <c r="AP428" s="178"/>
      <c r="AQ428" s="178"/>
      <c r="AR428" s="178"/>
      <c r="AS428" s="178"/>
      <c r="AT428" s="178"/>
    </row>
    <row r="429" spans="2:46" ht="14.4" x14ac:dyDescent="0.25">
      <c r="B429" s="844" t="s">
        <v>438</v>
      </c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848">
        <f>IRR(C428:AJ428)</f>
        <v>3.0000871050799294E-2</v>
      </c>
      <c r="AK429" s="178"/>
      <c r="AL429" s="178"/>
      <c r="AM429" s="178"/>
      <c r="AN429" s="178"/>
      <c r="AO429" s="178"/>
      <c r="AP429" s="178"/>
      <c r="AQ429" s="178"/>
      <c r="AR429" s="178"/>
      <c r="AS429" s="178"/>
      <c r="AT429" s="178"/>
    </row>
    <row r="430" spans="2:46" ht="14.4" x14ac:dyDescent="0.25">
      <c r="B430" s="844"/>
      <c r="C430" s="178"/>
      <c r="D430" s="178"/>
      <c r="E430" s="178"/>
      <c r="F430" s="178"/>
      <c r="G430" s="17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78"/>
      <c r="T430" s="178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178"/>
    </row>
    <row r="431" spans="2:46" ht="14.4" x14ac:dyDescent="0.25">
      <c r="B431" s="844" t="s">
        <v>437</v>
      </c>
      <c r="C431" s="178">
        <f>C418+C424</f>
        <v>-7217680.5455314573</v>
      </c>
      <c r="D431" s="178">
        <f t="shared" ref="D431:AI431" si="1540">D418+D424</f>
        <v>-25976311.77290494</v>
      </c>
      <c r="E431" s="178">
        <f t="shared" si="1540"/>
        <v>-66708323.717887178</v>
      </c>
      <c r="F431" s="178">
        <f t="shared" si="1540"/>
        <v>-27380475.56786824</v>
      </c>
      <c r="G431" s="178">
        <f t="shared" si="1540"/>
        <v>4198713.73056076</v>
      </c>
      <c r="H431" s="178">
        <f t="shared" si="1540"/>
        <v>5774263.1015331969</v>
      </c>
      <c r="I431" s="178">
        <f t="shared" si="1540"/>
        <v>6094574.5813769838</v>
      </c>
      <c r="J431" s="178">
        <f t="shared" si="1540"/>
        <v>6117086.2150542466</v>
      </c>
      <c r="K431" s="178">
        <f t="shared" si="1540"/>
        <v>2415955.2337591704</v>
      </c>
      <c r="L431" s="178">
        <f t="shared" si="1540"/>
        <v>6373908.9811774762</v>
      </c>
      <c r="M431" s="178">
        <f t="shared" si="1540"/>
        <v>6697231.0015551234</v>
      </c>
      <c r="N431" s="178">
        <f t="shared" si="1540"/>
        <v>6681215.2423143983</v>
      </c>
      <c r="O431" s="178">
        <f t="shared" si="1540"/>
        <v>6980809.544570731</v>
      </c>
      <c r="P431" s="178">
        <f t="shared" si="1540"/>
        <v>92626.421425259206</v>
      </c>
      <c r="Q431" s="178">
        <f t="shared" si="1540"/>
        <v>3647034.1495658695</v>
      </c>
      <c r="R431" s="178">
        <f t="shared" si="1540"/>
        <v>7307056.8317815289</v>
      </c>
      <c r="S431" s="178">
        <f t="shared" si="1540"/>
        <v>7595751.5642124722</v>
      </c>
      <c r="T431" s="178">
        <f t="shared" si="1540"/>
        <v>7534762.1879262328</v>
      </c>
      <c r="U431" s="178">
        <f t="shared" si="1540"/>
        <v>214020.23228340829</v>
      </c>
      <c r="V431" s="178">
        <f t="shared" si="1540"/>
        <v>-2300255.7397322217</v>
      </c>
      <c r="W431" s="178">
        <f t="shared" si="1540"/>
        <v>3205690.679306997</v>
      </c>
      <c r="X431" s="178">
        <f t="shared" si="1540"/>
        <v>8199813.9029100705</v>
      </c>
      <c r="Y431" s="178">
        <f t="shared" si="1540"/>
        <v>8598794.1173403319</v>
      </c>
      <c r="Z431" s="178">
        <f t="shared" si="1540"/>
        <v>3833489.7610626835</v>
      </c>
      <c r="AA431" s="178">
        <f t="shared" si="1540"/>
        <v>5641393.3688934492</v>
      </c>
      <c r="AB431" s="178">
        <f t="shared" si="1540"/>
        <v>4726183.5666796342</v>
      </c>
      <c r="AC431" s="178">
        <f t="shared" si="1540"/>
        <v>9436009.1451719869</v>
      </c>
      <c r="AD431" s="178">
        <f t="shared" si="1540"/>
        <v>9355170.8352110498</v>
      </c>
      <c r="AE431" s="178">
        <f t="shared" si="1540"/>
        <v>4527571.8403687272</v>
      </c>
      <c r="AF431" s="178">
        <f t="shared" si="1540"/>
        <v>9645956.1712093279</v>
      </c>
      <c r="AG431" s="178">
        <f t="shared" si="1540"/>
        <v>10036001.312613405</v>
      </c>
      <c r="AH431" s="178">
        <f t="shared" si="1540"/>
        <v>9946834.2674282584</v>
      </c>
      <c r="AI431" s="178">
        <f t="shared" si="1540"/>
        <v>10351775.210487084</v>
      </c>
      <c r="AJ431" s="178">
        <f>AJ418+AJ422</f>
        <v>4541007.4430495566</v>
      </c>
      <c r="AK431" s="178">
        <f t="shared" ref="AK431:AT431" si="1541">AK418+AK424</f>
        <v>10678510.017479718</v>
      </c>
      <c r="AL431" s="178">
        <f t="shared" si="1541"/>
        <v>1863938.6094933841</v>
      </c>
      <c r="AM431" s="178">
        <f t="shared" si="1541"/>
        <v>-8077919.7826147173</v>
      </c>
      <c r="AN431" s="178">
        <f t="shared" si="1541"/>
        <v>3950569.4764321595</v>
      </c>
      <c r="AO431" s="178">
        <f t="shared" si="1541"/>
        <v>5246626.6590824435</v>
      </c>
      <c r="AP431" s="178">
        <f t="shared" si="1541"/>
        <v>11419756.209850453</v>
      </c>
      <c r="AQ431" s="178">
        <f t="shared" si="1541"/>
        <v>11890013.369844705</v>
      </c>
      <c r="AR431" s="178">
        <f t="shared" si="1541"/>
        <v>11775969.241082408</v>
      </c>
      <c r="AS431" s="178">
        <f t="shared" si="1541"/>
        <v>12264091.663977966</v>
      </c>
      <c r="AT431" s="178">
        <f t="shared" si="1541"/>
        <v>52866821.179782271</v>
      </c>
    </row>
    <row r="432" spans="2:46" ht="14.4" x14ac:dyDescent="0.25">
      <c r="B432" s="844" t="s">
        <v>439</v>
      </c>
      <c r="C432" s="178"/>
      <c r="D432" s="178"/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78"/>
      <c r="S432" s="178"/>
      <c r="T432" s="178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849">
        <f>IRR(C431:AT431)</f>
        <v>3.5857586848242251E-2</v>
      </c>
    </row>
    <row r="433" spans="2:46" ht="14.4" x14ac:dyDescent="0.25">
      <c r="B433" s="844"/>
      <c r="C433" s="178"/>
      <c r="D433" s="178"/>
      <c r="E433" s="178"/>
      <c r="F433" s="178"/>
      <c r="G433" s="178"/>
      <c r="H433" s="178"/>
      <c r="I433" s="178"/>
      <c r="J433" s="178"/>
      <c r="K433" s="178"/>
      <c r="L433" s="178"/>
      <c r="M433" s="178"/>
      <c r="N433" s="178"/>
      <c r="O433" s="178"/>
      <c r="P433" s="178"/>
      <c r="Q433" s="178"/>
      <c r="R433" s="178"/>
      <c r="S433" s="178"/>
      <c r="T433" s="178"/>
      <c r="U433" s="178"/>
      <c r="V433" s="178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/>
      <c r="AS433" s="178"/>
      <c r="AT433" s="178"/>
    </row>
    <row r="434" spans="2:46" ht="14.4" x14ac:dyDescent="0.25">
      <c r="B434" s="844" t="s">
        <v>450</v>
      </c>
      <c r="C434" s="178">
        <f>C408</f>
        <v>0</v>
      </c>
      <c r="D434" s="178">
        <f t="shared" ref="D434:AT434" si="1542">D408</f>
        <v>0</v>
      </c>
      <c r="E434" s="178">
        <f t="shared" si="1542"/>
        <v>0</v>
      </c>
      <c r="F434" s="178">
        <f t="shared" si="1542"/>
        <v>0</v>
      </c>
      <c r="G434" s="178">
        <f t="shared" si="1542"/>
        <v>4487258.8308554925</v>
      </c>
      <c r="H434" s="178">
        <f t="shared" si="1542"/>
        <v>6911180.9400438555</v>
      </c>
      <c r="I434" s="178">
        <f t="shared" si="1542"/>
        <v>7403967.8321112208</v>
      </c>
      <c r="J434" s="178">
        <f t="shared" si="1542"/>
        <v>7438601.1146916253</v>
      </c>
      <c r="K434" s="178">
        <f t="shared" si="1542"/>
        <v>2415955.2337591704</v>
      </c>
      <c r="L434" s="178">
        <f t="shared" si="1542"/>
        <v>7943755.7118445598</v>
      </c>
      <c r="M434" s="178">
        <f t="shared" si="1542"/>
        <v>8441174.2047332469</v>
      </c>
      <c r="N434" s="178">
        <f t="shared" si="1542"/>
        <v>8416534.5751321316</v>
      </c>
      <c r="O434" s="178">
        <f t="shared" si="1542"/>
        <v>8877448.8862957209</v>
      </c>
      <c r="P434" s="178">
        <f t="shared" si="1542"/>
        <v>2816167.7829793636</v>
      </c>
      <c r="Q434" s="178">
        <f t="shared" si="1542"/>
        <v>9334754.3624936808</v>
      </c>
      <c r="R434" s="178">
        <f t="shared" si="1542"/>
        <v>9306428.2896656208</v>
      </c>
      <c r="S434" s="178">
        <f t="shared" si="1542"/>
        <v>9750574.031867072</v>
      </c>
      <c r="T434" s="178">
        <f t="shared" si="1542"/>
        <v>9656744.2221959345</v>
      </c>
      <c r="U434" s="178">
        <f t="shared" si="1542"/>
        <v>3487419.6743734628</v>
      </c>
      <c r="V434" s="178">
        <f t="shared" si="1542"/>
        <v>10019667.947678775</v>
      </c>
      <c r="W434" s="178">
        <f t="shared" si="1542"/>
        <v>10499131.672293661</v>
      </c>
      <c r="X434" s="178">
        <f t="shared" si="1542"/>
        <v>10502646.801028498</v>
      </c>
      <c r="Y434" s="178">
        <f t="shared" si="1542"/>
        <v>11116462.515536591</v>
      </c>
      <c r="Z434" s="178">
        <f t="shared" si="1542"/>
        <v>3833489.7610626835</v>
      </c>
      <c r="AA434" s="178">
        <f t="shared" si="1542"/>
        <v>11765954.252374943</v>
      </c>
      <c r="AB434" s="178">
        <f t="shared" si="1542"/>
        <v>11767584.64430235</v>
      </c>
      <c r="AC434" s="178">
        <f t="shared" si="1542"/>
        <v>12324258.836534569</v>
      </c>
      <c r="AD434" s="178">
        <f t="shared" si="1542"/>
        <v>12199892.205825437</v>
      </c>
      <c r="AE434" s="178">
        <f t="shared" si="1542"/>
        <v>4772816.8291449398</v>
      </c>
      <c r="AF434" s="178">
        <f t="shared" si="1542"/>
        <v>12647254.261207402</v>
      </c>
      <c r="AG434" s="178">
        <f t="shared" si="1542"/>
        <v>13247323.709521368</v>
      </c>
      <c r="AH434" s="178">
        <f t="shared" si="1542"/>
        <v>13110143.640005756</v>
      </c>
      <c r="AI434" s="178">
        <f t="shared" si="1542"/>
        <v>13733129.706250105</v>
      </c>
      <c r="AJ434" s="178">
        <f t="shared" si="1542"/>
        <v>4793486.9871154465</v>
      </c>
      <c r="AK434" s="178">
        <f t="shared" si="1542"/>
        <v>14235798.640084926</v>
      </c>
      <c r="AL434" s="178">
        <f t="shared" si="1542"/>
        <v>14084453.016300587</v>
      </c>
      <c r="AM434" s="178">
        <f t="shared" si="1542"/>
        <v>14755856.47500895</v>
      </c>
      <c r="AN434" s="178">
        <f t="shared" si="1542"/>
        <v>14596876.066341151</v>
      </c>
      <c r="AO434" s="178">
        <f t="shared" si="1542"/>
        <v>5629710.1436808631</v>
      </c>
      <c r="AP434" s="178">
        <f t="shared" si="1542"/>
        <v>15126832.529477801</v>
      </c>
      <c r="AQ434" s="178">
        <f t="shared" si="1542"/>
        <v>15850305.08331511</v>
      </c>
      <c r="AR434" s="178">
        <f t="shared" si="1542"/>
        <v>15674852.577526961</v>
      </c>
      <c r="AS434" s="178">
        <f t="shared" si="1542"/>
        <v>16425810.151212437</v>
      </c>
      <c r="AT434" s="178">
        <f t="shared" si="1542"/>
        <v>5622996.0677646548</v>
      </c>
    </row>
    <row r="435" spans="2:46" ht="14.4" x14ac:dyDescent="0.25">
      <c r="B435" s="844" t="s">
        <v>451</v>
      </c>
      <c r="C435" s="178">
        <f>C434+C395</f>
        <v>0</v>
      </c>
      <c r="D435" s="178">
        <f t="shared" ref="D435" si="1543">D434+D395</f>
        <v>0</v>
      </c>
      <c r="E435" s="178">
        <f t="shared" ref="E435" si="1544">E434+E395</f>
        <v>0</v>
      </c>
      <c r="F435" s="178">
        <f t="shared" ref="F435" si="1545">F434+F395</f>
        <v>0</v>
      </c>
      <c r="G435" s="178">
        <f t="shared" ref="G435" si="1546">G434+G395</f>
        <v>824414.57227066346</v>
      </c>
      <c r="H435" s="178">
        <f t="shared" ref="H435" si="1547">H434+H395</f>
        <v>3248336.6814590264</v>
      </c>
      <c r="I435" s="178">
        <f t="shared" ref="I435" si="1548">I434+I395</f>
        <v>3741123.5735263918</v>
      </c>
      <c r="J435" s="178">
        <f t="shared" ref="J435" si="1549">J434+J395</f>
        <v>3775756.8561067963</v>
      </c>
      <c r="K435" s="178">
        <f t="shared" ref="K435" si="1550">K434+K395</f>
        <v>-1246889.0248256586</v>
      </c>
      <c r="L435" s="178">
        <f t="shared" ref="L435" si="1551">L434+L395</f>
        <v>4485276.3733345242</v>
      </c>
      <c r="M435" s="178">
        <f t="shared" ref="M435" si="1552">M434+M395</f>
        <v>4982694.8662232114</v>
      </c>
      <c r="N435" s="178">
        <f t="shared" ref="N435" si="1553">N434+N395</f>
        <v>4958055.236622096</v>
      </c>
      <c r="O435" s="178">
        <f t="shared" ref="O435" si="1554">O434+O395</f>
        <v>5418969.5477856854</v>
      </c>
      <c r="P435" s="178">
        <f t="shared" ref="P435" si="1555">P434+P395</f>
        <v>-642311.55553067196</v>
      </c>
      <c r="Q435" s="178">
        <f t="shared" ref="Q435" si="1556">Q434+Q395</f>
        <v>6359364.3574348651</v>
      </c>
      <c r="R435" s="178">
        <f t="shared" ref="R435" si="1557">R434+R395</f>
        <v>5712489.8796688337</v>
      </c>
      <c r="S435" s="178">
        <f t="shared" ref="S435" si="1558">S434+S395</f>
        <v>6156635.6218702849</v>
      </c>
      <c r="T435" s="178">
        <f t="shared" ref="T435" si="1559">T434+T395</f>
        <v>6062805.8121991474</v>
      </c>
      <c r="U435" s="178">
        <f t="shared" ref="U435" si="1560">U434+U395</f>
        <v>-106518.73562332429</v>
      </c>
      <c r="V435" s="178">
        <f t="shared" ref="V435" si="1561">V434+V395</f>
        <v>7271790.2872239733</v>
      </c>
      <c r="W435" s="178">
        <f t="shared" ref="W435" si="1562">W434+W395</f>
        <v>7751254.0118388599</v>
      </c>
      <c r="X435" s="178">
        <f t="shared" ref="X435" si="1563">X434+X395</f>
        <v>6579522.5660526473</v>
      </c>
      <c r="Y435" s="178">
        <f t="shared" ref="Y435" si="1564">Y434+Y395</f>
        <v>7193338.2805607412</v>
      </c>
      <c r="Z435" s="178">
        <f t="shared" ref="Z435" si="1565">Z434+Z395</f>
        <v>-89634.473913166206</v>
      </c>
      <c r="AA435" s="178">
        <f t="shared" ref="AA435" si="1566">AA434+AA395</f>
        <v>7842830.0173990931</v>
      </c>
      <c r="AB435" s="178">
        <f t="shared" ref="AB435" si="1567">AB434+AB395</f>
        <v>7844460.4093264993</v>
      </c>
      <c r="AC435" s="178">
        <f t="shared" ref="AC435" si="1568">AC434+AC395</f>
        <v>8252141.9753216654</v>
      </c>
      <c r="AD435" s="178">
        <f t="shared" ref="AD435" si="1569">AD434+AD395</f>
        <v>8127775.3446125332</v>
      </c>
      <c r="AE435" s="178">
        <f t="shared" ref="AE435" si="1570">AE434+AE395</f>
        <v>700699.96793203615</v>
      </c>
      <c r="AF435" s="178">
        <f t="shared" ref="AF435" si="1571">AF434+AF395</f>
        <v>8575137.3999944981</v>
      </c>
      <c r="AG435" s="178">
        <f t="shared" ref="AG435" si="1572">AG434+AG395</f>
        <v>9175206.8483084645</v>
      </c>
      <c r="AH435" s="178">
        <f t="shared" ref="AH435" si="1573">AH434+AH395</f>
        <v>9038026.7787928525</v>
      </c>
      <c r="AI435" s="178">
        <f t="shared" ref="AI435" si="1574">AI434+AI395</f>
        <v>9661012.8450372014</v>
      </c>
      <c r="AJ435" s="178">
        <f t="shared" ref="AJ435" si="1575">AJ434+AJ395</f>
        <v>721370.12590254284</v>
      </c>
      <c r="AK435" s="178">
        <f t="shared" ref="AK435" si="1576">AK434+AK395</f>
        <v>10163681.778872022</v>
      </c>
      <c r="AL435" s="178">
        <f t="shared" ref="AL435" si="1577">AL434+AL395</f>
        <v>10012336.155087683</v>
      </c>
      <c r="AM435" s="178">
        <f t="shared" ref="AM435" si="1578">AM434+AM395</f>
        <v>11858986.188317094</v>
      </c>
      <c r="AN435" s="178">
        <f t="shared" ref="AN435" si="1579">AN434+AN395</f>
        <v>12467546.81082432</v>
      </c>
      <c r="AO435" s="178">
        <f t="shared" ref="AO435" si="1580">AO434+AO395</f>
        <v>1094524.2417097706</v>
      </c>
      <c r="AP435" s="178">
        <f t="shared" ref="AP435" si="1581">AP434+AP395</f>
        <v>10591646.627506709</v>
      </c>
      <c r="AQ435" s="178">
        <f t="shared" ref="AQ435" si="1582">AQ434+AQ395</f>
        <v>11315119.181344017</v>
      </c>
      <c r="AR435" s="178">
        <f t="shared" ref="AR435" si="1583">AR434+AR395</f>
        <v>11139666.675555868</v>
      </c>
      <c r="AS435" s="178">
        <f t="shared" ref="AS435" si="1584">AS434+AS395</f>
        <v>11890624.249241345</v>
      </c>
      <c r="AT435" s="178">
        <f t="shared" ref="AT435" si="1585">AT434+AT395</f>
        <v>1087810.1657935623</v>
      </c>
    </row>
    <row r="436" spans="2:46" ht="14.4" x14ac:dyDescent="0.25">
      <c r="B436" s="844"/>
      <c r="C436" s="178"/>
      <c r="D436" s="178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78"/>
      <c r="S436" s="178"/>
      <c r="T436" s="178"/>
      <c r="U436" s="178"/>
      <c r="V436" s="178"/>
      <c r="W436" s="178"/>
      <c r="X436" s="178"/>
      <c r="Y436" s="178"/>
      <c r="Z436" s="178"/>
      <c r="AA436" s="178"/>
      <c r="AB436" s="178"/>
      <c r="AC436" s="178"/>
      <c r="AD436" s="178"/>
      <c r="AE436" s="178"/>
      <c r="AF436" s="178"/>
      <c r="AG436" s="178"/>
      <c r="AH436" s="178"/>
      <c r="AI436" s="178"/>
      <c r="AJ436" s="178"/>
      <c r="AK436" s="178"/>
      <c r="AL436" s="178"/>
      <c r="AM436" s="178"/>
      <c r="AN436" s="178"/>
      <c r="AO436" s="178"/>
      <c r="AP436" s="178"/>
      <c r="AQ436" s="178"/>
      <c r="AR436" s="178"/>
      <c r="AS436" s="178"/>
      <c r="AT436" s="178"/>
    </row>
    <row r="437" spans="2:46" ht="14.4" x14ac:dyDescent="0.25">
      <c r="B437" s="844" t="s">
        <v>489</v>
      </c>
      <c r="C437" s="908"/>
      <c r="D437" s="908"/>
      <c r="E437" s="908"/>
      <c r="F437" s="908"/>
      <c r="G437" s="909">
        <f>ABS(G406)/ABS(G401)</f>
        <v>2.2989267584590989</v>
      </c>
      <c r="H437" s="909">
        <f t="shared" ref="H437:AT437" si="1586">ABS(H406)/ABS(H401)</f>
        <v>2.9488151010017045</v>
      </c>
      <c r="I437" s="909">
        <f t="shared" si="1586"/>
        <v>3.0399414618576142</v>
      </c>
      <c r="J437" s="909">
        <f t="shared" si="1586"/>
        <v>3.0025041538262713</v>
      </c>
      <c r="K437" s="909">
        <f t="shared" si="1586"/>
        <v>1.2599387857502857</v>
      </c>
      <c r="L437" s="909">
        <f t="shared" si="1586"/>
        <v>3.041495589696229</v>
      </c>
      <c r="M437" s="909">
        <f t="shared" si="1586"/>
        <v>3.1195167554200545</v>
      </c>
      <c r="N437" s="909">
        <f t="shared" si="1586"/>
        <v>3.0647756308455367</v>
      </c>
      <c r="O437" s="909">
        <f t="shared" si="1586"/>
        <v>3.1277834617516684</v>
      </c>
      <c r="P437" s="909">
        <f t="shared" si="1586"/>
        <v>1.2732753102596637</v>
      </c>
      <c r="Q437" s="909">
        <f t="shared" si="1586"/>
        <v>3.135619617573516</v>
      </c>
      <c r="R437" s="909">
        <f t="shared" si="1586"/>
        <v>3.0801090071518451</v>
      </c>
      <c r="S437" s="909">
        <f t="shared" si="1586"/>
        <v>3.1291654117166705</v>
      </c>
      <c r="T437" s="909">
        <f t="shared" si="1586"/>
        <v>3.0600616010257435</v>
      </c>
      <c r="U437" s="909">
        <f t="shared" si="1586"/>
        <v>1.3051355054305387</v>
      </c>
      <c r="V437" s="909">
        <f t="shared" si="1586"/>
        <v>3.0399785868447515</v>
      </c>
      <c r="W437" s="909">
        <f t="shared" si="1586"/>
        <v>3.0882293293014165</v>
      </c>
      <c r="X437" s="909">
        <f t="shared" si="1586"/>
        <v>3.0406577699336399</v>
      </c>
      <c r="Y437" s="909">
        <f t="shared" si="1586"/>
        <v>3.1099817799408722</v>
      </c>
      <c r="Z437" s="909">
        <f t="shared" si="1586"/>
        <v>1.3023525160450964</v>
      </c>
      <c r="AA437" s="909">
        <f t="shared" si="1586"/>
        <v>3.13109500696841</v>
      </c>
      <c r="AB437" s="909">
        <f t="shared" si="1586"/>
        <v>3.0820245908205033</v>
      </c>
      <c r="AC437" s="909">
        <f t="shared" si="1586"/>
        <v>3.1299835744225781</v>
      </c>
      <c r="AD437" s="909">
        <f t="shared" si="1586"/>
        <v>3.0595977253256383</v>
      </c>
      <c r="AE437" s="909">
        <f t="shared" si="1586"/>
        <v>1.3392391280884846</v>
      </c>
      <c r="AF437" s="909">
        <f t="shared" si="1586"/>
        <v>3.037167383898602</v>
      </c>
      <c r="AG437" s="909">
        <f t="shared" si="1586"/>
        <v>3.0842590290903118</v>
      </c>
      <c r="AH437" s="909">
        <f t="shared" si="1586"/>
        <v>3.0147357777276302</v>
      </c>
      <c r="AI437" s="909">
        <f t="shared" si="1586"/>
        <v>3.0613953861391248</v>
      </c>
      <c r="AJ437" s="909">
        <f t="shared" si="1586"/>
        <v>1.3069536378904478</v>
      </c>
      <c r="AK437" s="909">
        <f t="shared" si="1586"/>
        <v>3.0385338340260786</v>
      </c>
      <c r="AL437" s="909">
        <f t="shared" si="1586"/>
        <v>2.9698776138473404</v>
      </c>
      <c r="AM437" s="909">
        <f t="shared" si="1586"/>
        <v>3.0156766244875892</v>
      </c>
      <c r="AN437" s="909">
        <f t="shared" si="1586"/>
        <v>2.9474554742930343</v>
      </c>
      <c r="AO437" s="909">
        <f t="shared" si="1586"/>
        <v>1.3246926775054004</v>
      </c>
      <c r="AP437" s="909">
        <f t="shared" si="1586"/>
        <v>2.925040904861905</v>
      </c>
      <c r="AQ437" s="909">
        <f t="shared" si="1586"/>
        <v>2.9699842287936784</v>
      </c>
      <c r="AR437" s="909">
        <f t="shared" si="1586"/>
        <v>2.9026361081929446</v>
      </c>
      <c r="AS437" s="909">
        <f t="shared" si="1586"/>
        <v>2.9471535326183385</v>
      </c>
      <c r="AT437" s="909">
        <f t="shared" si="1586"/>
        <v>1.2920058850039797</v>
      </c>
    </row>
    <row r="438" spans="2:46" ht="14.4" x14ac:dyDescent="0.25">
      <c r="B438" s="844" t="s">
        <v>490</v>
      </c>
      <c r="C438" s="908"/>
      <c r="D438" s="908"/>
      <c r="E438" s="908"/>
      <c r="F438" s="908"/>
      <c r="G438" s="909">
        <f>G437-1</f>
        <v>1.2989267584590989</v>
      </c>
      <c r="H438" s="909">
        <f t="shared" ref="H438" si="1587">H437-1</f>
        <v>1.9488151010017045</v>
      </c>
      <c r="I438" s="909">
        <f t="shared" ref="I438" si="1588">I437-1</f>
        <v>2.0399414618576142</v>
      </c>
      <c r="J438" s="909">
        <f t="shared" ref="J438" si="1589">J437-1</f>
        <v>2.0025041538262713</v>
      </c>
      <c r="K438" s="909">
        <f t="shared" ref="K438" si="1590">K437-1</f>
        <v>0.25993878575028573</v>
      </c>
      <c r="L438" s="909">
        <f t="shared" ref="L438" si="1591">L437-1</f>
        <v>2.041495589696229</v>
      </c>
      <c r="M438" s="909">
        <f t="shared" ref="M438" si="1592">M437-1</f>
        <v>2.1195167554200545</v>
      </c>
      <c r="N438" s="909">
        <f t="shared" ref="N438" si="1593">N437-1</f>
        <v>2.0647756308455367</v>
      </c>
      <c r="O438" s="909">
        <f t="shared" ref="O438" si="1594">O437-1</f>
        <v>2.1277834617516684</v>
      </c>
      <c r="P438" s="909">
        <f t="shared" ref="P438" si="1595">P437-1</f>
        <v>0.27327531025966367</v>
      </c>
      <c r="Q438" s="909">
        <f t="shared" ref="Q438" si="1596">Q437-1</f>
        <v>2.135619617573516</v>
      </c>
      <c r="R438" s="909">
        <f t="shared" ref="R438" si="1597">R437-1</f>
        <v>2.0801090071518451</v>
      </c>
      <c r="S438" s="909">
        <f t="shared" ref="S438" si="1598">S437-1</f>
        <v>2.1291654117166705</v>
      </c>
      <c r="T438" s="909">
        <f t="shared" ref="T438" si="1599">T437-1</f>
        <v>2.0600616010257435</v>
      </c>
      <c r="U438" s="909">
        <f t="shared" ref="U438" si="1600">U437-1</f>
        <v>0.30513550543053869</v>
      </c>
      <c r="V438" s="909">
        <f t="shared" ref="V438" si="1601">V437-1</f>
        <v>2.0399785868447515</v>
      </c>
      <c r="W438" s="909">
        <f t="shared" ref="W438" si="1602">W437-1</f>
        <v>2.0882293293014165</v>
      </c>
      <c r="X438" s="909">
        <f t="shared" ref="X438" si="1603">X437-1</f>
        <v>2.0406577699336399</v>
      </c>
      <c r="Y438" s="909">
        <f t="shared" ref="Y438" si="1604">Y437-1</f>
        <v>2.1099817799408722</v>
      </c>
      <c r="Z438" s="909">
        <f t="shared" ref="Z438" si="1605">Z437-1</f>
        <v>0.30235251604509639</v>
      </c>
      <c r="AA438" s="909">
        <f t="shared" ref="AA438" si="1606">AA437-1</f>
        <v>2.13109500696841</v>
      </c>
      <c r="AB438" s="909">
        <f t="shared" ref="AB438" si="1607">AB437-1</f>
        <v>2.0820245908205033</v>
      </c>
      <c r="AC438" s="909">
        <f t="shared" ref="AC438" si="1608">AC437-1</f>
        <v>2.1299835744225781</v>
      </c>
      <c r="AD438" s="909">
        <f t="shared" ref="AD438" si="1609">AD437-1</f>
        <v>2.0595977253256383</v>
      </c>
      <c r="AE438" s="909">
        <f t="shared" ref="AE438" si="1610">AE437-1</f>
        <v>0.33923912808848455</v>
      </c>
      <c r="AF438" s="909">
        <f t="shared" ref="AF438" si="1611">AF437-1</f>
        <v>2.037167383898602</v>
      </c>
      <c r="AG438" s="909">
        <f t="shared" ref="AG438" si="1612">AG437-1</f>
        <v>2.0842590290903118</v>
      </c>
      <c r="AH438" s="909">
        <f t="shared" ref="AH438" si="1613">AH437-1</f>
        <v>2.0147357777276302</v>
      </c>
      <c r="AI438" s="909">
        <f t="shared" ref="AI438" si="1614">AI437-1</f>
        <v>2.0613953861391248</v>
      </c>
      <c r="AJ438" s="909">
        <f t="shared" ref="AJ438" si="1615">AJ437-1</f>
        <v>0.30695363789044783</v>
      </c>
      <c r="AK438" s="909">
        <f t="shared" ref="AK438" si="1616">AK437-1</f>
        <v>2.0385338340260786</v>
      </c>
      <c r="AL438" s="909">
        <f t="shared" ref="AL438" si="1617">AL437-1</f>
        <v>1.9698776138473404</v>
      </c>
      <c r="AM438" s="909">
        <f t="shared" ref="AM438" si="1618">AM437-1</f>
        <v>2.0156766244875892</v>
      </c>
      <c r="AN438" s="909">
        <f t="shared" ref="AN438" si="1619">AN437-1</f>
        <v>1.9474554742930343</v>
      </c>
      <c r="AO438" s="909">
        <f t="shared" ref="AO438" si="1620">AO437-1</f>
        <v>0.32469267750540043</v>
      </c>
      <c r="AP438" s="909">
        <f t="shared" ref="AP438" si="1621">AP437-1</f>
        <v>1.925040904861905</v>
      </c>
      <c r="AQ438" s="909">
        <f t="shared" ref="AQ438" si="1622">AQ437-1</f>
        <v>1.9699842287936784</v>
      </c>
      <c r="AR438" s="909">
        <f t="shared" ref="AR438" si="1623">AR437-1</f>
        <v>1.9026361081929446</v>
      </c>
      <c r="AS438" s="909">
        <f t="shared" ref="AS438" si="1624">AS437-1</f>
        <v>1.9471535326183385</v>
      </c>
      <c r="AT438" s="909">
        <f t="shared" ref="AT438" si="1625">AT437-1</f>
        <v>0.29200588500397973</v>
      </c>
    </row>
    <row r="439" spans="2:46" ht="14.4" x14ac:dyDescent="0.25">
      <c r="B439" s="844"/>
      <c r="C439" s="178"/>
      <c r="D439" s="178"/>
      <c r="E439" s="178"/>
      <c r="F439" s="178"/>
      <c r="G439" s="178"/>
      <c r="H439" s="178"/>
      <c r="I439" s="178"/>
      <c r="J439" s="178"/>
      <c r="K439" s="178"/>
      <c r="L439" s="178"/>
      <c r="M439" s="178"/>
      <c r="N439" s="178"/>
      <c r="O439" s="178"/>
      <c r="P439" s="178"/>
      <c r="Q439" s="178"/>
      <c r="R439" s="178"/>
      <c r="S439" s="178"/>
      <c r="T439" s="178"/>
      <c r="U439" s="178"/>
      <c r="V439" s="178"/>
      <c r="W439" s="178"/>
      <c r="X439" s="178"/>
      <c r="Y439" s="178"/>
      <c r="Z439" s="178"/>
      <c r="AA439" s="178"/>
      <c r="AB439" s="178"/>
      <c r="AC439" s="178"/>
      <c r="AD439" s="178"/>
      <c r="AE439" s="178"/>
      <c r="AF439" s="178"/>
      <c r="AG439" s="178"/>
      <c r="AH439" s="178"/>
      <c r="AI439" s="178"/>
      <c r="AJ439" s="178"/>
      <c r="AK439" s="178"/>
      <c r="AL439" s="178"/>
      <c r="AM439" s="178"/>
      <c r="AN439" s="178"/>
      <c r="AO439" s="178"/>
      <c r="AP439" s="178"/>
      <c r="AQ439" s="178"/>
      <c r="AR439" s="178"/>
      <c r="AS439" s="178"/>
      <c r="AT439" s="178"/>
    </row>
    <row r="440" spans="2:46" ht="14.4" x14ac:dyDescent="0.25">
      <c r="B440" s="907" t="s">
        <v>404</v>
      </c>
      <c r="C440" s="268">
        <f>C431/((1+$C$26)^C372)</f>
        <v>-7217680.5455314573</v>
      </c>
      <c r="D440" s="268">
        <f>D431/((1+$C$26)^D372)</f>
        <v>-22987886.52469464</v>
      </c>
      <c r="E440" s="268">
        <f t="shared" ref="E440:AT440" si="1626">E431/((1+$C$26)^E372)</f>
        <v>-52242402.473088883</v>
      </c>
      <c r="F440" s="268">
        <f t="shared" si="1626"/>
        <v>-18976043.035551567</v>
      </c>
      <c r="G440" s="268">
        <f t="shared" si="1626"/>
        <v>2575149.7631174549</v>
      </c>
      <c r="H440" s="268">
        <f t="shared" si="1626"/>
        <v>3134038.6714321356</v>
      </c>
      <c r="I440" s="268">
        <f t="shared" si="1626"/>
        <v>2927337.0882584411</v>
      </c>
      <c r="J440" s="268">
        <f t="shared" si="1626"/>
        <v>2600132.6044216095</v>
      </c>
      <c r="K440" s="268">
        <f t="shared" si="1626"/>
        <v>908785.38665799471</v>
      </c>
      <c r="L440" s="268">
        <f t="shared" si="1626"/>
        <v>2121777.6291946233</v>
      </c>
      <c r="M440" s="268">
        <f t="shared" si="1626"/>
        <v>1972926.2177672009</v>
      </c>
      <c r="N440" s="268">
        <f t="shared" si="1626"/>
        <v>1741777.1342553012</v>
      </c>
      <c r="O440" s="268">
        <f t="shared" si="1626"/>
        <v>1610513.8635117728</v>
      </c>
      <c r="P440" s="268">
        <f t="shared" si="1626"/>
        <v>18911.027246228579</v>
      </c>
      <c r="Q440" s="268">
        <f t="shared" si="1626"/>
        <v>658933.55101906811</v>
      </c>
      <c r="R440" s="268">
        <f t="shared" si="1626"/>
        <v>1168330.8188655374</v>
      </c>
      <c r="S440" s="268">
        <f t="shared" si="1626"/>
        <v>1074770.2982423641</v>
      </c>
      <c r="T440" s="268">
        <f t="shared" si="1626"/>
        <v>943487.19532929896</v>
      </c>
      <c r="U440" s="268">
        <f t="shared" si="1626"/>
        <v>23716.076817474892</v>
      </c>
      <c r="V440" s="268">
        <f t="shared" si="1626"/>
        <v>-225572.2631788716</v>
      </c>
      <c r="W440" s="268">
        <f t="shared" si="1626"/>
        <v>278197.19373489998</v>
      </c>
      <c r="X440" s="268">
        <f t="shared" si="1626"/>
        <v>629733.33438162936</v>
      </c>
      <c r="Y440" s="268">
        <f t="shared" si="1626"/>
        <v>584402.13521803939</v>
      </c>
      <c r="Z440" s="268">
        <f t="shared" si="1626"/>
        <v>230563.26179584241</v>
      </c>
      <c r="AA440" s="268">
        <f t="shared" si="1626"/>
        <v>300264.32792961306</v>
      </c>
      <c r="AB440" s="268">
        <f t="shared" si="1626"/>
        <v>222612.47527990773</v>
      </c>
      <c r="AC440" s="268">
        <f t="shared" si="1626"/>
        <v>393322.52864807262</v>
      </c>
      <c r="AD440" s="268">
        <f t="shared" si="1626"/>
        <v>345091.09179430187</v>
      </c>
      <c r="AE440" s="268">
        <f t="shared" si="1626"/>
        <v>147798.12774007281</v>
      </c>
      <c r="AF440" s="268">
        <f t="shared" si="1626"/>
        <v>278657.29901825631</v>
      </c>
      <c r="AG440" s="268">
        <f t="shared" si="1626"/>
        <v>256570.90433046714</v>
      </c>
      <c r="AH440" s="268">
        <f t="shared" si="1626"/>
        <v>225036.58770312899</v>
      </c>
      <c r="AI440" s="268">
        <f t="shared" si="1626"/>
        <v>207254.82083947552</v>
      </c>
      <c r="AJ440" s="268">
        <f t="shared" si="1626"/>
        <v>80456.95253479504</v>
      </c>
      <c r="AK440" s="268">
        <f t="shared" si="1626"/>
        <v>167433.97236015406</v>
      </c>
      <c r="AL440" s="268">
        <f t="shared" si="1626"/>
        <v>25863.427742316508</v>
      </c>
      <c r="AM440" s="268">
        <f t="shared" si="1626"/>
        <v>-99191.754179845142</v>
      </c>
      <c r="AN440" s="268">
        <f t="shared" si="1626"/>
        <v>42929.644786562814</v>
      </c>
      <c r="AO440" s="268">
        <f t="shared" si="1626"/>
        <v>50454.43059343865</v>
      </c>
      <c r="AP440" s="268">
        <f t="shared" si="1626"/>
        <v>97184.619085846556</v>
      </c>
      <c r="AQ440" s="268">
        <f t="shared" si="1626"/>
        <v>89545.67275024527</v>
      </c>
      <c r="AR440" s="268">
        <f t="shared" si="1626"/>
        <v>78483.88265965633</v>
      </c>
      <c r="AS440" s="268">
        <f t="shared" si="1626"/>
        <v>72333.713479607803</v>
      </c>
      <c r="AT440" s="268">
        <f t="shared" si="1626"/>
        <v>275937.12038311095</v>
      </c>
    </row>
    <row r="441" spans="2:46" ht="14.4" x14ac:dyDescent="0.25">
      <c r="B441" s="907" t="s">
        <v>403</v>
      </c>
      <c r="C441" s="824">
        <f>SUM(C440)</f>
        <v>-7217680.5455314573</v>
      </c>
      <c r="D441" s="824">
        <f>SUM(C440:D440)</f>
        <v>-30205567.070226096</v>
      </c>
      <c r="E441" s="824">
        <f>SUM(C440:E440)</f>
        <v>-82447969.543314978</v>
      </c>
      <c r="F441" s="824">
        <f>SUM(C440:F440)</f>
        <v>-101424012.57886654</v>
      </c>
      <c r="G441" s="824">
        <f>SUM(C440:G440)</f>
        <v>-98848862.815749079</v>
      </c>
      <c r="H441" s="824">
        <f>SUM(C440:H440)</f>
        <v>-95714824.144316941</v>
      </c>
      <c r="I441" s="824">
        <f>SUM(C440:I440)</f>
        <v>-92787487.056058496</v>
      </c>
      <c r="J441" s="824">
        <f>SUM(C440:J440)</f>
        <v>-90187354.451636881</v>
      </c>
      <c r="K441" s="824">
        <f>SUM(C440:K440)</f>
        <v>-89278569.064978883</v>
      </c>
      <c r="L441" s="824">
        <f>SUM(C440:L440)</f>
        <v>-87156791.435784265</v>
      </c>
      <c r="M441" s="824">
        <f>SUM(C440:M440)</f>
        <v>-85183865.218017071</v>
      </c>
      <c r="N441" s="824">
        <f>SUM(C440:N440)</f>
        <v>-83442088.083761767</v>
      </c>
      <c r="O441" s="824">
        <f>SUM(C440:O440)</f>
        <v>-81831574.220249996</v>
      </c>
      <c r="P441" s="824">
        <f>SUM(C440:P440)</f>
        <v>-81812663.193003774</v>
      </c>
      <c r="Q441" s="824">
        <f>SUM(C440:Q440)</f>
        <v>-81153729.641984701</v>
      </c>
      <c r="R441" s="824">
        <f>SUM(C440:R440)</f>
        <v>-79985398.823119164</v>
      </c>
      <c r="S441" s="824">
        <f>SUM(C440:S440)</f>
        <v>-78910628.524876803</v>
      </c>
      <c r="T441" s="824">
        <f>SUM(C440:T440)</f>
        <v>-77967141.32954751</v>
      </c>
      <c r="U441" s="824">
        <f>SUM(C440:U440)</f>
        <v>-77943425.252730042</v>
      </c>
      <c r="V441" s="824">
        <f>SUM(C440:V440)</f>
        <v>-78168997.515908912</v>
      </c>
      <c r="W441" s="824">
        <f>SUM(C440:W440)</f>
        <v>-77890800.322174013</v>
      </c>
      <c r="X441" s="824">
        <f>SUM(C440:X440)</f>
        <v>-77261066.987792388</v>
      </c>
      <c r="Y441" s="824">
        <f>SUM(C440:Y440)</f>
        <v>-76676664.852574348</v>
      </c>
      <c r="Z441" s="824">
        <f>SUM(C440:Z440)</f>
        <v>-76446101.5907785</v>
      </c>
      <c r="AA441" s="824">
        <f>SUM(C440:AA440)</f>
        <v>-76145837.262848884</v>
      </c>
      <c r="AB441" s="824">
        <f>SUM(C440:AB440)</f>
        <v>-75923224.787568972</v>
      </c>
      <c r="AC441" s="824">
        <f>SUM(C440:AC440)</f>
        <v>-75529902.258920893</v>
      </c>
      <c r="AD441" s="824">
        <f>SUM(C440:AD440)</f>
        <v>-75184811.167126596</v>
      </c>
      <c r="AE441" s="824">
        <f>SUM(C440:AE440)</f>
        <v>-75037013.039386526</v>
      </c>
      <c r="AF441" s="824">
        <f>SUM(C440:AF440)</f>
        <v>-74758355.740368277</v>
      </c>
      <c r="AG441" s="824">
        <f>SUM(C440:AG440)</f>
        <v>-74501784.836037815</v>
      </c>
      <c r="AH441" s="824">
        <f>SUM(C440:AH440)</f>
        <v>-74276748.248334691</v>
      </c>
      <c r="AI441" s="824">
        <f>SUM(C440:AI440)</f>
        <v>-74069493.427495211</v>
      </c>
      <c r="AJ441" s="824">
        <f>SUM(C440:AJ440)</f>
        <v>-73989036.474960417</v>
      </c>
      <c r="AK441" s="824">
        <f>SUM(C440:AK440)</f>
        <v>-73821602.502600268</v>
      </c>
      <c r="AL441" s="824">
        <f>SUM(C440:AL440)</f>
        <v>-73795739.07485795</v>
      </c>
      <c r="AM441" s="824">
        <f>SUM(C440:AM440)</f>
        <v>-73894930.8290378</v>
      </c>
      <c r="AN441" s="824">
        <f>SUM(C440:AN440)</f>
        <v>-73852001.184251234</v>
      </c>
      <c r="AO441" s="824">
        <f>SUM(C440:AO440)</f>
        <v>-73801546.753657788</v>
      </c>
      <c r="AP441" s="824">
        <f>SUM(C440:AP440)</f>
        <v>-73704362.13457194</v>
      </c>
      <c r="AQ441" s="824">
        <f>SUM(C440:AQ440)</f>
        <v>-73614816.46182169</v>
      </c>
      <c r="AR441" s="824">
        <f>SUM(C440:AR440)</f>
        <v>-73536332.579162031</v>
      </c>
      <c r="AS441" s="824">
        <f>SUM(C440:AS440)</f>
        <v>-73463998.865682423</v>
      </c>
      <c r="AT441" s="824">
        <f>SUM(C440:AT440)</f>
        <v>-73188061.745299309</v>
      </c>
    </row>
  </sheetData>
  <sheetProtection algorithmName="SHA-512" hashValue="uI0VbQ2WnGb5+0YvXb3j0xJKv4PxXbkbo/sIRS08TCp3lIBDcvxkSuzZYYTP/1RoFEUZgdwyRn0HrdTCzXuoGQ==" saltValue="qMjLzaO89Jq4QPcjA7bHGg==" spinCount="100000" sheet="1" objects="1" scenarios="1"/>
  <mergeCells count="7">
    <mergeCell ref="C47:I47"/>
    <mergeCell ref="C52:I52"/>
    <mergeCell ref="C57:I57"/>
    <mergeCell ref="C29:G29"/>
    <mergeCell ref="B4:B7"/>
    <mergeCell ref="C37:I37"/>
    <mergeCell ref="C42:I42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rgb="FF00B0F0"/>
  </sheetPr>
  <dimension ref="A1:BN441"/>
  <sheetViews>
    <sheetView zoomScale="98" zoomScaleNormal="98" workbookViewId="0">
      <selection activeCell="B120" sqref="B120"/>
    </sheetView>
  </sheetViews>
  <sheetFormatPr baseColWidth="10" defaultRowHeight="13.2" x14ac:dyDescent="0.25"/>
  <cols>
    <col min="2" max="2" width="56.88671875" bestFit="1" customWidth="1"/>
    <col min="3" max="3" width="20.44140625" bestFit="1" customWidth="1"/>
    <col min="4" max="7" width="16" bestFit="1" customWidth="1"/>
    <col min="8" max="46" width="12.6640625" bestFit="1" customWidth="1"/>
  </cols>
  <sheetData>
    <row r="1" spans="1:43" s="898" customFormat="1" ht="13.8" thickBot="1" x14ac:dyDescent="0.3"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899"/>
      <c r="U1" s="899"/>
      <c r="V1" s="899"/>
      <c r="W1" s="899"/>
      <c r="X1" s="899"/>
      <c r="Y1" s="899"/>
      <c r="Z1" s="899"/>
      <c r="AA1" s="899"/>
      <c r="AB1" s="899"/>
      <c r="AC1" s="899"/>
      <c r="AD1" s="899"/>
      <c r="AE1" s="899"/>
      <c r="AF1" s="899"/>
      <c r="AG1" s="899"/>
      <c r="AH1" s="899"/>
      <c r="AI1" s="899"/>
      <c r="AJ1" s="899"/>
      <c r="AK1" s="899"/>
      <c r="AL1" s="899"/>
      <c r="AM1" s="899"/>
      <c r="AN1" s="899"/>
      <c r="AO1" s="899"/>
      <c r="AP1" s="899"/>
      <c r="AQ1" s="900"/>
    </row>
    <row r="2" spans="1:43" s="808" customFormat="1" ht="21" x14ac:dyDescent="0.4">
      <c r="A2" s="885"/>
      <c r="B2" s="897" t="s">
        <v>561</v>
      </c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5"/>
      <c r="Y2" s="895"/>
      <c r="Z2" s="895"/>
      <c r="AA2" s="895"/>
      <c r="AB2" s="895"/>
      <c r="AC2" s="895"/>
      <c r="AD2" s="895"/>
      <c r="AE2" s="895"/>
      <c r="AF2" s="895"/>
      <c r="AG2" s="895"/>
      <c r="AH2" s="895"/>
      <c r="AI2" s="895"/>
      <c r="AJ2" s="895"/>
      <c r="AK2" s="895"/>
      <c r="AL2" s="895"/>
      <c r="AM2" s="895"/>
      <c r="AN2" s="895"/>
      <c r="AO2" s="895"/>
      <c r="AP2" s="895"/>
      <c r="AQ2" s="896"/>
    </row>
    <row r="3" spans="1:43" x14ac:dyDescent="0.25">
      <c r="A3" s="13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6"/>
    </row>
    <row r="4" spans="1:43" ht="14.4" x14ac:dyDescent="0.25">
      <c r="A4" s="13"/>
      <c r="B4" s="1078" t="s">
        <v>260</v>
      </c>
      <c r="C4" s="366" t="s">
        <v>312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6"/>
    </row>
    <row r="5" spans="1:43" ht="14.4" x14ac:dyDescent="0.25">
      <c r="A5" s="13"/>
      <c r="B5" s="1079"/>
      <c r="C5" s="498" t="s">
        <v>325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6"/>
    </row>
    <row r="6" spans="1:43" ht="14.4" x14ac:dyDescent="0.25">
      <c r="A6" s="13"/>
      <c r="B6" s="1079"/>
      <c r="C6" s="499" t="s">
        <v>324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6"/>
    </row>
    <row r="7" spans="1:43" ht="14.4" x14ac:dyDescent="0.25">
      <c r="A7" s="13"/>
      <c r="B7" s="1080"/>
      <c r="C7" s="367" t="s">
        <v>261</v>
      </c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6"/>
    </row>
    <row r="8" spans="1:43" x14ac:dyDescent="0.25">
      <c r="A8" s="13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6"/>
    </row>
    <row r="9" spans="1:43" ht="13.8" thickBot="1" x14ac:dyDescent="0.3">
      <c r="A9" s="13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6"/>
    </row>
    <row r="10" spans="1:43" ht="15" thickBot="1" x14ac:dyDescent="0.35">
      <c r="A10" s="13"/>
      <c r="B10" s="805" t="s">
        <v>402</v>
      </c>
      <c r="C10" s="806"/>
      <c r="D10" s="179"/>
      <c r="E10" s="177"/>
      <c r="F10" s="177"/>
      <c r="G10" s="177"/>
      <c r="H10" s="177"/>
      <c r="I10" s="177"/>
      <c r="J10" s="177"/>
      <c r="K10" s="177"/>
      <c r="L10" s="177"/>
      <c r="M10" s="177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6"/>
    </row>
    <row r="11" spans="1:43" x14ac:dyDescent="0.25">
      <c r="A11" s="13"/>
      <c r="B11" s="905" t="s">
        <v>484</v>
      </c>
      <c r="C11" s="969">
        <f>CHIFFRAGE_TC!L206</f>
        <v>150226397.47530755</v>
      </c>
      <c r="D11" s="804"/>
      <c r="E11" s="177"/>
      <c r="F11" s="177"/>
      <c r="H11" s="177"/>
      <c r="I11" s="178"/>
      <c r="J11" s="271"/>
      <c r="K11" s="177"/>
      <c r="L11" s="177"/>
      <c r="M11" s="177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6"/>
    </row>
    <row r="12" spans="1:43" x14ac:dyDescent="0.25">
      <c r="A12" s="13"/>
      <c r="B12" s="901" t="s">
        <v>485</v>
      </c>
      <c r="C12" s="902">
        <f>-F122</f>
        <v>155550793.1833393</v>
      </c>
      <c r="D12" s="804"/>
      <c r="E12" s="177"/>
      <c r="F12" s="177"/>
      <c r="H12" s="177"/>
      <c r="I12" s="178"/>
      <c r="J12" s="271"/>
      <c r="K12" s="177"/>
      <c r="L12" s="177"/>
      <c r="M12" s="177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6"/>
    </row>
    <row r="13" spans="1:43" x14ac:dyDescent="0.25">
      <c r="A13" s="13"/>
      <c r="B13" s="901" t="s">
        <v>486</v>
      </c>
      <c r="C13" s="902">
        <f>C12-C11</f>
        <v>5324395.7080317438</v>
      </c>
      <c r="D13" s="804"/>
      <c r="E13" s="177"/>
      <c r="F13" s="177"/>
      <c r="H13" s="177"/>
      <c r="I13" s="178"/>
      <c r="J13" s="271"/>
      <c r="K13" s="177"/>
      <c r="L13" s="177"/>
      <c r="M13" s="177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6"/>
    </row>
    <row r="14" spans="1:43" x14ac:dyDescent="0.25">
      <c r="A14" s="13"/>
      <c r="B14" s="213" t="s">
        <v>380</v>
      </c>
      <c r="C14" s="802">
        <f>CHIFFRAGE_TC!G202</f>
        <v>1750</v>
      </c>
      <c r="D14" s="177"/>
      <c r="E14" s="177"/>
      <c r="F14" s="177"/>
      <c r="H14" s="177"/>
      <c r="I14" s="268"/>
      <c r="J14" s="260"/>
      <c r="K14" s="260"/>
      <c r="L14" s="177"/>
      <c r="M14" s="177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6"/>
    </row>
    <row r="15" spans="1:43" x14ac:dyDescent="0.25">
      <c r="A15" s="13"/>
      <c r="B15" s="938" t="s">
        <v>381</v>
      </c>
      <c r="C15" s="939">
        <v>20</v>
      </c>
      <c r="D15" s="177"/>
      <c r="E15" s="177"/>
      <c r="F15" s="177"/>
      <c r="H15" s="177"/>
      <c r="I15" s="268"/>
      <c r="J15" s="260"/>
      <c r="K15" s="260"/>
      <c r="L15" s="177"/>
      <c r="M15" s="177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6"/>
    </row>
    <row r="16" spans="1:43" x14ac:dyDescent="0.25">
      <c r="A16" s="13"/>
      <c r="B16" s="213" t="s">
        <v>382</v>
      </c>
      <c r="C16" s="942"/>
      <c r="D16" s="177"/>
      <c r="E16" s="177"/>
      <c r="F16" s="177"/>
      <c r="H16" s="177"/>
      <c r="I16" s="260"/>
      <c r="J16" s="260"/>
      <c r="K16" s="260"/>
      <c r="L16" s="177"/>
      <c r="M16" s="177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6"/>
    </row>
    <row r="17" spans="1:45" s="91" customFormat="1" x14ac:dyDescent="0.25">
      <c r="A17" s="94"/>
      <c r="B17" s="935" t="s">
        <v>507</v>
      </c>
      <c r="C17" s="946">
        <f>CHIFFRAGE_TC!L218</f>
        <v>0.22551315381680292</v>
      </c>
      <c r="D17" s="941" t="s">
        <v>513</v>
      </c>
      <c r="E17" s="910"/>
      <c r="F17" s="910"/>
      <c r="H17" s="910"/>
      <c r="I17" s="936"/>
      <c r="J17" s="936"/>
      <c r="K17" s="936"/>
      <c r="L17" s="910"/>
      <c r="M17" s="910"/>
      <c r="N17" s="937"/>
      <c r="O17" s="937"/>
      <c r="P17" s="937"/>
      <c r="Q17" s="937"/>
      <c r="R17" s="937"/>
      <c r="S17" s="937"/>
      <c r="T17" s="937"/>
      <c r="U17" s="937"/>
      <c r="V17" s="937"/>
      <c r="W17" s="937"/>
      <c r="X17" s="937"/>
      <c r="Y17" s="937"/>
      <c r="Z17" s="937"/>
      <c r="AA17" s="937"/>
      <c r="AB17" s="937"/>
      <c r="AC17" s="937"/>
      <c r="AD17" s="937"/>
      <c r="AE17" s="937"/>
      <c r="AF17" s="937"/>
      <c r="AG17" s="937"/>
      <c r="AH17" s="937"/>
      <c r="AI17" s="937"/>
      <c r="AJ17" s="937"/>
      <c r="AK17" s="937"/>
      <c r="AL17" s="937"/>
      <c r="AM17" s="937"/>
      <c r="AN17" s="937"/>
      <c r="AO17" s="937"/>
      <c r="AP17" s="937"/>
    </row>
    <row r="18" spans="1:45" x14ac:dyDescent="0.25">
      <c r="A18" s="13"/>
      <c r="B18" s="935" t="s">
        <v>508</v>
      </c>
      <c r="C18" s="946">
        <f>CHIFFRAGE_TC!L219</f>
        <v>0.26969054957295224</v>
      </c>
      <c r="D18" s="941" t="s">
        <v>513</v>
      </c>
      <c r="E18" s="177"/>
      <c r="F18" s="177"/>
      <c r="H18" s="177"/>
      <c r="I18" s="260"/>
      <c r="J18" s="260"/>
      <c r="K18" s="260"/>
      <c r="L18" s="177"/>
      <c r="M18" s="177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6"/>
    </row>
    <row r="19" spans="1:45" x14ac:dyDescent="0.25">
      <c r="A19" s="13"/>
      <c r="B19" s="935" t="s">
        <v>509</v>
      </c>
      <c r="C19" s="946">
        <f>CHIFFRAGE_TC!L220</f>
        <v>0.45341241088588236</v>
      </c>
      <c r="D19" s="941" t="s">
        <v>513</v>
      </c>
      <c r="E19" s="177"/>
      <c r="F19" s="177"/>
      <c r="H19" s="177"/>
      <c r="I19" s="260"/>
      <c r="J19" s="260"/>
      <c r="K19" s="260"/>
      <c r="L19" s="177"/>
      <c r="M19" s="177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6"/>
    </row>
    <row r="20" spans="1:45" x14ac:dyDescent="0.25">
      <c r="A20" s="13"/>
      <c r="B20" s="935" t="s">
        <v>510</v>
      </c>
      <c r="C20" s="946">
        <f>CHIFFRAGE_TC!L221</f>
        <v>9.9706418151122897E-2</v>
      </c>
      <c r="D20" s="941" t="s">
        <v>513</v>
      </c>
      <c r="E20" s="177"/>
      <c r="F20" s="177"/>
      <c r="H20" s="177"/>
      <c r="I20" s="260"/>
      <c r="J20" s="260"/>
      <c r="K20" s="260"/>
      <c r="L20" s="177"/>
      <c r="M20" s="177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6"/>
    </row>
    <row r="21" spans="1:45" x14ac:dyDescent="0.25">
      <c r="A21" s="13"/>
      <c r="B21" s="935" t="s">
        <v>511</v>
      </c>
      <c r="C21" s="946">
        <f>CHIFFRAGE_TC!L222</f>
        <v>3.7954017771190229E-2</v>
      </c>
      <c r="D21" s="941" t="s">
        <v>513</v>
      </c>
      <c r="E21" s="177"/>
      <c r="F21" s="177"/>
      <c r="H21" s="177"/>
      <c r="I21" s="260"/>
      <c r="J21" s="260"/>
      <c r="K21" s="260"/>
      <c r="L21" s="177"/>
      <c r="M21" s="177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6"/>
    </row>
    <row r="22" spans="1:45" x14ac:dyDescent="0.25">
      <c r="A22" s="13"/>
      <c r="B22" s="945" t="s">
        <v>512</v>
      </c>
      <c r="C22" s="946">
        <f>CHIFFRAGE_TC!L223</f>
        <v>8.0279870318331111E-3</v>
      </c>
      <c r="D22" s="941" t="s">
        <v>513</v>
      </c>
      <c r="E22" s="177"/>
      <c r="F22" s="177"/>
      <c r="H22" s="177"/>
      <c r="I22" s="260"/>
      <c r="J22" s="260"/>
      <c r="K22" s="260"/>
      <c r="L22" s="177"/>
      <c r="M22" s="177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6"/>
    </row>
    <row r="23" spans="1:45" x14ac:dyDescent="0.25">
      <c r="A23" s="13"/>
      <c r="B23" s="213" t="s">
        <v>432</v>
      </c>
      <c r="C23" s="803">
        <v>0</v>
      </c>
      <c r="D23" s="804" t="s">
        <v>433</v>
      </c>
      <c r="E23" s="177"/>
      <c r="F23" s="177"/>
      <c r="H23" s="177"/>
      <c r="I23" s="260"/>
      <c r="J23" s="260"/>
      <c r="K23" s="269"/>
      <c r="L23" s="175"/>
      <c r="M23" s="177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6"/>
    </row>
    <row r="24" spans="1:45" x14ac:dyDescent="0.25">
      <c r="A24" s="13"/>
      <c r="B24" s="213" t="s">
        <v>399</v>
      </c>
      <c r="C24" s="803">
        <v>0.35</v>
      </c>
      <c r="D24" s="177" t="s">
        <v>227</v>
      </c>
      <c r="E24" s="177"/>
      <c r="F24" s="177"/>
      <c r="H24" s="177"/>
      <c r="I24" s="260"/>
      <c r="J24" s="260"/>
      <c r="K24" s="269"/>
      <c r="L24" s="175"/>
      <c r="M24" s="177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6"/>
    </row>
    <row r="25" spans="1:45" x14ac:dyDescent="0.25">
      <c r="A25" s="13"/>
      <c r="B25" s="213" t="s">
        <v>452</v>
      </c>
      <c r="C25" s="803">
        <v>0.02</v>
      </c>
      <c r="D25" s="177"/>
      <c r="E25" s="177"/>
      <c r="F25" s="177"/>
      <c r="H25" s="177"/>
      <c r="I25" s="177"/>
      <c r="J25" s="177"/>
      <c r="K25" s="175"/>
      <c r="L25" s="175"/>
      <c r="M25" s="177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6"/>
    </row>
    <row r="26" spans="1:45" ht="13.8" thickBot="1" x14ac:dyDescent="0.3">
      <c r="A26" s="13"/>
      <c r="B26" s="903" t="s">
        <v>398</v>
      </c>
      <c r="C26" s="904">
        <v>0.13</v>
      </c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6"/>
    </row>
    <row r="27" spans="1:45" x14ac:dyDescent="0.25">
      <c r="A27" s="13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K27" s="1"/>
      <c r="AL27" s="1"/>
      <c r="AM27" s="1"/>
      <c r="AN27" s="1"/>
      <c r="AO27" s="1"/>
      <c r="AP27" s="1"/>
      <c r="AQ27" s="1"/>
      <c r="AR27" s="1"/>
      <c r="AS27" s="1"/>
    </row>
    <row r="28" spans="1:45" ht="13.8" thickBot="1" x14ac:dyDescent="0.3">
      <c r="A28" s="13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K28" s="1"/>
      <c r="AL28" s="1"/>
      <c r="AM28" s="1"/>
      <c r="AN28" s="1"/>
      <c r="AO28" s="1"/>
      <c r="AP28" s="1"/>
      <c r="AQ28" s="1"/>
      <c r="AR28" s="1"/>
      <c r="AS28" s="1"/>
    </row>
    <row r="29" spans="1:45" x14ac:dyDescent="0.25">
      <c r="A29" s="13"/>
      <c r="B29" s="804"/>
      <c r="C29" s="1118" t="s">
        <v>453</v>
      </c>
      <c r="D29" s="1119"/>
      <c r="E29" s="1119"/>
      <c r="F29" s="1119"/>
      <c r="G29" s="1120"/>
      <c r="H29" s="177"/>
      <c r="I29" s="177"/>
      <c r="J29" s="177"/>
      <c r="K29" s="177"/>
      <c r="L29" s="177"/>
      <c r="M29" s="177"/>
      <c r="N29" s="177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K29" s="1"/>
      <c r="AL29" s="1"/>
      <c r="AM29" s="1"/>
      <c r="AN29" s="1"/>
      <c r="AO29" s="1"/>
      <c r="AP29" s="1"/>
      <c r="AQ29" s="1"/>
      <c r="AR29" s="1"/>
      <c r="AS29" s="1"/>
    </row>
    <row r="30" spans="1:45" ht="13.8" thickBot="1" x14ac:dyDescent="0.3">
      <c r="A30" s="13"/>
      <c r="B30" s="804"/>
      <c r="C30" s="914" t="s">
        <v>568</v>
      </c>
      <c r="D30" s="915">
        <v>0.75</v>
      </c>
      <c r="E30" s="915">
        <v>1</v>
      </c>
      <c r="F30" s="915">
        <v>1.25</v>
      </c>
      <c r="G30" s="916">
        <v>1.45</v>
      </c>
      <c r="H30" s="177"/>
      <c r="I30" s="177"/>
      <c r="J30" s="177"/>
      <c r="K30" s="177"/>
      <c r="L30" s="177"/>
      <c r="M30" s="177"/>
      <c r="N30" s="177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K30" s="1"/>
      <c r="AL30" s="1"/>
      <c r="AM30" s="1"/>
      <c r="AN30" s="1"/>
      <c r="AO30" s="1"/>
      <c r="AP30" s="1"/>
      <c r="AQ30" s="1"/>
      <c r="AR30" s="1"/>
      <c r="AS30" s="1"/>
    </row>
    <row r="31" spans="1:45" x14ac:dyDescent="0.25">
      <c r="A31" s="13"/>
      <c r="B31" s="917" t="s">
        <v>400</v>
      </c>
      <c r="C31" s="918">
        <f>AJ125</f>
        <v>-7.3752763812896971E-2</v>
      </c>
      <c r="D31" s="918">
        <f>AJ201</f>
        <v>-5.5771967110902376E-2</v>
      </c>
      <c r="E31" s="918">
        <f>AJ277</f>
        <v>-3.1785822541309239E-2</v>
      </c>
      <c r="F31" s="918">
        <f>AJ353</f>
        <v>-1.2475333162276891E-2</v>
      </c>
      <c r="G31" s="919">
        <f>AJ429</f>
        <v>1.4921646623371476E-3</v>
      </c>
      <c r="H31" s="177"/>
      <c r="I31" s="177"/>
      <c r="J31" s="177"/>
      <c r="K31" s="177"/>
      <c r="L31" s="177"/>
      <c r="M31" s="177"/>
      <c r="N31" s="177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K31" s="1"/>
      <c r="AL31" s="1"/>
      <c r="AM31" s="1"/>
      <c r="AN31" s="1"/>
      <c r="AO31" s="1"/>
      <c r="AP31" s="1"/>
      <c r="AQ31" s="1"/>
      <c r="AR31" s="1"/>
      <c r="AS31" s="1"/>
    </row>
    <row r="32" spans="1:45" ht="13.8" thickBot="1" x14ac:dyDescent="0.3">
      <c r="A32" s="13"/>
      <c r="B32" s="920" t="s">
        <v>487</v>
      </c>
      <c r="C32" s="921">
        <f>AJ137</f>
        <v>-136008401.35430184</v>
      </c>
      <c r="D32" s="921">
        <f>AJ213</f>
        <v>-130678633.86123006</v>
      </c>
      <c r="E32" s="921">
        <f>AJ289</f>
        <v>-122203583.73855746</v>
      </c>
      <c r="F32" s="921">
        <f>AJ365</f>
        <v>-113651837.89296283</v>
      </c>
      <c r="G32" s="922">
        <f>AJ441</f>
        <v>-106535149.95603338</v>
      </c>
      <c r="H32" s="177"/>
      <c r="I32" s="177"/>
      <c r="J32" s="177"/>
      <c r="K32" s="177"/>
      <c r="L32" s="177"/>
      <c r="M32" s="177"/>
      <c r="N32" s="177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K32" s="1"/>
      <c r="AL32" s="1"/>
      <c r="AM32" s="1"/>
      <c r="AN32" s="1"/>
      <c r="AO32" s="1"/>
      <c r="AP32" s="1"/>
      <c r="AQ32" s="1"/>
      <c r="AR32" s="1"/>
      <c r="AS32" s="1"/>
    </row>
    <row r="33" spans="1:45" x14ac:dyDescent="0.25">
      <c r="A33" s="13"/>
      <c r="B33" s="917" t="s">
        <v>401</v>
      </c>
      <c r="C33" s="918">
        <f>AT128</f>
        <v>-0.1048651416462022</v>
      </c>
      <c r="D33" s="923">
        <f>AT204</f>
        <v>-7.3522525314199116E-2</v>
      </c>
      <c r="E33" s="918">
        <f>AT280</f>
        <v>-3.5755475507953216E-2</v>
      </c>
      <c r="F33" s="918">
        <f>AT356</f>
        <v>-1.0854826129962025E-2</v>
      </c>
      <c r="G33" s="919">
        <f>AT432</f>
        <v>5.6148776141997647E-3</v>
      </c>
      <c r="H33" s="177"/>
      <c r="I33" s="177"/>
      <c r="J33" s="177"/>
      <c r="K33" s="177"/>
      <c r="L33" s="177"/>
      <c r="M33" s="177"/>
      <c r="N33" s="177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K33" s="1"/>
      <c r="AL33" s="1"/>
      <c r="AM33" s="1"/>
      <c r="AN33" s="1"/>
      <c r="AO33" s="1"/>
      <c r="AP33" s="1"/>
      <c r="AQ33" s="1"/>
      <c r="AR33" s="1"/>
      <c r="AS33" s="1"/>
    </row>
    <row r="34" spans="1:45" ht="13.8" thickBot="1" x14ac:dyDescent="0.3">
      <c r="A34" s="13"/>
      <c r="B34" s="920" t="s">
        <v>488</v>
      </c>
      <c r="C34" s="921">
        <f>AT137</f>
        <v>-136476684.28798464</v>
      </c>
      <c r="D34" s="921">
        <f>AT213</f>
        <v>-130967827.79225762</v>
      </c>
      <c r="E34" s="921">
        <f>AT289</f>
        <v>-122217810.65025197</v>
      </c>
      <c r="F34" s="921">
        <f>AT365</f>
        <v>-113425023.69222218</v>
      </c>
      <c r="G34" s="922">
        <f>AT441</f>
        <v>-106092749.25148839</v>
      </c>
      <c r="H34" s="177"/>
      <c r="I34" s="177"/>
      <c r="J34" s="177"/>
      <c r="K34" s="177"/>
      <c r="L34" s="177"/>
      <c r="M34" s="177"/>
      <c r="N34" s="177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K34" s="1"/>
      <c r="AL34" s="1"/>
      <c r="AM34" s="1"/>
      <c r="AN34" s="1"/>
      <c r="AO34" s="1"/>
      <c r="AP34" s="1"/>
      <c r="AQ34" s="1"/>
      <c r="AR34" s="1"/>
      <c r="AS34" s="1"/>
    </row>
    <row r="35" spans="1:45" x14ac:dyDescent="0.25">
      <c r="A35" s="13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K35" s="1"/>
      <c r="AL35" s="1"/>
      <c r="AM35" s="1"/>
      <c r="AN35" s="1"/>
      <c r="AO35" s="1"/>
      <c r="AP35" s="1"/>
      <c r="AQ35" s="1"/>
      <c r="AR35" s="1"/>
      <c r="AS35" s="1"/>
    </row>
    <row r="36" spans="1:45" x14ac:dyDescent="0.25">
      <c r="A36" s="13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K36" s="1"/>
      <c r="AL36" s="1"/>
      <c r="AM36" s="1"/>
      <c r="AN36" s="1"/>
      <c r="AO36" s="1"/>
      <c r="AP36" s="1"/>
      <c r="AQ36" s="1"/>
      <c r="AR36" s="1"/>
      <c r="AS36" s="1"/>
    </row>
    <row r="37" spans="1:45" x14ac:dyDescent="0.25">
      <c r="A37" s="13"/>
      <c r="B37" s="804"/>
      <c r="C37" s="1117" t="s">
        <v>570</v>
      </c>
      <c r="D37" s="1117"/>
      <c r="E37" s="1117"/>
      <c r="F37" s="1117"/>
      <c r="G37" s="1117"/>
      <c r="H37" s="1117"/>
      <c r="I37" s="1117"/>
      <c r="J37" s="177"/>
      <c r="K37" s="177"/>
      <c r="L37" s="177"/>
      <c r="M37" s="177"/>
      <c r="N37" s="177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K37" s="1"/>
      <c r="AL37" s="1"/>
      <c r="AM37" s="1"/>
      <c r="AN37" s="1"/>
      <c r="AO37" s="1"/>
      <c r="AP37" s="1"/>
      <c r="AQ37" s="1"/>
      <c r="AR37" s="1"/>
      <c r="AS37" s="1"/>
    </row>
    <row r="38" spans="1:45" x14ac:dyDescent="0.25">
      <c r="A38" s="13"/>
      <c r="B38" s="804"/>
      <c r="C38" s="911">
        <v>2020</v>
      </c>
      <c r="D38" s="911">
        <v>2025</v>
      </c>
      <c r="E38" s="911">
        <v>2030</v>
      </c>
      <c r="F38" s="911">
        <v>2035</v>
      </c>
      <c r="G38" s="911">
        <v>2040</v>
      </c>
      <c r="H38" s="911">
        <v>2045</v>
      </c>
      <c r="I38" s="911">
        <v>2050</v>
      </c>
      <c r="J38" s="177"/>
      <c r="K38" s="177"/>
      <c r="L38" s="177"/>
      <c r="M38" s="177"/>
      <c r="N38" s="177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K38" s="1"/>
      <c r="AL38" s="1"/>
      <c r="AM38" s="1"/>
      <c r="AN38" s="1"/>
      <c r="AO38" s="1"/>
      <c r="AP38" s="1"/>
      <c r="AQ38" s="1"/>
      <c r="AR38" s="1"/>
      <c r="AS38" s="1"/>
    </row>
    <row r="39" spans="1:45" x14ac:dyDescent="0.25">
      <c r="A39" s="13"/>
      <c r="B39" s="913" t="s">
        <v>491</v>
      </c>
      <c r="C39" s="912">
        <f>H133</f>
        <v>0.90575983660444248</v>
      </c>
      <c r="D39" s="912">
        <f>M133</f>
        <v>0.95462552872477091</v>
      </c>
      <c r="E39" s="912">
        <f>R133</f>
        <v>0.93434890699494721</v>
      </c>
      <c r="F39" s="912">
        <f>W133</f>
        <v>0.95137869223762117</v>
      </c>
      <c r="G39" s="912">
        <f>AB133</f>
        <v>0.95220405472811498</v>
      </c>
      <c r="H39" s="912">
        <f>AG133</f>
        <v>0.95180839458266064</v>
      </c>
      <c r="I39" s="912">
        <f>AL133</f>
        <v>0.91755578926086345</v>
      </c>
      <c r="J39" s="177"/>
      <c r="K39" s="177"/>
      <c r="L39" s="177"/>
      <c r="M39" s="177"/>
      <c r="N39" s="177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K39" s="1"/>
      <c r="AL39" s="1"/>
      <c r="AM39" s="1"/>
      <c r="AN39" s="1"/>
      <c r="AO39" s="1"/>
      <c r="AP39" s="1"/>
      <c r="AQ39" s="1"/>
      <c r="AR39" s="1"/>
      <c r="AS39" s="1"/>
    </row>
    <row r="40" spans="1:45" x14ac:dyDescent="0.25">
      <c r="A40" s="13"/>
      <c r="B40" s="913" t="s">
        <v>490</v>
      </c>
      <c r="C40" s="912">
        <f>H134</f>
        <v>-9.4240163395557519E-2</v>
      </c>
      <c r="D40" s="912">
        <f>M134</f>
        <v>-4.5374471275229089E-2</v>
      </c>
      <c r="E40" s="912">
        <f>R134</f>
        <v>-6.5651093005052785E-2</v>
      </c>
      <c r="F40" s="912">
        <f>W134</f>
        <v>-4.8621307762378829E-2</v>
      </c>
      <c r="G40" s="912">
        <f>AB134</f>
        <v>-4.7795945271885021E-2</v>
      </c>
      <c r="H40" s="912">
        <f>AG134</f>
        <v>-4.8191605417339356E-2</v>
      </c>
      <c r="I40" s="912">
        <f>AL134</f>
        <v>-8.2444210739136548E-2</v>
      </c>
      <c r="J40" s="177"/>
      <c r="K40" s="177"/>
      <c r="L40" s="177"/>
      <c r="M40" s="177"/>
      <c r="N40" s="177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K40" s="1"/>
      <c r="AL40" s="1"/>
      <c r="AM40" s="1"/>
      <c r="AN40" s="1"/>
      <c r="AO40" s="1"/>
      <c r="AP40" s="1"/>
      <c r="AQ40" s="1"/>
      <c r="AR40" s="1"/>
      <c r="AS40" s="1"/>
    </row>
    <row r="41" spans="1:45" x14ac:dyDescent="0.25">
      <c r="A41" s="13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K41" s="1"/>
      <c r="AL41" s="1"/>
      <c r="AM41" s="1"/>
      <c r="AN41" s="1"/>
      <c r="AO41" s="1"/>
      <c r="AP41" s="1"/>
      <c r="AQ41" s="1"/>
      <c r="AR41" s="1"/>
      <c r="AS41" s="1"/>
    </row>
    <row r="42" spans="1:45" x14ac:dyDescent="0.25">
      <c r="A42" s="13"/>
      <c r="B42" s="804"/>
      <c r="C42" s="1117" t="s">
        <v>492</v>
      </c>
      <c r="D42" s="1117"/>
      <c r="E42" s="1117"/>
      <c r="F42" s="1117"/>
      <c r="G42" s="1117"/>
      <c r="H42" s="1117"/>
      <c r="I42" s="1117"/>
      <c r="J42" s="177"/>
      <c r="K42" s="177"/>
      <c r="L42" s="177"/>
      <c r="M42" s="177"/>
      <c r="N42" s="177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K42" s="1"/>
      <c r="AL42" s="1"/>
      <c r="AM42" s="1"/>
      <c r="AN42" s="1"/>
      <c r="AO42" s="1"/>
      <c r="AP42" s="1"/>
      <c r="AQ42" s="1"/>
      <c r="AR42" s="1"/>
      <c r="AS42" s="1"/>
    </row>
    <row r="43" spans="1:45" x14ac:dyDescent="0.25">
      <c r="A43" s="13"/>
      <c r="B43" s="804"/>
      <c r="C43" s="911">
        <v>2020</v>
      </c>
      <c r="D43" s="911">
        <v>2025</v>
      </c>
      <c r="E43" s="911">
        <v>2030</v>
      </c>
      <c r="F43" s="911">
        <v>2035</v>
      </c>
      <c r="G43" s="911">
        <v>2040</v>
      </c>
      <c r="H43" s="911">
        <v>2045</v>
      </c>
      <c r="I43" s="911">
        <v>2050</v>
      </c>
      <c r="J43" s="177"/>
      <c r="K43" s="177"/>
      <c r="L43" s="177"/>
      <c r="M43" s="177"/>
      <c r="N43" s="177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K43" s="1"/>
      <c r="AL43" s="1"/>
      <c r="AM43" s="1"/>
      <c r="AN43" s="1"/>
      <c r="AO43" s="1"/>
      <c r="AP43" s="1"/>
      <c r="AQ43" s="1"/>
      <c r="AR43" s="1"/>
      <c r="AS43" s="1"/>
    </row>
    <row r="44" spans="1:45" x14ac:dyDescent="0.25">
      <c r="A44" s="13"/>
      <c r="B44" s="913" t="s">
        <v>491</v>
      </c>
      <c r="C44" s="912">
        <f>H209</f>
        <v>1.0992991764012079</v>
      </c>
      <c r="D44" s="912">
        <f>M209</f>
        <v>1.1618868547342807</v>
      </c>
      <c r="E44" s="912">
        <f>R209</f>
        <v>1.1504812191456808</v>
      </c>
      <c r="F44" s="912">
        <f>W209</f>
        <v>1.1575601241519207</v>
      </c>
      <c r="G44" s="912">
        <f>AB209</f>
        <v>1.1555364927978409</v>
      </c>
      <c r="H44" s="912">
        <f>AG209</f>
        <v>1.1554341543028679</v>
      </c>
      <c r="I44" s="912">
        <f>AL209</f>
        <v>1.1134894809617191</v>
      </c>
      <c r="J44" s="177"/>
      <c r="K44" s="177"/>
      <c r="L44" s="177"/>
      <c r="M44" s="177"/>
      <c r="N44" s="177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K44" s="1"/>
      <c r="AL44" s="1"/>
      <c r="AM44" s="1"/>
      <c r="AN44" s="1"/>
      <c r="AO44" s="1"/>
      <c r="AP44" s="1"/>
      <c r="AQ44" s="1"/>
      <c r="AR44" s="1"/>
      <c r="AS44" s="1"/>
    </row>
    <row r="45" spans="1:45" x14ac:dyDescent="0.25">
      <c r="A45" s="13"/>
      <c r="B45" s="913" t="s">
        <v>490</v>
      </c>
      <c r="C45" s="912">
        <f>H210</f>
        <v>9.9299176401207889E-2</v>
      </c>
      <c r="D45" s="912">
        <f>M210</f>
        <v>0.16188685473428066</v>
      </c>
      <c r="E45" s="912">
        <f>R210</f>
        <v>0.1504812191456808</v>
      </c>
      <c r="F45" s="912">
        <f>W210</f>
        <v>0.15756012415192067</v>
      </c>
      <c r="G45" s="912">
        <f>AB210</f>
        <v>0.15553649279784088</v>
      </c>
      <c r="H45" s="912">
        <f>AG210</f>
        <v>0.15543415430286789</v>
      </c>
      <c r="I45" s="912">
        <f>AL210</f>
        <v>0.11348948096171907</v>
      </c>
      <c r="J45" s="177"/>
      <c r="K45" s="177"/>
      <c r="L45" s="177"/>
      <c r="M45" s="177"/>
      <c r="N45" s="177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K45" s="1"/>
      <c r="AL45" s="1"/>
      <c r="AM45" s="1"/>
      <c r="AN45" s="1"/>
      <c r="AO45" s="1"/>
      <c r="AP45" s="1"/>
      <c r="AQ45" s="1"/>
      <c r="AR45" s="1"/>
      <c r="AS45" s="1"/>
    </row>
    <row r="46" spans="1:45" x14ac:dyDescent="0.25">
      <c r="A46" s="13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K46" s="1"/>
      <c r="AL46" s="1"/>
      <c r="AM46" s="1"/>
      <c r="AN46" s="1"/>
      <c r="AO46" s="1"/>
      <c r="AP46" s="1"/>
      <c r="AQ46" s="1"/>
      <c r="AR46" s="1"/>
      <c r="AS46" s="1"/>
    </row>
    <row r="47" spans="1:45" x14ac:dyDescent="0.25">
      <c r="A47" s="13"/>
      <c r="B47" s="804"/>
      <c r="C47" s="1117" t="s">
        <v>493</v>
      </c>
      <c r="D47" s="1117"/>
      <c r="E47" s="1117"/>
      <c r="F47" s="1117"/>
      <c r="G47" s="1117"/>
      <c r="H47" s="1117"/>
      <c r="I47" s="1117"/>
      <c r="J47" s="177"/>
      <c r="K47" s="177"/>
      <c r="L47" s="177"/>
      <c r="M47" s="177"/>
      <c r="N47" s="177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K47" s="1"/>
      <c r="AL47" s="1"/>
      <c r="AM47" s="1"/>
      <c r="AN47" s="1"/>
      <c r="AO47" s="1"/>
      <c r="AP47" s="1"/>
      <c r="AQ47" s="1"/>
      <c r="AR47" s="1"/>
      <c r="AS47" s="1"/>
    </row>
    <row r="48" spans="1:45" x14ac:dyDescent="0.25">
      <c r="A48" s="13"/>
      <c r="B48" s="804"/>
      <c r="C48" s="911">
        <v>2020</v>
      </c>
      <c r="D48" s="911">
        <v>2025</v>
      </c>
      <c r="E48" s="911">
        <v>2030</v>
      </c>
      <c r="F48" s="911">
        <v>2035</v>
      </c>
      <c r="G48" s="911">
        <v>2040</v>
      </c>
      <c r="H48" s="911">
        <v>2045</v>
      </c>
      <c r="I48" s="911">
        <v>2050</v>
      </c>
      <c r="J48" s="177"/>
      <c r="K48" s="177"/>
      <c r="L48" s="177"/>
      <c r="M48" s="177"/>
      <c r="N48" s="177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K48" s="1"/>
      <c r="AL48" s="1"/>
      <c r="AM48" s="1"/>
      <c r="AN48" s="1"/>
      <c r="AO48" s="1"/>
      <c r="AP48" s="1"/>
      <c r="AQ48" s="1"/>
      <c r="AR48" s="1"/>
      <c r="AS48" s="1"/>
    </row>
    <row r="49" spans="1:47" x14ac:dyDescent="0.25">
      <c r="A49" s="13"/>
      <c r="B49" s="913" t="s">
        <v>491</v>
      </c>
      <c r="C49" s="912">
        <f>H285</f>
        <v>1.4163804639896966</v>
      </c>
      <c r="D49" s="912">
        <f>M285</f>
        <v>1.4953624398923862</v>
      </c>
      <c r="E49" s="912">
        <f>R285</f>
        <v>1.4762916727201145</v>
      </c>
      <c r="F49" s="912">
        <f>W285</f>
        <v>1.479399399822162</v>
      </c>
      <c r="G49" s="912">
        <f>AB285</f>
        <v>1.4758212455158228</v>
      </c>
      <c r="H49" s="912">
        <f>AG285</f>
        <v>1.4761809407877349</v>
      </c>
      <c r="I49" s="912">
        <f>AL285</f>
        <v>1.4221198922786298</v>
      </c>
      <c r="J49" s="177"/>
      <c r="K49" s="177"/>
      <c r="L49" s="177"/>
      <c r="M49" s="177"/>
      <c r="N49" s="177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K49" s="1"/>
      <c r="AL49" s="1"/>
      <c r="AM49" s="1"/>
      <c r="AN49" s="1"/>
      <c r="AO49" s="1"/>
      <c r="AP49" s="1"/>
      <c r="AQ49" s="1"/>
      <c r="AR49" s="1"/>
      <c r="AS49" s="1"/>
    </row>
    <row r="50" spans="1:47" x14ac:dyDescent="0.25">
      <c r="A50" s="13"/>
      <c r="B50" s="913" t="s">
        <v>490</v>
      </c>
      <c r="C50" s="912">
        <f>H286</f>
        <v>0.41638046398969664</v>
      </c>
      <c r="D50" s="912">
        <f>M286</f>
        <v>0.49536243989238615</v>
      </c>
      <c r="E50" s="912">
        <f>R286</f>
        <v>0.47629167272011452</v>
      </c>
      <c r="F50" s="912">
        <f>W286</f>
        <v>0.47939939982216195</v>
      </c>
      <c r="G50" s="912">
        <f>AB286</f>
        <v>0.47582124551582283</v>
      </c>
      <c r="H50" s="912">
        <f>AG286</f>
        <v>0.47618094078773487</v>
      </c>
      <c r="I50" s="912">
        <f>AL286</f>
        <v>0.42211989227862978</v>
      </c>
      <c r="J50" s="177"/>
      <c r="K50" s="177"/>
      <c r="L50" s="177"/>
      <c r="M50" s="177"/>
      <c r="N50" s="177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K50" s="1"/>
      <c r="AL50" s="1"/>
      <c r="AM50" s="1"/>
      <c r="AN50" s="1"/>
      <c r="AO50" s="1"/>
      <c r="AP50" s="1"/>
      <c r="AQ50" s="1"/>
      <c r="AR50" s="1"/>
      <c r="AS50" s="1"/>
    </row>
    <row r="51" spans="1:47" x14ac:dyDescent="0.25">
      <c r="A51" s="13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K51" s="1"/>
      <c r="AL51" s="1"/>
      <c r="AM51" s="1"/>
      <c r="AN51" s="1"/>
      <c r="AO51" s="1"/>
      <c r="AP51" s="1"/>
      <c r="AQ51" s="1"/>
      <c r="AR51" s="1"/>
      <c r="AS51" s="1"/>
    </row>
    <row r="52" spans="1:47" x14ac:dyDescent="0.25">
      <c r="A52" s="13"/>
      <c r="B52" s="804"/>
      <c r="C52" s="1117" t="s">
        <v>494</v>
      </c>
      <c r="D52" s="1117"/>
      <c r="E52" s="1117"/>
      <c r="F52" s="1117"/>
      <c r="G52" s="1117"/>
      <c r="H52" s="1117"/>
      <c r="I52" s="1117"/>
      <c r="J52" s="177"/>
      <c r="K52" s="177"/>
      <c r="L52" s="177"/>
      <c r="M52" s="177"/>
      <c r="N52" s="177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K52" s="1"/>
      <c r="AL52" s="1"/>
      <c r="AM52" s="1"/>
      <c r="AN52" s="1"/>
      <c r="AO52" s="1"/>
      <c r="AP52" s="1"/>
      <c r="AQ52" s="1"/>
      <c r="AR52" s="1"/>
      <c r="AS52" s="1"/>
    </row>
    <row r="53" spans="1:47" x14ac:dyDescent="0.25">
      <c r="A53" s="13"/>
      <c r="B53" s="804"/>
      <c r="C53" s="911">
        <v>2020</v>
      </c>
      <c r="D53" s="911">
        <v>2025</v>
      </c>
      <c r="E53" s="911">
        <v>2030</v>
      </c>
      <c r="F53" s="911">
        <v>2035</v>
      </c>
      <c r="G53" s="911">
        <v>2040</v>
      </c>
      <c r="H53" s="911">
        <v>2045</v>
      </c>
      <c r="I53" s="911">
        <v>2050</v>
      </c>
      <c r="J53" s="177"/>
      <c r="K53" s="177"/>
      <c r="L53" s="177"/>
      <c r="M53" s="177"/>
      <c r="N53" s="177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K53" s="1"/>
      <c r="AL53" s="1"/>
      <c r="AM53" s="1"/>
      <c r="AN53" s="1"/>
      <c r="AO53" s="1"/>
      <c r="AP53" s="1"/>
      <c r="AQ53" s="1"/>
      <c r="AR53" s="1"/>
      <c r="AS53" s="1"/>
    </row>
    <row r="54" spans="1:47" x14ac:dyDescent="0.25">
      <c r="A54" s="13"/>
      <c r="B54" s="913" t="s">
        <v>491</v>
      </c>
      <c r="C54" s="912">
        <f>H361</f>
        <v>1.74631552987378</v>
      </c>
      <c r="D54" s="912">
        <f>M361</f>
        <v>1.8454502774476664</v>
      </c>
      <c r="E54" s="912">
        <f>R361</f>
        <v>1.8220201092705912</v>
      </c>
      <c r="F54" s="912">
        <f>W361</f>
        <v>1.8263138220888018</v>
      </c>
      <c r="G54" s="912">
        <f>AB361</f>
        <v>1.8222506950150259</v>
      </c>
      <c r="H54" s="912">
        <f>AG361</f>
        <v>1.8231101396573153</v>
      </c>
      <c r="I54" s="912">
        <f>AL361</f>
        <v>1.755943661858365</v>
      </c>
      <c r="J54" s="177"/>
      <c r="K54" s="177"/>
      <c r="L54" s="177"/>
      <c r="M54" s="177"/>
      <c r="N54" s="177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K54" s="1"/>
      <c r="AL54" s="1"/>
      <c r="AM54" s="1"/>
      <c r="AN54" s="1"/>
      <c r="AO54" s="1"/>
      <c r="AP54" s="1"/>
      <c r="AQ54" s="1"/>
      <c r="AR54" s="1"/>
      <c r="AS54" s="1"/>
    </row>
    <row r="55" spans="1:47" x14ac:dyDescent="0.25">
      <c r="A55" s="13"/>
      <c r="B55" s="913" t="s">
        <v>490</v>
      </c>
      <c r="C55" s="912">
        <f>H362</f>
        <v>0.74631552987378003</v>
      </c>
      <c r="D55" s="912">
        <f>M362</f>
        <v>0.84545027744766643</v>
      </c>
      <c r="E55" s="912">
        <f>R362</f>
        <v>0.82202010927059121</v>
      </c>
      <c r="F55" s="912">
        <f>W362</f>
        <v>0.82631382208880177</v>
      </c>
      <c r="G55" s="912">
        <f>AB362</f>
        <v>0.8222506950150259</v>
      </c>
      <c r="H55" s="912">
        <f>AG362</f>
        <v>0.82311013965731528</v>
      </c>
      <c r="I55" s="912">
        <f>AL362</f>
        <v>0.75594366185836503</v>
      </c>
      <c r="J55" s="177"/>
      <c r="K55" s="177"/>
      <c r="L55" s="177"/>
      <c r="M55" s="177"/>
      <c r="N55" s="177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K55" s="1"/>
      <c r="AL55" s="1"/>
      <c r="AM55" s="1"/>
      <c r="AN55" s="1"/>
      <c r="AO55" s="1"/>
      <c r="AP55" s="1"/>
      <c r="AQ55" s="1"/>
      <c r="AR55" s="1"/>
      <c r="AS55" s="1"/>
    </row>
    <row r="56" spans="1:47" x14ac:dyDescent="0.25">
      <c r="A56" s="13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K56" s="1"/>
      <c r="AL56" s="1"/>
      <c r="AM56" s="1"/>
      <c r="AN56" s="1"/>
      <c r="AO56" s="1"/>
      <c r="AP56" s="1"/>
      <c r="AQ56" s="1"/>
      <c r="AR56" s="1"/>
      <c r="AS56" s="1"/>
    </row>
    <row r="57" spans="1:47" x14ac:dyDescent="0.25">
      <c r="A57" s="13"/>
      <c r="B57" s="804"/>
      <c r="C57" s="1117" t="s">
        <v>495</v>
      </c>
      <c r="D57" s="1117"/>
      <c r="E57" s="1117"/>
      <c r="F57" s="1117"/>
      <c r="G57" s="1117"/>
      <c r="H57" s="1117"/>
      <c r="I57" s="1117"/>
      <c r="J57" s="177"/>
      <c r="K57" s="177"/>
      <c r="L57" s="177"/>
      <c r="M57" s="177"/>
      <c r="N57" s="177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K57" s="1"/>
      <c r="AL57" s="1"/>
      <c r="AM57" s="1"/>
      <c r="AN57" s="1"/>
      <c r="AO57" s="1"/>
      <c r="AP57" s="1"/>
      <c r="AQ57" s="1"/>
      <c r="AR57" s="1"/>
      <c r="AS57" s="1"/>
    </row>
    <row r="58" spans="1:47" x14ac:dyDescent="0.25">
      <c r="A58" s="13"/>
      <c r="B58" s="804"/>
      <c r="C58" s="911">
        <v>2020</v>
      </c>
      <c r="D58" s="911">
        <v>2025</v>
      </c>
      <c r="E58" s="911">
        <v>2030</v>
      </c>
      <c r="F58" s="911">
        <v>2035</v>
      </c>
      <c r="G58" s="911">
        <v>2040</v>
      </c>
      <c r="H58" s="911">
        <v>2045</v>
      </c>
      <c r="I58" s="911">
        <v>2050</v>
      </c>
      <c r="J58" s="177"/>
      <c r="K58" s="177"/>
      <c r="L58" s="177"/>
      <c r="M58" s="177"/>
      <c r="N58" s="177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K58" s="1"/>
      <c r="AL58" s="1"/>
      <c r="AM58" s="1"/>
      <c r="AN58" s="1"/>
      <c r="AO58" s="1"/>
      <c r="AP58" s="1"/>
      <c r="AQ58" s="1"/>
      <c r="AR58" s="1"/>
      <c r="AS58" s="1"/>
    </row>
    <row r="59" spans="1:47" x14ac:dyDescent="0.25">
      <c r="A59" s="13"/>
      <c r="B59" s="913" t="s">
        <v>491</v>
      </c>
      <c r="C59" s="912">
        <f>H437</f>
        <v>2.0762505957578634</v>
      </c>
      <c r="D59" s="912">
        <f>M437</f>
        <v>2.1955381150029463</v>
      </c>
      <c r="E59" s="912">
        <f>R437</f>
        <v>2.1677485458210675</v>
      </c>
      <c r="F59" s="912">
        <f>W437</f>
        <v>2.1732282443554416</v>
      </c>
      <c r="G59" s="912">
        <f>AB437</f>
        <v>2.1686801445142287</v>
      </c>
      <c r="H59" s="912">
        <f>AG437</f>
        <v>2.170039338526895</v>
      </c>
      <c r="I59" s="912">
        <f>AL437</f>
        <v>2.0897674314380996</v>
      </c>
      <c r="J59" s="177"/>
      <c r="K59" s="177"/>
      <c r="L59" s="177"/>
      <c r="M59" s="177"/>
      <c r="N59" s="177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K59" s="1"/>
      <c r="AL59" s="1"/>
      <c r="AM59" s="1"/>
      <c r="AN59" s="1"/>
      <c r="AO59" s="1"/>
      <c r="AP59" s="1"/>
      <c r="AQ59" s="1"/>
      <c r="AR59" s="1"/>
      <c r="AS59" s="1"/>
    </row>
    <row r="60" spans="1:47" x14ac:dyDescent="0.25">
      <c r="A60" s="13"/>
      <c r="B60" s="913" t="s">
        <v>490</v>
      </c>
      <c r="C60" s="912">
        <f>H438</f>
        <v>1.0762505957578634</v>
      </c>
      <c r="D60" s="912">
        <f>M438</f>
        <v>1.1955381150029463</v>
      </c>
      <c r="E60" s="912">
        <f>R438</f>
        <v>1.1677485458210675</v>
      </c>
      <c r="F60" s="912">
        <f>W438</f>
        <v>1.1732282443554416</v>
      </c>
      <c r="G60" s="912">
        <f>AB438</f>
        <v>1.1686801445142287</v>
      </c>
      <c r="H60" s="912">
        <f>AG438</f>
        <v>1.170039338526895</v>
      </c>
      <c r="I60" s="912">
        <f>AL438</f>
        <v>1.0897674314380996</v>
      </c>
      <c r="J60" s="177"/>
      <c r="K60" s="177"/>
      <c r="L60" s="177"/>
      <c r="M60" s="177"/>
      <c r="N60" s="177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K60" s="1"/>
      <c r="AL60" s="1"/>
      <c r="AM60" s="1"/>
      <c r="AN60" s="1"/>
      <c r="AO60" s="1"/>
      <c r="AP60" s="1"/>
      <c r="AQ60" s="1"/>
      <c r="AR60" s="1"/>
      <c r="AS60" s="1"/>
    </row>
    <row r="61" spans="1:47" x14ac:dyDescent="0.25">
      <c r="A61" s="13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K61" s="1"/>
      <c r="AL61" s="1"/>
      <c r="AM61" s="1"/>
      <c r="AN61" s="1"/>
      <c r="AO61" s="1"/>
      <c r="AP61" s="1"/>
      <c r="AQ61" s="1"/>
      <c r="AR61" s="1"/>
      <c r="AS61" s="1"/>
    </row>
    <row r="62" spans="1:47" x14ac:dyDescent="0.25">
      <c r="A62" s="13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K62" s="1"/>
      <c r="AL62" s="1"/>
      <c r="AM62" s="1"/>
      <c r="AN62" s="1"/>
      <c r="AO62" s="1"/>
      <c r="AP62" s="1"/>
      <c r="AQ62" s="1"/>
      <c r="AR62" s="1"/>
      <c r="AS62" s="1"/>
    </row>
    <row r="63" spans="1:47" x14ac:dyDescent="0.25">
      <c r="A63" s="13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K63" s="1"/>
      <c r="AL63" s="1"/>
      <c r="AM63" s="1"/>
      <c r="AN63" s="1"/>
      <c r="AO63" s="1"/>
      <c r="AP63" s="1"/>
      <c r="AQ63" s="1"/>
      <c r="AR63" s="1"/>
      <c r="AS63" s="1"/>
    </row>
    <row r="64" spans="1:47" s="304" customFormat="1" ht="14.4" x14ac:dyDescent="0.3">
      <c r="A64" s="306"/>
      <c r="B64" s="759" t="s">
        <v>569</v>
      </c>
      <c r="C64" s="759"/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59"/>
      <c r="AE64" s="759"/>
      <c r="AF64" s="759"/>
      <c r="AG64" s="759"/>
      <c r="AH64" s="759"/>
      <c r="AI64" s="759"/>
      <c r="AJ64" s="759"/>
      <c r="AK64" s="759"/>
      <c r="AL64" s="759"/>
      <c r="AM64" s="759"/>
      <c r="AN64" s="759"/>
      <c r="AO64" s="759"/>
      <c r="AP64" s="759"/>
      <c r="AQ64" s="759"/>
      <c r="AR64" s="759"/>
      <c r="AS64" s="759"/>
      <c r="AT64" s="814"/>
      <c r="AU64" s="306"/>
    </row>
    <row r="65" spans="1:47" x14ac:dyDescent="0.25">
      <c r="A65" s="13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3"/>
      <c r="AK65" s="38"/>
      <c r="AL65" s="38"/>
      <c r="AM65" s="38"/>
      <c r="AN65" s="38"/>
      <c r="AO65" s="38"/>
      <c r="AP65" s="38"/>
      <c r="AQ65" s="38"/>
      <c r="AR65" s="38"/>
      <c r="AS65" s="38"/>
      <c r="AT65" s="13"/>
      <c r="AU65" s="13"/>
    </row>
    <row r="66" spans="1:47" ht="14.4" x14ac:dyDescent="0.3">
      <c r="B66" s="813" t="s">
        <v>378</v>
      </c>
      <c r="C66" s="179">
        <v>2015</v>
      </c>
      <c r="D66" s="179">
        <v>2016</v>
      </c>
      <c r="E66" s="179">
        <v>2017</v>
      </c>
      <c r="F66" s="179">
        <v>2018</v>
      </c>
      <c r="G66" s="179">
        <v>2019</v>
      </c>
      <c r="H66" s="179">
        <v>2020</v>
      </c>
      <c r="I66" s="179">
        <v>2021</v>
      </c>
      <c r="J66" s="179">
        <v>2022</v>
      </c>
      <c r="K66" s="179">
        <v>2023</v>
      </c>
      <c r="L66" s="179">
        <v>2024</v>
      </c>
      <c r="M66" s="179">
        <v>2025</v>
      </c>
      <c r="N66" s="179">
        <v>2026</v>
      </c>
      <c r="O66" s="179">
        <v>2027</v>
      </c>
      <c r="P66" s="179">
        <v>2028</v>
      </c>
      <c r="Q66" s="179">
        <v>2029</v>
      </c>
      <c r="R66" s="179">
        <v>2030</v>
      </c>
      <c r="S66" s="179">
        <v>2031</v>
      </c>
      <c r="T66" s="179">
        <v>2032</v>
      </c>
      <c r="U66" s="179">
        <v>2033</v>
      </c>
      <c r="V66" s="179">
        <v>2034</v>
      </c>
      <c r="W66" s="179">
        <v>2035</v>
      </c>
      <c r="X66" s="179">
        <v>2036</v>
      </c>
      <c r="Y66" s="179">
        <v>2037</v>
      </c>
      <c r="Z66" s="179">
        <v>2038</v>
      </c>
      <c r="AA66" s="179">
        <v>2039</v>
      </c>
      <c r="AB66" s="179">
        <v>2040</v>
      </c>
      <c r="AC66" s="179">
        <v>2041</v>
      </c>
      <c r="AD66" s="179">
        <v>2042</v>
      </c>
      <c r="AE66" s="179">
        <v>2043</v>
      </c>
      <c r="AF66" s="179">
        <v>2044</v>
      </c>
      <c r="AG66" s="179">
        <v>2045</v>
      </c>
      <c r="AH66" s="179">
        <v>2046</v>
      </c>
      <c r="AI66" s="179">
        <v>2047</v>
      </c>
      <c r="AJ66" s="179">
        <v>2048</v>
      </c>
      <c r="AK66" s="179">
        <v>2049</v>
      </c>
      <c r="AL66" s="179">
        <v>2050</v>
      </c>
      <c r="AM66" s="179">
        <v>2051</v>
      </c>
      <c r="AN66" s="179">
        <v>2052</v>
      </c>
      <c r="AO66" s="179">
        <v>2053</v>
      </c>
      <c r="AP66" s="179">
        <v>2054</v>
      </c>
      <c r="AQ66" s="179">
        <v>2055</v>
      </c>
      <c r="AR66" s="179">
        <v>2056</v>
      </c>
      <c r="AS66" s="179">
        <v>2057</v>
      </c>
      <c r="AT66" s="179">
        <v>2058</v>
      </c>
      <c r="AU66" s="13"/>
    </row>
    <row r="67" spans="1:47" ht="14.4" x14ac:dyDescent="0.3">
      <c r="B67" s="813"/>
      <c r="C67" s="816" t="s">
        <v>134</v>
      </c>
      <c r="D67" s="816" t="s">
        <v>135</v>
      </c>
      <c r="E67" s="816" t="s">
        <v>136</v>
      </c>
      <c r="F67" s="816" t="s">
        <v>137</v>
      </c>
      <c r="G67" s="816" t="s">
        <v>138</v>
      </c>
      <c r="H67" s="816" t="s">
        <v>139</v>
      </c>
      <c r="I67" s="816" t="s">
        <v>140</v>
      </c>
      <c r="J67" s="816" t="s">
        <v>141</v>
      </c>
      <c r="K67" s="816" t="s">
        <v>142</v>
      </c>
      <c r="L67" s="816" t="s">
        <v>143</v>
      </c>
      <c r="M67" s="816" t="s">
        <v>144</v>
      </c>
      <c r="N67" s="816" t="s">
        <v>145</v>
      </c>
      <c r="O67" s="816" t="s">
        <v>146</v>
      </c>
      <c r="P67" s="816" t="s">
        <v>147</v>
      </c>
      <c r="Q67" s="816" t="s">
        <v>148</v>
      </c>
      <c r="R67" s="816" t="s">
        <v>149</v>
      </c>
      <c r="S67" s="816" t="s">
        <v>150</v>
      </c>
      <c r="T67" s="816" t="s">
        <v>151</v>
      </c>
      <c r="U67" s="816" t="s">
        <v>152</v>
      </c>
      <c r="V67" s="816" t="s">
        <v>153</v>
      </c>
      <c r="W67" s="816" t="s">
        <v>154</v>
      </c>
      <c r="X67" s="816" t="s">
        <v>155</v>
      </c>
      <c r="Y67" s="816" t="s">
        <v>156</v>
      </c>
      <c r="Z67" s="816" t="s">
        <v>157</v>
      </c>
      <c r="AA67" s="816" t="s">
        <v>158</v>
      </c>
      <c r="AB67" s="816" t="s">
        <v>159</v>
      </c>
      <c r="AC67" s="816" t="s">
        <v>160</v>
      </c>
      <c r="AD67" s="816" t="s">
        <v>161</v>
      </c>
      <c r="AE67" s="816" t="s">
        <v>162</v>
      </c>
      <c r="AF67" s="816" t="s">
        <v>163</v>
      </c>
      <c r="AG67" s="816" t="s">
        <v>164</v>
      </c>
      <c r="AH67" s="816" t="s">
        <v>165</v>
      </c>
      <c r="AI67" s="816" t="s">
        <v>166</v>
      </c>
      <c r="AJ67" s="816" t="s">
        <v>167</v>
      </c>
      <c r="AK67" s="816" t="s">
        <v>168</v>
      </c>
      <c r="AL67" s="816" t="s">
        <v>169</v>
      </c>
      <c r="AM67" s="816" t="s">
        <v>170</v>
      </c>
      <c r="AN67" s="816" t="s">
        <v>171</v>
      </c>
      <c r="AO67" s="816" t="s">
        <v>172</v>
      </c>
      <c r="AP67" s="816" t="s">
        <v>173</v>
      </c>
      <c r="AQ67" s="816" t="s">
        <v>174</v>
      </c>
      <c r="AR67" s="816" t="s">
        <v>224</v>
      </c>
      <c r="AS67" s="816" t="s">
        <v>225</v>
      </c>
      <c r="AT67" s="816" t="s">
        <v>226</v>
      </c>
      <c r="AU67" s="13"/>
    </row>
    <row r="68" spans="1:47" ht="14.4" x14ac:dyDescent="0.3">
      <c r="B68" s="813"/>
      <c r="C68" s="816">
        <v>0</v>
      </c>
      <c r="D68" s="816">
        <v>1</v>
      </c>
      <c r="E68" s="816">
        <v>2</v>
      </c>
      <c r="F68" s="816">
        <v>3</v>
      </c>
      <c r="G68" s="816">
        <v>4</v>
      </c>
      <c r="H68" s="816">
        <v>5</v>
      </c>
      <c r="I68" s="816">
        <v>6</v>
      </c>
      <c r="J68" s="816">
        <v>7</v>
      </c>
      <c r="K68" s="816">
        <v>8</v>
      </c>
      <c r="L68" s="816">
        <v>9</v>
      </c>
      <c r="M68" s="816">
        <v>10</v>
      </c>
      <c r="N68" s="816">
        <v>11</v>
      </c>
      <c r="O68" s="816">
        <v>12</v>
      </c>
      <c r="P68" s="816">
        <v>13</v>
      </c>
      <c r="Q68" s="816">
        <v>14</v>
      </c>
      <c r="R68" s="816">
        <v>15</v>
      </c>
      <c r="S68" s="816">
        <v>16</v>
      </c>
      <c r="T68" s="816">
        <v>17</v>
      </c>
      <c r="U68" s="816">
        <v>18</v>
      </c>
      <c r="V68" s="816">
        <v>19</v>
      </c>
      <c r="W68" s="816">
        <v>20</v>
      </c>
      <c r="X68" s="816">
        <v>21</v>
      </c>
      <c r="Y68" s="816">
        <v>22</v>
      </c>
      <c r="Z68" s="816">
        <v>23</v>
      </c>
      <c r="AA68" s="816">
        <v>24</v>
      </c>
      <c r="AB68" s="816">
        <v>25</v>
      </c>
      <c r="AC68" s="816">
        <v>26</v>
      </c>
      <c r="AD68" s="816">
        <v>27</v>
      </c>
      <c r="AE68" s="816">
        <v>28</v>
      </c>
      <c r="AF68" s="816">
        <v>29</v>
      </c>
      <c r="AG68" s="816">
        <v>30</v>
      </c>
      <c r="AH68" s="816">
        <v>31</v>
      </c>
      <c r="AI68" s="816">
        <v>32</v>
      </c>
      <c r="AJ68" s="816">
        <v>33</v>
      </c>
      <c r="AK68" s="816">
        <v>34</v>
      </c>
      <c r="AL68" s="816">
        <v>35</v>
      </c>
      <c r="AM68" s="816">
        <v>36</v>
      </c>
      <c r="AN68" s="816">
        <v>37</v>
      </c>
      <c r="AO68" s="816">
        <v>38</v>
      </c>
      <c r="AP68" s="816">
        <v>39</v>
      </c>
      <c r="AQ68" s="816">
        <v>40</v>
      </c>
      <c r="AR68" s="816">
        <v>41</v>
      </c>
      <c r="AS68" s="816">
        <v>42</v>
      </c>
      <c r="AT68" s="816">
        <v>43</v>
      </c>
      <c r="AU68" s="13"/>
    </row>
    <row r="69" spans="1:47" ht="14.4" x14ac:dyDescent="0.3">
      <c r="B69" s="813"/>
      <c r="C69" s="816">
        <v>0</v>
      </c>
      <c r="D69" s="816">
        <v>0</v>
      </c>
      <c r="E69" s="816">
        <v>0</v>
      </c>
      <c r="F69" s="816">
        <v>0</v>
      </c>
      <c r="G69" s="816">
        <v>1</v>
      </c>
      <c r="H69" s="816">
        <v>2</v>
      </c>
      <c r="I69" s="816">
        <v>3</v>
      </c>
      <c r="J69" s="816">
        <v>4</v>
      </c>
      <c r="K69" s="816">
        <v>5</v>
      </c>
      <c r="L69" s="816">
        <v>6</v>
      </c>
      <c r="M69" s="816">
        <v>7</v>
      </c>
      <c r="N69" s="816">
        <v>8</v>
      </c>
      <c r="O69" s="816">
        <v>9</v>
      </c>
      <c r="P69" s="816">
        <v>10</v>
      </c>
      <c r="Q69" s="816">
        <v>11</v>
      </c>
      <c r="R69" s="816">
        <v>12</v>
      </c>
      <c r="S69" s="816">
        <v>13</v>
      </c>
      <c r="T69" s="816">
        <v>14</v>
      </c>
      <c r="U69" s="816">
        <v>15</v>
      </c>
      <c r="V69" s="816">
        <v>16</v>
      </c>
      <c r="W69" s="816">
        <v>17</v>
      </c>
      <c r="X69" s="816">
        <v>18</v>
      </c>
      <c r="Y69" s="816">
        <v>19</v>
      </c>
      <c r="Z69" s="816">
        <v>20</v>
      </c>
      <c r="AA69" s="816">
        <v>21</v>
      </c>
      <c r="AB69" s="816">
        <v>22</v>
      </c>
      <c r="AC69" s="816">
        <v>23</v>
      </c>
      <c r="AD69" s="816">
        <v>24</v>
      </c>
      <c r="AE69" s="816">
        <v>25</v>
      </c>
      <c r="AF69" s="816">
        <v>26</v>
      </c>
      <c r="AG69" s="816">
        <v>27</v>
      </c>
      <c r="AH69" s="816">
        <v>28</v>
      </c>
      <c r="AI69" s="816">
        <v>29</v>
      </c>
      <c r="AJ69" s="816">
        <v>30</v>
      </c>
      <c r="AK69" s="816">
        <v>31</v>
      </c>
      <c r="AL69" s="816">
        <v>32</v>
      </c>
      <c r="AM69" s="816">
        <v>33</v>
      </c>
      <c r="AN69" s="816">
        <v>34</v>
      </c>
      <c r="AO69" s="816">
        <v>35</v>
      </c>
      <c r="AP69" s="816">
        <v>36</v>
      </c>
      <c r="AQ69" s="816">
        <v>37</v>
      </c>
      <c r="AR69" s="816">
        <v>38</v>
      </c>
      <c r="AS69" s="816">
        <v>39</v>
      </c>
      <c r="AT69" s="816">
        <v>40</v>
      </c>
      <c r="AU69" s="13"/>
    </row>
    <row r="70" spans="1:47" ht="14.4" x14ac:dyDescent="0.3">
      <c r="B70" s="813"/>
      <c r="C70" s="798"/>
      <c r="D70" s="798"/>
      <c r="E70" s="798"/>
      <c r="F70" s="798"/>
      <c r="G70" s="798"/>
      <c r="H70" s="798"/>
      <c r="I70" s="798"/>
      <c r="J70" s="798"/>
      <c r="K70" s="798"/>
      <c r="L70" s="798"/>
      <c r="M70" s="798"/>
      <c r="N70" s="798"/>
      <c r="O70" s="798"/>
      <c r="P70" s="798"/>
      <c r="Q70" s="798"/>
      <c r="R70" s="798"/>
      <c r="S70" s="798"/>
      <c r="T70" s="798"/>
      <c r="U70" s="798"/>
      <c r="V70" s="798"/>
      <c r="W70" s="798"/>
      <c r="X70" s="798"/>
      <c r="Y70" s="798"/>
      <c r="Z70" s="798"/>
      <c r="AA70" s="798"/>
      <c r="AB70" s="798"/>
      <c r="AC70" s="798"/>
      <c r="AD70" s="798"/>
      <c r="AE70" s="798"/>
      <c r="AF70" s="798"/>
      <c r="AG70" s="798"/>
      <c r="AH70" s="798"/>
      <c r="AI70" s="798"/>
      <c r="AJ70" s="798"/>
      <c r="AK70" s="798"/>
      <c r="AL70" s="798"/>
      <c r="AM70" s="798"/>
      <c r="AN70" s="798"/>
      <c r="AO70" s="798"/>
      <c r="AP70" s="798"/>
      <c r="AQ70" s="798"/>
      <c r="AR70" s="798"/>
      <c r="AS70" s="798"/>
      <c r="AT70" s="798"/>
      <c r="AU70" s="13"/>
    </row>
    <row r="71" spans="1:47" s="166" customFormat="1" ht="14.4" x14ac:dyDescent="0.25">
      <c r="B71" s="830" t="s">
        <v>434</v>
      </c>
      <c r="C71" s="807"/>
      <c r="D71" s="807"/>
      <c r="E71" s="807"/>
      <c r="F71" s="807"/>
      <c r="G71" s="807"/>
      <c r="H71" s="807"/>
      <c r="I71" s="807"/>
      <c r="J71" s="807"/>
      <c r="K71" s="807"/>
      <c r="L71" s="807"/>
      <c r="M71" s="807"/>
      <c r="N71" s="807"/>
      <c r="O71" s="807"/>
      <c r="P71" s="807"/>
      <c r="Q71" s="807"/>
      <c r="R71" s="807"/>
      <c r="S71" s="807"/>
      <c r="T71" s="807"/>
      <c r="U71" s="807"/>
      <c r="V71" s="807"/>
      <c r="W71" s="807"/>
      <c r="X71" s="807"/>
      <c r="Y71" s="807"/>
      <c r="Z71" s="807"/>
      <c r="AA71" s="807"/>
      <c r="AB71" s="807"/>
      <c r="AC71" s="807"/>
      <c r="AD71" s="807"/>
      <c r="AE71" s="807"/>
      <c r="AF71" s="807"/>
      <c r="AG71" s="807"/>
      <c r="AH71" s="807"/>
      <c r="AI71" s="807"/>
      <c r="AJ71" s="807"/>
      <c r="AK71" s="807"/>
      <c r="AL71" s="807"/>
      <c r="AM71" s="807"/>
      <c r="AN71" s="807"/>
      <c r="AO71" s="807"/>
      <c r="AP71" s="807"/>
      <c r="AQ71" s="807"/>
      <c r="AR71" s="807"/>
      <c r="AS71" s="807"/>
      <c r="AT71" s="807"/>
      <c r="AU71" s="103"/>
    </row>
    <row r="72" spans="1:47" x14ac:dyDescent="0.25">
      <c r="B72" s="831" t="s">
        <v>449</v>
      </c>
      <c r="C72" s="178">
        <v>0</v>
      </c>
      <c r="D72" s="178">
        <v>0</v>
      </c>
      <c r="E72" s="178">
        <v>0</v>
      </c>
      <c r="F72" s="178">
        <v>0</v>
      </c>
      <c r="G72" s="758">
        <f>OPERACION_ANUALIZADA_TC!D64*(1+PARAMETROS!$C$64)</f>
        <v>4318236.9614306372</v>
      </c>
      <c r="H72" s="758">
        <f>OPERACION_ANUALIZADA_TC!E64*(1+PARAMETROS!$C$64)</f>
        <v>4432937.8249451816</v>
      </c>
      <c r="I72" s="758">
        <f>OPERACION_ANUALIZADA_TC!F64*(1+PARAMETROS!$C$64)</f>
        <v>4536875.1815609755</v>
      </c>
      <c r="J72" s="758">
        <f>OPERACION_ANUALIZADA_TC!G64*(1+PARAMETROS!$C$64)</f>
        <v>4643311.9130354663</v>
      </c>
      <c r="K72" s="758">
        <f>OPERACION_ANUALIZADA_TC!H64*(1+PARAMETROS!$C$64)</f>
        <v>11617904.705841476</v>
      </c>
      <c r="L72" s="758">
        <f>OPERACION_ANUALIZADA_TC!I64*(1+PARAMETROS!$C$64)</f>
        <v>4863931.4676566217</v>
      </c>
      <c r="M72" s="758">
        <f>OPERACION_ANUALIZADA_TC!J64*(1+PARAMETROS!$C$64)</f>
        <v>4978242.2002252238</v>
      </c>
      <c r="N72" s="758">
        <f>OPERACION_ANUALIZADA_TC!K64*(1+PARAMETROS!$C$64)</f>
        <v>5095308.2077043382</v>
      </c>
      <c r="O72" s="758">
        <f>OPERACION_ANUALIZADA_TC!L64*(1+PARAMETROS!$C$64)</f>
        <v>5215197.5552692544</v>
      </c>
      <c r="P72" s="758">
        <f>OPERACION_ANUALIZADA_TC!M64*(1+PARAMETROS!$C$64)</f>
        <v>12881550.570299722</v>
      </c>
      <c r="Q72" s="758">
        <f>OPERACION_ANUALIZADA_TC!N64*(1+PARAMETROS!$C$64)</f>
        <v>5463727.1811422799</v>
      </c>
      <c r="R72" s="758">
        <f>OPERACION_ANUALIZADA_TC!O64*(1+PARAMETROS!$C$64)</f>
        <v>5592512.3741521444</v>
      </c>
      <c r="S72" s="758">
        <f>OPERACION_ANUALIZADA_TC!P64*(1+PARAMETROS!$C$64)</f>
        <v>5724410.8291271329</v>
      </c>
      <c r="T72" s="758">
        <f>OPERACION_ANUALIZADA_TC!Q64*(1+PARAMETROS!$C$64)</f>
        <v>5859499.6730848122</v>
      </c>
      <c r="U72" s="758">
        <f>OPERACION_ANUALIZADA_TC!R64*(1+PARAMETROS!$C$64)</f>
        <v>14286356.439628357</v>
      </c>
      <c r="V72" s="758">
        <f>OPERACION_ANUALIZADA_TC!S64*(1+PARAMETROS!$C$64)</f>
        <v>6139566.8637729799</v>
      </c>
      <c r="W72" s="758">
        <f>OPERACION_ANUALIZADA_TC!T64*(1+PARAMETROS!$C$64)</f>
        <v>6284709.445565287</v>
      </c>
      <c r="X72" s="758">
        <f>OPERACION_ANUALIZADA_TC!U64*(1+PARAMETROS!$C$64)</f>
        <v>6433370.9918016</v>
      </c>
      <c r="Y72" s="758">
        <f>OPERACION_ANUALIZADA_TC!V64*(1+PARAMETROS!$C$64)</f>
        <v>6585638.926612027</v>
      </c>
      <c r="Z72" s="758">
        <f>OPERACION_ANUALIZADA_TC!W64*(1+PARAMETROS!$C$64)</f>
        <v>15848593.767328328</v>
      </c>
      <c r="AA72" s="758">
        <f>OPERACION_ANUALIZADA_TC!X64*(1+PARAMETROS!$C$64)</f>
        <v>6901354.8280941052</v>
      </c>
      <c r="AB72" s="758">
        <f>OPERACION_ANUALIZADA_TC!Y64*(1+PARAMETROS!$C$64)</f>
        <v>7064988.9872727636</v>
      </c>
      <c r="AC72" s="758">
        <f>OPERACION_ANUALIZADA_TC!Z64*(1+PARAMETROS!$C$64)</f>
        <v>7232602.0400624331</v>
      </c>
      <c r="AD72" s="758">
        <f>OPERACION_ANUALIZADA_TC!AA64*(1+PARAMETROS!$C$64)</f>
        <v>7404293.1149919936</v>
      </c>
      <c r="AE72" s="758">
        <f>OPERACION_ANUALIZADA_TC!AB64*(1+PARAMETROS!$C$64)</f>
        <v>17586476.742962986</v>
      </c>
      <c r="AF72" s="758">
        <f>OPERACION_ANUALIZADA_TC!AC64*(1+PARAMETROS!$C$64)</f>
        <v>7760318.5440044012</v>
      </c>
      <c r="AG72" s="758">
        <f>OPERACION_ANUALIZADA_TC!AD64*(1+PARAMETROS!$C$64)</f>
        <v>7944864.0527799763</v>
      </c>
      <c r="AH72" s="758">
        <f>OPERACION_ANUALIZADA_TC!AE64*(1+PARAMETROS!$C$64)</f>
        <v>8133910.0298752068</v>
      </c>
      <c r="AI72" s="758">
        <f>OPERACION_ANUALIZADA_TC!AF64*(1+PARAMETROS!$C$64)</f>
        <v>8327568.9119321909</v>
      </c>
      <c r="AJ72" s="758">
        <f>OPERACION_ANUALIZADA_TC!AG64*(1+PARAMETROS!$C$64)</f>
        <v>19520403.065015338</v>
      </c>
      <c r="AK72" s="758">
        <f>OPERACION_ANUALIZADA_TC!AH64*(1+PARAMETROS!$C$64)</f>
        <v>8729189.5788463596</v>
      </c>
      <c r="AL72" s="758">
        <f>OPERACION_ANUALIZADA_TC!AI64*(1+PARAMETROS!$C$64)</f>
        <v>8937390.9052098654</v>
      </c>
      <c r="AM72" s="758">
        <f>OPERACION_ANUALIZADA_TC!AJ64*(1+PARAMETROS!$C$64)</f>
        <v>9150684.3755010031</v>
      </c>
      <c r="AN72" s="758">
        <f>OPERACION_ANUALIZADA_TC!AK64*(1+PARAMETROS!$C$64)</f>
        <v>9369197.5625528172</v>
      </c>
      <c r="AO72" s="758">
        <f>OPERACION_ANUALIZADA_TC!AL64*(1+PARAMETROS!$C$64)</f>
        <v>21673225.690419316</v>
      </c>
      <c r="AP72" s="758">
        <f>OPERACION_ANUALIZADA_TC!AM64*(1+PARAMETROS!$C$64)</f>
        <v>9822409.8065093718</v>
      </c>
      <c r="AQ72" s="758">
        <f>OPERACION_ANUALIZADA_TC!AN64*(1+PARAMETROS!$C$64)</f>
        <v>10057380.696025331</v>
      </c>
      <c r="AR72" s="758">
        <f>OPERACION_ANUALIZADA_TC!AO64*(1+PARAMETROS!$C$64)</f>
        <v>10298115.14536953</v>
      </c>
      <c r="AS72" s="758">
        <f>OPERACION_ANUALIZADA_TC!AP64*(1+PARAMETROS!$C$64)</f>
        <v>10544757.947980508</v>
      </c>
      <c r="AT72" s="758">
        <f>OPERACION_ANUALIZADA_TC!AQ64*(1+PARAMETROS!$C$64)</f>
        <v>24070559.689610455</v>
      </c>
      <c r="AU72" s="13"/>
    </row>
    <row r="73" spans="1:47" x14ac:dyDescent="0.25">
      <c r="B73" s="832" t="s">
        <v>379</v>
      </c>
      <c r="C73" s="178">
        <v>0</v>
      </c>
      <c r="D73" s="178">
        <v>0</v>
      </c>
      <c r="E73" s="178">
        <v>0</v>
      </c>
      <c r="F73" s="178">
        <v>0</v>
      </c>
      <c r="G73" s="758">
        <f>DEMANDA!C47*PARAMETROS!$C$61</f>
        <v>5507950</v>
      </c>
      <c r="H73" s="758">
        <f>DEMANDA!D47*PARAMETROS!$C$61</f>
        <v>7343933.3333333349</v>
      </c>
      <c r="I73" s="758">
        <f>DEMANDA!E47*PARAMETROS!$C$61</f>
        <v>7423640.0000000009</v>
      </c>
      <c r="J73" s="758">
        <f>DEMANDA!F47*PARAMETROS!$C$61</f>
        <v>7503346.666666667</v>
      </c>
      <c r="K73" s="758">
        <f>DEMANDA!G47*PARAMETROS!$C$61</f>
        <v>7583053.333333333</v>
      </c>
      <c r="L73" s="758">
        <f>DEMANDA!H47*PARAMETROS!$C$61</f>
        <v>7662759.9999999991</v>
      </c>
      <c r="M73" s="758">
        <f>DEMANDA!I47*PARAMETROS!$C$61</f>
        <v>7742466.666666667</v>
      </c>
      <c r="N73" s="758">
        <f>DEMANDA!J47*PARAMETROS!$C$61</f>
        <v>7766206.2793080574</v>
      </c>
      <c r="O73" s="758">
        <f>DEMANDA!K47*PARAMETROS!$C$61</f>
        <v>7789945.8919494487</v>
      </c>
      <c r="P73" s="758">
        <f>DEMANDA!L47*PARAMETROS!$C$61</f>
        <v>7813685.504590841</v>
      </c>
      <c r="Q73" s="758">
        <f>DEMANDA!M47*PARAMETROS!$C$61</f>
        <v>7837425.1172322324</v>
      </c>
      <c r="R73" s="758">
        <f>DEMANDA!N47*PARAMETROS!$C$61</f>
        <v>7861164.7298736265</v>
      </c>
      <c r="S73" s="758">
        <f>DEMANDA!O47*PARAMETROS!$C$61</f>
        <v>7892650.4839373799</v>
      </c>
      <c r="T73" s="758">
        <f>DEMANDA!P47*PARAMETROS!$C$61</f>
        <v>7924136.2380011305</v>
      </c>
      <c r="U73" s="758">
        <f>DEMANDA!Q47*PARAMETROS!$C$61</f>
        <v>7955621.9920648839</v>
      </c>
      <c r="V73" s="758">
        <f>DEMANDA!R47*PARAMETROS!$C$61</f>
        <v>7987107.7461286364</v>
      </c>
      <c r="W73" s="758">
        <f>DEMANDA!S47*PARAMETROS!$C$61</f>
        <v>8018593.5001923852</v>
      </c>
      <c r="X73" s="758">
        <f>DEMANDA!T47*PARAMETROS!$C$61</f>
        <v>8085183.1483566826</v>
      </c>
      <c r="Y73" s="758">
        <f>DEMANDA!U47*PARAMETROS!$C$61</f>
        <v>8151772.7965209791</v>
      </c>
      <c r="Z73" s="758">
        <f>DEMANDA!V47*PARAMETROS!$C$61</f>
        <v>8218362.4446852757</v>
      </c>
      <c r="AA73" s="758">
        <f>DEMANDA!W47*PARAMETROS!$C$61</f>
        <v>8284952.0928495741</v>
      </c>
      <c r="AB73" s="758">
        <f>DEMANDA!X47*PARAMETROS!$C$61</f>
        <v>8351541.7410138715</v>
      </c>
      <c r="AC73" s="758">
        <f>DEMANDA!Y47*PARAMETROS!$C$61</f>
        <v>8351541.7410138715</v>
      </c>
      <c r="AD73" s="758">
        <f>DEMANDA!Z47*PARAMETROS!$C$61</f>
        <v>8351541.7410138715</v>
      </c>
      <c r="AE73" s="758">
        <f>DEMANDA!AA47*PARAMETROS!$C$61</f>
        <v>8351541.7410138715</v>
      </c>
      <c r="AF73" s="758">
        <f>DEMANDA!AB47*PARAMETROS!$C$61</f>
        <v>8351541.7410138715</v>
      </c>
      <c r="AG73" s="758">
        <f>DEMANDA!AC47*PARAMETROS!$C$61</f>
        <v>8351541.7410138715</v>
      </c>
      <c r="AH73" s="758">
        <f>DEMANDA!AD47*PARAMETROS!$C$61</f>
        <v>8351541.7410138715</v>
      </c>
      <c r="AI73" s="758">
        <f>DEMANDA!AE47*PARAMETROS!$C$61</f>
        <v>8351541.7410138715</v>
      </c>
      <c r="AJ73" s="758">
        <f>DEMANDA!AF47*PARAMETROS!$C$61</f>
        <v>8351541.7410138715</v>
      </c>
      <c r="AK73" s="758">
        <f>DEMANDA!AG47*PARAMETROS!$C$61</f>
        <v>8351541.7410138715</v>
      </c>
      <c r="AL73" s="758">
        <f>DEMANDA!AH47*PARAMETROS!$C$61</f>
        <v>8351541.7410138715</v>
      </c>
      <c r="AM73" s="758">
        <f>DEMANDA!AI47*PARAMETROS!$C$61</f>
        <v>8351541.7410138715</v>
      </c>
      <c r="AN73" s="758">
        <f>DEMANDA!AJ47*PARAMETROS!$C$61</f>
        <v>8351541.7410138715</v>
      </c>
      <c r="AO73" s="758">
        <f>DEMANDA!AK47*PARAMETROS!$C$61</f>
        <v>8351541.7410138715</v>
      </c>
      <c r="AP73" s="758">
        <f>DEMANDA!AL47*PARAMETROS!$C$61</f>
        <v>8351541.7410138715</v>
      </c>
      <c r="AQ73" s="758">
        <f>DEMANDA!AM47*PARAMETROS!$C$61</f>
        <v>8351541.7410138715</v>
      </c>
      <c r="AR73" s="758">
        <f>DEMANDA!AN47*PARAMETROS!$C$61</f>
        <v>8351541.7410138715</v>
      </c>
      <c r="AS73" s="758">
        <f>DEMANDA!AO47*PARAMETROS!$C$61</f>
        <v>8351541.7410138715</v>
      </c>
      <c r="AT73" s="758">
        <f>DEMANDA!AP47*PARAMETROS!$C$61</f>
        <v>8351541.7410138715</v>
      </c>
      <c r="AU73" s="13"/>
    </row>
    <row r="74" spans="1:47" x14ac:dyDescent="0.25">
      <c r="B74" s="832" t="s">
        <v>395</v>
      </c>
      <c r="C74" s="178">
        <v>0</v>
      </c>
      <c r="D74" s="178">
        <v>0</v>
      </c>
      <c r="E74" s="178">
        <v>0</v>
      </c>
      <c r="F74" s="178">
        <v>0</v>
      </c>
      <c r="G74" s="758">
        <f>'INGRESOS de pasajeros'!C55*PARAMETROS!$C$61</f>
        <v>2690082.7800000003</v>
      </c>
      <c r="H74" s="758">
        <f>'INGRESOS de pasajeros'!D55*PARAMETROS!$C$61</f>
        <v>3586777.0400000005</v>
      </c>
      <c r="I74" s="758">
        <f>'INGRESOS de pasajeros'!E55*PARAMETROS!$C$61</f>
        <v>3790675.3888079999</v>
      </c>
      <c r="J74" s="758">
        <f>'INGRESOS de pasajeros'!F55*PARAMETROS!$C$61</f>
        <v>3831375.3822960006</v>
      </c>
      <c r="K74" s="758">
        <f>'INGRESOS de pasajeros'!G55*PARAMETROS!$C$61</f>
        <v>4028507.2209656732</v>
      </c>
      <c r="L74" s="758">
        <f>'INGRESOS de pasajeros'!H55*PARAMETROS!$C$61</f>
        <v>4070851.4941905877</v>
      </c>
      <c r="M74" s="758">
        <f>'INGRESOS de pasajeros'!I55*PARAMETROS!$C$61</f>
        <v>4279368.8764190907</v>
      </c>
      <c r="N74" s="758">
        <f>'INGRESOS de pasajeros'!J55*PARAMETROS!$C$61</f>
        <v>4292490.0900903344</v>
      </c>
      <c r="O74" s="758">
        <f>'INGRESOS de pasajeros'!K55*PARAMETROS!$C$61</f>
        <v>4479558.0004335446</v>
      </c>
      <c r="P74" s="758">
        <f>'INGRESOS de pasajeros'!L55*PARAMETROS!$C$61</f>
        <v>4493209.3111371072</v>
      </c>
      <c r="Q74" s="758">
        <f>'INGRESOS de pasajeros'!M55*PARAMETROS!$C$61</f>
        <v>4688937.7909630314</v>
      </c>
      <c r="R74" s="758">
        <f>'INGRESOS de pasajeros'!N55*PARAMETROS!$C$61</f>
        <v>4703140.6146190194</v>
      </c>
      <c r="S74" s="758">
        <f>'INGRESOS de pasajeros'!O55*PARAMETROS!$C$61</f>
        <v>4912745.664923666</v>
      </c>
      <c r="T74" s="758">
        <f>'INGRESOS de pasajeros'!P55*PARAMETROS!$C$61</f>
        <v>4932343.8343977043</v>
      </c>
      <c r="U74" s="758">
        <f>'INGRESOS de pasajeros'!Q55*PARAMETROS!$C$61</f>
        <v>5152000.460828159</v>
      </c>
      <c r="V74" s="758">
        <f>'INGRESOS de pasajeros'!R55*PARAMETROS!$C$61</f>
        <v>5172390.3963489495</v>
      </c>
      <c r="W74" s="758">
        <f>'INGRESOS de pasajeros'!S55*PARAMETROS!$C$61</f>
        <v>5402568.6572772712</v>
      </c>
      <c r="X74" s="758">
        <f>'INGRESOS de pasajeros'!T55*PARAMETROS!$C$61</f>
        <v>5447433.7755879741</v>
      </c>
      <c r="Y74" s="758">
        <f>'INGRESOS de pasajeros'!U55*PARAMETROS!$C$61</f>
        <v>5714187.7692121845</v>
      </c>
      <c r="Z74" s="758">
        <f>'INGRESOS de pasajeros'!V55*PARAMETROS!$C$61</f>
        <v>5760865.4383026361</v>
      </c>
      <c r="AA74" s="758">
        <f>'INGRESOS de pasajeros'!W55*PARAMETROS!$C$61</f>
        <v>6042167.8489317708</v>
      </c>
      <c r="AB74" s="758">
        <f>'INGRESOS de pasajeros'!X55*PARAMETROS!$C$61</f>
        <v>6090731.2958534779</v>
      </c>
      <c r="AC74" s="758">
        <f>'INGRESOS de pasajeros'!Y55*PARAMETROS!$C$61</f>
        <v>6336796.84020596</v>
      </c>
      <c r="AD74" s="758">
        <f>'INGRESOS de pasajeros'!Z55*PARAMETROS!$C$61</f>
        <v>6336796.84020596</v>
      </c>
      <c r="AE74" s="758">
        <f>'INGRESOS de pasajeros'!AA55*PARAMETROS!$C$61</f>
        <v>6592803.4325502794</v>
      </c>
      <c r="AF74" s="758">
        <f>'INGRESOS de pasajeros'!AB55*PARAMETROS!$C$61</f>
        <v>6592803.4325502794</v>
      </c>
      <c r="AG74" s="758">
        <f>'INGRESOS de pasajeros'!AC55*PARAMETROS!$C$61</f>
        <v>6859152.6912253099</v>
      </c>
      <c r="AH74" s="758">
        <f>'INGRESOS de pasajeros'!AD55*PARAMETROS!$C$61</f>
        <v>6859152.6912253099</v>
      </c>
      <c r="AI74" s="758">
        <f>'INGRESOS de pasajeros'!AE55*PARAMETROS!$C$61</f>
        <v>7136262.4599508131</v>
      </c>
      <c r="AJ74" s="758">
        <f>'INGRESOS de pasajeros'!AF55*PARAMETROS!$C$61</f>
        <v>7136262.4599508131</v>
      </c>
      <c r="AK74" s="758">
        <f>'INGRESOS de pasajeros'!AG55*PARAMETROS!$C$61</f>
        <v>7424567.4633328253</v>
      </c>
      <c r="AL74" s="758">
        <f>'INGRESOS de pasajeros'!AH55*PARAMETROS!$C$61</f>
        <v>7424567.4633328253</v>
      </c>
      <c r="AM74" s="758">
        <f>'INGRESOS de pasajeros'!AI55*PARAMETROS!$C$61</f>
        <v>7724519.9888514709</v>
      </c>
      <c r="AN74" s="758">
        <f>'INGRESOS de pasajeros'!AJ55*PARAMETROS!$C$61</f>
        <v>7724519.9888514709</v>
      </c>
      <c r="AO74" s="758">
        <f>'INGRESOS de pasajeros'!AK55*PARAMETROS!$C$61</f>
        <v>8036590.5964010721</v>
      </c>
      <c r="AP74" s="758">
        <f>'INGRESOS de pasajeros'!AL55*PARAMETROS!$C$61</f>
        <v>8036590.5964010721</v>
      </c>
      <c r="AQ74" s="758">
        <f>'INGRESOS de pasajeros'!AM55*PARAMETROS!$C$61</f>
        <v>8361268.8564956747</v>
      </c>
      <c r="AR74" s="758">
        <f>'INGRESOS de pasajeros'!AN55*PARAMETROS!$C$61</f>
        <v>8361268.8564956747</v>
      </c>
      <c r="AS74" s="758">
        <f>'INGRESOS de pasajeros'!AO55*PARAMETROS!$C$61</f>
        <v>8699064.1182981003</v>
      </c>
      <c r="AT74" s="758">
        <f>'INGRESOS de pasajeros'!AP55*PARAMETROS!$C$61</f>
        <v>8699064.1182981003</v>
      </c>
      <c r="AU74" s="13"/>
    </row>
    <row r="75" spans="1:47" x14ac:dyDescent="0.25">
      <c r="B75" s="832" t="s">
        <v>396</v>
      </c>
      <c r="C75" s="178">
        <v>0</v>
      </c>
      <c r="D75" s="178">
        <v>0</v>
      </c>
      <c r="E75" s="178">
        <v>0</v>
      </c>
      <c r="F75" s="178">
        <v>0</v>
      </c>
      <c r="G75" s="178">
        <f>$C$14*$C$15*12</f>
        <v>420000</v>
      </c>
      <c r="H75" s="178">
        <f t="shared" ref="H75:AT75" si="0">$G$75*((1+$C$25)^G69)</f>
        <v>428400</v>
      </c>
      <c r="I75" s="178">
        <f t="shared" si="0"/>
        <v>436968</v>
      </c>
      <c r="J75" s="178">
        <f t="shared" si="0"/>
        <v>445707.36</v>
      </c>
      <c r="K75" s="178">
        <f t="shared" si="0"/>
        <v>454621.50719999999</v>
      </c>
      <c r="L75" s="178">
        <f t="shared" si="0"/>
        <v>463713.93734400003</v>
      </c>
      <c r="M75" s="178">
        <f t="shared" si="0"/>
        <v>472988.21609088004</v>
      </c>
      <c r="N75" s="178">
        <f t="shared" si="0"/>
        <v>482447.98041269754</v>
      </c>
      <c r="O75" s="178">
        <f t="shared" si="0"/>
        <v>492096.9400209515</v>
      </c>
      <c r="P75" s="178">
        <f t="shared" si="0"/>
        <v>501938.87882137054</v>
      </c>
      <c r="Q75" s="178">
        <f t="shared" si="0"/>
        <v>511977.65639779798</v>
      </c>
      <c r="R75" s="178">
        <f t="shared" si="0"/>
        <v>522217.20952575386</v>
      </c>
      <c r="S75" s="178">
        <f t="shared" si="0"/>
        <v>532661.55371626897</v>
      </c>
      <c r="T75" s="178">
        <f t="shared" si="0"/>
        <v>543314.78479059436</v>
      </c>
      <c r="U75" s="178">
        <f t="shared" si="0"/>
        <v>554181.08048640634</v>
      </c>
      <c r="V75" s="178">
        <f t="shared" si="0"/>
        <v>565264.70209613431</v>
      </c>
      <c r="W75" s="178">
        <f t="shared" si="0"/>
        <v>576569.99613805709</v>
      </c>
      <c r="X75" s="178">
        <f t="shared" si="0"/>
        <v>588101.39606081822</v>
      </c>
      <c r="Y75" s="178">
        <f t="shared" si="0"/>
        <v>599863.42398203455</v>
      </c>
      <c r="Z75" s="178">
        <f t="shared" si="0"/>
        <v>611860.69246167527</v>
      </c>
      <c r="AA75" s="178">
        <f t="shared" si="0"/>
        <v>624097.90631090873</v>
      </c>
      <c r="AB75" s="178">
        <f t="shared" si="0"/>
        <v>636579.8644371269</v>
      </c>
      <c r="AC75" s="178">
        <f t="shared" si="0"/>
        <v>649311.46172586945</v>
      </c>
      <c r="AD75" s="178">
        <f t="shared" si="0"/>
        <v>662297.69096038677</v>
      </c>
      <c r="AE75" s="178">
        <f t="shared" si="0"/>
        <v>675543.6447795945</v>
      </c>
      <c r="AF75" s="178">
        <f t="shared" si="0"/>
        <v>689054.51767518639</v>
      </c>
      <c r="AG75" s="178">
        <f t="shared" si="0"/>
        <v>702835.60802869021</v>
      </c>
      <c r="AH75" s="178">
        <f t="shared" si="0"/>
        <v>716892.3201892639</v>
      </c>
      <c r="AI75" s="178">
        <f t="shared" si="0"/>
        <v>731230.1665930493</v>
      </c>
      <c r="AJ75" s="178">
        <f t="shared" si="0"/>
        <v>745854.76992491016</v>
      </c>
      <c r="AK75" s="178">
        <f t="shared" si="0"/>
        <v>760771.86532340851</v>
      </c>
      <c r="AL75" s="178">
        <f t="shared" si="0"/>
        <v>775987.30262987642</v>
      </c>
      <c r="AM75" s="178">
        <f t="shared" si="0"/>
        <v>791507.04868247418</v>
      </c>
      <c r="AN75" s="178">
        <f t="shared" si="0"/>
        <v>807337.18965612364</v>
      </c>
      <c r="AO75" s="178">
        <f t="shared" si="0"/>
        <v>823483.93344924611</v>
      </c>
      <c r="AP75" s="178">
        <f t="shared" si="0"/>
        <v>839953.61211823102</v>
      </c>
      <c r="AQ75" s="178">
        <f t="shared" si="0"/>
        <v>856752.68436059554</v>
      </c>
      <c r="AR75" s="178">
        <f t="shared" si="0"/>
        <v>873887.73804780759</v>
      </c>
      <c r="AS75" s="178">
        <f t="shared" si="0"/>
        <v>891365.49280876387</v>
      </c>
      <c r="AT75" s="178">
        <f t="shared" si="0"/>
        <v>909192.80266493873</v>
      </c>
      <c r="AU75" s="13"/>
    </row>
    <row r="76" spans="1:47" x14ac:dyDescent="0.25">
      <c r="B76" s="832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3"/>
    </row>
    <row r="77" spans="1:47" x14ac:dyDescent="0.25">
      <c r="B77" s="831" t="s">
        <v>516</v>
      </c>
      <c r="C77" s="268">
        <v>0</v>
      </c>
      <c r="D77" s="268">
        <v>0</v>
      </c>
      <c r="E77" s="268">
        <v>0</v>
      </c>
      <c r="F77" s="268">
        <v>0</v>
      </c>
      <c r="G77" s="268">
        <f>SUM($C$117:$F$117)*$C$18/50</f>
        <v>-839011.57800246822</v>
      </c>
      <c r="H77" s="268">
        <f t="shared" ref="H77:AT77" si="1">SUM($C$117:$F$117)*$C$18/50</f>
        <v>-839011.57800246822</v>
      </c>
      <c r="I77" s="268">
        <f t="shared" si="1"/>
        <v>-839011.57800246822</v>
      </c>
      <c r="J77" s="268">
        <f t="shared" si="1"/>
        <v>-839011.57800246822</v>
      </c>
      <c r="K77" s="268">
        <f t="shared" si="1"/>
        <v>-839011.57800246822</v>
      </c>
      <c r="L77" s="268">
        <f t="shared" si="1"/>
        <v>-839011.57800246822</v>
      </c>
      <c r="M77" s="268">
        <f t="shared" si="1"/>
        <v>-839011.57800246822</v>
      </c>
      <c r="N77" s="268">
        <f t="shared" si="1"/>
        <v>-839011.57800246822</v>
      </c>
      <c r="O77" s="268">
        <f t="shared" si="1"/>
        <v>-839011.57800246822</v>
      </c>
      <c r="P77" s="268">
        <f t="shared" si="1"/>
        <v>-839011.57800246822</v>
      </c>
      <c r="Q77" s="268">
        <f t="shared" si="1"/>
        <v>-839011.57800246822</v>
      </c>
      <c r="R77" s="268">
        <f t="shared" si="1"/>
        <v>-839011.57800246822</v>
      </c>
      <c r="S77" s="268">
        <f t="shared" si="1"/>
        <v>-839011.57800246822</v>
      </c>
      <c r="T77" s="268">
        <f t="shared" si="1"/>
        <v>-839011.57800246822</v>
      </c>
      <c r="U77" s="268">
        <f t="shared" si="1"/>
        <v>-839011.57800246822</v>
      </c>
      <c r="V77" s="268">
        <f t="shared" si="1"/>
        <v>-839011.57800246822</v>
      </c>
      <c r="W77" s="268">
        <f t="shared" si="1"/>
        <v>-839011.57800246822</v>
      </c>
      <c r="X77" s="268">
        <f t="shared" si="1"/>
        <v>-839011.57800246822</v>
      </c>
      <c r="Y77" s="268">
        <f t="shared" si="1"/>
        <v>-839011.57800246822</v>
      </c>
      <c r="Z77" s="268">
        <f t="shared" si="1"/>
        <v>-839011.57800246822</v>
      </c>
      <c r="AA77" s="268">
        <f t="shared" si="1"/>
        <v>-839011.57800246822</v>
      </c>
      <c r="AB77" s="268">
        <f t="shared" si="1"/>
        <v>-839011.57800246822</v>
      </c>
      <c r="AC77" s="268">
        <f t="shared" si="1"/>
        <v>-839011.57800246822</v>
      </c>
      <c r="AD77" s="268">
        <f t="shared" si="1"/>
        <v>-839011.57800246822</v>
      </c>
      <c r="AE77" s="268">
        <f t="shared" si="1"/>
        <v>-839011.57800246822</v>
      </c>
      <c r="AF77" s="268">
        <f t="shared" si="1"/>
        <v>-839011.57800246822</v>
      </c>
      <c r="AG77" s="268">
        <f t="shared" si="1"/>
        <v>-839011.57800246822</v>
      </c>
      <c r="AH77" s="268">
        <f t="shared" si="1"/>
        <v>-839011.57800246822</v>
      </c>
      <c r="AI77" s="268">
        <f t="shared" si="1"/>
        <v>-839011.57800246822</v>
      </c>
      <c r="AJ77" s="268">
        <f t="shared" si="1"/>
        <v>-839011.57800246822</v>
      </c>
      <c r="AK77" s="268">
        <f t="shared" si="1"/>
        <v>-839011.57800246822</v>
      </c>
      <c r="AL77" s="268">
        <f t="shared" si="1"/>
        <v>-839011.57800246822</v>
      </c>
      <c r="AM77" s="268">
        <f t="shared" si="1"/>
        <v>-839011.57800246822</v>
      </c>
      <c r="AN77" s="268">
        <f t="shared" si="1"/>
        <v>-839011.57800246822</v>
      </c>
      <c r="AO77" s="268">
        <f t="shared" si="1"/>
        <v>-839011.57800246822</v>
      </c>
      <c r="AP77" s="268">
        <f t="shared" si="1"/>
        <v>-839011.57800246822</v>
      </c>
      <c r="AQ77" s="268">
        <f t="shared" si="1"/>
        <v>-839011.57800246822</v>
      </c>
      <c r="AR77" s="268">
        <f t="shared" si="1"/>
        <v>-839011.57800246822</v>
      </c>
      <c r="AS77" s="268">
        <f t="shared" si="1"/>
        <v>-839011.57800246822</v>
      </c>
      <c r="AT77" s="268">
        <f t="shared" si="1"/>
        <v>-839011.57800246822</v>
      </c>
      <c r="AU77" s="13"/>
    </row>
    <row r="78" spans="1:47" x14ac:dyDescent="0.25">
      <c r="B78" s="831" t="s">
        <v>517</v>
      </c>
      <c r="C78" s="268">
        <v>0</v>
      </c>
      <c r="D78" s="268">
        <v>0</v>
      </c>
      <c r="E78" s="268">
        <v>0</v>
      </c>
      <c r="F78" s="268">
        <v>0</v>
      </c>
      <c r="G78" s="268">
        <f>SUM($C$117:$F$117)*$C$19/40</f>
        <v>-1763216.5038117287</v>
      </c>
      <c r="H78" s="268">
        <f t="shared" ref="H78:AT78" si="2">SUM($C$117:$F$117)*$C$19/40</f>
        <v>-1763216.5038117287</v>
      </c>
      <c r="I78" s="268">
        <f t="shared" si="2"/>
        <v>-1763216.5038117287</v>
      </c>
      <c r="J78" s="268">
        <f t="shared" si="2"/>
        <v>-1763216.5038117287</v>
      </c>
      <c r="K78" s="268">
        <f t="shared" si="2"/>
        <v>-1763216.5038117287</v>
      </c>
      <c r="L78" s="268">
        <f t="shared" si="2"/>
        <v>-1763216.5038117287</v>
      </c>
      <c r="M78" s="268">
        <f t="shared" si="2"/>
        <v>-1763216.5038117287</v>
      </c>
      <c r="N78" s="268">
        <f t="shared" si="2"/>
        <v>-1763216.5038117287</v>
      </c>
      <c r="O78" s="268">
        <f t="shared" si="2"/>
        <v>-1763216.5038117287</v>
      </c>
      <c r="P78" s="268">
        <f t="shared" si="2"/>
        <v>-1763216.5038117287</v>
      </c>
      <c r="Q78" s="268">
        <f t="shared" si="2"/>
        <v>-1763216.5038117287</v>
      </c>
      <c r="R78" s="268">
        <f t="shared" si="2"/>
        <v>-1763216.5038117287</v>
      </c>
      <c r="S78" s="268">
        <f t="shared" si="2"/>
        <v>-1763216.5038117287</v>
      </c>
      <c r="T78" s="268">
        <f t="shared" si="2"/>
        <v>-1763216.5038117287</v>
      </c>
      <c r="U78" s="268">
        <f t="shared" si="2"/>
        <v>-1763216.5038117287</v>
      </c>
      <c r="V78" s="268">
        <f t="shared" si="2"/>
        <v>-1763216.5038117287</v>
      </c>
      <c r="W78" s="268">
        <f t="shared" si="2"/>
        <v>-1763216.5038117287</v>
      </c>
      <c r="X78" s="268">
        <f t="shared" si="2"/>
        <v>-1763216.5038117287</v>
      </c>
      <c r="Y78" s="268">
        <f t="shared" si="2"/>
        <v>-1763216.5038117287</v>
      </c>
      <c r="Z78" s="268">
        <f t="shared" si="2"/>
        <v>-1763216.5038117287</v>
      </c>
      <c r="AA78" s="268">
        <f t="shared" si="2"/>
        <v>-1763216.5038117287</v>
      </c>
      <c r="AB78" s="268">
        <f t="shared" si="2"/>
        <v>-1763216.5038117287</v>
      </c>
      <c r="AC78" s="268">
        <f t="shared" si="2"/>
        <v>-1763216.5038117287</v>
      </c>
      <c r="AD78" s="268">
        <f t="shared" si="2"/>
        <v>-1763216.5038117287</v>
      </c>
      <c r="AE78" s="268">
        <f t="shared" si="2"/>
        <v>-1763216.5038117287</v>
      </c>
      <c r="AF78" s="268">
        <f t="shared" si="2"/>
        <v>-1763216.5038117287</v>
      </c>
      <c r="AG78" s="268">
        <f t="shared" si="2"/>
        <v>-1763216.5038117287</v>
      </c>
      <c r="AH78" s="268">
        <f t="shared" si="2"/>
        <v>-1763216.5038117287</v>
      </c>
      <c r="AI78" s="268">
        <f t="shared" si="2"/>
        <v>-1763216.5038117287</v>
      </c>
      <c r="AJ78" s="268">
        <f t="shared" si="2"/>
        <v>-1763216.5038117287</v>
      </c>
      <c r="AK78" s="268">
        <f t="shared" si="2"/>
        <v>-1763216.5038117287</v>
      </c>
      <c r="AL78" s="268">
        <f t="shared" si="2"/>
        <v>-1763216.5038117287</v>
      </c>
      <c r="AM78" s="268">
        <f t="shared" si="2"/>
        <v>-1763216.5038117287</v>
      </c>
      <c r="AN78" s="268">
        <f t="shared" si="2"/>
        <v>-1763216.5038117287</v>
      </c>
      <c r="AO78" s="268">
        <f t="shared" si="2"/>
        <v>-1763216.5038117287</v>
      </c>
      <c r="AP78" s="268">
        <f t="shared" si="2"/>
        <v>-1763216.5038117287</v>
      </c>
      <c r="AQ78" s="268">
        <f t="shared" si="2"/>
        <v>-1763216.5038117287</v>
      </c>
      <c r="AR78" s="268">
        <f t="shared" si="2"/>
        <v>-1763216.5038117287</v>
      </c>
      <c r="AS78" s="268">
        <f t="shared" si="2"/>
        <v>-1763216.5038117287</v>
      </c>
      <c r="AT78" s="268">
        <f t="shared" si="2"/>
        <v>-1763216.5038117287</v>
      </c>
      <c r="AU78" s="13"/>
    </row>
    <row r="79" spans="1:47" x14ac:dyDescent="0.25">
      <c r="B79" s="831" t="s">
        <v>518</v>
      </c>
      <c r="C79" s="268">
        <v>0</v>
      </c>
      <c r="D79" s="268">
        <v>0</v>
      </c>
      <c r="E79" s="268">
        <v>0</v>
      </c>
      <c r="F79" s="268">
        <v>0</v>
      </c>
      <c r="G79" s="268">
        <f>SUM($C$117:$F$117)*$C$20/15</f>
        <v>-1033960.8285917911</v>
      </c>
      <c r="H79" s="268">
        <f t="shared" ref="H79:U79" si="3">SUM($C$117:$F$117)*$C$20/15</f>
        <v>-1033960.8285917911</v>
      </c>
      <c r="I79" s="268">
        <f t="shared" si="3"/>
        <v>-1033960.8285917911</v>
      </c>
      <c r="J79" s="268">
        <f t="shared" si="3"/>
        <v>-1033960.8285917911</v>
      </c>
      <c r="K79" s="268">
        <f t="shared" si="3"/>
        <v>-1033960.8285917911</v>
      </c>
      <c r="L79" s="268">
        <f t="shared" si="3"/>
        <v>-1033960.8285917911</v>
      </c>
      <c r="M79" s="268">
        <f t="shared" si="3"/>
        <v>-1033960.8285917911</v>
      </c>
      <c r="N79" s="268">
        <f t="shared" si="3"/>
        <v>-1033960.8285917911</v>
      </c>
      <c r="O79" s="268">
        <f t="shared" si="3"/>
        <v>-1033960.8285917911</v>
      </c>
      <c r="P79" s="268">
        <f t="shared" si="3"/>
        <v>-1033960.8285917911</v>
      </c>
      <c r="Q79" s="268">
        <f t="shared" si="3"/>
        <v>-1033960.8285917911</v>
      </c>
      <c r="R79" s="268">
        <f t="shared" si="3"/>
        <v>-1033960.8285917911</v>
      </c>
      <c r="S79" s="268">
        <f t="shared" si="3"/>
        <v>-1033960.8285917911</v>
      </c>
      <c r="T79" s="268">
        <f t="shared" si="3"/>
        <v>-1033960.8285917911</v>
      </c>
      <c r="U79" s="268">
        <f t="shared" si="3"/>
        <v>-1033960.8285917911</v>
      </c>
      <c r="V79" s="268">
        <v>0</v>
      </c>
      <c r="W79" s="268">
        <v>0</v>
      </c>
      <c r="X79" s="268">
        <v>0</v>
      </c>
      <c r="Y79" s="268">
        <v>0</v>
      </c>
      <c r="Z79" s="268">
        <v>0</v>
      </c>
      <c r="AA79" s="268">
        <v>0</v>
      </c>
      <c r="AB79" s="268">
        <v>0</v>
      </c>
      <c r="AC79" s="268">
        <v>0</v>
      </c>
      <c r="AD79" s="268">
        <v>0</v>
      </c>
      <c r="AE79" s="268">
        <v>0</v>
      </c>
      <c r="AF79" s="268">
        <v>0</v>
      </c>
      <c r="AG79" s="268">
        <v>0</v>
      </c>
      <c r="AH79" s="268">
        <v>0</v>
      </c>
      <c r="AI79" s="268">
        <v>0</v>
      </c>
      <c r="AJ79" s="268">
        <v>0</v>
      </c>
      <c r="AK79" s="268">
        <v>0</v>
      </c>
      <c r="AL79" s="268">
        <v>0</v>
      </c>
      <c r="AM79" s="268">
        <v>0</v>
      </c>
      <c r="AN79" s="268">
        <v>0</v>
      </c>
      <c r="AO79" s="268">
        <v>0</v>
      </c>
      <c r="AP79" s="268">
        <v>0</v>
      </c>
      <c r="AQ79" s="268">
        <v>0</v>
      </c>
      <c r="AR79" s="268">
        <v>0</v>
      </c>
      <c r="AS79" s="268">
        <v>0</v>
      </c>
      <c r="AT79" s="268">
        <v>0</v>
      </c>
      <c r="AU79" s="13"/>
    </row>
    <row r="80" spans="1:47" x14ac:dyDescent="0.25">
      <c r="B80" s="831" t="s">
        <v>519</v>
      </c>
      <c r="C80" s="268">
        <v>0</v>
      </c>
      <c r="D80" s="268">
        <v>0</v>
      </c>
      <c r="E80" s="268">
        <v>0</v>
      </c>
      <c r="F80" s="268">
        <v>0</v>
      </c>
      <c r="G80" s="268">
        <f>SUM($C$117:$F$117)*$C$21/10</f>
        <v>-590377.75688031956</v>
      </c>
      <c r="H80" s="268">
        <f t="shared" ref="H80:P80" si="4">SUM($C$117:$F$117)*$C$21/10</f>
        <v>-590377.75688031956</v>
      </c>
      <c r="I80" s="268">
        <f t="shared" si="4"/>
        <v>-590377.75688031956</v>
      </c>
      <c r="J80" s="268">
        <f t="shared" si="4"/>
        <v>-590377.75688031956</v>
      </c>
      <c r="K80" s="268">
        <f t="shared" si="4"/>
        <v>-590377.75688031956</v>
      </c>
      <c r="L80" s="268">
        <f t="shared" si="4"/>
        <v>-590377.75688031956</v>
      </c>
      <c r="M80" s="268">
        <f t="shared" si="4"/>
        <v>-590377.75688031956</v>
      </c>
      <c r="N80" s="268">
        <f t="shared" si="4"/>
        <v>-590377.75688031956</v>
      </c>
      <c r="O80" s="268">
        <f t="shared" si="4"/>
        <v>-590377.75688031956</v>
      </c>
      <c r="P80" s="268">
        <f t="shared" si="4"/>
        <v>-590377.75688031956</v>
      </c>
      <c r="Q80" s="268">
        <v>0</v>
      </c>
      <c r="R80" s="268">
        <v>0</v>
      </c>
      <c r="S80" s="268">
        <v>0</v>
      </c>
      <c r="T80" s="268">
        <v>0</v>
      </c>
      <c r="U80" s="268">
        <v>0</v>
      </c>
      <c r="V80" s="268">
        <v>0</v>
      </c>
      <c r="W80" s="268">
        <v>0</v>
      </c>
      <c r="X80" s="268">
        <v>0</v>
      </c>
      <c r="Y80" s="268">
        <v>0</v>
      </c>
      <c r="Z80" s="268">
        <v>0</v>
      </c>
      <c r="AA80" s="268">
        <v>0</v>
      </c>
      <c r="AB80" s="268">
        <v>0</v>
      </c>
      <c r="AC80" s="268">
        <v>0</v>
      </c>
      <c r="AD80" s="268">
        <v>0</v>
      </c>
      <c r="AE80" s="268">
        <v>0</v>
      </c>
      <c r="AF80" s="268">
        <v>0</v>
      </c>
      <c r="AG80" s="268">
        <v>0</v>
      </c>
      <c r="AH80" s="268">
        <v>0</v>
      </c>
      <c r="AI80" s="268">
        <v>0</v>
      </c>
      <c r="AJ80" s="268">
        <v>0</v>
      </c>
      <c r="AK80" s="268">
        <v>0</v>
      </c>
      <c r="AL80" s="268">
        <v>0</v>
      </c>
      <c r="AM80" s="268">
        <v>0</v>
      </c>
      <c r="AN80" s="268">
        <v>0</v>
      </c>
      <c r="AO80" s="268">
        <v>0</v>
      </c>
      <c r="AP80" s="268">
        <v>0</v>
      </c>
      <c r="AQ80" s="268">
        <v>0</v>
      </c>
      <c r="AR80" s="268">
        <v>0</v>
      </c>
      <c r="AS80" s="268">
        <v>0</v>
      </c>
      <c r="AT80" s="268">
        <v>0</v>
      </c>
      <c r="AU80" s="13"/>
    </row>
    <row r="81" spans="2:66" x14ac:dyDescent="0.25">
      <c r="B81" s="831" t="s">
        <v>520</v>
      </c>
      <c r="C81" s="268">
        <v>0</v>
      </c>
      <c r="D81" s="268">
        <v>0</v>
      </c>
      <c r="E81" s="268">
        <v>0</v>
      </c>
      <c r="F81" s="268">
        <v>0</v>
      </c>
      <c r="G81" s="268">
        <f>SUM($C$117:$F$117)*$C$22/5</f>
        <v>-249751.95009344042</v>
      </c>
      <c r="H81" s="268">
        <f t="shared" ref="H81:K81" si="5">SUM($C$117:$F$117)*$C$22/5</f>
        <v>-249751.95009344042</v>
      </c>
      <c r="I81" s="268">
        <f t="shared" si="5"/>
        <v>-249751.95009344042</v>
      </c>
      <c r="J81" s="268">
        <f t="shared" si="5"/>
        <v>-249751.95009344042</v>
      </c>
      <c r="K81" s="268">
        <f t="shared" si="5"/>
        <v>-249751.95009344042</v>
      </c>
      <c r="L81" s="268">
        <v>0</v>
      </c>
      <c r="M81" s="268">
        <v>0</v>
      </c>
      <c r="N81" s="268">
        <v>0</v>
      </c>
      <c r="O81" s="268">
        <v>0</v>
      </c>
      <c r="P81" s="268">
        <v>0</v>
      </c>
      <c r="Q81" s="268">
        <v>0</v>
      </c>
      <c r="R81" s="268">
        <v>0</v>
      </c>
      <c r="S81" s="268">
        <v>0</v>
      </c>
      <c r="T81" s="268">
        <v>0</v>
      </c>
      <c r="U81" s="268">
        <v>0</v>
      </c>
      <c r="V81" s="268">
        <v>0</v>
      </c>
      <c r="W81" s="268">
        <v>0</v>
      </c>
      <c r="X81" s="268">
        <v>0</v>
      </c>
      <c r="Y81" s="268">
        <v>0</v>
      </c>
      <c r="Z81" s="268">
        <v>0</v>
      </c>
      <c r="AA81" s="268">
        <v>0</v>
      </c>
      <c r="AB81" s="268">
        <v>0</v>
      </c>
      <c r="AC81" s="268">
        <v>0</v>
      </c>
      <c r="AD81" s="268">
        <v>0</v>
      </c>
      <c r="AE81" s="268">
        <v>0</v>
      </c>
      <c r="AF81" s="268">
        <v>0</v>
      </c>
      <c r="AG81" s="268">
        <v>0</v>
      </c>
      <c r="AH81" s="268">
        <v>0</v>
      </c>
      <c r="AI81" s="268">
        <v>0</v>
      </c>
      <c r="AJ81" s="268">
        <v>0</v>
      </c>
      <c r="AK81" s="268">
        <v>0</v>
      </c>
      <c r="AL81" s="268">
        <v>0</v>
      </c>
      <c r="AM81" s="268">
        <v>0</v>
      </c>
      <c r="AN81" s="268">
        <v>0</v>
      </c>
      <c r="AO81" s="268">
        <v>0</v>
      </c>
      <c r="AP81" s="268">
        <v>0</v>
      </c>
      <c r="AQ81" s="268">
        <v>0</v>
      </c>
      <c r="AR81" s="268">
        <v>0</v>
      </c>
      <c r="AS81" s="268">
        <v>0</v>
      </c>
      <c r="AT81" s="268">
        <v>0</v>
      </c>
      <c r="AU81" s="13"/>
    </row>
    <row r="82" spans="2:66" x14ac:dyDescent="0.25">
      <c r="B82" s="845" t="s">
        <v>529</v>
      </c>
      <c r="C82" s="824">
        <v>0</v>
      </c>
      <c r="D82" s="824">
        <v>0</v>
      </c>
      <c r="E82" s="824">
        <v>0</v>
      </c>
      <c r="F82" s="824">
        <v>0</v>
      </c>
      <c r="G82" s="824">
        <f>-(SUM(C117:F117))+SUM(G77:G81)</f>
        <v>151074474.56595954</v>
      </c>
      <c r="H82" s="824">
        <f>G82+SUM(H77:H81)</f>
        <v>146598155.94857979</v>
      </c>
      <c r="I82" s="824">
        <f t="shared" ref="I82:AT82" si="6">H82+SUM(I77:I81)</f>
        <v>142121837.33120003</v>
      </c>
      <c r="J82" s="824">
        <f t="shared" si="6"/>
        <v>137645518.71382028</v>
      </c>
      <c r="K82" s="824">
        <f t="shared" si="6"/>
        <v>133169200.09644052</v>
      </c>
      <c r="L82" s="824">
        <f t="shared" si="6"/>
        <v>128942633.42915422</v>
      </c>
      <c r="M82" s="824">
        <f t="shared" si="6"/>
        <v>124716066.76186791</v>
      </c>
      <c r="N82" s="824">
        <f t="shared" si="6"/>
        <v>120489500.0945816</v>
      </c>
      <c r="O82" s="824">
        <f t="shared" si="6"/>
        <v>116262933.4272953</v>
      </c>
      <c r="P82" s="824">
        <f t="shared" si="6"/>
        <v>112036366.76000899</v>
      </c>
      <c r="Q82" s="824">
        <f t="shared" si="6"/>
        <v>108400177.849603</v>
      </c>
      <c r="R82" s="824">
        <f t="shared" si="6"/>
        <v>104763988.939197</v>
      </c>
      <c r="S82" s="824">
        <f t="shared" si="6"/>
        <v>101127800.02879101</v>
      </c>
      <c r="T82" s="824">
        <f t="shared" si="6"/>
        <v>97491611.118385017</v>
      </c>
      <c r="U82" s="824">
        <f t="shared" si="6"/>
        <v>93855422.207979023</v>
      </c>
      <c r="V82" s="824">
        <f t="shared" si="6"/>
        <v>91253194.126164824</v>
      </c>
      <c r="W82" s="824">
        <f t="shared" si="6"/>
        <v>88650966.044350624</v>
      </c>
      <c r="X82" s="824">
        <f t="shared" si="6"/>
        <v>86048737.962536424</v>
      </c>
      <c r="Y82" s="824">
        <f t="shared" si="6"/>
        <v>83446509.880722225</v>
      </c>
      <c r="Z82" s="824">
        <f t="shared" si="6"/>
        <v>80844281.798908025</v>
      </c>
      <c r="AA82" s="824">
        <f t="shared" si="6"/>
        <v>78242053.717093825</v>
      </c>
      <c r="AB82" s="824">
        <f t="shared" si="6"/>
        <v>75639825.635279626</v>
      </c>
      <c r="AC82" s="824">
        <f t="shared" si="6"/>
        <v>73037597.553465426</v>
      </c>
      <c r="AD82" s="824">
        <f t="shared" si="6"/>
        <v>70435369.471651226</v>
      </c>
      <c r="AE82" s="824">
        <f t="shared" si="6"/>
        <v>67833141.389837027</v>
      </c>
      <c r="AF82" s="824">
        <f t="shared" si="6"/>
        <v>65230913.308022827</v>
      </c>
      <c r="AG82" s="824">
        <f t="shared" si="6"/>
        <v>62628685.226208627</v>
      </c>
      <c r="AH82" s="824">
        <f t="shared" si="6"/>
        <v>60026457.144394428</v>
      </c>
      <c r="AI82" s="824">
        <f t="shared" si="6"/>
        <v>57424229.062580228</v>
      </c>
      <c r="AJ82" s="824">
        <f t="shared" si="6"/>
        <v>54822000.980766028</v>
      </c>
      <c r="AK82" s="824">
        <f t="shared" si="6"/>
        <v>52219772.898951828</v>
      </c>
      <c r="AL82" s="824">
        <f t="shared" si="6"/>
        <v>49617544.817137629</v>
      </c>
      <c r="AM82" s="824">
        <f t="shared" si="6"/>
        <v>47015316.735323429</v>
      </c>
      <c r="AN82" s="824">
        <f t="shared" si="6"/>
        <v>44413088.653509229</v>
      </c>
      <c r="AO82" s="824">
        <f t="shared" si="6"/>
        <v>41810860.57169503</v>
      </c>
      <c r="AP82" s="824">
        <f t="shared" si="6"/>
        <v>39208632.48988083</v>
      </c>
      <c r="AQ82" s="824">
        <f t="shared" si="6"/>
        <v>36606404.40806663</v>
      </c>
      <c r="AR82" s="824">
        <f t="shared" si="6"/>
        <v>34004176.326252431</v>
      </c>
      <c r="AS82" s="824">
        <f t="shared" si="6"/>
        <v>31401948.244438235</v>
      </c>
      <c r="AT82" s="824">
        <f t="shared" si="6"/>
        <v>28799720.162624039</v>
      </c>
      <c r="AU82" s="13"/>
    </row>
    <row r="83" spans="2:66" x14ac:dyDescent="0.25">
      <c r="B83" s="831" t="s">
        <v>521</v>
      </c>
      <c r="C83" s="268">
        <v>0</v>
      </c>
      <c r="D83" s="268">
        <v>0</v>
      </c>
      <c r="E83" s="268">
        <v>0</v>
      </c>
      <c r="F83" s="268">
        <v>0</v>
      </c>
      <c r="G83" s="268">
        <v>0</v>
      </c>
      <c r="H83" s="268">
        <v>0</v>
      </c>
      <c r="I83" s="268">
        <v>0</v>
      </c>
      <c r="J83" s="268">
        <v>0</v>
      </c>
      <c r="K83" s="268">
        <v>0</v>
      </c>
      <c r="L83" s="268">
        <v>0</v>
      </c>
      <c r="M83" s="268">
        <v>0</v>
      </c>
      <c r="N83" s="268">
        <v>0</v>
      </c>
      <c r="O83" s="268">
        <v>0</v>
      </c>
      <c r="P83" s="268">
        <v>0</v>
      </c>
      <c r="Q83" s="268">
        <v>0</v>
      </c>
      <c r="R83" s="268">
        <f>SUM($P$118:$Q$118)/10</f>
        <v>-728389.33338023908</v>
      </c>
      <c r="S83" s="268">
        <f t="shared" ref="S83:AB83" si="7">SUM($P$118:$Q$118)/10</f>
        <v>-728389.33338023908</v>
      </c>
      <c r="T83" s="268">
        <f t="shared" si="7"/>
        <v>-728389.33338023908</v>
      </c>
      <c r="U83" s="268">
        <f t="shared" si="7"/>
        <v>-728389.33338023908</v>
      </c>
      <c r="V83" s="268">
        <f t="shared" si="7"/>
        <v>-728389.33338023908</v>
      </c>
      <c r="W83" s="268">
        <f t="shared" si="7"/>
        <v>-728389.33338023908</v>
      </c>
      <c r="X83" s="268">
        <f t="shared" si="7"/>
        <v>-728389.33338023908</v>
      </c>
      <c r="Y83" s="268">
        <f t="shared" si="7"/>
        <v>-728389.33338023908</v>
      </c>
      <c r="Z83" s="268">
        <f t="shared" si="7"/>
        <v>-728389.33338023908</v>
      </c>
      <c r="AA83" s="268">
        <f t="shared" si="7"/>
        <v>-728389.33338023908</v>
      </c>
      <c r="AB83" s="268">
        <f t="shared" si="7"/>
        <v>-728389.33338023908</v>
      </c>
      <c r="AC83" s="268">
        <v>0</v>
      </c>
      <c r="AD83" s="268">
        <v>0</v>
      </c>
      <c r="AE83" s="268">
        <v>0</v>
      </c>
      <c r="AF83" s="268">
        <v>0</v>
      </c>
      <c r="AG83" s="268">
        <v>0</v>
      </c>
      <c r="AH83" s="268">
        <v>0</v>
      </c>
      <c r="AI83" s="268">
        <v>0</v>
      </c>
      <c r="AJ83" s="268">
        <v>0</v>
      </c>
      <c r="AK83" s="268">
        <v>0</v>
      </c>
      <c r="AL83" s="268">
        <v>0</v>
      </c>
      <c r="AM83" s="268">
        <v>0</v>
      </c>
      <c r="AN83" s="268">
        <v>0</v>
      </c>
      <c r="AO83" s="268">
        <v>0</v>
      </c>
      <c r="AP83" s="268">
        <v>0</v>
      </c>
      <c r="AQ83" s="268">
        <v>0</v>
      </c>
      <c r="AR83" s="268">
        <v>0</v>
      </c>
      <c r="AS83" s="268">
        <v>0</v>
      </c>
      <c r="AT83" s="268">
        <v>0</v>
      </c>
      <c r="AU83" s="13"/>
    </row>
    <row r="84" spans="2:66" s="42" customFormat="1" x14ac:dyDescent="0.25">
      <c r="B84" s="845" t="s">
        <v>522</v>
      </c>
      <c r="C84" s="824">
        <v>0</v>
      </c>
      <c r="D84" s="824">
        <v>0</v>
      </c>
      <c r="E84" s="824">
        <v>0</v>
      </c>
      <c r="F84" s="824">
        <v>0</v>
      </c>
      <c r="G84" s="824">
        <v>0</v>
      </c>
      <c r="H84" s="824">
        <v>0</v>
      </c>
      <c r="I84" s="824">
        <v>0</v>
      </c>
      <c r="J84" s="824">
        <v>0</v>
      </c>
      <c r="K84" s="824">
        <v>0</v>
      </c>
      <c r="L84" s="824">
        <v>0</v>
      </c>
      <c r="M84" s="824">
        <v>0</v>
      </c>
      <c r="N84" s="824">
        <v>0</v>
      </c>
      <c r="O84" s="824">
        <v>0</v>
      </c>
      <c r="P84" s="824">
        <v>0</v>
      </c>
      <c r="Q84" s="824">
        <v>0</v>
      </c>
      <c r="R84" s="824">
        <f>-SUM(P118:Q118)</f>
        <v>7283893.3338023908</v>
      </c>
      <c r="S84" s="824">
        <f>R84+S83</f>
        <v>6555504.0004221518</v>
      </c>
      <c r="T84" s="824">
        <f t="shared" ref="T84:AB84" si="8">S84+T83</f>
        <v>5827114.6670419127</v>
      </c>
      <c r="U84" s="824">
        <f t="shared" si="8"/>
        <v>5098725.3336616736</v>
      </c>
      <c r="V84" s="824">
        <f t="shared" si="8"/>
        <v>4370336.0002814345</v>
      </c>
      <c r="W84" s="824">
        <f t="shared" si="8"/>
        <v>3641946.6669011954</v>
      </c>
      <c r="X84" s="824">
        <f t="shared" si="8"/>
        <v>2913557.3335209563</v>
      </c>
      <c r="Y84" s="824">
        <f t="shared" si="8"/>
        <v>2185168.0001407173</v>
      </c>
      <c r="Z84" s="824">
        <f t="shared" si="8"/>
        <v>1456778.6667604782</v>
      </c>
      <c r="AA84" s="824">
        <f t="shared" si="8"/>
        <v>728389.33338023908</v>
      </c>
      <c r="AB84" s="824">
        <f t="shared" si="8"/>
        <v>0</v>
      </c>
      <c r="AC84" s="824">
        <v>0</v>
      </c>
      <c r="AD84" s="824">
        <v>0</v>
      </c>
      <c r="AE84" s="824">
        <v>0</v>
      </c>
      <c r="AF84" s="824">
        <v>0</v>
      </c>
      <c r="AG84" s="824">
        <v>0</v>
      </c>
      <c r="AH84" s="824">
        <v>0</v>
      </c>
      <c r="AI84" s="824">
        <v>0</v>
      </c>
      <c r="AJ84" s="824">
        <v>0</v>
      </c>
      <c r="AK84" s="824">
        <v>0</v>
      </c>
      <c r="AL84" s="824">
        <v>0</v>
      </c>
      <c r="AM84" s="824">
        <v>0</v>
      </c>
      <c r="AN84" s="824">
        <v>0</v>
      </c>
      <c r="AO84" s="824">
        <v>0</v>
      </c>
      <c r="AP84" s="824">
        <v>0</v>
      </c>
      <c r="AQ84" s="824">
        <v>0</v>
      </c>
      <c r="AR84" s="824">
        <v>0</v>
      </c>
      <c r="AS84" s="824">
        <v>0</v>
      </c>
      <c r="AT84" s="824">
        <v>0</v>
      </c>
      <c r="AU84" s="815"/>
    </row>
    <row r="85" spans="2:66" x14ac:dyDescent="0.25">
      <c r="B85" s="831" t="s">
        <v>527</v>
      </c>
      <c r="C85" s="268">
        <v>0</v>
      </c>
      <c r="D85" s="268">
        <v>0</v>
      </c>
      <c r="E85" s="268">
        <v>0</v>
      </c>
      <c r="F85" s="268">
        <v>0</v>
      </c>
      <c r="G85" s="268">
        <v>0</v>
      </c>
      <c r="H85" s="268">
        <v>0</v>
      </c>
      <c r="I85" s="268">
        <v>0</v>
      </c>
      <c r="J85" s="268">
        <v>0</v>
      </c>
      <c r="K85" s="268">
        <v>0</v>
      </c>
      <c r="L85" s="268">
        <v>0</v>
      </c>
      <c r="M85" s="268">
        <v>0</v>
      </c>
      <c r="N85" s="268">
        <v>0</v>
      </c>
      <c r="O85" s="268">
        <v>0</v>
      </c>
      <c r="P85" s="268">
        <v>0</v>
      </c>
      <c r="Q85" s="268">
        <v>0</v>
      </c>
      <c r="R85" s="268">
        <v>0</v>
      </c>
      <c r="S85" s="268">
        <v>0</v>
      </c>
      <c r="T85" s="268">
        <v>0</v>
      </c>
      <c r="U85" s="268">
        <v>0</v>
      </c>
      <c r="V85" s="268">
        <v>0</v>
      </c>
      <c r="W85" s="268">
        <v>0</v>
      </c>
      <c r="X85" s="268">
        <f t="shared" ref="X85:AL85" si="9">SUM($U$118:$W$118)/15</f>
        <v>-1453440.5611895286</v>
      </c>
      <c r="Y85" s="268">
        <f t="shared" si="9"/>
        <v>-1453440.5611895286</v>
      </c>
      <c r="Z85" s="268">
        <f t="shared" si="9"/>
        <v>-1453440.5611895286</v>
      </c>
      <c r="AA85" s="268">
        <f t="shared" si="9"/>
        <v>-1453440.5611895286</v>
      </c>
      <c r="AB85" s="268">
        <f t="shared" si="9"/>
        <v>-1453440.5611895286</v>
      </c>
      <c r="AC85" s="268">
        <f t="shared" si="9"/>
        <v>-1453440.5611895286</v>
      </c>
      <c r="AD85" s="268">
        <f t="shared" si="9"/>
        <v>-1453440.5611895286</v>
      </c>
      <c r="AE85" s="268">
        <f t="shared" si="9"/>
        <v>-1453440.5611895286</v>
      </c>
      <c r="AF85" s="268">
        <f t="shared" si="9"/>
        <v>-1453440.5611895286</v>
      </c>
      <c r="AG85" s="268">
        <f t="shared" si="9"/>
        <v>-1453440.5611895286</v>
      </c>
      <c r="AH85" s="268">
        <f t="shared" si="9"/>
        <v>-1453440.5611895286</v>
      </c>
      <c r="AI85" s="268">
        <f t="shared" si="9"/>
        <v>-1453440.5611895286</v>
      </c>
      <c r="AJ85" s="268">
        <f t="shared" si="9"/>
        <v>-1453440.5611895286</v>
      </c>
      <c r="AK85" s="268">
        <f t="shared" si="9"/>
        <v>-1453440.5611895286</v>
      </c>
      <c r="AL85" s="268">
        <f t="shared" si="9"/>
        <v>-1453440.5611895286</v>
      </c>
      <c r="AM85" s="268">
        <v>0</v>
      </c>
      <c r="AN85" s="268">
        <v>0</v>
      </c>
      <c r="AO85" s="268">
        <f t="shared" ref="AO85:AT85" si="10">-$C$16*AN86</f>
        <v>0</v>
      </c>
      <c r="AP85" s="268">
        <f t="shared" si="10"/>
        <v>0</v>
      </c>
      <c r="AQ85" s="268">
        <f t="shared" si="10"/>
        <v>0</v>
      </c>
      <c r="AR85" s="268">
        <f t="shared" si="10"/>
        <v>0</v>
      </c>
      <c r="AS85" s="268">
        <f t="shared" si="10"/>
        <v>0</v>
      </c>
      <c r="AT85" s="268">
        <f t="shared" si="10"/>
        <v>0</v>
      </c>
      <c r="AU85" s="13"/>
    </row>
    <row r="86" spans="2:66" s="42" customFormat="1" x14ac:dyDescent="0.25">
      <c r="B86" s="845" t="s">
        <v>523</v>
      </c>
      <c r="C86" s="824">
        <v>0</v>
      </c>
      <c r="D86" s="824">
        <v>0</v>
      </c>
      <c r="E86" s="824">
        <v>0</v>
      </c>
      <c r="F86" s="824">
        <v>0</v>
      </c>
      <c r="G86" s="824">
        <v>0</v>
      </c>
      <c r="H86" s="824">
        <v>0</v>
      </c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4">
        <f>-(SUM($U$118:$W$118))+X85</f>
        <v>20348167.8566534</v>
      </c>
      <c r="Y86" s="824">
        <f>X86+Y85</f>
        <v>18894727.295463871</v>
      </c>
      <c r="Z86" s="824">
        <f t="shared" ref="Z86:AL86" si="11">Y86+Z85</f>
        <v>17441286.734274343</v>
      </c>
      <c r="AA86" s="824">
        <f t="shared" si="11"/>
        <v>15987846.173084814</v>
      </c>
      <c r="AB86" s="824">
        <f t="shared" si="11"/>
        <v>14534405.611895286</v>
      </c>
      <c r="AC86" s="824">
        <f t="shared" si="11"/>
        <v>13080965.050705757</v>
      </c>
      <c r="AD86" s="824">
        <f t="shared" si="11"/>
        <v>11627524.489516228</v>
      </c>
      <c r="AE86" s="824">
        <f t="shared" si="11"/>
        <v>10174083.9283267</v>
      </c>
      <c r="AF86" s="824">
        <f t="shared" si="11"/>
        <v>8720643.3671371713</v>
      </c>
      <c r="AG86" s="824">
        <f t="shared" si="11"/>
        <v>7267202.8059476428</v>
      </c>
      <c r="AH86" s="824">
        <f t="shared" si="11"/>
        <v>5813762.2447581142</v>
      </c>
      <c r="AI86" s="824">
        <f t="shared" si="11"/>
        <v>4360321.6835685857</v>
      </c>
      <c r="AJ86" s="824">
        <f t="shared" si="11"/>
        <v>2906881.1223790571</v>
      </c>
      <c r="AK86" s="824">
        <f t="shared" si="11"/>
        <v>1453440.5611895286</v>
      </c>
      <c r="AL86" s="824">
        <f t="shared" si="11"/>
        <v>0</v>
      </c>
      <c r="AM86" s="824">
        <v>0</v>
      </c>
      <c r="AN86" s="824">
        <v>0</v>
      </c>
      <c r="AO86" s="824">
        <f t="shared" ref="AO86:AT86" si="12">AN86+AO85</f>
        <v>0</v>
      </c>
      <c r="AP86" s="824">
        <f t="shared" si="12"/>
        <v>0</v>
      </c>
      <c r="AQ86" s="824">
        <f t="shared" si="12"/>
        <v>0</v>
      </c>
      <c r="AR86" s="824">
        <f t="shared" si="12"/>
        <v>0</v>
      </c>
      <c r="AS86" s="824">
        <f t="shared" si="12"/>
        <v>0</v>
      </c>
      <c r="AT86" s="824">
        <f t="shared" si="12"/>
        <v>0</v>
      </c>
      <c r="AU86" s="815"/>
    </row>
    <row r="87" spans="2:66" x14ac:dyDescent="0.25">
      <c r="B87" s="831" t="s">
        <v>524</v>
      </c>
      <c r="C87" s="268">
        <v>0</v>
      </c>
      <c r="D87" s="268">
        <v>0</v>
      </c>
      <c r="E87" s="268">
        <v>0</v>
      </c>
      <c r="F87" s="268">
        <v>0</v>
      </c>
      <c r="G87" s="268">
        <v>0</v>
      </c>
      <c r="H87" s="268">
        <v>0</v>
      </c>
      <c r="I87" s="268">
        <v>0</v>
      </c>
      <c r="J87" s="268">
        <v>0</v>
      </c>
      <c r="K87" s="268">
        <v>0</v>
      </c>
      <c r="L87" s="268">
        <v>0</v>
      </c>
      <c r="M87" s="268">
        <v>0</v>
      </c>
      <c r="N87" s="268">
        <v>0</v>
      </c>
      <c r="O87" s="268">
        <v>0</v>
      </c>
      <c r="P87" s="268">
        <v>0</v>
      </c>
      <c r="Q87" s="268">
        <v>0</v>
      </c>
      <c r="R87" s="268">
        <v>0</v>
      </c>
      <c r="S87" s="268">
        <v>0</v>
      </c>
      <c r="T87" s="268">
        <v>0</v>
      </c>
      <c r="U87" s="268">
        <v>0</v>
      </c>
      <c r="V87" s="268">
        <v>0</v>
      </c>
      <c r="W87" s="268">
        <v>0</v>
      </c>
      <c r="X87" s="268">
        <v>0</v>
      </c>
      <c r="Y87" s="268">
        <v>0</v>
      </c>
      <c r="Z87" s="268">
        <v>0</v>
      </c>
      <c r="AA87" s="268">
        <v>0</v>
      </c>
      <c r="AB87" s="268">
        <v>0</v>
      </c>
      <c r="AC87" s="268">
        <f>SUM($AA$118:$AB$118)/10</f>
        <v>-903839.85404605814</v>
      </c>
      <c r="AD87" s="268">
        <f t="shared" ref="AD87:AM87" si="13">SUM($AA$118:$AB$118)/10</f>
        <v>-903839.85404605814</v>
      </c>
      <c r="AE87" s="268">
        <f t="shared" si="13"/>
        <v>-903839.85404605814</v>
      </c>
      <c r="AF87" s="268">
        <f t="shared" si="13"/>
        <v>-903839.85404605814</v>
      </c>
      <c r="AG87" s="268">
        <f t="shared" si="13"/>
        <v>-903839.85404605814</v>
      </c>
      <c r="AH87" s="268">
        <f t="shared" si="13"/>
        <v>-903839.85404605814</v>
      </c>
      <c r="AI87" s="268">
        <f t="shared" si="13"/>
        <v>-903839.85404605814</v>
      </c>
      <c r="AJ87" s="268">
        <f t="shared" si="13"/>
        <v>-903839.85404605814</v>
      </c>
      <c r="AK87" s="268">
        <f t="shared" si="13"/>
        <v>-903839.85404605814</v>
      </c>
      <c r="AL87" s="268">
        <f t="shared" si="13"/>
        <v>-903839.85404605814</v>
      </c>
      <c r="AM87" s="268">
        <f t="shared" si="13"/>
        <v>-903839.85404605814</v>
      </c>
      <c r="AN87" s="268">
        <v>0</v>
      </c>
      <c r="AO87" s="268">
        <f t="shared" ref="AO87" si="14">-$C$16*AN88</f>
        <v>0</v>
      </c>
      <c r="AP87" s="268">
        <f t="shared" ref="AP87" si="15">-$C$16*AO88</f>
        <v>0</v>
      </c>
      <c r="AQ87" s="268">
        <f t="shared" ref="AQ87" si="16">-$C$16*AP88</f>
        <v>0</v>
      </c>
      <c r="AR87" s="268">
        <f t="shared" ref="AR87" si="17">-$C$16*AQ88</f>
        <v>0</v>
      </c>
      <c r="AS87" s="268">
        <f t="shared" ref="AS87" si="18">-$C$16*AR88</f>
        <v>0</v>
      </c>
      <c r="AT87" s="268">
        <f t="shared" ref="AT87" si="19">-$C$16*AS88</f>
        <v>0</v>
      </c>
      <c r="AU87" s="103"/>
      <c r="AV87" s="166"/>
    </row>
    <row r="88" spans="2:66" s="42" customFormat="1" x14ac:dyDescent="0.25">
      <c r="B88" s="845" t="s">
        <v>525</v>
      </c>
      <c r="C88" s="824">
        <v>0</v>
      </c>
      <c r="D88" s="824">
        <v>0</v>
      </c>
      <c r="E88" s="824">
        <v>0</v>
      </c>
      <c r="F88" s="824">
        <v>0</v>
      </c>
      <c r="G88" s="824">
        <v>0</v>
      </c>
      <c r="H88" s="824">
        <v>0</v>
      </c>
      <c r="I88" s="824">
        <v>0</v>
      </c>
      <c r="J88" s="824">
        <v>0</v>
      </c>
      <c r="K88" s="824">
        <v>0</v>
      </c>
      <c r="L88" s="824">
        <v>0</v>
      </c>
      <c r="M88" s="824">
        <v>0</v>
      </c>
      <c r="N88" s="824">
        <v>0</v>
      </c>
      <c r="O88" s="824">
        <v>0</v>
      </c>
      <c r="P88" s="824">
        <v>0</v>
      </c>
      <c r="Q88" s="824">
        <v>0</v>
      </c>
      <c r="R88" s="824">
        <v>0</v>
      </c>
      <c r="S88" s="824">
        <v>0</v>
      </c>
      <c r="T88" s="824">
        <v>0</v>
      </c>
      <c r="U88" s="824">
        <v>0</v>
      </c>
      <c r="V88" s="824">
        <v>0</v>
      </c>
      <c r="W88" s="824">
        <v>0</v>
      </c>
      <c r="X88" s="824">
        <v>0</v>
      </c>
      <c r="Y88" s="824">
        <v>0</v>
      </c>
      <c r="Z88" s="824">
        <v>0</v>
      </c>
      <c r="AA88" s="824">
        <v>0</v>
      </c>
      <c r="AB88" s="824">
        <v>0</v>
      </c>
      <c r="AC88" s="824">
        <f>-SUM(AA118:AB118)</f>
        <v>9038398.540460581</v>
      </c>
      <c r="AD88" s="824">
        <f>AC88+AD87</f>
        <v>8134558.6864145231</v>
      </c>
      <c r="AE88" s="824">
        <f t="shared" ref="AE88:AM88" si="20">AD88+AE87</f>
        <v>7230718.8323684651</v>
      </c>
      <c r="AF88" s="824">
        <f t="shared" si="20"/>
        <v>6326878.9783224072</v>
      </c>
      <c r="AG88" s="824">
        <f t="shared" si="20"/>
        <v>5423039.1242763493</v>
      </c>
      <c r="AH88" s="824">
        <f t="shared" si="20"/>
        <v>4519199.2702302914</v>
      </c>
      <c r="AI88" s="824">
        <f t="shared" si="20"/>
        <v>3615359.4161842335</v>
      </c>
      <c r="AJ88" s="824">
        <f t="shared" si="20"/>
        <v>2711519.5621381756</v>
      </c>
      <c r="AK88" s="824">
        <f t="shared" si="20"/>
        <v>1807679.7080921174</v>
      </c>
      <c r="AL88" s="824">
        <f t="shared" si="20"/>
        <v>903839.85404605931</v>
      </c>
      <c r="AM88" s="824">
        <f t="shared" si="20"/>
        <v>1.1641532182693481E-9</v>
      </c>
      <c r="AN88" s="824">
        <v>0</v>
      </c>
      <c r="AO88" s="824">
        <f t="shared" ref="AO88" si="21">AN88+AO87</f>
        <v>0</v>
      </c>
      <c r="AP88" s="824">
        <f t="shared" ref="AP88" si="22">AO88+AP87</f>
        <v>0</v>
      </c>
      <c r="AQ88" s="824">
        <f t="shared" ref="AQ88" si="23">AP88+AQ87</f>
        <v>0</v>
      </c>
      <c r="AR88" s="824">
        <f t="shared" ref="AR88" si="24">AQ88+AR87</f>
        <v>0</v>
      </c>
      <c r="AS88" s="824">
        <f t="shared" ref="AS88" si="25">AR88+AS87</f>
        <v>0</v>
      </c>
      <c r="AT88" s="824">
        <f t="shared" ref="AT88" si="26">AS88+AT87</f>
        <v>0</v>
      </c>
      <c r="AU88" s="817"/>
      <c r="AV88" s="686"/>
    </row>
    <row r="89" spans="2:66" x14ac:dyDescent="0.25">
      <c r="B89" s="831" t="s">
        <v>528</v>
      </c>
      <c r="C89" s="268">
        <v>0</v>
      </c>
      <c r="D89" s="268">
        <v>0</v>
      </c>
      <c r="E89" s="268">
        <v>0</v>
      </c>
      <c r="F89" s="268">
        <v>0</v>
      </c>
      <c r="G89" s="268">
        <v>0</v>
      </c>
      <c r="H89" s="268">
        <v>0</v>
      </c>
      <c r="I89" s="268">
        <v>0</v>
      </c>
      <c r="J89" s="268">
        <v>0</v>
      </c>
      <c r="K89" s="268">
        <v>0</v>
      </c>
      <c r="L89" s="268">
        <v>0</v>
      </c>
      <c r="M89" s="268">
        <v>0</v>
      </c>
      <c r="N89" s="268">
        <v>0</v>
      </c>
      <c r="O89" s="268">
        <v>0</v>
      </c>
      <c r="P89" s="268">
        <v>0</v>
      </c>
      <c r="Q89" s="268">
        <v>0</v>
      </c>
      <c r="R89" s="268">
        <v>0</v>
      </c>
      <c r="S89" s="268">
        <v>0</v>
      </c>
      <c r="T89" s="268">
        <v>0</v>
      </c>
      <c r="U89" s="268">
        <v>0</v>
      </c>
      <c r="V89" s="268">
        <v>0</v>
      </c>
      <c r="W89" s="268">
        <v>0</v>
      </c>
      <c r="X89" s="268">
        <v>0</v>
      </c>
      <c r="Y89" s="268">
        <v>0</v>
      </c>
      <c r="Z89" s="268">
        <v>0</v>
      </c>
      <c r="AA89" s="268">
        <v>0</v>
      </c>
      <c r="AB89" s="268">
        <v>0</v>
      </c>
      <c r="AC89" s="268">
        <v>0</v>
      </c>
      <c r="AD89" s="268">
        <v>0</v>
      </c>
      <c r="AE89" s="268">
        <v>0</v>
      </c>
      <c r="AF89" s="268">
        <v>0</v>
      </c>
      <c r="AG89" s="268">
        <v>0</v>
      </c>
      <c r="AH89" s="268">
        <v>0</v>
      </c>
      <c r="AI89" s="268">
        <v>0</v>
      </c>
      <c r="AJ89" s="268">
        <v>0</v>
      </c>
      <c r="AK89" s="268">
        <v>0</v>
      </c>
      <c r="AL89" s="268">
        <v>0</v>
      </c>
      <c r="AM89" s="268">
        <v>0</v>
      </c>
      <c r="AN89" s="268">
        <v>0</v>
      </c>
      <c r="AO89" s="268">
        <f>SUM($AL$118:$AN$118)/14</f>
        <v>-2934984.6362588019</v>
      </c>
      <c r="AP89" s="268">
        <f t="shared" ref="AP89:AT89" si="27">SUM($AL$118:$AN$118)/14</f>
        <v>-2934984.6362588019</v>
      </c>
      <c r="AQ89" s="268">
        <f t="shared" si="27"/>
        <v>-2934984.6362588019</v>
      </c>
      <c r="AR89" s="268">
        <f t="shared" si="27"/>
        <v>-2934984.6362588019</v>
      </c>
      <c r="AS89" s="268">
        <f t="shared" si="27"/>
        <v>-2934984.6362588019</v>
      </c>
      <c r="AT89" s="268">
        <f t="shared" si="27"/>
        <v>-2934984.6362588019</v>
      </c>
      <c r="AU89" s="268"/>
    </row>
    <row r="90" spans="2:66" s="42" customFormat="1" x14ac:dyDescent="0.25">
      <c r="B90" s="966" t="s">
        <v>526</v>
      </c>
      <c r="C90" s="967">
        <v>0</v>
      </c>
      <c r="D90" s="967">
        <v>0</v>
      </c>
      <c r="E90" s="967">
        <v>0</v>
      </c>
      <c r="F90" s="967">
        <v>0</v>
      </c>
      <c r="G90" s="967">
        <v>0</v>
      </c>
      <c r="H90" s="967">
        <v>0</v>
      </c>
      <c r="I90" s="967">
        <v>0</v>
      </c>
      <c r="J90" s="967">
        <v>0</v>
      </c>
      <c r="K90" s="967">
        <v>0</v>
      </c>
      <c r="L90" s="967">
        <v>0</v>
      </c>
      <c r="M90" s="967">
        <v>0</v>
      </c>
      <c r="N90" s="967">
        <v>0</v>
      </c>
      <c r="O90" s="967">
        <v>0</v>
      </c>
      <c r="P90" s="967">
        <v>0</v>
      </c>
      <c r="Q90" s="967">
        <v>0</v>
      </c>
      <c r="R90" s="967">
        <v>0</v>
      </c>
      <c r="S90" s="967">
        <v>0</v>
      </c>
      <c r="T90" s="967">
        <v>0</v>
      </c>
      <c r="U90" s="967">
        <v>0</v>
      </c>
      <c r="V90" s="967">
        <v>0</v>
      </c>
      <c r="W90" s="967">
        <v>0</v>
      </c>
      <c r="X90" s="967">
        <v>0</v>
      </c>
      <c r="Y90" s="967">
        <v>0</v>
      </c>
      <c r="Z90" s="967">
        <v>0</v>
      </c>
      <c r="AA90" s="967">
        <v>0</v>
      </c>
      <c r="AB90" s="967">
        <v>0</v>
      </c>
      <c r="AC90" s="967">
        <v>0</v>
      </c>
      <c r="AD90" s="967">
        <v>0</v>
      </c>
      <c r="AE90" s="967">
        <v>0</v>
      </c>
      <c r="AF90" s="967">
        <v>0</v>
      </c>
      <c r="AG90" s="967">
        <v>0</v>
      </c>
      <c r="AH90" s="967">
        <v>0</v>
      </c>
      <c r="AI90" s="967">
        <v>0</v>
      </c>
      <c r="AJ90" s="967">
        <v>0</v>
      </c>
      <c r="AK90" s="967">
        <v>0</v>
      </c>
      <c r="AL90" s="967">
        <v>0</v>
      </c>
      <c r="AM90" s="967">
        <v>0</v>
      </c>
      <c r="AN90" s="967">
        <v>0</v>
      </c>
      <c r="AO90" s="967">
        <f>-(SUM(AL118:AN118))-AO89</f>
        <v>44024769.543882027</v>
      </c>
      <c r="AP90" s="967">
        <f>AO90+AP89</f>
        <v>41089784.907623224</v>
      </c>
      <c r="AQ90" s="967">
        <f t="shared" ref="AQ90:AT90" si="28">AP90+AQ89</f>
        <v>38154800.271364421</v>
      </c>
      <c r="AR90" s="967">
        <f t="shared" si="28"/>
        <v>35219815.635105617</v>
      </c>
      <c r="AS90" s="967">
        <f t="shared" si="28"/>
        <v>32284830.998846814</v>
      </c>
      <c r="AT90" s="967">
        <f t="shared" si="28"/>
        <v>29349846.362588011</v>
      </c>
      <c r="AU90" s="815"/>
    </row>
    <row r="91" spans="2:66" s="42" customFormat="1" x14ac:dyDescent="0.25">
      <c r="B91" s="845" t="s">
        <v>441</v>
      </c>
      <c r="C91" s="824">
        <v>0</v>
      </c>
      <c r="D91" s="824">
        <v>0</v>
      </c>
      <c r="E91" s="824">
        <v>0</v>
      </c>
      <c r="F91" s="824">
        <v>0</v>
      </c>
      <c r="G91" s="824">
        <f>SUM(G77:G81)+G83+G85+G87+G89</f>
        <v>-4476318.6173797483</v>
      </c>
      <c r="H91" s="824">
        <f t="shared" ref="H91:AT91" si="29">SUM(H77:H81)+H83+H85+H87+H89</f>
        <v>-4476318.6173797483</v>
      </c>
      <c r="I91" s="824">
        <f t="shared" si="29"/>
        <v>-4476318.6173797483</v>
      </c>
      <c r="J91" s="824">
        <f t="shared" si="29"/>
        <v>-4476318.6173797483</v>
      </c>
      <c r="K91" s="824">
        <f t="shared" si="29"/>
        <v>-4476318.6173797483</v>
      </c>
      <c r="L91" s="824">
        <f t="shared" si="29"/>
        <v>-4226566.6672863076</v>
      </c>
      <c r="M91" s="824">
        <f t="shared" si="29"/>
        <v>-4226566.6672863076</v>
      </c>
      <c r="N91" s="824">
        <f t="shared" si="29"/>
        <v>-4226566.6672863076</v>
      </c>
      <c r="O91" s="824">
        <f t="shared" si="29"/>
        <v>-4226566.6672863076</v>
      </c>
      <c r="P91" s="824">
        <f t="shared" si="29"/>
        <v>-4226566.6672863076</v>
      </c>
      <c r="Q91" s="824">
        <f t="shared" si="29"/>
        <v>-3636188.9104059879</v>
      </c>
      <c r="R91" s="824">
        <f t="shared" si="29"/>
        <v>-4364578.243786227</v>
      </c>
      <c r="S91" s="824">
        <f t="shared" si="29"/>
        <v>-4364578.243786227</v>
      </c>
      <c r="T91" s="824">
        <f t="shared" si="29"/>
        <v>-4364578.243786227</v>
      </c>
      <c r="U91" s="824">
        <f t="shared" si="29"/>
        <v>-4364578.243786227</v>
      </c>
      <c r="V91" s="824">
        <f t="shared" si="29"/>
        <v>-3330617.415194436</v>
      </c>
      <c r="W91" s="824">
        <f t="shared" si="29"/>
        <v>-3330617.415194436</v>
      </c>
      <c r="X91" s="824">
        <f t="shared" si="29"/>
        <v>-4784057.9763839645</v>
      </c>
      <c r="Y91" s="824">
        <f t="shared" si="29"/>
        <v>-4784057.9763839645</v>
      </c>
      <c r="Z91" s="824">
        <f t="shared" si="29"/>
        <v>-4784057.9763839645</v>
      </c>
      <c r="AA91" s="824">
        <f t="shared" si="29"/>
        <v>-4784057.9763839645</v>
      </c>
      <c r="AB91" s="824">
        <f t="shared" si="29"/>
        <v>-4784057.9763839645</v>
      </c>
      <c r="AC91" s="824">
        <f t="shared" si="29"/>
        <v>-4959508.4970497834</v>
      </c>
      <c r="AD91" s="824">
        <f t="shared" si="29"/>
        <v>-4959508.4970497834</v>
      </c>
      <c r="AE91" s="824">
        <f t="shared" si="29"/>
        <v>-4959508.4970497834</v>
      </c>
      <c r="AF91" s="824">
        <f t="shared" si="29"/>
        <v>-4959508.4970497834</v>
      </c>
      <c r="AG91" s="824">
        <f t="shared" si="29"/>
        <v>-4959508.4970497834</v>
      </c>
      <c r="AH91" s="824">
        <f t="shared" si="29"/>
        <v>-4959508.4970497834</v>
      </c>
      <c r="AI91" s="824">
        <f t="shared" si="29"/>
        <v>-4959508.4970497834</v>
      </c>
      <c r="AJ91" s="824">
        <f t="shared" si="29"/>
        <v>-4959508.4970497834</v>
      </c>
      <c r="AK91" s="824">
        <f t="shared" si="29"/>
        <v>-4959508.4970497834</v>
      </c>
      <c r="AL91" s="824">
        <f t="shared" si="29"/>
        <v>-4959508.4970497834</v>
      </c>
      <c r="AM91" s="824">
        <f t="shared" si="29"/>
        <v>-3506067.9358602548</v>
      </c>
      <c r="AN91" s="824">
        <f t="shared" si="29"/>
        <v>-2602228.0818141969</v>
      </c>
      <c r="AO91" s="824">
        <f t="shared" si="29"/>
        <v>-5537212.7180729993</v>
      </c>
      <c r="AP91" s="824">
        <f t="shared" si="29"/>
        <v>-5537212.7180729993</v>
      </c>
      <c r="AQ91" s="824">
        <f t="shared" si="29"/>
        <v>-5537212.7180729993</v>
      </c>
      <c r="AR91" s="824">
        <f t="shared" si="29"/>
        <v>-5537212.7180729993</v>
      </c>
      <c r="AS91" s="824">
        <f t="shared" si="29"/>
        <v>-5537212.7180729993</v>
      </c>
      <c r="AT91" s="824">
        <f t="shared" si="29"/>
        <v>-5537212.7180729993</v>
      </c>
      <c r="AU91" s="815"/>
    </row>
    <row r="92" spans="2:66" s="42" customFormat="1" x14ac:dyDescent="0.25">
      <c r="B92" s="833" t="s">
        <v>435</v>
      </c>
      <c r="C92" s="824">
        <f>C82+C86+C90</f>
        <v>0</v>
      </c>
      <c r="D92" s="824">
        <f t="shared" ref="D92:F92" si="30">D82+D86+D90</f>
        <v>0</v>
      </c>
      <c r="E92" s="824">
        <f t="shared" si="30"/>
        <v>0</v>
      </c>
      <c r="F92" s="824">
        <f t="shared" si="30"/>
        <v>0</v>
      </c>
      <c r="G92" s="824">
        <f>G82+G84+G86+G88+G90</f>
        <v>151074474.56595954</v>
      </c>
      <c r="H92" s="824">
        <f t="shared" ref="H92:AT92" si="31">H82+H84+H86+H88+H90</f>
        <v>146598155.94857979</v>
      </c>
      <c r="I92" s="824">
        <f t="shared" si="31"/>
        <v>142121837.33120003</v>
      </c>
      <c r="J92" s="824">
        <f t="shared" si="31"/>
        <v>137645518.71382028</v>
      </c>
      <c r="K92" s="824">
        <f t="shared" si="31"/>
        <v>133169200.09644052</v>
      </c>
      <c r="L92" s="824">
        <f t="shared" si="31"/>
        <v>128942633.42915422</v>
      </c>
      <c r="M92" s="824">
        <f t="shared" si="31"/>
        <v>124716066.76186791</v>
      </c>
      <c r="N92" s="824">
        <f t="shared" si="31"/>
        <v>120489500.0945816</v>
      </c>
      <c r="O92" s="824">
        <f t="shared" si="31"/>
        <v>116262933.4272953</v>
      </c>
      <c r="P92" s="824">
        <f t="shared" si="31"/>
        <v>112036366.76000899</v>
      </c>
      <c r="Q92" s="824">
        <f t="shared" si="31"/>
        <v>108400177.849603</v>
      </c>
      <c r="R92" s="824">
        <f t="shared" si="31"/>
        <v>112047882.27299939</v>
      </c>
      <c r="S92" s="824">
        <f t="shared" si="31"/>
        <v>107683304.02921316</v>
      </c>
      <c r="T92" s="824">
        <f t="shared" si="31"/>
        <v>103318725.78542693</v>
      </c>
      <c r="U92" s="824">
        <f t="shared" si="31"/>
        <v>98954147.541640699</v>
      </c>
      <c r="V92" s="824">
        <f t="shared" si="31"/>
        <v>95623530.126446262</v>
      </c>
      <c r="W92" s="824">
        <f t="shared" si="31"/>
        <v>92292912.711251825</v>
      </c>
      <c r="X92" s="824">
        <f t="shared" si="31"/>
        <v>109310463.15271077</v>
      </c>
      <c r="Y92" s="824">
        <f t="shared" si="31"/>
        <v>104526405.17632681</v>
      </c>
      <c r="Z92" s="824">
        <f t="shared" si="31"/>
        <v>99742347.199942842</v>
      </c>
      <c r="AA92" s="824">
        <f t="shared" si="31"/>
        <v>94958289.223558873</v>
      </c>
      <c r="AB92" s="824">
        <f t="shared" si="31"/>
        <v>90174231.247174919</v>
      </c>
      <c r="AC92" s="824">
        <f t="shared" si="31"/>
        <v>95156961.144631773</v>
      </c>
      <c r="AD92" s="824">
        <f t="shared" si="31"/>
        <v>90197452.64758198</v>
      </c>
      <c r="AE92" s="824">
        <f t="shared" si="31"/>
        <v>85237944.150532186</v>
      </c>
      <c r="AF92" s="824">
        <f t="shared" si="31"/>
        <v>80278435.653482392</v>
      </c>
      <c r="AG92" s="824">
        <f t="shared" si="31"/>
        <v>75318927.156432629</v>
      </c>
      <c r="AH92" s="824">
        <f t="shared" si="31"/>
        <v>70359418.659382835</v>
      </c>
      <c r="AI92" s="824">
        <f t="shared" si="31"/>
        <v>65399910.162333041</v>
      </c>
      <c r="AJ92" s="824">
        <f t="shared" si="31"/>
        <v>60440401.665283263</v>
      </c>
      <c r="AK92" s="824">
        <f t="shared" si="31"/>
        <v>55480893.168233477</v>
      </c>
      <c r="AL92" s="824">
        <f t="shared" si="31"/>
        <v>50521384.67118369</v>
      </c>
      <c r="AM92" s="824">
        <f t="shared" si="31"/>
        <v>47015316.735323429</v>
      </c>
      <c r="AN92" s="824">
        <f t="shared" si="31"/>
        <v>44413088.653509229</v>
      </c>
      <c r="AO92" s="824">
        <f t="shared" si="31"/>
        <v>85835630.115577057</v>
      </c>
      <c r="AP92" s="824">
        <f t="shared" si="31"/>
        <v>80298417.397504061</v>
      </c>
      <c r="AQ92" s="824">
        <f t="shared" si="31"/>
        <v>74761204.679431051</v>
      </c>
      <c r="AR92" s="824">
        <f t="shared" si="31"/>
        <v>69223991.961358041</v>
      </c>
      <c r="AS92" s="824">
        <f t="shared" si="31"/>
        <v>63686779.243285045</v>
      </c>
      <c r="AT92" s="824">
        <f t="shared" si="31"/>
        <v>58149566.525212049</v>
      </c>
      <c r="AU92" s="815"/>
    </row>
    <row r="93" spans="2:66" x14ac:dyDescent="0.25">
      <c r="B93" s="481"/>
      <c r="C93" s="382"/>
      <c r="D93" s="382"/>
      <c r="E93" s="382"/>
      <c r="F93" s="382"/>
      <c r="G93" s="382"/>
      <c r="H93" s="382"/>
      <c r="I93" s="382"/>
      <c r="J93" s="382"/>
      <c r="K93" s="382"/>
      <c r="L93" s="382"/>
      <c r="M93" s="382"/>
      <c r="N93" s="382"/>
      <c r="O93" s="382"/>
      <c r="P93" s="382"/>
      <c r="Q93" s="382"/>
      <c r="R93" s="382"/>
      <c r="S93" s="382"/>
      <c r="T93" s="382"/>
      <c r="U93" s="382"/>
      <c r="V93" s="382"/>
      <c r="W93" s="382"/>
      <c r="X93" s="382"/>
      <c r="Y93" s="382"/>
      <c r="Z93" s="382"/>
      <c r="AA93" s="382"/>
      <c r="AB93" s="382"/>
      <c r="AC93" s="382"/>
      <c r="AD93" s="382"/>
      <c r="AE93" s="382"/>
      <c r="AF93" s="382"/>
      <c r="AG93" s="382"/>
      <c r="AH93" s="382"/>
      <c r="AI93" s="382"/>
      <c r="AJ93" s="382"/>
      <c r="AK93" s="382"/>
      <c r="AL93" s="382"/>
      <c r="AM93" s="382"/>
      <c r="AN93" s="382"/>
      <c r="AO93" s="382"/>
      <c r="AP93" s="382"/>
      <c r="AQ93" s="382"/>
      <c r="AR93" s="382"/>
      <c r="AS93" s="382"/>
      <c r="AT93" s="382"/>
      <c r="AU93" s="13"/>
    </row>
    <row r="94" spans="2:66" ht="13.8" thickBot="1" x14ac:dyDescent="0.3">
      <c r="B94" s="834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3"/>
    </row>
    <row r="95" spans="2:66" ht="14.4" x14ac:dyDescent="0.25">
      <c r="B95" s="835" t="s">
        <v>390</v>
      </c>
      <c r="C95" s="818"/>
      <c r="D95" s="818"/>
      <c r="E95" s="818"/>
      <c r="F95" s="818"/>
      <c r="G95" s="818"/>
      <c r="H95" s="818"/>
      <c r="I95" s="818"/>
      <c r="J95" s="818"/>
      <c r="K95" s="818"/>
      <c r="L95" s="818"/>
      <c r="M95" s="818"/>
      <c r="N95" s="818"/>
      <c r="O95" s="818"/>
      <c r="P95" s="818"/>
      <c r="Q95" s="818"/>
      <c r="R95" s="818"/>
      <c r="S95" s="818"/>
      <c r="T95" s="818"/>
      <c r="U95" s="818"/>
      <c r="V95" s="818"/>
      <c r="W95" s="818"/>
      <c r="X95" s="818"/>
      <c r="Y95" s="818"/>
      <c r="Z95" s="818"/>
      <c r="AA95" s="818"/>
      <c r="AB95" s="818"/>
      <c r="AC95" s="818"/>
      <c r="AD95" s="818"/>
      <c r="AE95" s="818"/>
      <c r="AF95" s="818"/>
      <c r="AG95" s="818"/>
      <c r="AH95" s="818"/>
      <c r="AI95" s="818"/>
      <c r="AJ95" s="818"/>
      <c r="AK95" s="818"/>
      <c r="AL95" s="818"/>
      <c r="AM95" s="818"/>
      <c r="AN95" s="818"/>
      <c r="AO95" s="818"/>
      <c r="AP95" s="818"/>
      <c r="AQ95" s="818"/>
      <c r="AR95" s="818"/>
      <c r="AS95" s="818"/>
      <c r="AT95" s="819"/>
      <c r="AU95" s="13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</row>
    <row r="96" spans="2:66" x14ac:dyDescent="0.25">
      <c r="B96" s="836" t="s">
        <v>391</v>
      </c>
      <c r="C96" s="268">
        <v>0</v>
      </c>
      <c r="D96" s="268">
        <v>0</v>
      </c>
      <c r="E96" s="268">
        <v>0</v>
      </c>
      <c r="F96" s="268">
        <v>0</v>
      </c>
      <c r="G96" s="268">
        <f>-G72</f>
        <v>-4318236.9614306372</v>
      </c>
      <c r="H96" s="268">
        <f t="shared" ref="H96:AT96" si="32">-H72</f>
        <v>-4432937.8249451816</v>
      </c>
      <c r="I96" s="268">
        <f t="shared" si="32"/>
        <v>-4536875.1815609755</v>
      </c>
      <c r="J96" s="268">
        <f t="shared" si="32"/>
        <v>-4643311.9130354663</v>
      </c>
      <c r="K96" s="268">
        <f t="shared" si="32"/>
        <v>-11617904.705841476</v>
      </c>
      <c r="L96" s="268">
        <f t="shared" si="32"/>
        <v>-4863931.4676566217</v>
      </c>
      <c r="M96" s="268">
        <f t="shared" si="32"/>
        <v>-4978242.2002252238</v>
      </c>
      <c r="N96" s="268">
        <f t="shared" si="32"/>
        <v>-5095308.2077043382</v>
      </c>
      <c r="O96" s="268">
        <f t="shared" si="32"/>
        <v>-5215197.5552692544</v>
      </c>
      <c r="P96" s="268">
        <f t="shared" si="32"/>
        <v>-12881550.570299722</v>
      </c>
      <c r="Q96" s="268">
        <f t="shared" si="32"/>
        <v>-5463727.1811422799</v>
      </c>
      <c r="R96" s="268">
        <f t="shared" si="32"/>
        <v>-5592512.3741521444</v>
      </c>
      <c r="S96" s="268">
        <f t="shared" si="32"/>
        <v>-5724410.8291271329</v>
      </c>
      <c r="T96" s="268">
        <f t="shared" si="32"/>
        <v>-5859499.6730848122</v>
      </c>
      <c r="U96" s="268">
        <f t="shared" si="32"/>
        <v>-14286356.439628357</v>
      </c>
      <c r="V96" s="268">
        <f t="shared" si="32"/>
        <v>-6139566.8637729799</v>
      </c>
      <c r="W96" s="268">
        <f t="shared" si="32"/>
        <v>-6284709.445565287</v>
      </c>
      <c r="X96" s="268">
        <f t="shared" si="32"/>
        <v>-6433370.9918016</v>
      </c>
      <c r="Y96" s="268">
        <f t="shared" si="32"/>
        <v>-6585638.926612027</v>
      </c>
      <c r="Z96" s="268">
        <f t="shared" si="32"/>
        <v>-15848593.767328328</v>
      </c>
      <c r="AA96" s="268">
        <f t="shared" si="32"/>
        <v>-6901354.8280941052</v>
      </c>
      <c r="AB96" s="268">
        <f t="shared" si="32"/>
        <v>-7064988.9872727636</v>
      </c>
      <c r="AC96" s="268">
        <f t="shared" si="32"/>
        <v>-7232602.0400624331</v>
      </c>
      <c r="AD96" s="268">
        <f t="shared" si="32"/>
        <v>-7404293.1149919936</v>
      </c>
      <c r="AE96" s="268">
        <f t="shared" si="32"/>
        <v>-17586476.742962986</v>
      </c>
      <c r="AF96" s="268">
        <f t="shared" si="32"/>
        <v>-7760318.5440044012</v>
      </c>
      <c r="AG96" s="268">
        <f t="shared" si="32"/>
        <v>-7944864.0527799763</v>
      </c>
      <c r="AH96" s="268">
        <f t="shared" si="32"/>
        <v>-8133910.0298752068</v>
      </c>
      <c r="AI96" s="268">
        <f t="shared" si="32"/>
        <v>-8327568.9119321909</v>
      </c>
      <c r="AJ96" s="268">
        <f t="shared" si="32"/>
        <v>-19520403.065015338</v>
      </c>
      <c r="AK96" s="268">
        <f t="shared" si="32"/>
        <v>-8729189.5788463596</v>
      </c>
      <c r="AL96" s="268">
        <f t="shared" si="32"/>
        <v>-8937390.9052098654</v>
      </c>
      <c r="AM96" s="268">
        <f t="shared" si="32"/>
        <v>-9150684.3755010031</v>
      </c>
      <c r="AN96" s="268">
        <f t="shared" si="32"/>
        <v>-9369197.5625528172</v>
      </c>
      <c r="AO96" s="268">
        <f t="shared" si="32"/>
        <v>-21673225.690419316</v>
      </c>
      <c r="AP96" s="268">
        <f t="shared" si="32"/>
        <v>-9822409.8065093718</v>
      </c>
      <c r="AQ96" s="268">
        <f t="shared" si="32"/>
        <v>-10057380.696025331</v>
      </c>
      <c r="AR96" s="268">
        <f t="shared" si="32"/>
        <v>-10298115.14536953</v>
      </c>
      <c r="AS96" s="268">
        <f t="shared" si="32"/>
        <v>-10544757.947980508</v>
      </c>
      <c r="AT96" s="799">
        <f t="shared" si="32"/>
        <v>-24070559.689610455</v>
      </c>
      <c r="AU96" s="13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</row>
    <row r="97" spans="2:66" s="42" customFormat="1" ht="15" thickBot="1" x14ac:dyDescent="0.3">
      <c r="B97" s="842" t="s">
        <v>389</v>
      </c>
      <c r="C97" s="820"/>
      <c r="D97" s="820"/>
      <c r="E97" s="820"/>
      <c r="F97" s="820"/>
      <c r="G97" s="820">
        <f>G96</f>
        <v>-4318236.9614306372</v>
      </c>
      <c r="H97" s="820">
        <f t="shared" ref="H97:AT97" si="33">H96</f>
        <v>-4432937.8249451816</v>
      </c>
      <c r="I97" s="820">
        <f t="shared" si="33"/>
        <v>-4536875.1815609755</v>
      </c>
      <c r="J97" s="820">
        <f t="shared" si="33"/>
        <v>-4643311.9130354663</v>
      </c>
      <c r="K97" s="820">
        <f t="shared" si="33"/>
        <v>-11617904.705841476</v>
      </c>
      <c r="L97" s="820">
        <f t="shared" si="33"/>
        <v>-4863931.4676566217</v>
      </c>
      <c r="M97" s="820">
        <f t="shared" si="33"/>
        <v>-4978242.2002252238</v>
      </c>
      <c r="N97" s="820">
        <f t="shared" si="33"/>
        <v>-5095308.2077043382</v>
      </c>
      <c r="O97" s="820">
        <f t="shared" si="33"/>
        <v>-5215197.5552692544</v>
      </c>
      <c r="P97" s="820">
        <f t="shared" si="33"/>
        <v>-12881550.570299722</v>
      </c>
      <c r="Q97" s="820">
        <f t="shared" si="33"/>
        <v>-5463727.1811422799</v>
      </c>
      <c r="R97" s="820">
        <f t="shared" si="33"/>
        <v>-5592512.3741521444</v>
      </c>
      <c r="S97" s="820">
        <f t="shared" si="33"/>
        <v>-5724410.8291271329</v>
      </c>
      <c r="T97" s="820">
        <f t="shared" si="33"/>
        <v>-5859499.6730848122</v>
      </c>
      <c r="U97" s="820">
        <f t="shared" si="33"/>
        <v>-14286356.439628357</v>
      </c>
      <c r="V97" s="820">
        <f t="shared" si="33"/>
        <v>-6139566.8637729799</v>
      </c>
      <c r="W97" s="820">
        <f t="shared" si="33"/>
        <v>-6284709.445565287</v>
      </c>
      <c r="X97" s="820">
        <f t="shared" si="33"/>
        <v>-6433370.9918016</v>
      </c>
      <c r="Y97" s="820">
        <f t="shared" si="33"/>
        <v>-6585638.926612027</v>
      </c>
      <c r="Z97" s="820">
        <f t="shared" si="33"/>
        <v>-15848593.767328328</v>
      </c>
      <c r="AA97" s="820">
        <f t="shared" si="33"/>
        <v>-6901354.8280941052</v>
      </c>
      <c r="AB97" s="820">
        <f t="shared" si="33"/>
        <v>-7064988.9872727636</v>
      </c>
      <c r="AC97" s="820">
        <f t="shared" si="33"/>
        <v>-7232602.0400624331</v>
      </c>
      <c r="AD97" s="820">
        <f t="shared" si="33"/>
        <v>-7404293.1149919936</v>
      </c>
      <c r="AE97" s="820">
        <f t="shared" si="33"/>
        <v>-17586476.742962986</v>
      </c>
      <c r="AF97" s="820">
        <f t="shared" si="33"/>
        <v>-7760318.5440044012</v>
      </c>
      <c r="AG97" s="820">
        <f t="shared" si="33"/>
        <v>-7944864.0527799763</v>
      </c>
      <c r="AH97" s="820">
        <f t="shared" si="33"/>
        <v>-8133910.0298752068</v>
      </c>
      <c r="AI97" s="820">
        <f t="shared" si="33"/>
        <v>-8327568.9119321909</v>
      </c>
      <c r="AJ97" s="820">
        <f t="shared" si="33"/>
        <v>-19520403.065015338</v>
      </c>
      <c r="AK97" s="820">
        <f t="shared" si="33"/>
        <v>-8729189.5788463596</v>
      </c>
      <c r="AL97" s="820">
        <f t="shared" si="33"/>
        <v>-8937390.9052098654</v>
      </c>
      <c r="AM97" s="820">
        <f t="shared" si="33"/>
        <v>-9150684.3755010031</v>
      </c>
      <c r="AN97" s="820">
        <f t="shared" si="33"/>
        <v>-9369197.5625528172</v>
      </c>
      <c r="AO97" s="820">
        <f t="shared" si="33"/>
        <v>-21673225.690419316</v>
      </c>
      <c r="AP97" s="820">
        <f t="shared" si="33"/>
        <v>-9822409.8065093718</v>
      </c>
      <c r="AQ97" s="820">
        <f t="shared" si="33"/>
        <v>-10057380.696025331</v>
      </c>
      <c r="AR97" s="820">
        <f t="shared" si="33"/>
        <v>-10298115.14536953</v>
      </c>
      <c r="AS97" s="820">
        <f t="shared" si="33"/>
        <v>-10544757.947980508</v>
      </c>
      <c r="AT97" s="821">
        <f t="shared" si="33"/>
        <v>-24070559.689610455</v>
      </c>
      <c r="AU97" s="817"/>
      <c r="AV97" s="686"/>
      <c r="AW97" s="686"/>
      <c r="AX97" s="686"/>
      <c r="AY97" s="686"/>
      <c r="AZ97" s="686"/>
      <c r="BA97" s="686"/>
      <c r="BB97" s="686"/>
      <c r="BC97" s="686"/>
      <c r="BD97" s="686"/>
      <c r="BE97" s="686"/>
      <c r="BF97" s="686"/>
      <c r="BG97" s="686"/>
      <c r="BH97" s="686"/>
      <c r="BI97" s="686"/>
      <c r="BJ97" s="686"/>
      <c r="BK97" s="686"/>
      <c r="BL97" s="686"/>
      <c r="BM97" s="686"/>
      <c r="BN97" s="686"/>
    </row>
    <row r="98" spans="2:66" s="42" customFormat="1" ht="15" thickBot="1" x14ac:dyDescent="0.3">
      <c r="B98" s="837"/>
      <c r="C98" s="824"/>
      <c r="D98" s="824"/>
      <c r="E98" s="824"/>
      <c r="F98" s="824"/>
      <c r="G98" s="824"/>
      <c r="H98" s="824"/>
      <c r="I98" s="824"/>
      <c r="J98" s="824"/>
      <c r="K98" s="824"/>
      <c r="L98" s="824"/>
      <c r="M98" s="824"/>
      <c r="N98" s="824"/>
      <c r="O98" s="824"/>
      <c r="P98" s="824"/>
      <c r="Q98" s="824"/>
      <c r="R98" s="824"/>
      <c r="S98" s="824"/>
      <c r="T98" s="824"/>
      <c r="U98" s="824"/>
      <c r="V98" s="824"/>
      <c r="W98" s="824"/>
      <c r="X98" s="824"/>
      <c r="Y98" s="824"/>
      <c r="Z98" s="824"/>
      <c r="AA98" s="824"/>
      <c r="AB98" s="824"/>
      <c r="AC98" s="824"/>
      <c r="AD98" s="824"/>
      <c r="AE98" s="824"/>
      <c r="AF98" s="824"/>
      <c r="AG98" s="824"/>
      <c r="AH98" s="824"/>
      <c r="AI98" s="824"/>
      <c r="AJ98" s="824"/>
      <c r="AK98" s="824"/>
      <c r="AL98" s="824"/>
      <c r="AM98" s="824"/>
      <c r="AN98" s="824"/>
      <c r="AO98" s="824"/>
      <c r="AP98" s="824"/>
      <c r="AQ98" s="824"/>
      <c r="AR98" s="824"/>
      <c r="AS98" s="824"/>
      <c r="AT98" s="824"/>
      <c r="AU98" s="817"/>
      <c r="AV98" s="686"/>
      <c r="AW98" s="686"/>
      <c r="AX98" s="686"/>
      <c r="AY98" s="686"/>
      <c r="AZ98" s="686"/>
      <c r="BA98" s="686"/>
      <c r="BB98" s="686"/>
      <c r="BC98" s="686"/>
      <c r="BD98" s="686"/>
      <c r="BE98" s="686"/>
      <c r="BF98" s="686"/>
      <c r="BG98" s="686"/>
      <c r="BH98" s="686"/>
      <c r="BI98" s="686"/>
      <c r="BJ98" s="686"/>
      <c r="BK98" s="686"/>
      <c r="BL98" s="686"/>
      <c r="BM98" s="686"/>
      <c r="BN98" s="686"/>
    </row>
    <row r="99" spans="2:66" ht="14.4" x14ac:dyDescent="0.25">
      <c r="B99" s="835" t="s">
        <v>392</v>
      </c>
      <c r="C99" s="818"/>
      <c r="D99" s="818"/>
      <c r="E99" s="818"/>
      <c r="F99" s="818"/>
      <c r="G99" s="818"/>
      <c r="H99" s="818"/>
      <c r="I99" s="818"/>
      <c r="J99" s="818"/>
      <c r="K99" s="818"/>
      <c r="L99" s="818"/>
      <c r="M99" s="818"/>
      <c r="N99" s="818"/>
      <c r="O99" s="818"/>
      <c r="P99" s="818"/>
      <c r="Q99" s="818"/>
      <c r="R99" s="818"/>
      <c r="S99" s="818"/>
      <c r="T99" s="818"/>
      <c r="U99" s="818"/>
      <c r="V99" s="818"/>
      <c r="W99" s="818"/>
      <c r="X99" s="818"/>
      <c r="Y99" s="818"/>
      <c r="Z99" s="818"/>
      <c r="AA99" s="818"/>
      <c r="AB99" s="818"/>
      <c r="AC99" s="818"/>
      <c r="AD99" s="818"/>
      <c r="AE99" s="818"/>
      <c r="AF99" s="818"/>
      <c r="AG99" s="818"/>
      <c r="AH99" s="818"/>
      <c r="AI99" s="818"/>
      <c r="AJ99" s="818"/>
      <c r="AK99" s="818"/>
      <c r="AL99" s="818"/>
      <c r="AM99" s="818"/>
      <c r="AN99" s="818"/>
      <c r="AO99" s="818"/>
      <c r="AP99" s="818"/>
      <c r="AQ99" s="818"/>
      <c r="AR99" s="818"/>
      <c r="AS99" s="818"/>
      <c r="AT99" s="819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</row>
    <row r="100" spans="2:66" x14ac:dyDescent="0.25">
      <c r="B100" s="836" t="s">
        <v>393</v>
      </c>
      <c r="C100" s="268">
        <v>0</v>
      </c>
      <c r="D100" s="268">
        <v>0</v>
      </c>
      <c r="E100" s="268">
        <v>0</v>
      </c>
      <c r="F100" s="268">
        <v>0</v>
      </c>
      <c r="G100" s="178">
        <f t="shared" ref="G100:AT100" si="34">G74</f>
        <v>2690082.7800000003</v>
      </c>
      <c r="H100" s="178">
        <f t="shared" si="34"/>
        <v>3586777.0400000005</v>
      </c>
      <c r="I100" s="178">
        <f t="shared" si="34"/>
        <v>3790675.3888079999</v>
      </c>
      <c r="J100" s="178">
        <f t="shared" si="34"/>
        <v>3831375.3822960006</v>
      </c>
      <c r="K100" s="178">
        <f t="shared" si="34"/>
        <v>4028507.2209656732</v>
      </c>
      <c r="L100" s="178">
        <f t="shared" si="34"/>
        <v>4070851.4941905877</v>
      </c>
      <c r="M100" s="178">
        <f t="shared" si="34"/>
        <v>4279368.8764190907</v>
      </c>
      <c r="N100" s="178">
        <f t="shared" si="34"/>
        <v>4292490.0900903344</v>
      </c>
      <c r="O100" s="178">
        <f t="shared" si="34"/>
        <v>4479558.0004335446</v>
      </c>
      <c r="P100" s="178">
        <f t="shared" si="34"/>
        <v>4493209.3111371072</v>
      </c>
      <c r="Q100" s="178">
        <f t="shared" si="34"/>
        <v>4688937.7909630314</v>
      </c>
      <c r="R100" s="178">
        <f t="shared" si="34"/>
        <v>4703140.6146190194</v>
      </c>
      <c r="S100" s="178">
        <f t="shared" si="34"/>
        <v>4912745.664923666</v>
      </c>
      <c r="T100" s="178">
        <f t="shared" si="34"/>
        <v>4932343.8343977043</v>
      </c>
      <c r="U100" s="178">
        <f t="shared" si="34"/>
        <v>5152000.460828159</v>
      </c>
      <c r="V100" s="178">
        <f t="shared" si="34"/>
        <v>5172390.3963489495</v>
      </c>
      <c r="W100" s="178">
        <f t="shared" si="34"/>
        <v>5402568.6572772712</v>
      </c>
      <c r="X100" s="178">
        <f t="shared" si="34"/>
        <v>5447433.7755879741</v>
      </c>
      <c r="Y100" s="178">
        <f t="shared" si="34"/>
        <v>5714187.7692121845</v>
      </c>
      <c r="Z100" s="178">
        <f t="shared" si="34"/>
        <v>5760865.4383026361</v>
      </c>
      <c r="AA100" s="178">
        <f t="shared" si="34"/>
        <v>6042167.8489317708</v>
      </c>
      <c r="AB100" s="178">
        <f t="shared" si="34"/>
        <v>6090731.2958534779</v>
      </c>
      <c r="AC100" s="178">
        <f t="shared" si="34"/>
        <v>6336796.84020596</v>
      </c>
      <c r="AD100" s="178">
        <f t="shared" si="34"/>
        <v>6336796.84020596</v>
      </c>
      <c r="AE100" s="178">
        <f t="shared" si="34"/>
        <v>6592803.4325502794</v>
      </c>
      <c r="AF100" s="178">
        <f t="shared" si="34"/>
        <v>6592803.4325502794</v>
      </c>
      <c r="AG100" s="178">
        <f t="shared" si="34"/>
        <v>6859152.6912253099</v>
      </c>
      <c r="AH100" s="178">
        <f t="shared" si="34"/>
        <v>6859152.6912253099</v>
      </c>
      <c r="AI100" s="178">
        <f t="shared" si="34"/>
        <v>7136262.4599508131</v>
      </c>
      <c r="AJ100" s="178">
        <f t="shared" si="34"/>
        <v>7136262.4599508131</v>
      </c>
      <c r="AK100" s="178">
        <f t="shared" si="34"/>
        <v>7424567.4633328253</v>
      </c>
      <c r="AL100" s="178">
        <f t="shared" si="34"/>
        <v>7424567.4633328253</v>
      </c>
      <c r="AM100" s="178">
        <f t="shared" si="34"/>
        <v>7724519.9888514709</v>
      </c>
      <c r="AN100" s="178">
        <f t="shared" si="34"/>
        <v>7724519.9888514709</v>
      </c>
      <c r="AO100" s="178">
        <f t="shared" si="34"/>
        <v>8036590.5964010721</v>
      </c>
      <c r="AP100" s="178">
        <f t="shared" si="34"/>
        <v>8036590.5964010721</v>
      </c>
      <c r="AQ100" s="178">
        <f t="shared" si="34"/>
        <v>8361268.8564956747</v>
      </c>
      <c r="AR100" s="178">
        <f t="shared" si="34"/>
        <v>8361268.8564956747</v>
      </c>
      <c r="AS100" s="178">
        <f t="shared" si="34"/>
        <v>8699064.1182981003</v>
      </c>
      <c r="AT100" s="265">
        <f t="shared" si="34"/>
        <v>8699064.1182981003</v>
      </c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</row>
    <row r="101" spans="2:66" x14ac:dyDescent="0.25">
      <c r="B101" s="836" t="s">
        <v>394</v>
      </c>
      <c r="C101" s="268">
        <v>0</v>
      </c>
      <c r="D101" s="268">
        <v>0</v>
      </c>
      <c r="E101" s="268">
        <v>0</v>
      </c>
      <c r="F101" s="268">
        <v>0</v>
      </c>
      <c r="G101" s="178">
        <f t="shared" ref="G101:AT101" si="35">G75</f>
        <v>420000</v>
      </c>
      <c r="H101" s="178">
        <f t="shared" si="35"/>
        <v>428400</v>
      </c>
      <c r="I101" s="178">
        <f t="shared" si="35"/>
        <v>436968</v>
      </c>
      <c r="J101" s="178">
        <f t="shared" si="35"/>
        <v>445707.36</v>
      </c>
      <c r="K101" s="178">
        <f t="shared" si="35"/>
        <v>454621.50719999999</v>
      </c>
      <c r="L101" s="178">
        <f t="shared" si="35"/>
        <v>463713.93734400003</v>
      </c>
      <c r="M101" s="178">
        <f t="shared" si="35"/>
        <v>472988.21609088004</v>
      </c>
      <c r="N101" s="178">
        <f t="shared" si="35"/>
        <v>482447.98041269754</v>
      </c>
      <c r="O101" s="178">
        <f t="shared" si="35"/>
        <v>492096.9400209515</v>
      </c>
      <c r="P101" s="178">
        <f t="shared" si="35"/>
        <v>501938.87882137054</v>
      </c>
      <c r="Q101" s="178">
        <f t="shared" si="35"/>
        <v>511977.65639779798</v>
      </c>
      <c r="R101" s="178">
        <f t="shared" si="35"/>
        <v>522217.20952575386</v>
      </c>
      <c r="S101" s="178">
        <f t="shared" si="35"/>
        <v>532661.55371626897</v>
      </c>
      <c r="T101" s="178">
        <f t="shared" si="35"/>
        <v>543314.78479059436</v>
      </c>
      <c r="U101" s="178">
        <f t="shared" si="35"/>
        <v>554181.08048640634</v>
      </c>
      <c r="V101" s="178">
        <f t="shared" si="35"/>
        <v>565264.70209613431</v>
      </c>
      <c r="W101" s="178">
        <f t="shared" si="35"/>
        <v>576569.99613805709</v>
      </c>
      <c r="X101" s="178">
        <f t="shared" si="35"/>
        <v>588101.39606081822</v>
      </c>
      <c r="Y101" s="178">
        <f t="shared" si="35"/>
        <v>599863.42398203455</v>
      </c>
      <c r="Z101" s="178">
        <f t="shared" si="35"/>
        <v>611860.69246167527</v>
      </c>
      <c r="AA101" s="178">
        <f t="shared" si="35"/>
        <v>624097.90631090873</v>
      </c>
      <c r="AB101" s="178">
        <f t="shared" si="35"/>
        <v>636579.8644371269</v>
      </c>
      <c r="AC101" s="178">
        <f t="shared" si="35"/>
        <v>649311.46172586945</v>
      </c>
      <c r="AD101" s="178">
        <f t="shared" si="35"/>
        <v>662297.69096038677</v>
      </c>
      <c r="AE101" s="178">
        <f t="shared" si="35"/>
        <v>675543.6447795945</v>
      </c>
      <c r="AF101" s="178">
        <f t="shared" si="35"/>
        <v>689054.51767518639</v>
      </c>
      <c r="AG101" s="178">
        <f t="shared" si="35"/>
        <v>702835.60802869021</v>
      </c>
      <c r="AH101" s="178">
        <f t="shared" si="35"/>
        <v>716892.3201892639</v>
      </c>
      <c r="AI101" s="178">
        <f t="shared" si="35"/>
        <v>731230.1665930493</v>
      </c>
      <c r="AJ101" s="178">
        <f t="shared" si="35"/>
        <v>745854.76992491016</v>
      </c>
      <c r="AK101" s="178">
        <f t="shared" si="35"/>
        <v>760771.86532340851</v>
      </c>
      <c r="AL101" s="178">
        <f t="shared" si="35"/>
        <v>775987.30262987642</v>
      </c>
      <c r="AM101" s="178">
        <f t="shared" si="35"/>
        <v>791507.04868247418</v>
      </c>
      <c r="AN101" s="178">
        <f t="shared" si="35"/>
        <v>807337.18965612364</v>
      </c>
      <c r="AO101" s="178">
        <f t="shared" si="35"/>
        <v>823483.93344924611</v>
      </c>
      <c r="AP101" s="178">
        <f t="shared" si="35"/>
        <v>839953.61211823102</v>
      </c>
      <c r="AQ101" s="178">
        <f t="shared" si="35"/>
        <v>856752.68436059554</v>
      </c>
      <c r="AR101" s="178">
        <f t="shared" si="35"/>
        <v>873887.73804780759</v>
      </c>
      <c r="AS101" s="178">
        <f t="shared" si="35"/>
        <v>891365.49280876387</v>
      </c>
      <c r="AT101" s="265">
        <f t="shared" si="35"/>
        <v>909192.80266493873</v>
      </c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</row>
    <row r="102" spans="2:66" s="808" customFormat="1" ht="15" thickBot="1" x14ac:dyDescent="0.3">
      <c r="B102" s="842" t="s">
        <v>388</v>
      </c>
      <c r="C102" s="822">
        <v>0</v>
      </c>
      <c r="D102" s="822">
        <v>0</v>
      </c>
      <c r="E102" s="822">
        <v>0</v>
      </c>
      <c r="F102" s="822">
        <v>0</v>
      </c>
      <c r="G102" s="822">
        <f>G100+G101</f>
        <v>3110082.7800000003</v>
      </c>
      <c r="H102" s="822">
        <f t="shared" ref="H102:AT102" si="36">H100+H101</f>
        <v>4015177.0400000005</v>
      </c>
      <c r="I102" s="822">
        <f t="shared" si="36"/>
        <v>4227643.3888079999</v>
      </c>
      <c r="J102" s="822">
        <f t="shared" si="36"/>
        <v>4277082.7422960009</v>
      </c>
      <c r="K102" s="822">
        <f t="shared" si="36"/>
        <v>4483128.7281656731</v>
      </c>
      <c r="L102" s="822">
        <f t="shared" si="36"/>
        <v>4534565.4315345874</v>
      </c>
      <c r="M102" s="822">
        <f t="shared" si="36"/>
        <v>4752357.092509971</v>
      </c>
      <c r="N102" s="822">
        <f t="shared" si="36"/>
        <v>4774938.0705030318</v>
      </c>
      <c r="O102" s="822">
        <f t="shared" si="36"/>
        <v>4971654.9404544961</v>
      </c>
      <c r="P102" s="822">
        <f t="shared" si="36"/>
        <v>4995148.1899584774</v>
      </c>
      <c r="Q102" s="822">
        <f t="shared" si="36"/>
        <v>5200915.4473608295</v>
      </c>
      <c r="R102" s="822">
        <f t="shared" si="36"/>
        <v>5225357.8241447732</v>
      </c>
      <c r="S102" s="822">
        <f t="shared" si="36"/>
        <v>5445407.2186399354</v>
      </c>
      <c r="T102" s="822">
        <f t="shared" si="36"/>
        <v>5475658.6191882985</v>
      </c>
      <c r="U102" s="822">
        <f t="shared" si="36"/>
        <v>5706181.5413145656</v>
      </c>
      <c r="V102" s="822">
        <f t="shared" si="36"/>
        <v>5737655.0984450839</v>
      </c>
      <c r="W102" s="822">
        <f t="shared" si="36"/>
        <v>5979138.6534153279</v>
      </c>
      <c r="X102" s="822">
        <f t="shared" si="36"/>
        <v>6035535.171648792</v>
      </c>
      <c r="Y102" s="822">
        <f t="shared" si="36"/>
        <v>6314051.1931942189</v>
      </c>
      <c r="Z102" s="822">
        <f t="shared" si="36"/>
        <v>6372726.1307643112</v>
      </c>
      <c r="AA102" s="822">
        <f t="shared" si="36"/>
        <v>6666265.7552426793</v>
      </c>
      <c r="AB102" s="822">
        <f t="shared" si="36"/>
        <v>6727311.1602906045</v>
      </c>
      <c r="AC102" s="822">
        <f t="shared" si="36"/>
        <v>6986108.3019318292</v>
      </c>
      <c r="AD102" s="822">
        <f t="shared" si="36"/>
        <v>6999094.5311663467</v>
      </c>
      <c r="AE102" s="822">
        <f t="shared" si="36"/>
        <v>7268347.077329874</v>
      </c>
      <c r="AF102" s="822">
        <f t="shared" si="36"/>
        <v>7281857.9502254659</v>
      </c>
      <c r="AG102" s="822">
        <f t="shared" si="36"/>
        <v>7561988.2992540002</v>
      </c>
      <c r="AH102" s="822">
        <f t="shared" si="36"/>
        <v>7576045.0114145735</v>
      </c>
      <c r="AI102" s="822">
        <f t="shared" si="36"/>
        <v>7867492.6265438627</v>
      </c>
      <c r="AJ102" s="822">
        <f t="shared" si="36"/>
        <v>7882117.2298757229</v>
      </c>
      <c r="AK102" s="822">
        <f t="shared" si="36"/>
        <v>8185339.3286562338</v>
      </c>
      <c r="AL102" s="822">
        <f t="shared" si="36"/>
        <v>8200554.7659627013</v>
      </c>
      <c r="AM102" s="822">
        <f t="shared" si="36"/>
        <v>8516027.0375339445</v>
      </c>
      <c r="AN102" s="822">
        <f t="shared" si="36"/>
        <v>8531857.1785075944</v>
      </c>
      <c r="AO102" s="822">
        <f t="shared" si="36"/>
        <v>8860074.529850319</v>
      </c>
      <c r="AP102" s="822">
        <f t="shared" si="36"/>
        <v>8876544.2085193023</v>
      </c>
      <c r="AQ102" s="822">
        <f t="shared" si="36"/>
        <v>9218021.5408562701</v>
      </c>
      <c r="AR102" s="822">
        <f t="shared" si="36"/>
        <v>9235156.5945434831</v>
      </c>
      <c r="AS102" s="822">
        <f t="shared" si="36"/>
        <v>9590429.6111068651</v>
      </c>
      <c r="AT102" s="823">
        <f t="shared" si="36"/>
        <v>9608256.9209630396</v>
      </c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</row>
    <row r="103" spans="2:66" ht="15" thickBot="1" x14ac:dyDescent="0.3">
      <c r="B103" s="838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</row>
    <row r="104" spans="2:66" s="810" customFormat="1" ht="15" thickBot="1" x14ac:dyDescent="0.3">
      <c r="B104" s="843" t="s">
        <v>387</v>
      </c>
      <c r="C104" s="825"/>
      <c r="D104" s="825"/>
      <c r="E104" s="825"/>
      <c r="F104" s="825"/>
      <c r="G104" s="826">
        <f>G102+G97</f>
        <v>-1208154.1814306369</v>
      </c>
      <c r="H104" s="826">
        <f t="shared" ref="H104:AT104" si="37">H102+H97</f>
        <v>-417760.78494518111</v>
      </c>
      <c r="I104" s="826">
        <f t="shared" si="37"/>
        <v>-309231.7927529756</v>
      </c>
      <c r="J104" s="826">
        <f t="shared" si="37"/>
        <v>-366229.17073946539</v>
      </c>
      <c r="K104" s="826">
        <f t="shared" si="37"/>
        <v>-7134775.977675803</v>
      </c>
      <c r="L104" s="826">
        <f t="shared" si="37"/>
        <v>-329366.0361220343</v>
      </c>
      <c r="M104" s="826">
        <f t="shared" si="37"/>
        <v>-225885.10771525279</v>
      </c>
      <c r="N104" s="826">
        <f t="shared" si="37"/>
        <v>-320370.13720130641</v>
      </c>
      <c r="O104" s="826">
        <f t="shared" si="37"/>
        <v>-243542.6148147583</v>
      </c>
      <c r="P104" s="826">
        <f t="shared" si="37"/>
        <v>-7886402.3803412449</v>
      </c>
      <c r="Q104" s="826">
        <f t="shared" si="37"/>
        <v>-262811.73378145043</v>
      </c>
      <c r="R104" s="826">
        <f t="shared" si="37"/>
        <v>-367154.55000737123</v>
      </c>
      <c r="S104" s="826">
        <f t="shared" si="37"/>
        <v>-279003.61048719753</v>
      </c>
      <c r="T104" s="826">
        <f t="shared" si="37"/>
        <v>-383841.05389651377</v>
      </c>
      <c r="U104" s="826">
        <f t="shared" si="37"/>
        <v>-8580174.8983137906</v>
      </c>
      <c r="V104" s="826">
        <f t="shared" si="37"/>
        <v>-401911.76532789599</v>
      </c>
      <c r="W104" s="826">
        <f t="shared" si="37"/>
        <v>-305570.79214995913</v>
      </c>
      <c r="X104" s="826">
        <f t="shared" si="37"/>
        <v>-397835.82015280798</v>
      </c>
      <c r="Y104" s="826">
        <f t="shared" si="37"/>
        <v>-271587.73341780808</v>
      </c>
      <c r="Z104" s="826">
        <f t="shared" si="37"/>
        <v>-9475867.6365640163</v>
      </c>
      <c r="AA104" s="826">
        <f t="shared" si="37"/>
        <v>-235089.07285142597</v>
      </c>
      <c r="AB104" s="826">
        <f t="shared" si="37"/>
        <v>-337677.82698215917</v>
      </c>
      <c r="AC104" s="826">
        <f t="shared" si="37"/>
        <v>-246493.73813060392</v>
      </c>
      <c r="AD104" s="826">
        <f t="shared" si="37"/>
        <v>-405198.5838256469</v>
      </c>
      <c r="AE104" s="826">
        <f t="shared" si="37"/>
        <v>-10318129.665633112</v>
      </c>
      <c r="AF104" s="826">
        <f t="shared" si="37"/>
        <v>-478460.59377893526</v>
      </c>
      <c r="AG104" s="826">
        <f t="shared" si="37"/>
        <v>-382875.75352597609</v>
      </c>
      <c r="AH104" s="826">
        <f t="shared" si="37"/>
        <v>-557865.01846063323</v>
      </c>
      <c r="AI104" s="826">
        <f t="shared" si="37"/>
        <v>-460076.28538832814</v>
      </c>
      <c r="AJ104" s="826">
        <f t="shared" si="37"/>
        <v>-11638285.835139615</v>
      </c>
      <c r="AK104" s="826">
        <f t="shared" si="37"/>
        <v>-543850.25019012578</v>
      </c>
      <c r="AL104" s="826">
        <f t="shared" si="37"/>
        <v>-736836.13924716413</v>
      </c>
      <c r="AM104" s="826">
        <f t="shared" si="37"/>
        <v>-634657.33796705864</v>
      </c>
      <c r="AN104" s="826">
        <f t="shared" si="37"/>
        <v>-837340.38404522277</v>
      </c>
      <c r="AO104" s="826">
        <f t="shared" si="37"/>
        <v>-12813151.160568997</v>
      </c>
      <c r="AP104" s="826">
        <f t="shared" si="37"/>
        <v>-945865.59799006954</v>
      </c>
      <c r="AQ104" s="826">
        <f t="shared" si="37"/>
        <v>-839359.15516906045</v>
      </c>
      <c r="AR104" s="826">
        <f t="shared" si="37"/>
        <v>-1062958.5508260466</v>
      </c>
      <c r="AS104" s="826">
        <f t="shared" si="37"/>
        <v>-954328.3368736431</v>
      </c>
      <c r="AT104" s="827">
        <f t="shared" si="37"/>
        <v>-14462302.768647416</v>
      </c>
      <c r="AU104" s="523"/>
      <c r="AV104" s="523"/>
      <c r="AW104" s="523"/>
      <c r="AX104" s="523"/>
      <c r="AY104" s="523"/>
      <c r="AZ104" s="523"/>
      <c r="BA104" s="523"/>
      <c r="BB104" s="523"/>
      <c r="BC104" s="523"/>
      <c r="BD104" s="523"/>
      <c r="BE104" s="523"/>
      <c r="BF104" s="523"/>
      <c r="BG104" s="523"/>
      <c r="BH104" s="523"/>
      <c r="BI104" s="523"/>
      <c r="BJ104" s="523"/>
      <c r="BK104" s="523"/>
      <c r="BL104" s="523"/>
      <c r="BM104" s="523"/>
      <c r="BN104" s="523"/>
    </row>
    <row r="105" spans="2:66" s="810" customFormat="1" ht="15" thickBot="1" x14ac:dyDescent="0.3">
      <c r="B105" s="839"/>
      <c r="C105" s="801"/>
      <c r="D105" s="801"/>
      <c r="E105" s="801"/>
      <c r="F105" s="801"/>
      <c r="G105" s="824"/>
      <c r="H105" s="824"/>
      <c r="I105" s="824"/>
      <c r="J105" s="824"/>
      <c r="K105" s="824"/>
      <c r="L105" s="824"/>
      <c r="M105" s="824"/>
      <c r="N105" s="824"/>
      <c r="O105" s="824"/>
      <c r="P105" s="824"/>
      <c r="Q105" s="824"/>
      <c r="R105" s="824"/>
      <c r="S105" s="824"/>
      <c r="T105" s="824"/>
      <c r="U105" s="824"/>
      <c r="V105" s="824"/>
      <c r="W105" s="824"/>
      <c r="X105" s="824"/>
      <c r="Y105" s="824"/>
      <c r="Z105" s="824"/>
      <c r="AA105" s="824"/>
      <c r="AB105" s="824"/>
      <c r="AC105" s="824"/>
      <c r="AD105" s="824"/>
      <c r="AE105" s="824"/>
      <c r="AF105" s="824"/>
      <c r="AG105" s="824"/>
      <c r="AH105" s="824"/>
      <c r="AI105" s="824"/>
      <c r="AJ105" s="824"/>
      <c r="AK105" s="824"/>
      <c r="AL105" s="824"/>
      <c r="AM105" s="824"/>
      <c r="AN105" s="824"/>
      <c r="AO105" s="824"/>
      <c r="AP105" s="824"/>
      <c r="AQ105" s="824"/>
      <c r="AR105" s="824"/>
      <c r="AS105" s="824"/>
      <c r="AT105" s="824"/>
      <c r="AU105" s="523"/>
      <c r="AV105" s="523"/>
      <c r="AW105" s="523"/>
      <c r="AX105" s="523"/>
      <c r="AY105" s="523"/>
      <c r="AZ105" s="523"/>
      <c r="BA105" s="523"/>
      <c r="BB105" s="523"/>
      <c r="BC105" s="523"/>
      <c r="BD105" s="523"/>
      <c r="BE105" s="523"/>
      <c r="BF105" s="523"/>
      <c r="BG105" s="523"/>
      <c r="BH105" s="523"/>
      <c r="BI105" s="523"/>
      <c r="BJ105" s="523"/>
      <c r="BK105" s="523"/>
      <c r="BL105" s="523"/>
      <c r="BM105" s="523"/>
      <c r="BN105" s="523"/>
    </row>
    <row r="106" spans="2:66" ht="14.4" x14ac:dyDescent="0.25">
      <c r="B106" s="835" t="s">
        <v>397</v>
      </c>
      <c r="C106" s="818"/>
      <c r="D106" s="818"/>
      <c r="E106" s="818"/>
      <c r="F106" s="818"/>
      <c r="G106" s="818"/>
      <c r="H106" s="818"/>
      <c r="I106" s="818"/>
      <c r="J106" s="818"/>
      <c r="K106" s="818"/>
      <c r="L106" s="818"/>
      <c r="M106" s="818"/>
      <c r="N106" s="818"/>
      <c r="O106" s="818"/>
      <c r="P106" s="818"/>
      <c r="Q106" s="818"/>
      <c r="R106" s="818"/>
      <c r="S106" s="818"/>
      <c r="T106" s="818"/>
      <c r="U106" s="818"/>
      <c r="V106" s="818"/>
      <c r="W106" s="818"/>
      <c r="X106" s="818"/>
      <c r="Y106" s="818"/>
      <c r="Z106" s="818"/>
      <c r="AA106" s="818"/>
      <c r="AB106" s="818"/>
      <c r="AC106" s="818"/>
      <c r="AD106" s="818"/>
      <c r="AE106" s="818"/>
      <c r="AF106" s="818"/>
      <c r="AG106" s="818"/>
      <c r="AH106" s="818"/>
      <c r="AI106" s="818"/>
      <c r="AJ106" s="818"/>
      <c r="AK106" s="818"/>
      <c r="AL106" s="818"/>
      <c r="AM106" s="818"/>
      <c r="AN106" s="818"/>
      <c r="AO106" s="818"/>
      <c r="AP106" s="818"/>
      <c r="AQ106" s="818"/>
      <c r="AR106" s="818"/>
      <c r="AS106" s="818"/>
      <c r="AT106" s="819"/>
      <c r="AU106" s="166"/>
      <c r="AV106" s="166"/>
      <c r="AW106" s="166"/>
      <c r="AX106" s="166"/>
      <c r="AY106" s="166"/>
      <c r="AZ106" s="166"/>
      <c r="BA106" s="166"/>
      <c r="BB106" s="166"/>
      <c r="BC106" s="166"/>
      <c r="BD106" s="166"/>
      <c r="BE106" s="166"/>
      <c r="BF106" s="166"/>
      <c r="BG106" s="166"/>
      <c r="BH106" s="166"/>
      <c r="BI106" s="166"/>
      <c r="BJ106" s="166"/>
      <c r="BK106" s="166"/>
      <c r="BL106" s="166"/>
      <c r="BM106" s="166"/>
      <c r="BN106" s="166"/>
    </row>
    <row r="107" spans="2:66" x14ac:dyDescent="0.25">
      <c r="B107" s="836" t="s">
        <v>442</v>
      </c>
      <c r="C107" s="268">
        <v>0</v>
      </c>
      <c r="D107" s="268">
        <v>0</v>
      </c>
      <c r="E107" s="268">
        <v>0</v>
      </c>
      <c r="F107" s="268">
        <v>0</v>
      </c>
      <c r="G107" s="178">
        <f>G104</f>
        <v>-1208154.1814306369</v>
      </c>
      <c r="H107" s="178">
        <f t="shared" ref="H107:AT107" si="38">H104</f>
        <v>-417760.78494518111</v>
      </c>
      <c r="I107" s="178">
        <f t="shared" si="38"/>
        <v>-309231.7927529756</v>
      </c>
      <c r="J107" s="178">
        <f t="shared" si="38"/>
        <v>-366229.17073946539</v>
      </c>
      <c r="K107" s="178">
        <f t="shared" si="38"/>
        <v>-7134775.977675803</v>
      </c>
      <c r="L107" s="178">
        <f t="shared" si="38"/>
        <v>-329366.0361220343</v>
      </c>
      <c r="M107" s="178">
        <f t="shared" si="38"/>
        <v>-225885.10771525279</v>
      </c>
      <c r="N107" s="178">
        <f t="shared" si="38"/>
        <v>-320370.13720130641</v>
      </c>
      <c r="O107" s="178">
        <f t="shared" si="38"/>
        <v>-243542.6148147583</v>
      </c>
      <c r="P107" s="178">
        <f t="shared" si="38"/>
        <v>-7886402.3803412449</v>
      </c>
      <c r="Q107" s="178">
        <f t="shared" si="38"/>
        <v>-262811.73378145043</v>
      </c>
      <c r="R107" s="178">
        <f t="shared" si="38"/>
        <v>-367154.55000737123</v>
      </c>
      <c r="S107" s="178">
        <f t="shared" si="38"/>
        <v>-279003.61048719753</v>
      </c>
      <c r="T107" s="178">
        <f t="shared" si="38"/>
        <v>-383841.05389651377</v>
      </c>
      <c r="U107" s="178">
        <f t="shared" si="38"/>
        <v>-8580174.8983137906</v>
      </c>
      <c r="V107" s="178">
        <f t="shared" si="38"/>
        <v>-401911.76532789599</v>
      </c>
      <c r="W107" s="178">
        <f t="shared" si="38"/>
        <v>-305570.79214995913</v>
      </c>
      <c r="X107" s="178">
        <f t="shared" si="38"/>
        <v>-397835.82015280798</v>
      </c>
      <c r="Y107" s="178">
        <f t="shared" si="38"/>
        <v>-271587.73341780808</v>
      </c>
      <c r="Z107" s="178">
        <f t="shared" si="38"/>
        <v>-9475867.6365640163</v>
      </c>
      <c r="AA107" s="178">
        <f t="shared" si="38"/>
        <v>-235089.07285142597</v>
      </c>
      <c r="AB107" s="178">
        <f t="shared" si="38"/>
        <v>-337677.82698215917</v>
      </c>
      <c r="AC107" s="178">
        <f t="shared" si="38"/>
        <v>-246493.73813060392</v>
      </c>
      <c r="AD107" s="178">
        <f t="shared" si="38"/>
        <v>-405198.5838256469</v>
      </c>
      <c r="AE107" s="178">
        <f t="shared" si="38"/>
        <v>-10318129.665633112</v>
      </c>
      <c r="AF107" s="178">
        <f t="shared" si="38"/>
        <v>-478460.59377893526</v>
      </c>
      <c r="AG107" s="178">
        <f t="shared" si="38"/>
        <v>-382875.75352597609</v>
      </c>
      <c r="AH107" s="178">
        <f t="shared" si="38"/>
        <v>-557865.01846063323</v>
      </c>
      <c r="AI107" s="178">
        <f t="shared" si="38"/>
        <v>-460076.28538832814</v>
      </c>
      <c r="AJ107" s="178">
        <f t="shared" si="38"/>
        <v>-11638285.835139615</v>
      </c>
      <c r="AK107" s="178">
        <f t="shared" si="38"/>
        <v>-543850.25019012578</v>
      </c>
      <c r="AL107" s="178">
        <f t="shared" si="38"/>
        <v>-736836.13924716413</v>
      </c>
      <c r="AM107" s="178">
        <f t="shared" si="38"/>
        <v>-634657.33796705864</v>
      </c>
      <c r="AN107" s="178">
        <f t="shared" si="38"/>
        <v>-837340.38404522277</v>
      </c>
      <c r="AO107" s="178">
        <f t="shared" si="38"/>
        <v>-12813151.160568997</v>
      </c>
      <c r="AP107" s="178">
        <f t="shared" si="38"/>
        <v>-945865.59799006954</v>
      </c>
      <c r="AQ107" s="178">
        <f t="shared" si="38"/>
        <v>-839359.15516906045</v>
      </c>
      <c r="AR107" s="178">
        <f t="shared" si="38"/>
        <v>-1062958.5508260466</v>
      </c>
      <c r="AS107" s="178">
        <f t="shared" si="38"/>
        <v>-954328.3368736431</v>
      </c>
      <c r="AT107" s="265">
        <f t="shared" si="38"/>
        <v>-14462302.768647416</v>
      </c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66"/>
      <c r="BL107" s="166"/>
      <c r="BM107" s="166"/>
      <c r="BN107" s="166"/>
    </row>
    <row r="108" spans="2:66" x14ac:dyDescent="0.25">
      <c r="B108" s="836" t="s">
        <v>440</v>
      </c>
      <c r="C108" s="268">
        <v>0</v>
      </c>
      <c r="D108" s="268">
        <v>0</v>
      </c>
      <c r="E108" s="268">
        <v>0</v>
      </c>
      <c r="F108" s="268">
        <v>0</v>
      </c>
      <c r="G108" s="178">
        <f>IF(G107&gt;0,-$C$23*G107,0)</f>
        <v>0</v>
      </c>
      <c r="H108" s="178">
        <f t="shared" ref="H108:AT108" si="39">IF(H107&gt;0,-$C$23*H107,0)</f>
        <v>0</v>
      </c>
      <c r="I108" s="178">
        <f t="shared" si="39"/>
        <v>0</v>
      </c>
      <c r="J108" s="178">
        <f t="shared" si="39"/>
        <v>0</v>
      </c>
      <c r="K108" s="178">
        <f t="shared" si="39"/>
        <v>0</v>
      </c>
      <c r="L108" s="178">
        <f t="shared" si="39"/>
        <v>0</v>
      </c>
      <c r="M108" s="178">
        <f t="shared" si="39"/>
        <v>0</v>
      </c>
      <c r="N108" s="178">
        <f t="shared" si="39"/>
        <v>0</v>
      </c>
      <c r="O108" s="178">
        <f t="shared" si="39"/>
        <v>0</v>
      </c>
      <c r="P108" s="178">
        <f t="shared" si="39"/>
        <v>0</v>
      </c>
      <c r="Q108" s="178">
        <f t="shared" si="39"/>
        <v>0</v>
      </c>
      <c r="R108" s="178">
        <f t="shared" si="39"/>
        <v>0</v>
      </c>
      <c r="S108" s="178">
        <f t="shared" si="39"/>
        <v>0</v>
      </c>
      <c r="T108" s="178">
        <f t="shared" si="39"/>
        <v>0</v>
      </c>
      <c r="U108" s="178">
        <f t="shared" si="39"/>
        <v>0</v>
      </c>
      <c r="V108" s="178">
        <f t="shared" si="39"/>
        <v>0</v>
      </c>
      <c r="W108" s="178">
        <f t="shared" si="39"/>
        <v>0</v>
      </c>
      <c r="X108" s="178">
        <f t="shared" si="39"/>
        <v>0</v>
      </c>
      <c r="Y108" s="178">
        <f t="shared" si="39"/>
        <v>0</v>
      </c>
      <c r="Z108" s="178">
        <f t="shared" si="39"/>
        <v>0</v>
      </c>
      <c r="AA108" s="178">
        <f t="shared" si="39"/>
        <v>0</v>
      </c>
      <c r="AB108" s="178">
        <f t="shared" si="39"/>
        <v>0</v>
      </c>
      <c r="AC108" s="178">
        <f t="shared" si="39"/>
        <v>0</v>
      </c>
      <c r="AD108" s="178">
        <f t="shared" si="39"/>
        <v>0</v>
      </c>
      <c r="AE108" s="178">
        <f t="shared" si="39"/>
        <v>0</v>
      </c>
      <c r="AF108" s="178">
        <f t="shared" si="39"/>
        <v>0</v>
      </c>
      <c r="AG108" s="178">
        <f t="shared" si="39"/>
        <v>0</v>
      </c>
      <c r="AH108" s="178">
        <f t="shared" si="39"/>
        <v>0</v>
      </c>
      <c r="AI108" s="178">
        <f t="shared" si="39"/>
        <v>0</v>
      </c>
      <c r="AJ108" s="178">
        <f t="shared" si="39"/>
        <v>0</v>
      </c>
      <c r="AK108" s="178">
        <f t="shared" si="39"/>
        <v>0</v>
      </c>
      <c r="AL108" s="178">
        <f t="shared" si="39"/>
        <v>0</v>
      </c>
      <c r="AM108" s="178">
        <f t="shared" si="39"/>
        <v>0</v>
      </c>
      <c r="AN108" s="178">
        <f t="shared" si="39"/>
        <v>0</v>
      </c>
      <c r="AO108" s="178">
        <f t="shared" si="39"/>
        <v>0</v>
      </c>
      <c r="AP108" s="178">
        <f t="shared" si="39"/>
        <v>0</v>
      </c>
      <c r="AQ108" s="178">
        <f t="shared" si="39"/>
        <v>0</v>
      </c>
      <c r="AR108" s="178">
        <f t="shared" si="39"/>
        <v>0</v>
      </c>
      <c r="AS108" s="178">
        <f t="shared" si="39"/>
        <v>0</v>
      </c>
      <c r="AT108" s="265">
        <f t="shared" si="39"/>
        <v>0</v>
      </c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6"/>
      <c r="BJ108" s="166"/>
      <c r="BK108" s="166"/>
      <c r="BL108" s="166"/>
      <c r="BM108" s="166"/>
      <c r="BN108" s="166"/>
    </row>
    <row r="109" spans="2:66" ht="14.4" x14ac:dyDescent="0.25">
      <c r="B109" s="840" t="s">
        <v>175</v>
      </c>
      <c r="C109" s="800">
        <v>0</v>
      </c>
      <c r="D109" s="800">
        <v>0</v>
      </c>
      <c r="E109" s="800">
        <v>0</v>
      </c>
      <c r="F109" s="800">
        <v>0</v>
      </c>
      <c r="G109" s="261">
        <f>G91</f>
        <v>-4476318.6173797483</v>
      </c>
      <c r="H109" s="261">
        <f t="shared" ref="H109:AT109" si="40">H91</f>
        <v>-4476318.6173797483</v>
      </c>
      <c r="I109" s="261">
        <f t="shared" si="40"/>
        <v>-4476318.6173797483</v>
      </c>
      <c r="J109" s="261">
        <f t="shared" si="40"/>
        <v>-4476318.6173797483</v>
      </c>
      <c r="K109" s="261">
        <f t="shared" si="40"/>
        <v>-4476318.6173797483</v>
      </c>
      <c r="L109" s="261">
        <f t="shared" si="40"/>
        <v>-4226566.6672863076</v>
      </c>
      <c r="M109" s="261">
        <f t="shared" si="40"/>
        <v>-4226566.6672863076</v>
      </c>
      <c r="N109" s="261">
        <f t="shared" si="40"/>
        <v>-4226566.6672863076</v>
      </c>
      <c r="O109" s="261">
        <f t="shared" si="40"/>
        <v>-4226566.6672863076</v>
      </c>
      <c r="P109" s="261">
        <f t="shared" si="40"/>
        <v>-4226566.6672863076</v>
      </c>
      <c r="Q109" s="261">
        <f t="shared" si="40"/>
        <v>-3636188.9104059879</v>
      </c>
      <c r="R109" s="261">
        <f t="shared" si="40"/>
        <v>-4364578.243786227</v>
      </c>
      <c r="S109" s="261">
        <f t="shared" si="40"/>
        <v>-4364578.243786227</v>
      </c>
      <c r="T109" s="261">
        <f t="shared" si="40"/>
        <v>-4364578.243786227</v>
      </c>
      <c r="U109" s="261">
        <f t="shared" si="40"/>
        <v>-4364578.243786227</v>
      </c>
      <c r="V109" s="261">
        <f t="shared" si="40"/>
        <v>-3330617.415194436</v>
      </c>
      <c r="W109" s="261">
        <f t="shared" si="40"/>
        <v>-3330617.415194436</v>
      </c>
      <c r="X109" s="261">
        <f t="shared" si="40"/>
        <v>-4784057.9763839645</v>
      </c>
      <c r="Y109" s="261">
        <f t="shared" si="40"/>
        <v>-4784057.9763839645</v>
      </c>
      <c r="Z109" s="261">
        <f t="shared" si="40"/>
        <v>-4784057.9763839645</v>
      </c>
      <c r="AA109" s="261">
        <f t="shared" si="40"/>
        <v>-4784057.9763839645</v>
      </c>
      <c r="AB109" s="261">
        <f t="shared" si="40"/>
        <v>-4784057.9763839645</v>
      </c>
      <c r="AC109" s="261">
        <f t="shared" si="40"/>
        <v>-4959508.4970497834</v>
      </c>
      <c r="AD109" s="261">
        <f t="shared" si="40"/>
        <v>-4959508.4970497834</v>
      </c>
      <c r="AE109" s="261">
        <f t="shared" si="40"/>
        <v>-4959508.4970497834</v>
      </c>
      <c r="AF109" s="261">
        <f t="shared" si="40"/>
        <v>-4959508.4970497834</v>
      </c>
      <c r="AG109" s="261">
        <f t="shared" si="40"/>
        <v>-4959508.4970497834</v>
      </c>
      <c r="AH109" s="261">
        <f t="shared" si="40"/>
        <v>-4959508.4970497834</v>
      </c>
      <c r="AI109" s="261">
        <f t="shared" si="40"/>
        <v>-4959508.4970497834</v>
      </c>
      <c r="AJ109" s="261">
        <f t="shared" si="40"/>
        <v>-4959508.4970497834</v>
      </c>
      <c r="AK109" s="261">
        <f t="shared" si="40"/>
        <v>-4959508.4970497834</v>
      </c>
      <c r="AL109" s="261">
        <f t="shared" si="40"/>
        <v>-4959508.4970497834</v>
      </c>
      <c r="AM109" s="261">
        <f t="shared" si="40"/>
        <v>-3506067.9358602548</v>
      </c>
      <c r="AN109" s="261">
        <f t="shared" si="40"/>
        <v>-2602228.0818141969</v>
      </c>
      <c r="AO109" s="261">
        <f t="shared" si="40"/>
        <v>-5537212.7180729993</v>
      </c>
      <c r="AP109" s="261">
        <f t="shared" si="40"/>
        <v>-5537212.7180729993</v>
      </c>
      <c r="AQ109" s="261">
        <f t="shared" si="40"/>
        <v>-5537212.7180729993</v>
      </c>
      <c r="AR109" s="261">
        <f t="shared" si="40"/>
        <v>-5537212.7180729993</v>
      </c>
      <c r="AS109" s="261">
        <f t="shared" si="40"/>
        <v>-5537212.7180729993</v>
      </c>
      <c r="AT109" s="266">
        <f t="shared" si="40"/>
        <v>-5537212.7180729993</v>
      </c>
      <c r="AU109" s="166"/>
      <c r="AV109" s="166"/>
      <c r="AW109" s="166"/>
      <c r="AX109" s="166"/>
      <c r="AY109" s="166"/>
      <c r="AZ109" s="166"/>
      <c r="BA109" s="166"/>
      <c r="BB109" s="166"/>
      <c r="BC109" s="166"/>
      <c r="BD109" s="166"/>
      <c r="BE109" s="166"/>
      <c r="BF109" s="166"/>
      <c r="BG109" s="166"/>
      <c r="BH109" s="166"/>
      <c r="BI109" s="166"/>
      <c r="BJ109" s="166"/>
      <c r="BK109" s="166"/>
      <c r="BL109" s="166"/>
      <c r="BM109" s="166"/>
      <c r="BN109" s="166"/>
    </row>
    <row r="110" spans="2:66" x14ac:dyDescent="0.25">
      <c r="B110" s="836" t="s">
        <v>444</v>
      </c>
      <c r="C110" s="268">
        <v>0</v>
      </c>
      <c r="D110" s="268">
        <v>0</v>
      </c>
      <c r="E110" s="268">
        <v>0</v>
      </c>
      <c r="F110" s="268">
        <v>0</v>
      </c>
      <c r="G110" s="178">
        <f t="shared" ref="G110:AT110" si="41">G107+G108+G109</f>
        <v>-5684472.7988103852</v>
      </c>
      <c r="H110" s="178">
        <f t="shared" si="41"/>
        <v>-4894079.4023249298</v>
      </c>
      <c r="I110" s="178">
        <f t="shared" si="41"/>
        <v>-4785550.4101327239</v>
      </c>
      <c r="J110" s="178">
        <f t="shared" si="41"/>
        <v>-4842547.7881192137</v>
      </c>
      <c r="K110" s="178">
        <f t="shared" si="41"/>
        <v>-11611094.59505555</v>
      </c>
      <c r="L110" s="178">
        <f t="shared" si="41"/>
        <v>-4555932.7034083419</v>
      </c>
      <c r="M110" s="178">
        <f t="shared" si="41"/>
        <v>-4452451.7750015603</v>
      </c>
      <c r="N110" s="178">
        <f t="shared" si="41"/>
        <v>-4546936.804487614</v>
      </c>
      <c r="O110" s="178">
        <f t="shared" si="41"/>
        <v>-4470109.2821010659</v>
      </c>
      <c r="P110" s="178">
        <f t="shared" si="41"/>
        <v>-12112969.047627553</v>
      </c>
      <c r="Q110" s="178">
        <f t="shared" si="41"/>
        <v>-3899000.6441874383</v>
      </c>
      <c r="R110" s="178">
        <f t="shared" si="41"/>
        <v>-4731732.7937935982</v>
      </c>
      <c r="S110" s="178">
        <f t="shared" si="41"/>
        <v>-4643581.8542734245</v>
      </c>
      <c r="T110" s="178">
        <f t="shared" si="41"/>
        <v>-4748419.2976827407</v>
      </c>
      <c r="U110" s="178">
        <f t="shared" si="41"/>
        <v>-12944753.142100018</v>
      </c>
      <c r="V110" s="178">
        <f t="shared" si="41"/>
        <v>-3732529.180522332</v>
      </c>
      <c r="W110" s="178">
        <f t="shared" si="41"/>
        <v>-3636188.2073443951</v>
      </c>
      <c r="X110" s="178">
        <f t="shared" si="41"/>
        <v>-5181893.7965367725</v>
      </c>
      <c r="Y110" s="178">
        <f t="shared" si="41"/>
        <v>-5055645.7098017726</v>
      </c>
      <c r="Z110" s="178">
        <f t="shared" si="41"/>
        <v>-14259925.612947982</v>
      </c>
      <c r="AA110" s="178">
        <f t="shared" si="41"/>
        <v>-5019147.0492353905</v>
      </c>
      <c r="AB110" s="178">
        <f t="shared" si="41"/>
        <v>-5121735.8033661237</v>
      </c>
      <c r="AC110" s="178">
        <f t="shared" si="41"/>
        <v>-5206002.2351803873</v>
      </c>
      <c r="AD110" s="178">
        <f t="shared" si="41"/>
        <v>-5364707.0808754303</v>
      </c>
      <c r="AE110" s="178">
        <f t="shared" si="41"/>
        <v>-15277638.162682895</v>
      </c>
      <c r="AF110" s="178">
        <f t="shared" si="41"/>
        <v>-5437969.0908287186</v>
      </c>
      <c r="AG110" s="178">
        <f t="shared" si="41"/>
        <v>-5342384.2505757594</v>
      </c>
      <c r="AH110" s="178">
        <f t="shared" si="41"/>
        <v>-5517373.5155104166</v>
      </c>
      <c r="AI110" s="178">
        <f t="shared" si="41"/>
        <v>-5419584.7824381115</v>
      </c>
      <c r="AJ110" s="178">
        <f t="shared" si="41"/>
        <v>-16597794.3321894</v>
      </c>
      <c r="AK110" s="178">
        <f t="shared" si="41"/>
        <v>-5503358.7472399091</v>
      </c>
      <c r="AL110" s="178">
        <f t="shared" si="41"/>
        <v>-5696344.6362969475</v>
      </c>
      <c r="AM110" s="178">
        <f t="shared" si="41"/>
        <v>-4140725.2738273134</v>
      </c>
      <c r="AN110" s="178">
        <f t="shared" si="41"/>
        <v>-3439568.4658594197</v>
      </c>
      <c r="AO110" s="178">
        <f t="shared" si="41"/>
        <v>-18350363.878641997</v>
      </c>
      <c r="AP110" s="178">
        <f t="shared" si="41"/>
        <v>-6483078.3160630688</v>
      </c>
      <c r="AQ110" s="178">
        <f t="shared" si="41"/>
        <v>-6376571.8732420597</v>
      </c>
      <c r="AR110" s="178">
        <f t="shared" si="41"/>
        <v>-6600171.2688990459</v>
      </c>
      <c r="AS110" s="178">
        <f t="shared" si="41"/>
        <v>-6491541.0549466424</v>
      </c>
      <c r="AT110" s="265">
        <f t="shared" si="41"/>
        <v>-19999515.486720413</v>
      </c>
      <c r="AU110" s="166"/>
      <c r="AV110" s="166"/>
      <c r="AW110" s="166"/>
      <c r="AX110" s="166"/>
      <c r="AY110" s="166"/>
      <c r="AZ110" s="166"/>
      <c r="BA110" s="166"/>
      <c r="BB110" s="166"/>
      <c r="BC110" s="166"/>
      <c r="BD110" s="166"/>
      <c r="BE110" s="166"/>
      <c r="BF110" s="166"/>
      <c r="BG110" s="166"/>
      <c r="BH110" s="166"/>
      <c r="BI110" s="166"/>
      <c r="BJ110" s="166"/>
      <c r="BK110" s="166"/>
      <c r="BL110" s="166"/>
      <c r="BM110" s="166"/>
      <c r="BN110" s="166"/>
    </row>
    <row r="111" spans="2:66" x14ac:dyDescent="0.25">
      <c r="B111" s="836" t="s">
        <v>443</v>
      </c>
      <c r="C111" s="268">
        <v>0</v>
      </c>
      <c r="D111" s="268">
        <v>0</v>
      </c>
      <c r="E111" s="268">
        <v>0</v>
      </c>
      <c r="F111" s="268">
        <v>0</v>
      </c>
      <c r="G111" s="178">
        <f>IF(G110&gt;0,-$C$24*G110,0)</f>
        <v>0</v>
      </c>
      <c r="H111" s="178">
        <f t="shared" ref="H111:AT111" si="42">IF(H110&gt;0,-$C$24*H110,0)</f>
        <v>0</v>
      </c>
      <c r="I111" s="178">
        <f t="shared" si="42"/>
        <v>0</v>
      </c>
      <c r="J111" s="178">
        <f t="shared" si="42"/>
        <v>0</v>
      </c>
      <c r="K111" s="178">
        <f t="shared" si="42"/>
        <v>0</v>
      </c>
      <c r="L111" s="178">
        <f t="shared" si="42"/>
        <v>0</v>
      </c>
      <c r="M111" s="178">
        <f t="shared" si="42"/>
        <v>0</v>
      </c>
      <c r="N111" s="178">
        <f t="shared" si="42"/>
        <v>0</v>
      </c>
      <c r="O111" s="178">
        <f t="shared" si="42"/>
        <v>0</v>
      </c>
      <c r="P111" s="178">
        <f t="shared" si="42"/>
        <v>0</v>
      </c>
      <c r="Q111" s="178">
        <f t="shared" si="42"/>
        <v>0</v>
      </c>
      <c r="R111" s="178">
        <f t="shared" si="42"/>
        <v>0</v>
      </c>
      <c r="S111" s="178">
        <f t="shared" si="42"/>
        <v>0</v>
      </c>
      <c r="T111" s="178">
        <f t="shared" si="42"/>
        <v>0</v>
      </c>
      <c r="U111" s="178">
        <f t="shared" si="42"/>
        <v>0</v>
      </c>
      <c r="V111" s="178">
        <f t="shared" si="42"/>
        <v>0</v>
      </c>
      <c r="W111" s="178">
        <f t="shared" si="42"/>
        <v>0</v>
      </c>
      <c r="X111" s="178">
        <f t="shared" si="42"/>
        <v>0</v>
      </c>
      <c r="Y111" s="178">
        <f t="shared" si="42"/>
        <v>0</v>
      </c>
      <c r="Z111" s="178">
        <f t="shared" si="42"/>
        <v>0</v>
      </c>
      <c r="AA111" s="178">
        <f t="shared" si="42"/>
        <v>0</v>
      </c>
      <c r="AB111" s="178">
        <f t="shared" si="42"/>
        <v>0</v>
      </c>
      <c r="AC111" s="178">
        <f t="shared" si="42"/>
        <v>0</v>
      </c>
      <c r="AD111" s="178">
        <f t="shared" si="42"/>
        <v>0</v>
      </c>
      <c r="AE111" s="178">
        <f t="shared" si="42"/>
        <v>0</v>
      </c>
      <c r="AF111" s="178">
        <f t="shared" si="42"/>
        <v>0</v>
      </c>
      <c r="AG111" s="178">
        <f t="shared" si="42"/>
        <v>0</v>
      </c>
      <c r="AH111" s="178">
        <f t="shared" si="42"/>
        <v>0</v>
      </c>
      <c r="AI111" s="178">
        <f t="shared" si="42"/>
        <v>0</v>
      </c>
      <c r="AJ111" s="178">
        <f t="shared" si="42"/>
        <v>0</v>
      </c>
      <c r="AK111" s="178">
        <f t="shared" si="42"/>
        <v>0</v>
      </c>
      <c r="AL111" s="178">
        <f t="shared" si="42"/>
        <v>0</v>
      </c>
      <c r="AM111" s="178">
        <f t="shared" si="42"/>
        <v>0</v>
      </c>
      <c r="AN111" s="178">
        <f t="shared" si="42"/>
        <v>0</v>
      </c>
      <c r="AO111" s="178">
        <f t="shared" si="42"/>
        <v>0</v>
      </c>
      <c r="AP111" s="178">
        <f t="shared" si="42"/>
        <v>0</v>
      </c>
      <c r="AQ111" s="178">
        <f t="shared" si="42"/>
        <v>0</v>
      </c>
      <c r="AR111" s="178">
        <f t="shared" si="42"/>
        <v>0</v>
      </c>
      <c r="AS111" s="178">
        <f t="shared" si="42"/>
        <v>0</v>
      </c>
      <c r="AT111" s="265">
        <f t="shared" si="42"/>
        <v>0</v>
      </c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66"/>
      <c r="BI111" s="166"/>
      <c r="BJ111" s="166"/>
      <c r="BK111" s="166"/>
      <c r="BL111" s="166"/>
      <c r="BM111" s="166"/>
      <c r="BN111" s="166"/>
    </row>
    <row r="112" spans="2:66" ht="14.4" x14ac:dyDescent="0.25">
      <c r="B112" s="841" t="s">
        <v>445</v>
      </c>
      <c r="C112" s="801">
        <v>0</v>
      </c>
      <c r="D112" s="801">
        <v>0</v>
      </c>
      <c r="E112" s="801">
        <v>0</v>
      </c>
      <c r="F112" s="801">
        <v>0</v>
      </c>
      <c r="G112" s="262">
        <f>G110+G111</f>
        <v>-5684472.7988103852</v>
      </c>
      <c r="H112" s="262">
        <f t="shared" ref="H112:AT112" si="43">H110+H111</f>
        <v>-4894079.4023249298</v>
      </c>
      <c r="I112" s="262">
        <f t="shared" si="43"/>
        <v>-4785550.4101327239</v>
      </c>
      <c r="J112" s="262">
        <f t="shared" si="43"/>
        <v>-4842547.7881192137</v>
      </c>
      <c r="K112" s="262">
        <f t="shared" si="43"/>
        <v>-11611094.59505555</v>
      </c>
      <c r="L112" s="262">
        <f t="shared" si="43"/>
        <v>-4555932.7034083419</v>
      </c>
      <c r="M112" s="262">
        <f t="shared" si="43"/>
        <v>-4452451.7750015603</v>
      </c>
      <c r="N112" s="262">
        <f t="shared" si="43"/>
        <v>-4546936.804487614</v>
      </c>
      <c r="O112" s="262">
        <f t="shared" si="43"/>
        <v>-4470109.2821010659</v>
      </c>
      <c r="P112" s="262">
        <f t="shared" si="43"/>
        <v>-12112969.047627553</v>
      </c>
      <c r="Q112" s="262">
        <f t="shared" si="43"/>
        <v>-3899000.6441874383</v>
      </c>
      <c r="R112" s="262">
        <f t="shared" si="43"/>
        <v>-4731732.7937935982</v>
      </c>
      <c r="S112" s="262">
        <f t="shared" si="43"/>
        <v>-4643581.8542734245</v>
      </c>
      <c r="T112" s="262">
        <f t="shared" si="43"/>
        <v>-4748419.2976827407</v>
      </c>
      <c r="U112" s="262">
        <f t="shared" si="43"/>
        <v>-12944753.142100018</v>
      </c>
      <c r="V112" s="262">
        <f t="shared" si="43"/>
        <v>-3732529.180522332</v>
      </c>
      <c r="W112" s="262">
        <f t="shared" si="43"/>
        <v>-3636188.2073443951</v>
      </c>
      <c r="X112" s="262">
        <f t="shared" si="43"/>
        <v>-5181893.7965367725</v>
      </c>
      <c r="Y112" s="262">
        <f t="shared" si="43"/>
        <v>-5055645.7098017726</v>
      </c>
      <c r="Z112" s="262">
        <f t="shared" si="43"/>
        <v>-14259925.612947982</v>
      </c>
      <c r="AA112" s="262">
        <f t="shared" si="43"/>
        <v>-5019147.0492353905</v>
      </c>
      <c r="AB112" s="262">
        <f t="shared" si="43"/>
        <v>-5121735.8033661237</v>
      </c>
      <c r="AC112" s="262">
        <f t="shared" si="43"/>
        <v>-5206002.2351803873</v>
      </c>
      <c r="AD112" s="262">
        <f t="shared" si="43"/>
        <v>-5364707.0808754303</v>
      </c>
      <c r="AE112" s="262">
        <f t="shared" si="43"/>
        <v>-15277638.162682895</v>
      </c>
      <c r="AF112" s="262">
        <f t="shared" si="43"/>
        <v>-5437969.0908287186</v>
      </c>
      <c r="AG112" s="262">
        <f t="shared" si="43"/>
        <v>-5342384.2505757594</v>
      </c>
      <c r="AH112" s="262">
        <f t="shared" si="43"/>
        <v>-5517373.5155104166</v>
      </c>
      <c r="AI112" s="262">
        <f t="shared" si="43"/>
        <v>-5419584.7824381115</v>
      </c>
      <c r="AJ112" s="262">
        <f t="shared" si="43"/>
        <v>-16597794.3321894</v>
      </c>
      <c r="AK112" s="262">
        <f t="shared" si="43"/>
        <v>-5503358.7472399091</v>
      </c>
      <c r="AL112" s="262">
        <f t="shared" si="43"/>
        <v>-5696344.6362969475</v>
      </c>
      <c r="AM112" s="262">
        <f t="shared" si="43"/>
        <v>-4140725.2738273134</v>
      </c>
      <c r="AN112" s="262">
        <f t="shared" si="43"/>
        <v>-3439568.4658594197</v>
      </c>
      <c r="AO112" s="262">
        <f t="shared" si="43"/>
        <v>-18350363.878641997</v>
      </c>
      <c r="AP112" s="262">
        <f t="shared" si="43"/>
        <v>-6483078.3160630688</v>
      </c>
      <c r="AQ112" s="262">
        <f t="shared" si="43"/>
        <v>-6376571.8732420597</v>
      </c>
      <c r="AR112" s="262">
        <f t="shared" si="43"/>
        <v>-6600171.2688990459</v>
      </c>
      <c r="AS112" s="262">
        <f t="shared" si="43"/>
        <v>-6491541.0549466424</v>
      </c>
      <c r="AT112" s="267">
        <f t="shared" si="43"/>
        <v>-19999515.486720413</v>
      </c>
      <c r="AU112" s="166"/>
      <c r="AV112" s="166"/>
      <c r="AW112" s="166"/>
      <c r="AX112" s="166"/>
      <c r="AY112" s="166"/>
      <c r="AZ112" s="166"/>
      <c r="BA112" s="166"/>
      <c r="BB112" s="166"/>
      <c r="BC112" s="166"/>
      <c r="BD112" s="166"/>
      <c r="BE112" s="166"/>
      <c r="BF112" s="166"/>
      <c r="BG112" s="166"/>
      <c r="BH112" s="166"/>
      <c r="BI112" s="166"/>
      <c r="BJ112" s="166"/>
      <c r="BK112" s="166"/>
      <c r="BL112" s="166"/>
      <c r="BM112" s="166"/>
      <c r="BN112" s="166"/>
    </row>
    <row r="113" spans="2:66" x14ac:dyDescent="0.25">
      <c r="B113" s="836" t="s">
        <v>446</v>
      </c>
      <c r="C113" s="268">
        <v>0</v>
      </c>
      <c r="D113" s="268">
        <v>0</v>
      </c>
      <c r="E113" s="268">
        <v>0</v>
      </c>
      <c r="F113" s="268">
        <v>0</v>
      </c>
      <c r="G113" s="178">
        <f>-G109</f>
        <v>4476318.6173797483</v>
      </c>
      <c r="H113" s="178">
        <f t="shared" ref="H113:AT113" si="44">-H109</f>
        <v>4476318.6173797483</v>
      </c>
      <c r="I113" s="178">
        <f t="shared" si="44"/>
        <v>4476318.6173797483</v>
      </c>
      <c r="J113" s="178">
        <f t="shared" si="44"/>
        <v>4476318.6173797483</v>
      </c>
      <c r="K113" s="178">
        <f t="shared" si="44"/>
        <v>4476318.6173797483</v>
      </c>
      <c r="L113" s="178">
        <f t="shared" si="44"/>
        <v>4226566.6672863076</v>
      </c>
      <c r="M113" s="178">
        <f t="shared" si="44"/>
        <v>4226566.6672863076</v>
      </c>
      <c r="N113" s="178">
        <f t="shared" si="44"/>
        <v>4226566.6672863076</v>
      </c>
      <c r="O113" s="178">
        <f t="shared" si="44"/>
        <v>4226566.6672863076</v>
      </c>
      <c r="P113" s="178">
        <f t="shared" si="44"/>
        <v>4226566.6672863076</v>
      </c>
      <c r="Q113" s="178">
        <f t="shared" si="44"/>
        <v>3636188.9104059879</v>
      </c>
      <c r="R113" s="178">
        <f t="shared" si="44"/>
        <v>4364578.243786227</v>
      </c>
      <c r="S113" s="178">
        <f t="shared" si="44"/>
        <v>4364578.243786227</v>
      </c>
      <c r="T113" s="178">
        <f t="shared" si="44"/>
        <v>4364578.243786227</v>
      </c>
      <c r="U113" s="178">
        <f t="shared" si="44"/>
        <v>4364578.243786227</v>
      </c>
      <c r="V113" s="178">
        <f t="shared" si="44"/>
        <v>3330617.415194436</v>
      </c>
      <c r="W113" s="178">
        <f t="shared" si="44"/>
        <v>3330617.415194436</v>
      </c>
      <c r="X113" s="178">
        <f t="shared" si="44"/>
        <v>4784057.9763839645</v>
      </c>
      <c r="Y113" s="178">
        <f t="shared" si="44"/>
        <v>4784057.9763839645</v>
      </c>
      <c r="Z113" s="178">
        <f t="shared" si="44"/>
        <v>4784057.9763839645</v>
      </c>
      <c r="AA113" s="178">
        <f t="shared" si="44"/>
        <v>4784057.9763839645</v>
      </c>
      <c r="AB113" s="178">
        <f t="shared" si="44"/>
        <v>4784057.9763839645</v>
      </c>
      <c r="AC113" s="178">
        <f t="shared" si="44"/>
        <v>4959508.4970497834</v>
      </c>
      <c r="AD113" s="178">
        <f t="shared" si="44"/>
        <v>4959508.4970497834</v>
      </c>
      <c r="AE113" s="178">
        <f t="shared" si="44"/>
        <v>4959508.4970497834</v>
      </c>
      <c r="AF113" s="178">
        <f t="shared" si="44"/>
        <v>4959508.4970497834</v>
      </c>
      <c r="AG113" s="178">
        <f t="shared" si="44"/>
        <v>4959508.4970497834</v>
      </c>
      <c r="AH113" s="178">
        <f t="shared" si="44"/>
        <v>4959508.4970497834</v>
      </c>
      <c r="AI113" s="178">
        <f t="shared" si="44"/>
        <v>4959508.4970497834</v>
      </c>
      <c r="AJ113" s="178">
        <f t="shared" si="44"/>
        <v>4959508.4970497834</v>
      </c>
      <c r="AK113" s="178">
        <f t="shared" si="44"/>
        <v>4959508.4970497834</v>
      </c>
      <c r="AL113" s="178">
        <f t="shared" si="44"/>
        <v>4959508.4970497834</v>
      </c>
      <c r="AM113" s="178">
        <f t="shared" si="44"/>
        <v>3506067.9358602548</v>
      </c>
      <c r="AN113" s="178">
        <f t="shared" si="44"/>
        <v>2602228.0818141969</v>
      </c>
      <c r="AO113" s="178">
        <f t="shared" si="44"/>
        <v>5537212.7180729993</v>
      </c>
      <c r="AP113" s="178">
        <f t="shared" si="44"/>
        <v>5537212.7180729993</v>
      </c>
      <c r="AQ113" s="178">
        <f t="shared" si="44"/>
        <v>5537212.7180729993</v>
      </c>
      <c r="AR113" s="178">
        <f t="shared" si="44"/>
        <v>5537212.7180729993</v>
      </c>
      <c r="AS113" s="178">
        <f t="shared" si="44"/>
        <v>5537212.7180729993</v>
      </c>
      <c r="AT113" s="265">
        <f t="shared" si="44"/>
        <v>5537212.7180729993</v>
      </c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66"/>
      <c r="BL113" s="166"/>
      <c r="BM113" s="166"/>
      <c r="BN113" s="166"/>
    </row>
    <row r="114" spans="2:66" s="809" customFormat="1" ht="15" thickBot="1" x14ac:dyDescent="0.3">
      <c r="B114" s="842" t="s">
        <v>386</v>
      </c>
      <c r="C114" s="828"/>
      <c r="D114" s="828"/>
      <c r="E114" s="828"/>
      <c r="F114" s="828"/>
      <c r="G114" s="828">
        <f>G112+G113</f>
        <v>-1208154.1814306369</v>
      </c>
      <c r="H114" s="828">
        <f t="shared" ref="H114:AT114" si="45">H112+H113</f>
        <v>-417760.78494518157</v>
      </c>
      <c r="I114" s="828">
        <f t="shared" si="45"/>
        <v>-309231.7927529756</v>
      </c>
      <c r="J114" s="828">
        <f t="shared" si="45"/>
        <v>-366229.17073946539</v>
      </c>
      <c r="K114" s="828">
        <f t="shared" si="45"/>
        <v>-7134775.9776758021</v>
      </c>
      <c r="L114" s="828">
        <f t="shared" si="45"/>
        <v>-329366.0361220343</v>
      </c>
      <c r="M114" s="828">
        <f t="shared" si="45"/>
        <v>-225885.10771525279</v>
      </c>
      <c r="N114" s="828">
        <f t="shared" si="45"/>
        <v>-320370.13720130641</v>
      </c>
      <c r="O114" s="828">
        <f t="shared" si="45"/>
        <v>-243542.6148147583</v>
      </c>
      <c r="P114" s="828">
        <f t="shared" si="45"/>
        <v>-7886402.3803412458</v>
      </c>
      <c r="Q114" s="828">
        <f t="shared" si="45"/>
        <v>-262811.73378145043</v>
      </c>
      <c r="R114" s="828">
        <f t="shared" si="45"/>
        <v>-367154.55000737123</v>
      </c>
      <c r="S114" s="828">
        <f t="shared" si="45"/>
        <v>-279003.61048719753</v>
      </c>
      <c r="T114" s="828">
        <f t="shared" si="45"/>
        <v>-383841.05389651377</v>
      </c>
      <c r="U114" s="828">
        <f t="shared" si="45"/>
        <v>-8580174.8983137906</v>
      </c>
      <c r="V114" s="828">
        <f t="shared" si="45"/>
        <v>-401911.76532789599</v>
      </c>
      <c r="W114" s="828">
        <f t="shared" si="45"/>
        <v>-305570.79214995913</v>
      </c>
      <c r="X114" s="828">
        <f t="shared" si="45"/>
        <v>-397835.82015280798</v>
      </c>
      <c r="Y114" s="828">
        <f t="shared" si="45"/>
        <v>-271587.73341780808</v>
      </c>
      <c r="Z114" s="828">
        <f t="shared" si="45"/>
        <v>-9475867.6365640163</v>
      </c>
      <c r="AA114" s="828">
        <f t="shared" si="45"/>
        <v>-235089.07285142597</v>
      </c>
      <c r="AB114" s="828">
        <f t="shared" si="45"/>
        <v>-337677.82698215917</v>
      </c>
      <c r="AC114" s="828">
        <f t="shared" si="45"/>
        <v>-246493.73813060392</v>
      </c>
      <c r="AD114" s="828">
        <f t="shared" si="45"/>
        <v>-405198.5838256469</v>
      </c>
      <c r="AE114" s="828">
        <f t="shared" si="45"/>
        <v>-10318129.665633112</v>
      </c>
      <c r="AF114" s="828">
        <f t="shared" si="45"/>
        <v>-478460.59377893526</v>
      </c>
      <c r="AG114" s="828">
        <f t="shared" si="45"/>
        <v>-382875.75352597609</v>
      </c>
      <c r="AH114" s="828">
        <f t="shared" si="45"/>
        <v>-557865.01846063323</v>
      </c>
      <c r="AI114" s="828">
        <f t="shared" si="45"/>
        <v>-460076.28538832814</v>
      </c>
      <c r="AJ114" s="828">
        <f t="shared" si="45"/>
        <v>-11638285.835139617</v>
      </c>
      <c r="AK114" s="828">
        <f t="shared" si="45"/>
        <v>-543850.25019012578</v>
      </c>
      <c r="AL114" s="828">
        <f t="shared" si="45"/>
        <v>-736836.13924716413</v>
      </c>
      <c r="AM114" s="828">
        <f t="shared" si="45"/>
        <v>-634657.33796705864</v>
      </c>
      <c r="AN114" s="828">
        <f t="shared" si="45"/>
        <v>-837340.38404522277</v>
      </c>
      <c r="AO114" s="828">
        <f t="shared" si="45"/>
        <v>-12813151.160568997</v>
      </c>
      <c r="AP114" s="828">
        <f t="shared" si="45"/>
        <v>-945865.59799006954</v>
      </c>
      <c r="AQ114" s="828">
        <f t="shared" si="45"/>
        <v>-839359.15516906045</v>
      </c>
      <c r="AR114" s="828">
        <f t="shared" si="45"/>
        <v>-1062958.5508260466</v>
      </c>
      <c r="AS114" s="828">
        <f t="shared" si="45"/>
        <v>-954328.3368736431</v>
      </c>
      <c r="AT114" s="829">
        <f t="shared" si="45"/>
        <v>-14462302.768647414</v>
      </c>
      <c r="AU114" s="812"/>
      <c r="AV114" s="812"/>
      <c r="AW114" s="812"/>
      <c r="AX114" s="812"/>
      <c r="AY114" s="812"/>
      <c r="AZ114" s="812"/>
      <c r="BA114" s="812"/>
      <c r="BB114" s="812"/>
      <c r="BC114" s="812"/>
      <c r="BD114" s="812"/>
      <c r="BE114" s="812"/>
      <c r="BF114" s="812"/>
      <c r="BG114" s="812"/>
      <c r="BH114" s="812"/>
      <c r="BI114" s="812"/>
      <c r="BJ114" s="812"/>
      <c r="BK114" s="812"/>
      <c r="BL114" s="812"/>
      <c r="BM114" s="812"/>
      <c r="BN114" s="812"/>
    </row>
    <row r="115" spans="2:66" s="812" customFormat="1" ht="15" thickBot="1" x14ac:dyDescent="0.3">
      <c r="B115" s="839"/>
      <c r="C115" s="811"/>
      <c r="D115" s="811"/>
      <c r="E115" s="811"/>
      <c r="F115" s="811"/>
      <c r="G115" s="811"/>
      <c r="H115" s="811"/>
      <c r="I115" s="811"/>
      <c r="J115" s="811"/>
      <c r="K115" s="811"/>
      <c r="L115" s="811"/>
      <c r="M115" s="811"/>
      <c r="N115" s="811"/>
      <c r="O115" s="811"/>
      <c r="P115" s="811"/>
      <c r="Q115" s="811"/>
      <c r="R115" s="811"/>
      <c r="S115" s="811"/>
      <c r="T115" s="811"/>
      <c r="U115" s="811"/>
      <c r="V115" s="811"/>
      <c r="W115" s="811"/>
      <c r="X115" s="811"/>
      <c r="Y115" s="811"/>
      <c r="Z115" s="811"/>
      <c r="AA115" s="811"/>
      <c r="AB115" s="811"/>
      <c r="AC115" s="811"/>
      <c r="AD115" s="811"/>
      <c r="AE115" s="811"/>
      <c r="AF115" s="811"/>
      <c r="AG115" s="811"/>
      <c r="AH115" s="811"/>
      <c r="AI115" s="811"/>
      <c r="AJ115" s="811"/>
      <c r="AK115" s="811"/>
      <c r="AL115" s="811"/>
      <c r="AM115" s="811"/>
      <c r="AN115" s="811"/>
      <c r="AO115" s="811"/>
      <c r="AP115" s="811"/>
      <c r="AQ115" s="811"/>
      <c r="AR115" s="811"/>
      <c r="AS115" s="811"/>
      <c r="AT115" s="811"/>
    </row>
    <row r="116" spans="2:66" ht="14.4" x14ac:dyDescent="0.25">
      <c r="B116" s="835" t="s">
        <v>447</v>
      </c>
      <c r="C116" s="818"/>
      <c r="D116" s="818"/>
      <c r="E116" s="818"/>
      <c r="F116" s="818"/>
      <c r="G116" s="818"/>
      <c r="H116" s="818"/>
      <c r="I116" s="818"/>
      <c r="J116" s="818"/>
      <c r="K116" s="818"/>
      <c r="L116" s="818"/>
      <c r="M116" s="818"/>
      <c r="N116" s="818"/>
      <c r="O116" s="818"/>
      <c r="P116" s="818"/>
      <c r="Q116" s="818"/>
      <c r="R116" s="818"/>
      <c r="S116" s="818"/>
      <c r="T116" s="818"/>
      <c r="U116" s="818"/>
      <c r="V116" s="818"/>
      <c r="W116" s="818"/>
      <c r="X116" s="818"/>
      <c r="Y116" s="818"/>
      <c r="Z116" s="818"/>
      <c r="AA116" s="818"/>
      <c r="AB116" s="818"/>
      <c r="AC116" s="818"/>
      <c r="AD116" s="818"/>
      <c r="AE116" s="818"/>
      <c r="AF116" s="818"/>
      <c r="AG116" s="818"/>
      <c r="AH116" s="818"/>
      <c r="AI116" s="818"/>
      <c r="AJ116" s="818"/>
      <c r="AK116" s="818"/>
      <c r="AL116" s="818"/>
      <c r="AM116" s="818"/>
      <c r="AN116" s="818"/>
      <c r="AO116" s="818"/>
      <c r="AP116" s="818"/>
      <c r="AQ116" s="818"/>
      <c r="AR116" s="818"/>
      <c r="AS116" s="818"/>
      <c r="AT116" s="819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</row>
    <row r="117" spans="2:66" x14ac:dyDescent="0.25">
      <c r="B117" s="836" t="s">
        <v>448</v>
      </c>
      <c r="C117" s="758">
        <f>-INVERSION_ANUALIZADA_TC_Alt_4!E299</f>
        <v>-7968994.6529367194</v>
      </c>
      <c r="D117" s="758">
        <f>-INVERSION_ANUALIZADA_TC_Alt_4!F299</f>
        <v>-31237973.050517157</v>
      </c>
      <c r="E117" s="758">
        <f>-INVERSION_ANUALIZADA_TC_Alt_4!G299</f>
        <v>-82610243.589414939</v>
      </c>
      <c r="F117" s="758">
        <f>-INVERSION_ANUALIZADA_TC_Alt_4!H299</f>
        <v>-33733581.890470475</v>
      </c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265"/>
      <c r="AU117" s="166"/>
      <c r="AV117" s="166"/>
      <c r="AW117" s="166"/>
      <c r="AX117" s="166"/>
      <c r="AY117" s="166"/>
      <c r="AZ117" s="166"/>
      <c r="BA117" s="166"/>
      <c r="BB117" s="166"/>
      <c r="BC117" s="166"/>
      <c r="BD117" s="166"/>
      <c r="BE117" s="166"/>
      <c r="BF117" s="166"/>
      <c r="BG117" s="166"/>
      <c r="BH117" s="166"/>
      <c r="BI117" s="166"/>
      <c r="BJ117" s="166"/>
      <c r="BK117" s="166"/>
      <c r="BL117" s="166"/>
      <c r="BM117" s="166"/>
      <c r="BN117" s="166"/>
    </row>
    <row r="118" spans="2:66" x14ac:dyDescent="0.25">
      <c r="B118" s="836" t="s">
        <v>383</v>
      </c>
      <c r="C118" s="178"/>
      <c r="D118" s="178"/>
      <c r="E118" s="178"/>
      <c r="F118" s="178"/>
      <c r="G118" s="758">
        <f>-INVERSION_ANUALIZADA_TC_Alt_4!I299</f>
        <v>0</v>
      </c>
      <c r="H118" s="758">
        <f>-INVERSION_ANUALIZADA_TC_Alt_4!J299</f>
        <v>0</v>
      </c>
      <c r="I118" s="758">
        <f>-INVERSION_ANUALIZADA_TC_Alt_4!K299</f>
        <v>0</v>
      </c>
      <c r="J118" s="758">
        <f>-INVERSION_ANUALIZADA_TC_Alt_4!L299</f>
        <v>0</v>
      </c>
      <c r="K118" s="758">
        <f>-INVERSION_ANUALIZADA_TC_Alt_4!M299</f>
        <v>0</v>
      </c>
      <c r="L118" s="758">
        <f>-INVERSION_ANUALIZADA_TC_Alt_4!N299</f>
        <v>0</v>
      </c>
      <c r="M118" s="758">
        <f>-INVERSION_ANUALIZADA_TC_Alt_4!O299</f>
        <v>0</v>
      </c>
      <c r="N118" s="758">
        <f>-INVERSION_ANUALIZADA_TC_Alt_4!P299</f>
        <v>0</v>
      </c>
      <c r="O118" s="758">
        <f>-INVERSION_ANUALIZADA_TC_Alt_4!Q299</f>
        <v>0</v>
      </c>
      <c r="P118" s="758">
        <f>-INVERSION_ANUALIZADA_TC_Alt_4!R299</f>
        <v>-3207183.885592333</v>
      </c>
      <c r="Q118" s="758">
        <f>-INVERSION_ANUALIZADA_TC_Alt_4!S299</f>
        <v>-4076709.4482100578</v>
      </c>
      <c r="R118" s="758">
        <f>-INVERSION_ANUALIZADA_TC_Alt_4!T299</f>
        <v>0</v>
      </c>
      <c r="S118" s="758">
        <f>-INVERSION_ANUALIZADA_TC_Alt_4!U299</f>
        <v>0</v>
      </c>
      <c r="T118" s="758">
        <f>-INVERSION_ANUALIZADA_TC_Alt_4!V299</f>
        <v>0</v>
      </c>
      <c r="U118" s="758">
        <f>-INVERSION_ANUALIZADA_TC_Alt_4!W299</f>
        <v>-4045775.9888849272</v>
      </c>
      <c r="V118" s="758">
        <f>-INVERSION_ANUALIZADA_TC_Alt_4!X299</f>
        <v>-12077947.469822951</v>
      </c>
      <c r="W118" s="758">
        <f>-INVERSION_ANUALIZADA_TC_Alt_4!Y299</f>
        <v>-5677884.95913505</v>
      </c>
      <c r="X118" s="758">
        <f>-INVERSION_ANUALIZADA_TC_Alt_4!Z299</f>
        <v>0</v>
      </c>
      <c r="Y118" s="758">
        <f>-INVERSION_ANUALIZADA_TC_Alt_4!AA299</f>
        <v>0</v>
      </c>
      <c r="Z118" s="758">
        <f>-INVERSION_ANUALIZADA_TC_Alt_4!AB299</f>
        <v>0</v>
      </c>
      <c r="AA118" s="758">
        <f>-INVERSION_ANUALIZADA_TC_Alt_4!AC299</f>
        <v>-3979709.5823840685</v>
      </c>
      <c r="AB118" s="758">
        <f>-INVERSION_ANUALIZADA_TC_Alt_4!AD299</f>
        <v>-5058688.9580765124</v>
      </c>
      <c r="AC118" s="758">
        <f>-INVERSION_ANUALIZADA_TC_Alt_4!AE299</f>
        <v>0</v>
      </c>
      <c r="AD118" s="758">
        <f>-INVERSION_ANUALIZADA_TC_Alt_4!AF299</f>
        <v>0</v>
      </c>
      <c r="AE118" s="758">
        <f>-INVERSION_ANUALIZADA_TC_Alt_4!AG299</f>
        <v>0</v>
      </c>
      <c r="AF118" s="758">
        <f>-INVERSION_ANUALIZADA_TC_Alt_4!AH299</f>
        <v>0</v>
      </c>
      <c r="AG118" s="758">
        <f>-INVERSION_ANUALIZADA_TC_Alt_4!AI299</f>
        <v>0</v>
      </c>
      <c r="AH118" s="758">
        <f>-INVERSION_ANUALIZADA_TC_Alt_4!AJ299</f>
        <v>0</v>
      </c>
      <c r="AI118" s="758">
        <f>-INVERSION_ANUALIZADA_TC_Alt_4!AK299</f>
        <v>0</v>
      </c>
      <c r="AJ118" s="758">
        <f>-INVERSION_ANUALIZADA_TC_Alt_4!AL299</f>
        <v>0</v>
      </c>
      <c r="AK118" s="758">
        <f>-INVERSION_ANUALIZADA_TC_Alt_4!AM299</f>
        <v>0</v>
      </c>
      <c r="AL118" s="758">
        <f>-INVERSION_ANUALIZADA_TC_Alt_4!AN299</f>
        <v>-10528158.00957758</v>
      </c>
      <c r="AM118" s="758">
        <f>-INVERSION_ANUALIZADA_TC_Alt_4!AO299</f>
        <v>-22774109.143506903</v>
      </c>
      <c r="AN118" s="758">
        <f>-INVERSION_ANUALIZADA_TC_Alt_4!AP299</f>
        <v>-7787517.7545387391</v>
      </c>
      <c r="AO118" s="758">
        <f>-INVERSION_ANUALIZADA_TC_Alt_4!AQ299</f>
        <v>0</v>
      </c>
      <c r="AP118" s="758">
        <f>-INVERSION_ANUALIZADA_TC_Alt_4!AR299</f>
        <v>0</v>
      </c>
      <c r="AQ118" s="758">
        <f>-INVERSION_ANUALIZADA_TC_Alt_4!AS299</f>
        <v>0</v>
      </c>
      <c r="AR118" s="758">
        <f>-INVERSION_ANUALIZADA_TC_Alt_4!AT299</f>
        <v>0</v>
      </c>
      <c r="AS118" s="758">
        <f>-INVERSION_ANUALIZADA_TC_Alt_4!AU299</f>
        <v>0</v>
      </c>
      <c r="AT118" s="847">
        <f>-INVERSION_ANUALIZADA_TC_Alt_4!AV299</f>
        <v>0</v>
      </c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66"/>
      <c r="BI118" s="166"/>
      <c r="BJ118" s="166"/>
      <c r="BK118" s="166"/>
      <c r="BL118" s="166"/>
      <c r="BM118" s="166"/>
      <c r="BN118" s="166"/>
    </row>
    <row r="119" spans="2:66" x14ac:dyDescent="0.25">
      <c r="B119" s="836" t="s">
        <v>384</v>
      </c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758">
        <f>AJ92</f>
        <v>60440401.665283263</v>
      </c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847">
        <f>AT92</f>
        <v>58149566.525212049</v>
      </c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66"/>
      <c r="BI119" s="166"/>
      <c r="BJ119" s="166"/>
      <c r="BK119" s="166"/>
      <c r="BL119" s="166"/>
      <c r="BM119" s="166"/>
      <c r="BN119" s="166"/>
    </row>
    <row r="120" spans="2:66" s="808" customFormat="1" ht="15" thickBot="1" x14ac:dyDescent="0.3">
      <c r="B120" s="842" t="s">
        <v>385</v>
      </c>
      <c r="C120" s="822">
        <f t="shared" ref="C120:AT120" si="46">C117+C118+C119</f>
        <v>-7968994.6529367194</v>
      </c>
      <c r="D120" s="822">
        <f t="shared" si="46"/>
        <v>-31237973.050517157</v>
      </c>
      <c r="E120" s="822">
        <f t="shared" si="46"/>
        <v>-82610243.589414939</v>
      </c>
      <c r="F120" s="822">
        <f t="shared" si="46"/>
        <v>-33733581.890470475</v>
      </c>
      <c r="G120" s="822">
        <f t="shared" si="46"/>
        <v>0</v>
      </c>
      <c r="H120" s="822">
        <f t="shared" si="46"/>
        <v>0</v>
      </c>
      <c r="I120" s="822">
        <f t="shared" si="46"/>
        <v>0</v>
      </c>
      <c r="J120" s="822">
        <f t="shared" si="46"/>
        <v>0</v>
      </c>
      <c r="K120" s="822">
        <f t="shared" si="46"/>
        <v>0</v>
      </c>
      <c r="L120" s="822">
        <f t="shared" si="46"/>
        <v>0</v>
      </c>
      <c r="M120" s="822">
        <f t="shared" si="46"/>
        <v>0</v>
      </c>
      <c r="N120" s="822">
        <f t="shared" si="46"/>
        <v>0</v>
      </c>
      <c r="O120" s="822">
        <f t="shared" si="46"/>
        <v>0</v>
      </c>
      <c r="P120" s="822">
        <f t="shared" si="46"/>
        <v>-3207183.885592333</v>
      </c>
      <c r="Q120" s="822">
        <f t="shared" si="46"/>
        <v>-4076709.4482100578</v>
      </c>
      <c r="R120" s="822">
        <f t="shared" si="46"/>
        <v>0</v>
      </c>
      <c r="S120" s="822">
        <f t="shared" si="46"/>
        <v>0</v>
      </c>
      <c r="T120" s="822">
        <f t="shared" si="46"/>
        <v>0</v>
      </c>
      <c r="U120" s="822">
        <f t="shared" si="46"/>
        <v>-4045775.9888849272</v>
      </c>
      <c r="V120" s="822">
        <f t="shared" si="46"/>
        <v>-12077947.469822951</v>
      </c>
      <c r="W120" s="822">
        <f t="shared" si="46"/>
        <v>-5677884.95913505</v>
      </c>
      <c r="X120" s="822">
        <f t="shared" si="46"/>
        <v>0</v>
      </c>
      <c r="Y120" s="822">
        <f t="shared" si="46"/>
        <v>0</v>
      </c>
      <c r="Z120" s="822">
        <f t="shared" si="46"/>
        <v>0</v>
      </c>
      <c r="AA120" s="822">
        <f t="shared" si="46"/>
        <v>-3979709.5823840685</v>
      </c>
      <c r="AB120" s="822">
        <f t="shared" si="46"/>
        <v>-5058688.9580765124</v>
      </c>
      <c r="AC120" s="822">
        <f t="shared" si="46"/>
        <v>0</v>
      </c>
      <c r="AD120" s="822">
        <f t="shared" si="46"/>
        <v>0</v>
      </c>
      <c r="AE120" s="822">
        <f t="shared" si="46"/>
        <v>0</v>
      </c>
      <c r="AF120" s="822">
        <f t="shared" si="46"/>
        <v>0</v>
      </c>
      <c r="AG120" s="822">
        <f t="shared" si="46"/>
        <v>0</v>
      </c>
      <c r="AH120" s="822">
        <f t="shared" si="46"/>
        <v>0</v>
      </c>
      <c r="AI120" s="822">
        <f t="shared" si="46"/>
        <v>0</v>
      </c>
      <c r="AJ120" s="822">
        <f t="shared" si="46"/>
        <v>60440401.665283263</v>
      </c>
      <c r="AK120" s="822">
        <f t="shared" si="46"/>
        <v>0</v>
      </c>
      <c r="AL120" s="822">
        <f t="shared" si="46"/>
        <v>-10528158.00957758</v>
      </c>
      <c r="AM120" s="822">
        <f t="shared" si="46"/>
        <v>-22774109.143506903</v>
      </c>
      <c r="AN120" s="822">
        <f t="shared" si="46"/>
        <v>-7787517.7545387391</v>
      </c>
      <c r="AO120" s="822">
        <f t="shared" si="46"/>
        <v>0</v>
      </c>
      <c r="AP120" s="822">
        <f t="shared" si="46"/>
        <v>0</v>
      </c>
      <c r="AQ120" s="822">
        <f t="shared" si="46"/>
        <v>0</v>
      </c>
      <c r="AR120" s="822">
        <f t="shared" si="46"/>
        <v>0</v>
      </c>
      <c r="AS120" s="822">
        <f t="shared" si="46"/>
        <v>0</v>
      </c>
      <c r="AT120" s="823">
        <f t="shared" si="46"/>
        <v>58149566.525212049</v>
      </c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6"/>
    </row>
    <row r="121" spans="2:66" ht="14.4" x14ac:dyDescent="0.25">
      <c r="B121" s="838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66"/>
      <c r="AV121" s="166"/>
      <c r="AW121" s="166"/>
      <c r="AX121" s="166"/>
      <c r="AY121" s="166"/>
      <c r="AZ121" s="166"/>
      <c r="BA121" s="166"/>
      <c r="BB121" s="166"/>
      <c r="BC121" s="166"/>
      <c r="BD121" s="166"/>
      <c r="BE121" s="166"/>
      <c r="BF121" s="166"/>
      <c r="BG121" s="166"/>
      <c r="BH121" s="166"/>
      <c r="BI121" s="166"/>
      <c r="BJ121" s="166"/>
      <c r="BK121" s="166"/>
      <c r="BL121" s="166"/>
      <c r="BM121" s="166"/>
      <c r="BN121" s="166"/>
    </row>
    <row r="122" spans="2:66" ht="14.4" x14ac:dyDescent="0.25">
      <c r="B122" s="838"/>
      <c r="C122" s="178"/>
      <c r="D122" s="178"/>
      <c r="E122" s="884" t="s">
        <v>473</v>
      </c>
      <c r="F122" s="178">
        <f>C120+D120+E120+F120</f>
        <v>-155550793.1833393</v>
      </c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66"/>
      <c r="AV122" s="166"/>
      <c r="AW122" s="166"/>
      <c r="AX122" s="166"/>
      <c r="AY122" s="166"/>
      <c r="AZ122" s="166"/>
      <c r="BA122" s="166"/>
      <c r="BB122" s="166"/>
      <c r="BC122" s="166"/>
      <c r="BD122" s="166"/>
      <c r="BE122" s="166"/>
      <c r="BF122" s="166"/>
      <c r="BG122" s="166"/>
      <c r="BH122" s="166"/>
      <c r="BI122" s="166"/>
      <c r="BJ122" s="166"/>
      <c r="BK122" s="166"/>
      <c r="BL122" s="166"/>
      <c r="BM122" s="166"/>
      <c r="BN122" s="166"/>
    </row>
    <row r="123" spans="2:66" ht="14.4" x14ac:dyDescent="0.25">
      <c r="B123" s="838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66"/>
      <c r="AV123" s="166"/>
      <c r="AW123" s="166"/>
      <c r="AX123" s="166"/>
      <c r="AY123" s="166"/>
      <c r="AZ123" s="166"/>
      <c r="BA123" s="166"/>
      <c r="BB123" s="166"/>
      <c r="BC123" s="166"/>
      <c r="BD123" s="166"/>
      <c r="BE123" s="166"/>
      <c r="BF123" s="166"/>
      <c r="BG123" s="166"/>
      <c r="BH123" s="166"/>
      <c r="BI123" s="166"/>
      <c r="BJ123" s="166"/>
      <c r="BK123" s="166"/>
      <c r="BL123" s="166"/>
      <c r="BM123" s="166"/>
      <c r="BN123" s="166"/>
    </row>
    <row r="124" spans="2:66" ht="14.4" x14ac:dyDescent="0.25">
      <c r="B124" s="844" t="s">
        <v>436</v>
      </c>
      <c r="C124" s="178">
        <f t="shared" ref="C124:AJ124" si="47">C114+C120</f>
        <v>-7968994.6529367194</v>
      </c>
      <c r="D124" s="178">
        <f t="shared" si="47"/>
        <v>-31237973.050517157</v>
      </c>
      <c r="E124" s="178">
        <f t="shared" si="47"/>
        <v>-82610243.589414939</v>
      </c>
      <c r="F124" s="178">
        <f t="shared" si="47"/>
        <v>-33733581.890470475</v>
      </c>
      <c r="G124" s="178">
        <f t="shared" si="47"/>
        <v>-1208154.1814306369</v>
      </c>
      <c r="H124" s="178">
        <f t="shared" si="47"/>
        <v>-417760.78494518157</v>
      </c>
      <c r="I124" s="178">
        <f t="shared" si="47"/>
        <v>-309231.7927529756</v>
      </c>
      <c r="J124" s="178">
        <f t="shared" si="47"/>
        <v>-366229.17073946539</v>
      </c>
      <c r="K124" s="178">
        <f t="shared" si="47"/>
        <v>-7134775.9776758021</v>
      </c>
      <c r="L124" s="178">
        <f t="shared" si="47"/>
        <v>-329366.0361220343</v>
      </c>
      <c r="M124" s="178">
        <f t="shared" si="47"/>
        <v>-225885.10771525279</v>
      </c>
      <c r="N124" s="178">
        <f t="shared" si="47"/>
        <v>-320370.13720130641</v>
      </c>
      <c r="O124" s="178">
        <f t="shared" si="47"/>
        <v>-243542.6148147583</v>
      </c>
      <c r="P124" s="178">
        <f t="shared" si="47"/>
        <v>-11093586.265933579</v>
      </c>
      <c r="Q124" s="178">
        <f t="shared" si="47"/>
        <v>-4339521.1819915082</v>
      </c>
      <c r="R124" s="178">
        <f t="shared" si="47"/>
        <v>-367154.55000737123</v>
      </c>
      <c r="S124" s="178">
        <f t="shared" si="47"/>
        <v>-279003.61048719753</v>
      </c>
      <c r="T124" s="178">
        <f t="shared" si="47"/>
        <v>-383841.05389651377</v>
      </c>
      <c r="U124" s="178">
        <f t="shared" si="47"/>
        <v>-12625950.887198718</v>
      </c>
      <c r="V124" s="178">
        <f t="shared" si="47"/>
        <v>-12479859.235150848</v>
      </c>
      <c r="W124" s="178">
        <f t="shared" si="47"/>
        <v>-5983455.7512850091</v>
      </c>
      <c r="X124" s="178">
        <f t="shared" si="47"/>
        <v>-397835.82015280798</v>
      </c>
      <c r="Y124" s="178">
        <f t="shared" si="47"/>
        <v>-271587.73341780808</v>
      </c>
      <c r="Z124" s="178">
        <f t="shared" si="47"/>
        <v>-9475867.6365640163</v>
      </c>
      <c r="AA124" s="178">
        <f t="shared" si="47"/>
        <v>-4214798.6552354945</v>
      </c>
      <c r="AB124" s="178">
        <f t="shared" si="47"/>
        <v>-5396366.7850586716</v>
      </c>
      <c r="AC124" s="178">
        <f t="shared" si="47"/>
        <v>-246493.73813060392</v>
      </c>
      <c r="AD124" s="178">
        <f t="shared" si="47"/>
        <v>-405198.5838256469</v>
      </c>
      <c r="AE124" s="178">
        <f t="shared" si="47"/>
        <v>-10318129.665633112</v>
      </c>
      <c r="AF124" s="178">
        <f t="shared" si="47"/>
        <v>-478460.59377893526</v>
      </c>
      <c r="AG124" s="178">
        <f t="shared" si="47"/>
        <v>-382875.75352597609</v>
      </c>
      <c r="AH124" s="178">
        <f t="shared" si="47"/>
        <v>-557865.01846063323</v>
      </c>
      <c r="AI124" s="178">
        <f t="shared" si="47"/>
        <v>-460076.28538832814</v>
      </c>
      <c r="AJ124" s="178">
        <f t="shared" si="47"/>
        <v>48802115.830143645</v>
      </c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</row>
    <row r="125" spans="2:66" ht="14.4" x14ac:dyDescent="0.25">
      <c r="B125" s="844" t="s">
        <v>438</v>
      </c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848">
        <f>IRR(C124:AJ124)</f>
        <v>-7.3752763812896971E-2</v>
      </c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66"/>
      <c r="BI125" s="166"/>
      <c r="BJ125" s="166"/>
      <c r="BK125" s="166"/>
      <c r="BL125" s="166"/>
      <c r="BM125" s="166"/>
      <c r="BN125" s="166"/>
    </row>
    <row r="126" spans="2:66" ht="14.4" x14ac:dyDescent="0.25">
      <c r="B126" s="844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66"/>
      <c r="BI126" s="166"/>
      <c r="BJ126" s="166"/>
      <c r="BK126" s="166"/>
      <c r="BL126" s="166"/>
      <c r="BM126" s="166"/>
      <c r="BN126" s="166"/>
    </row>
    <row r="127" spans="2:66" ht="14.4" x14ac:dyDescent="0.25">
      <c r="B127" s="844" t="s">
        <v>437</v>
      </c>
      <c r="C127" s="178">
        <f>C114+C120</f>
        <v>-7968994.6529367194</v>
      </c>
      <c r="D127" s="178">
        <f t="shared" ref="D127:AT127" si="48">D114+D120</f>
        <v>-31237973.050517157</v>
      </c>
      <c r="E127" s="178">
        <f t="shared" si="48"/>
        <v>-82610243.589414939</v>
      </c>
      <c r="F127" s="178">
        <f t="shared" si="48"/>
        <v>-33733581.890470475</v>
      </c>
      <c r="G127" s="178">
        <f t="shared" si="48"/>
        <v>-1208154.1814306369</v>
      </c>
      <c r="H127" s="178">
        <f t="shared" si="48"/>
        <v>-417760.78494518157</v>
      </c>
      <c r="I127" s="178">
        <f t="shared" si="48"/>
        <v>-309231.7927529756</v>
      </c>
      <c r="J127" s="178">
        <f t="shared" si="48"/>
        <v>-366229.17073946539</v>
      </c>
      <c r="K127" s="178">
        <f t="shared" si="48"/>
        <v>-7134775.9776758021</v>
      </c>
      <c r="L127" s="178">
        <f t="shared" si="48"/>
        <v>-329366.0361220343</v>
      </c>
      <c r="M127" s="178">
        <f t="shared" si="48"/>
        <v>-225885.10771525279</v>
      </c>
      <c r="N127" s="178">
        <f t="shared" si="48"/>
        <v>-320370.13720130641</v>
      </c>
      <c r="O127" s="178">
        <f t="shared" si="48"/>
        <v>-243542.6148147583</v>
      </c>
      <c r="P127" s="178">
        <f t="shared" si="48"/>
        <v>-11093586.265933579</v>
      </c>
      <c r="Q127" s="178">
        <f t="shared" si="48"/>
        <v>-4339521.1819915082</v>
      </c>
      <c r="R127" s="178">
        <f t="shared" si="48"/>
        <v>-367154.55000737123</v>
      </c>
      <c r="S127" s="178">
        <f t="shared" si="48"/>
        <v>-279003.61048719753</v>
      </c>
      <c r="T127" s="178">
        <f t="shared" si="48"/>
        <v>-383841.05389651377</v>
      </c>
      <c r="U127" s="178">
        <f t="shared" si="48"/>
        <v>-12625950.887198718</v>
      </c>
      <c r="V127" s="178">
        <f t="shared" si="48"/>
        <v>-12479859.235150848</v>
      </c>
      <c r="W127" s="178">
        <f t="shared" si="48"/>
        <v>-5983455.7512850091</v>
      </c>
      <c r="X127" s="178">
        <f t="shared" si="48"/>
        <v>-397835.82015280798</v>
      </c>
      <c r="Y127" s="178">
        <f t="shared" si="48"/>
        <v>-271587.73341780808</v>
      </c>
      <c r="Z127" s="178">
        <f t="shared" si="48"/>
        <v>-9475867.6365640163</v>
      </c>
      <c r="AA127" s="178">
        <f t="shared" si="48"/>
        <v>-4214798.6552354945</v>
      </c>
      <c r="AB127" s="178">
        <f t="shared" si="48"/>
        <v>-5396366.7850586716</v>
      </c>
      <c r="AC127" s="178">
        <f t="shared" si="48"/>
        <v>-246493.73813060392</v>
      </c>
      <c r="AD127" s="178">
        <f t="shared" si="48"/>
        <v>-405198.5838256469</v>
      </c>
      <c r="AE127" s="178">
        <f t="shared" si="48"/>
        <v>-10318129.665633112</v>
      </c>
      <c r="AF127" s="178">
        <f t="shared" si="48"/>
        <v>-478460.59377893526</v>
      </c>
      <c r="AG127" s="178">
        <f t="shared" si="48"/>
        <v>-382875.75352597609</v>
      </c>
      <c r="AH127" s="178">
        <f t="shared" si="48"/>
        <v>-557865.01846063323</v>
      </c>
      <c r="AI127" s="178">
        <f t="shared" si="48"/>
        <v>-460076.28538832814</v>
      </c>
      <c r="AJ127" s="178">
        <f>AJ114+AJ118</f>
        <v>-11638285.835139617</v>
      </c>
      <c r="AK127" s="178">
        <f t="shared" si="48"/>
        <v>-543850.25019012578</v>
      </c>
      <c r="AL127" s="178">
        <f t="shared" si="48"/>
        <v>-11264994.148824744</v>
      </c>
      <c r="AM127" s="178">
        <f t="shared" si="48"/>
        <v>-23408766.48147396</v>
      </c>
      <c r="AN127" s="178">
        <f t="shared" si="48"/>
        <v>-8624858.1385839619</v>
      </c>
      <c r="AO127" s="178">
        <f t="shared" si="48"/>
        <v>-12813151.160568997</v>
      </c>
      <c r="AP127" s="178">
        <f t="shared" si="48"/>
        <v>-945865.59799006954</v>
      </c>
      <c r="AQ127" s="178">
        <f t="shared" si="48"/>
        <v>-839359.15516906045</v>
      </c>
      <c r="AR127" s="178">
        <f t="shared" si="48"/>
        <v>-1062958.5508260466</v>
      </c>
      <c r="AS127" s="178">
        <f t="shared" si="48"/>
        <v>-954328.3368736431</v>
      </c>
      <c r="AT127" s="178">
        <f t="shared" si="48"/>
        <v>43687263.756564632</v>
      </c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66"/>
      <c r="BI127" s="166"/>
      <c r="BJ127" s="166"/>
      <c r="BK127" s="166"/>
      <c r="BL127" s="166"/>
      <c r="BM127" s="166"/>
      <c r="BN127" s="166"/>
    </row>
    <row r="128" spans="2:66" ht="14.4" x14ac:dyDescent="0.25">
      <c r="B128" s="844" t="s">
        <v>439</v>
      </c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849">
        <f>IRR(C127:AT127)</f>
        <v>-0.1048651416462022</v>
      </c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</row>
    <row r="129" spans="1:66" ht="14.4" x14ac:dyDescent="0.25">
      <c r="B129" s="844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66"/>
      <c r="AV129" s="166"/>
      <c r="AW129" s="166"/>
      <c r="AX129" s="166"/>
      <c r="AY129" s="166"/>
      <c r="AZ129" s="166"/>
      <c r="BA129" s="166"/>
      <c r="BB129" s="166"/>
      <c r="BC129" s="166"/>
      <c r="BD129" s="166"/>
      <c r="BE129" s="166"/>
      <c r="BF129" s="166"/>
      <c r="BG129" s="166"/>
      <c r="BH129" s="166"/>
      <c r="BI129" s="166"/>
      <c r="BJ129" s="166"/>
      <c r="BK129" s="166"/>
      <c r="BL129" s="166"/>
      <c r="BM129" s="166"/>
      <c r="BN129" s="166"/>
    </row>
    <row r="130" spans="1:66" ht="14.4" x14ac:dyDescent="0.25">
      <c r="B130" s="844" t="s">
        <v>450</v>
      </c>
      <c r="C130" s="178">
        <f>C104</f>
        <v>0</v>
      </c>
      <c r="D130" s="178">
        <f t="shared" ref="D130:AT130" si="49">D104</f>
        <v>0</v>
      </c>
      <c r="E130" s="178">
        <f t="shared" si="49"/>
        <v>0</v>
      </c>
      <c r="F130" s="178">
        <f t="shared" si="49"/>
        <v>0</v>
      </c>
      <c r="G130" s="178">
        <f t="shared" si="49"/>
        <v>-1208154.1814306369</v>
      </c>
      <c r="H130" s="178">
        <f t="shared" si="49"/>
        <v>-417760.78494518111</v>
      </c>
      <c r="I130" s="178">
        <f t="shared" si="49"/>
        <v>-309231.7927529756</v>
      </c>
      <c r="J130" s="178">
        <f t="shared" si="49"/>
        <v>-366229.17073946539</v>
      </c>
      <c r="K130" s="178">
        <f t="shared" si="49"/>
        <v>-7134775.977675803</v>
      </c>
      <c r="L130" s="178">
        <f t="shared" si="49"/>
        <v>-329366.0361220343</v>
      </c>
      <c r="M130" s="178">
        <f t="shared" si="49"/>
        <v>-225885.10771525279</v>
      </c>
      <c r="N130" s="178">
        <f t="shared" si="49"/>
        <v>-320370.13720130641</v>
      </c>
      <c r="O130" s="178">
        <f t="shared" si="49"/>
        <v>-243542.6148147583</v>
      </c>
      <c r="P130" s="178">
        <f t="shared" si="49"/>
        <v>-7886402.3803412449</v>
      </c>
      <c r="Q130" s="178">
        <f t="shared" si="49"/>
        <v>-262811.73378145043</v>
      </c>
      <c r="R130" s="178">
        <f t="shared" si="49"/>
        <v>-367154.55000737123</v>
      </c>
      <c r="S130" s="178">
        <f t="shared" si="49"/>
        <v>-279003.61048719753</v>
      </c>
      <c r="T130" s="178">
        <f t="shared" si="49"/>
        <v>-383841.05389651377</v>
      </c>
      <c r="U130" s="178">
        <f t="shared" si="49"/>
        <v>-8580174.8983137906</v>
      </c>
      <c r="V130" s="178">
        <f t="shared" si="49"/>
        <v>-401911.76532789599</v>
      </c>
      <c r="W130" s="178">
        <f t="shared" si="49"/>
        <v>-305570.79214995913</v>
      </c>
      <c r="X130" s="178">
        <f t="shared" si="49"/>
        <v>-397835.82015280798</v>
      </c>
      <c r="Y130" s="178">
        <f t="shared" si="49"/>
        <v>-271587.73341780808</v>
      </c>
      <c r="Z130" s="178">
        <f t="shared" si="49"/>
        <v>-9475867.6365640163</v>
      </c>
      <c r="AA130" s="178">
        <f t="shared" si="49"/>
        <v>-235089.07285142597</v>
      </c>
      <c r="AB130" s="178">
        <f t="shared" si="49"/>
        <v>-337677.82698215917</v>
      </c>
      <c r="AC130" s="178">
        <f t="shared" si="49"/>
        <v>-246493.73813060392</v>
      </c>
      <c r="AD130" s="178">
        <f t="shared" si="49"/>
        <v>-405198.5838256469</v>
      </c>
      <c r="AE130" s="178">
        <f t="shared" si="49"/>
        <v>-10318129.665633112</v>
      </c>
      <c r="AF130" s="178">
        <f t="shared" si="49"/>
        <v>-478460.59377893526</v>
      </c>
      <c r="AG130" s="178">
        <f t="shared" si="49"/>
        <v>-382875.75352597609</v>
      </c>
      <c r="AH130" s="178">
        <f t="shared" si="49"/>
        <v>-557865.01846063323</v>
      </c>
      <c r="AI130" s="178">
        <f t="shared" si="49"/>
        <v>-460076.28538832814</v>
      </c>
      <c r="AJ130" s="178">
        <f t="shared" si="49"/>
        <v>-11638285.835139615</v>
      </c>
      <c r="AK130" s="178">
        <f t="shared" si="49"/>
        <v>-543850.25019012578</v>
      </c>
      <c r="AL130" s="178">
        <f t="shared" si="49"/>
        <v>-736836.13924716413</v>
      </c>
      <c r="AM130" s="178">
        <f t="shared" si="49"/>
        <v>-634657.33796705864</v>
      </c>
      <c r="AN130" s="178">
        <f t="shared" si="49"/>
        <v>-837340.38404522277</v>
      </c>
      <c r="AO130" s="178">
        <f t="shared" si="49"/>
        <v>-12813151.160568997</v>
      </c>
      <c r="AP130" s="178">
        <f t="shared" si="49"/>
        <v>-945865.59799006954</v>
      </c>
      <c r="AQ130" s="178">
        <f t="shared" si="49"/>
        <v>-839359.15516906045</v>
      </c>
      <c r="AR130" s="178">
        <f t="shared" si="49"/>
        <v>-1062958.5508260466</v>
      </c>
      <c r="AS130" s="178">
        <f t="shared" si="49"/>
        <v>-954328.3368736431</v>
      </c>
      <c r="AT130" s="178">
        <f t="shared" si="49"/>
        <v>-14462302.768647416</v>
      </c>
      <c r="AU130" s="166"/>
      <c r="AV130" s="166"/>
      <c r="AW130" s="166"/>
      <c r="AX130" s="166"/>
      <c r="AY130" s="166"/>
      <c r="AZ130" s="166"/>
      <c r="BA130" s="166"/>
      <c r="BB130" s="166"/>
      <c r="BC130" s="166"/>
      <c r="BD130" s="166"/>
      <c r="BE130" s="166"/>
      <c r="BF130" s="166"/>
      <c r="BG130" s="166"/>
      <c r="BH130" s="166"/>
      <c r="BI130" s="166"/>
      <c r="BJ130" s="166"/>
      <c r="BK130" s="166"/>
      <c r="BL130" s="166"/>
      <c r="BM130" s="166"/>
      <c r="BN130" s="166"/>
    </row>
    <row r="131" spans="1:66" ht="14.4" x14ac:dyDescent="0.25">
      <c r="B131" s="844" t="s">
        <v>451</v>
      </c>
      <c r="C131" s="178">
        <f>C130+C91</f>
        <v>0</v>
      </c>
      <c r="D131" s="178">
        <f t="shared" ref="D131:AT131" si="50">D130+D91</f>
        <v>0</v>
      </c>
      <c r="E131" s="178">
        <f t="shared" si="50"/>
        <v>0</v>
      </c>
      <c r="F131" s="178">
        <f t="shared" si="50"/>
        <v>0</v>
      </c>
      <c r="G131" s="178">
        <f t="shared" si="50"/>
        <v>-5684472.7988103852</v>
      </c>
      <c r="H131" s="178">
        <f t="shared" si="50"/>
        <v>-4894079.4023249298</v>
      </c>
      <c r="I131" s="178">
        <f t="shared" si="50"/>
        <v>-4785550.4101327239</v>
      </c>
      <c r="J131" s="178">
        <f t="shared" si="50"/>
        <v>-4842547.7881192137</v>
      </c>
      <c r="K131" s="178">
        <f t="shared" si="50"/>
        <v>-11611094.59505555</v>
      </c>
      <c r="L131" s="178">
        <f t="shared" si="50"/>
        <v>-4555932.7034083419</v>
      </c>
      <c r="M131" s="178">
        <f t="shared" si="50"/>
        <v>-4452451.7750015603</v>
      </c>
      <c r="N131" s="178">
        <f t="shared" si="50"/>
        <v>-4546936.804487614</v>
      </c>
      <c r="O131" s="178">
        <f t="shared" si="50"/>
        <v>-4470109.2821010659</v>
      </c>
      <c r="P131" s="178">
        <f t="shared" si="50"/>
        <v>-12112969.047627553</v>
      </c>
      <c r="Q131" s="178">
        <f t="shared" si="50"/>
        <v>-3899000.6441874383</v>
      </c>
      <c r="R131" s="178">
        <f t="shared" si="50"/>
        <v>-4731732.7937935982</v>
      </c>
      <c r="S131" s="178">
        <f t="shared" si="50"/>
        <v>-4643581.8542734245</v>
      </c>
      <c r="T131" s="178">
        <f t="shared" si="50"/>
        <v>-4748419.2976827407</v>
      </c>
      <c r="U131" s="178">
        <f t="shared" si="50"/>
        <v>-12944753.142100018</v>
      </c>
      <c r="V131" s="178">
        <f t="shared" si="50"/>
        <v>-3732529.180522332</v>
      </c>
      <c r="W131" s="178">
        <f t="shared" si="50"/>
        <v>-3636188.2073443951</v>
      </c>
      <c r="X131" s="178">
        <f t="shared" si="50"/>
        <v>-5181893.7965367725</v>
      </c>
      <c r="Y131" s="178">
        <f t="shared" si="50"/>
        <v>-5055645.7098017726</v>
      </c>
      <c r="Z131" s="178">
        <f t="shared" si="50"/>
        <v>-14259925.612947982</v>
      </c>
      <c r="AA131" s="178">
        <f t="shared" si="50"/>
        <v>-5019147.0492353905</v>
      </c>
      <c r="AB131" s="178">
        <f t="shared" si="50"/>
        <v>-5121735.8033661237</v>
      </c>
      <c r="AC131" s="178">
        <f t="shared" si="50"/>
        <v>-5206002.2351803873</v>
      </c>
      <c r="AD131" s="178">
        <f t="shared" si="50"/>
        <v>-5364707.0808754303</v>
      </c>
      <c r="AE131" s="178">
        <f t="shared" si="50"/>
        <v>-15277638.162682895</v>
      </c>
      <c r="AF131" s="178">
        <f t="shared" si="50"/>
        <v>-5437969.0908287186</v>
      </c>
      <c r="AG131" s="178">
        <f t="shared" si="50"/>
        <v>-5342384.2505757594</v>
      </c>
      <c r="AH131" s="178">
        <f t="shared" si="50"/>
        <v>-5517373.5155104166</v>
      </c>
      <c r="AI131" s="178">
        <f t="shared" si="50"/>
        <v>-5419584.7824381115</v>
      </c>
      <c r="AJ131" s="178">
        <f t="shared" si="50"/>
        <v>-16597794.3321894</v>
      </c>
      <c r="AK131" s="178">
        <f t="shared" si="50"/>
        <v>-5503358.7472399091</v>
      </c>
      <c r="AL131" s="178">
        <f t="shared" si="50"/>
        <v>-5696344.6362969475</v>
      </c>
      <c r="AM131" s="178">
        <f t="shared" si="50"/>
        <v>-4140725.2738273134</v>
      </c>
      <c r="AN131" s="178">
        <f t="shared" si="50"/>
        <v>-3439568.4658594197</v>
      </c>
      <c r="AO131" s="178">
        <f t="shared" si="50"/>
        <v>-18350363.878641997</v>
      </c>
      <c r="AP131" s="178">
        <f t="shared" si="50"/>
        <v>-6483078.3160630688</v>
      </c>
      <c r="AQ131" s="178">
        <f t="shared" si="50"/>
        <v>-6376571.8732420597</v>
      </c>
      <c r="AR131" s="178">
        <f t="shared" si="50"/>
        <v>-6600171.2688990459</v>
      </c>
      <c r="AS131" s="178">
        <f t="shared" si="50"/>
        <v>-6491541.0549466424</v>
      </c>
      <c r="AT131" s="178">
        <f t="shared" si="50"/>
        <v>-19999515.486720413</v>
      </c>
      <c r="AU131" s="166"/>
      <c r="AV131" s="166"/>
      <c r="AW131" s="166"/>
      <c r="AX131" s="166"/>
      <c r="AY131" s="166"/>
      <c r="AZ131" s="166"/>
      <c r="BA131" s="166"/>
      <c r="BB131" s="166"/>
      <c r="BC131" s="166"/>
      <c r="BD131" s="166"/>
      <c r="BE131" s="166"/>
      <c r="BF131" s="166"/>
      <c r="BG131" s="166"/>
      <c r="BH131" s="166"/>
      <c r="BI131" s="166"/>
      <c r="BJ131" s="166"/>
      <c r="BK131" s="166"/>
      <c r="BL131" s="166"/>
      <c r="BM131" s="166"/>
      <c r="BN131" s="166"/>
    </row>
    <row r="132" spans="1:66" ht="14.4" x14ac:dyDescent="0.25">
      <c r="B132" s="844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</row>
    <row r="133" spans="1:66" ht="14.4" x14ac:dyDescent="0.25">
      <c r="B133" s="844" t="s">
        <v>489</v>
      </c>
      <c r="C133" s="908"/>
      <c r="D133" s="908"/>
      <c r="E133" s="908"/>
      <c r="F133" s="908"/>
      <c r="G133" s="909">
        <f>ABS(G102)/ABS(G97)</f>
        <v>0.72022049919410303</v>
      </c>
      <c r="H133" s="909">
        <f t="shared" ref="H133:AT133" si="51">ABS(H102)/ABS(H97)</f>
        <v>0.90575983660444248</v>
      </c>
      <c r="I133" s="909">
        <f t="shared" si="51"/>
        <v>0.93184035699069423</v>
      </c>
      <c r="J133" s="909">
        <f t="shared" si="51"/>
        <v>0.92112759650900755</v>
      </c>
      <c r="K133" s="909">
        <f t="shared" si="51"/>
        <v>0.38588100364703098</v>
      </c>
      <c r="L133" s="909">
        <f t="shared" si="51"/>
        <v>0.93228398913261856</v>
      </c>
      <c r="M133" s="909">
        <f t="shared" si="51"/>
        <v>0.95462552872477091</v>
      </c>
      <c r="N133" s="909">
        <f t="shared" si="51"/>
        <v>0.93712448312412344</v>
      </c>
      <c r="O133" s="909">
        <f t="shared" si="51"/>
        <v>0.95330136351811035</v>
      </c>
      <c r="P133" s="909">
        <f t="shared" si="51"/>
        <v>0.3877753817522181</v>
      </c>
      <c r="Q133" s="909">
        <f t="shared" si="51"/>
        <v>0.9518988183215793</v>
      </c>
      <c r="R133" s="909">
        <f t="shared" si="51"/>
        <v>0.93434890699494721</v>
      </c>
      <c r="S133" s="909">
        <f t="shared" si="51"/>
        <v>0.95126072903999792</v>
      </c>
      <c r="T133" s="909">
        <f t="shared" si="51"/>
        <v>0.93449252063966148</v>
      </c>
      <c r="U133" s="909">
        <f t="shared" si="51"/>
        <v>0.39941475388969122</v>
      </c>
      <c r="V133" s="909">
        <f t="shared" si="51"/>
        <v>0.93453743981527271</v>
      </c>
      <c r="W133" s="909">
        <f t="shared" si="51"/>
        <v>0.95137869223762117</v>
      </c>
      <c r="X133" s="909">
        <f t="shared" si="51"/>
        <v>0.93816059719549949</v>
      </c>
      <c r="Y133" s="909">
        <f t="shared" si="51"/>
        <v>0.9587606097989454</v>
      </c>
      <c r="Z133" s="909">
        <f t="shared" si="51"/>
        <v>0.4021004149845524</v>
      </c>
      <c r="AA133" s="909">
        <f t="shared" si="51"/>
        <v>0.96593580844526017</v>
      </c>
      <c r="AB133" s="909">
        <f t="shared" si="51"/>
        <v>0.95220405472811498</v>
      </c>
      <c r="AC133" s="909">
        <f t="shared" si="51"/>
        <v>0.96591907908588925</v>
      </c>
      <c r="AD133" s="909">
        <f t="shared" si="51"/>
        <v>0.94527518325750604</v>
      </c>
      <c r="AE133" s="909">
        <f t="shared" si="51"/>
        <v>0.41329182550667598</v>
      </c>
      <c r="AF133" s="909">
        <f t="shared" si="51"/>
        <v>0.93834523788348967</v>
      </c>
      <c r="AG133" s="909">
        <f t="shared" si="51"/>
        <v>0.95180839458266064</v>
      </c>
      <c r="AH133" s="909">
        <f t="shared" si="51"/>
        <v>0.93141490176168173</v>
      </c>
      <c r="AI133" s="909">
        <f t="shared" si="51"/>
        <v>0.94475262945838778</v>
      </c>
      <c r="AJ133" s="909">
        <f t="shared" si="51"/>
        <v>0.40378865147524196</v>
      </c>
      <c r="AK133" s="909">
        <f t="shared" si="51"/>
        <v>0.93769750957087128</v>
      </c>
      <c r="AL133" s="909">
        <f t="shared" si="51"/>
        <v>0.91755578926086345</v>
      </c>
      <c r="AM133" s="909">
        <f t="shared" si="51"/>
        <v>0.93064372981039345</v>
      </c>
      <c r="AN133" s="909">
        <f t="shared" si="51"/>
        <v>0.91062837788884521</v>
      </c>
      <c r="AO133" s="909">
        <f t="shared" si="51"/>
        <v>0.40880276228410839</v>
      </c>
      <c r="AP133" s="909">
        <f t="shared" si="51"/>
        <v>0.90370330533722609</v>
      </c>
      <c r="AQ133" s="909">
        <f t="shared" si="51"/>
        <v>0.91654296674871072</v>
      </c>
      <c r="AR133" s="909">
        <f t="shared" si="51"/>
        <v>0.89678125212029713</v>
      </c>
      <c r="AS133" s="909">
        <f t="shared" si="51"/>
        <v>0.90949736906417922</v>
      </c>
      <c r="AT133" s="909">
        <f t="shared" si="51"/>
        <v>0.39917048231787644</v>
      </c>
      <c r="AU133" s="166"/>
      <c r="AV133" s="166"/>
      <c r="AW133" s="166"/>
      <c r="AX133" s="166"/>
      <c r="AY133" s="166"/>
      <c r="AZ133" s="166"/>
      <c r="BA133" s="166"/>
      <c r="BB133" s="166"/>
      <c r="BC133" s="166"/>
      <c r="BD133" s="166"/>
      <c r="BE133" s="166"/>
      <c r="BF133" s="166"/>
      <c r="BG133" s="166"/>
      <c r="BH133" s="166"/>
      <c r="BI133" s="166"/>
      <c r="BJ133" s="166"/>
      <c r="BK133" s="166"/>
      <c r="BL133" s="166"/>
      <c r="BM133" s="166"/>
      <c r="BN133" s="166"/>
    </row>
    <row r="134" spans="1:66" ht="14.4" x14ac:dyDescent="0.25">
      <c r="B134" s="844" t="s">
        <v>490</v>
      </c>
      <c r="C134" s="908"/>
      <c r="D134" s="908"/>
      <c r="E134" s="908"/>
      <c r="F134" s="908"/>
      <c r="G134" s="909">
        <f>G133-1</f>
        <v>-0.27977950080589697</v>
      </c>
      <c r="H134" s="909">
        <f t="shared" ref="H134:AT134" si="52">H133-1</f>
        <v>-9.4240163395557519E-2</v>
      </c>
      <c r="I134" s="909">
        <f t="shared" si="52"/>
        <v>-6.815964300930577E-2</v>
      </c>
      <c r="J134" s="909">
        <f t="shared" si="52"/>
        <v>-7.8872403490992449E-2</v>
      </c>
      <c r="K134" s="909">
        <f t="shared" si="52"/>
        <v>-0.61411899635296896</v>
      </c>
      <c r="L134" s="909">
        <f t="shared" si="52"/>
        <v>-6.7716010867381438E-2</v>
      </c>
      <c r="M134" s="909">
        <f t="shared" si="52"/>
        <v>-4.5374471275229089E-2</v>
      </c>
      <c r="N134" s="909">
        <f t="shared" si="52"/>
        <v>-6.2875516875876558E-2</v>
      </c>
      <c r="O134" s="909">
        <f t="shared" si="52"/>
        <v>-4.6698636481889655E-2</v>
      </c>
      <c r="P134" s="909">
        <f t="shared" si="52"/>
        <v>-0.61222461824778196</v>
      </c>
      <c r="Q134" s="909">
        <f t="shared" si="52"/>
        <v>-4.8101181678420701E-2</v>
      </c>
      <c r="R134" s="909">
        <f t="shared" si="52"/>
        <v>-6.5651093005052785E-2</v>
      </c>
      <c r="S134" s="909">
        <f t="shared" si="52"/>
        <v>-4.8739270960002079E-2</v>
      </c>
      <c r="T134" s="909">
        <f t="shared" si="52"/>
        <v>-6.5507479360338516E-2</v>
      </c>
      <c r="U134" s="909">
        <f t="shared" si="52"/>
        <v>-0.60058524611030872</v>
      </c>
      <c r="V134" s="909">
        <f t="shared" si="52"/>
        <v>-6.5462560184727292E-2</v>
      </c>
      <c r="W134" s="909">
        <f t="shared" si="52"/>
        <v>-4.8621307762378829E-2</v>
      </c>
      <c r="X134" s="909">
        <f t="shared" si="52"/>
        <v>-6.183940280450051E-2</v>
      </c>
      <c r="Y134" s="909">
        <f t="shared" si="52"/>
        <v>-4.1239390201054604E-2</v>
      </c>
      <c r="Z134" s="909">
        <f t="shared" si="52"/>
        <v>-0.5978995850154476</v>
      </c>
      <c r="AA134" s="909">
        <f t="shared" si="52"/>
        <v>-3.4064191554739831E-2</v>
      </c>
      <c r="AB134" s="909">
        <f t="shared" si="52"/>
        <v>-4.7795945271885021E-2</v>
      </c>
      <c r="AC134" s="909">
        <f t="shared" si="52"/>
        <v>-3.4080920914110746E-2</v>
      </c>
      <c r="AD134" s="909">
        <f t="shared" si="52"/>
        <v>-5.4724816742493965E-2</v>
      </c>
      <c r="AE134" s="909">
        <f t="shared" si="52"/>
        <v>-0.58670817449332402</v>
      </c>
      <c r="AF134" s="909">
        <f t="shared" si="52"/>
        <v>-6.1654762116510331E-2</v>
      </c>
      <c r="AG134" s="909">
        <f t="shared" si="52"/>
        <v>-4.8191605417339356E-2</v>
      </c>
      <c r="AH134" s="909">
        <f t="shared" si="52"/>
        <v>-6.8585098238318265E-2</v>
      </c>
      <c r="AI134" s="909">
        <f t="shared" si="52"/>
        <v>-5.5247370541612217E-2</v>
      </c>
      <c r="AJ134" s="909">
        <f t="shared" si="52"/>
        <v>-0.59621134852475799</v>
      </c>
      <c r="AK134" s="909">
        <f t="shared" si="52"/>
        <v>-6.2302490429128721E-2</v>
      </c>
      <c r="AL134" s="909">
        <f t="shared" si="52"/>
        <v>-8.2444210739136548E-2</v>
      </c>
      <c r="AM134" s="909">
        <f t="shared" si="52"/>
        <v>-6.935627018960655E-2</v>
      </c>
      <c r="AN134" s="909">
        <f t="shared" si="52"/>
        <v>-8.9371622111154791E-2</v>
      </c>
      <c r="AO134" s="909">
        <f t="shared" si="52"/>
        <v>-0.59119723771589161</v>
      </c>
      <c r="AP134" s="909">
        <f t="shared" si="52"/>
        <v>-9.6296694662773907E-2</v>
      </c>
      <c r="AQ134" s="909">
        <f t="shared" si="52"/>
        <v>-8.3457033251289281E-2</v>
      </c>
      <c r="AR134" s="909">
        <f t="shared" si="52"/>
        <v>-0.10321874787970287</v>
      </c>
      <c r="AS134" s="909">
        <f t="shared" si="52"/>
        <v>-9.0502630935820783E-2</v>
      </c>
      <c r="AT134" s="909">
        <f t="shared" si="52"/>
        <v>-0.60082951768212356</v>
      </c>
      <c r="AU134" s="166"/>
      <c r="AV134" s="166"/>
      <c r="AW134" s="166"/>
      <c r="AX134" s="166"/>
      <c r="AY134" s="166"/>
      <c r="AZ134" s="166"/>
      <c r="BA134" s="166"/>
      <c r="BB134" s="166"/>
      <c r="BC134" s="166"/>
      <c r="BD134" s="166"/>
      <c r="BE134" s="166"/>
      <c r="BF134" s="166"/>
      <c r="BG134" s="166"/>
      <c r="BH134" s="166"/>
      <c r="BI134" s="166"/>
      <c r="BJ134" s="166"/>
      <c r="BK134" s="166"/>
      <c r="BL134" s="166"/>
      <c r="BM134" s="166"/>
      <c r="BN134" s="166"/>
    </row>
    <row r="135" spans="1:66" ht="14.4" x14ac:dyDescent="0.25">
      <c r="B135" s="844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66"/>
      <c r="AV135" s="166"/>
      <c r="AW135" s="166"/>
      <c r="AX135" s="166"/>
      <c r="AY135" s="166"/>
      <c r="AZ135" s="166"/>
      <c r="BA135" s="166"/>
      <c r="BB135" s="166"/>
      <c r="BC135" s="166"/>
      <c r="BD135" s="166"/>
      <c r="BE135" s="166"/>
      <c r="BF135" s="166"/>
      <c r="BG135" s="166"/>
      <c r="BH135" s="166"/>
      <c r="BI135" s="166"/>
      <c r="BJ135" s="166"/>
      <c r="BK135" s="166"/>
      <c r="BL135" s="166"/>
      <c r="BM135" s="166"/>
      <c r="BN135" s="166"/>
    </row>
    <row r="136" spans="1:66" ht="14.4" x14ac:dyDescent="0.25">
      <c r="B136" s="907" t="s">
        <v>404</v>
      </c>
      <c r="C136" s="268">
        <f>C127/((1+$C$26)^C68)</f>
        <v>-7968994.6529367194</v>
      </c>
      <c r="D136" s="268">
        <f>D127/((1+$C$26)^D68)</f>
        <v>-27644223.938510761</v>
      </c>
      <c r="E136" s="268">
        <f t="shared" ref="E136:AT136" si="53">E127/((1+$C$26)^E68)</f>
        <v>-64695938.279751711</v>
      </c>
      <c r="F136" s="268">
        <f t="shared" si="53"/>
        <v>-23379064.403398503</v>
      </c>
      <c r="G136" s="268">
        <f t="shared" si="53"/>
        <v>-740983.58539555722</v>
      </c>
      <c r="H136" s="268">
        <f t="shared" si="53"/>
        <v>-226743.81689992617</v>
      </c>
      <c r="I136" s="268">
        <f t="shared" si="53"/>
        <v>-148529.7593306193</v>
      </c>
      <c r="J136" s="268">
        <f t="shared" si="53"/>
        <v>-155669.60707313291</v>
      </c>
      <c r="K136" s="268">
        <f t="shared" si="53"/>
        <v>-2683816.3451817576</v>
      </c>
      <c r="L136" s="268">
        <f t="shared" si="53"/>
        <v>-109640.95805634504</v>
      </c>
      <c r="M136" s="268">
        <f t="shared" si="53"/>
        <v>-66543.120748128247</v>
      </c>
      <c r="N136" s="268">
        <f t="shared" si="53"/>
        <v>-83519.742926613326</v>
      </c>
      <c r="O136" s="268">
        <f t="shared" si="53"/>
        <v>-56186.715166886155</v>
      </c>
      <c r="P136" s="268">
        <f t="shared" si="53"/>
        <v>-2264916.5206359476</v>
      </c>
      <c r="Q136" s="268">
        <f t="shared" si="53"/>
        <v>-784049.71955431451</v>
      </c>
      <c r="R136" s="268">
        <f t="shared" si="53"/>
        <v>-58704.617458919631</v>
      </c>
      <c r="S136" s="268">
        <f t="shared" si="53"/>
        <v>-39477.962268650328</v>
      </c>
      <c r="T136" s="268">
        <f t="shared" si="53"/>
        <v>-48063.775652186465</v>
      </c>
      <c r="U136" s="268">
        <f t="shared" si="53"/>
        <v>-1399110.8127476026</v>
      </c>
      <c r="V136" s="268">
        <f t="shared" si="53"/>
        <v>-1223824.8309531149</v>
      </c>
      <c r="W136" s="268">
        <f t="shared" si="53"/>
        <v>-519258.02123999206</v>
      </c>
      <c r="X136" s="268">
        <f t="shared" si="53"/>
        <v>-30553.190661115623</v>
      </c>
      <c r="Y136" s="268">
        <f t="shared" si="53"/>
        <v>-18457.989474166738</v>
      </c>
      <c r="Z136" s="268">
        <f t="shared" si="53"/>
        <v>-569921.16499776801</v>
      </c>
      <c r="AA136" s="268">
        <f t="shared" si="53"/>
        <v>-224333.52947007117</v>
      </c>
      <c r="AB136" s="268">
        <f t="shared" si="53"/>
        <v>-254179.41359906961</v>
      </c>
      <c r="AC136" s="268">
        <f t="shared" si="53"/>
        <v>-10274.63399895612</v>
      </c>
      <c r="AD136" s="268">
        <f t="shared" si="53"/>
        <v>-14946.859244900459</v>
      </c>
      <c r="AE136" s="268">
        <f t="shared" si="53"/>
        <v>-336825.19021844631</v>
      </c>
      <c r="AF136" s="268">
        <f t="shared" si="53"/>
        <v>-13822.013534236687</v>
      </c>
      <c r="AG136" s="268">
        <f t="shared" si="53"/>
        <v>-9788.2388880226335</v>
      </c>
      <c r="AH136" s="268">
        <f t="shared" si="53"/>
        <v>-12621.105044890044</v>
      </c>
      <c r="AI136" s="268">
        <f t="shared" si="53"/>
        <v>-9211.2730581755641</v>
      </c>
      <c r="AJ136" s="268">
        <f t="shared" si="53"/>
        <v>-206205.56622461075</v>
      </c>
      <c r="AK136" s="268">
        <f t="shared" si="53"/>
        <v>-8527.3139800722529</v>
      </c>
      <c r="AL136" s="268">
        <f t="shared" si="53"/>
        <v>-156309.52688132573</v>
      </c>
      <c r="AM136" s="268">
        <f t="shared" si="53"/>
        <v>-287444.87107696634</v>
      </c>
      <c r="AN136" s="268">
        <f t="shared" si="53"/>
        <v>-93723.72728356524</v>
      </c>
      <c r="AO136" s="268">
        <f t="shared" si="53"/>
        <v>-123218.26726417505</v>
      </c>
      <c r="AP136" s="268">
        <f t="shared" si="53"/>
        <v>-8049.5227882167865</v>
      </c>
      <c r="AQ136" s="268">
        <f t="shared" si="53"/>
        <v>-6321.3537185175346</v>
      </c>
      <c r="AR136" s="268">
        <f t="shared" si="53"/>
        <v>-7084.3522488210601</v>
      </c>
      <c r="AS136" s="268">
        <f t="shared" si="53"/>
        <v>-5628.6363781545815</v>
      </c>
      <c r="AT136" s="268">
        <f t="shared" si="53"/>
        <v>228024.63793707412</v>
      </c>
      <c r="AU136" s="166"/>
      <c r="AV136" s="166"/>
      <c r="AW136" s="166"/>
      <c r="AX136" s="166"/>
      <c r="AY136" s="166"/>
      <c r="AZ136" s="166"/>
      <c r="BA136" s="166"/>
      <c r="BB136" s="166"/>
      <c r="BC136" s="166"/>
      <c r="BD136" s="166"/>
      <c r="BE136" s="166"/>
      <c r="BF136" s="166"/>
      <c r="BG136" s="166"/>
      <c r="BH136" s="166"/>
      <c r="BI136" s="166"/>
      <c r="BJ136" s="166"/>
      <c r="BK136" s="166"/>
      <c r="BL136" s="166"/>
      <c r="BM136" s="166"/>
      <c r="BN136" s="166"/>
    </row>
    <row r="137" spans="1:66" ht="14.4" x14ac:dyDescent="0.25">
      <c r="B137" s="907" t="s">
        <v>403</v>
      </c>
      <c r="C137" s="824">
        <f>SUM(C136)</f>
        <v>-7968994.6529367194</v>
      </c>
      <c r="D137" s="824">
        <f>SUM(C136:D136)</f>
        <v>-35613218.59144748</v>
      </c>
      <c r="E137" s="824">
        <f>SUM(C136:E136)</f>
        <v>-100309156.87119919</v>
      </c>
      <c r="F137" s="824">
        <f>SUM(C136:F136)</f>
        <v>-123688221.27459769</v>
      </c>
      <c r="G137" s="824">
        <f>SUM(C136:G136)</f>
        <v>-124429204.85999325</v>
      </c>
      <c r="H137" s="824">
        <f>SUM(C136:H136)</f>
        <v>-124655948.67689317</v>
      </c>
      <c r="I137" s="824">
        <f>SUM(C136:I136)</f>
        <v>-124804478.43622379</v>
      </c>
      <c r="J137" s="824">
        <f>SUM(C136:J136)</f>
        <v>-124960148.04329692</v>
      </c>
      <c r="K137" s="824">
        <f>SUM(C136:K136)</f>
        <v>-127643964.38847868</v>
      </c>
      <c r="L137" s="824">
        <f>SUM(C136:L136)</f>
        <v>-127753605.34653503</v>
      </c>
      <c r="M137" s="824">
        <f>SUM(C136:M136)</f>
        <v>-127820148.46728316</v>
      </c>
      <c r="N137" s="824">
        <f>SUM(C136:N136)</f>
        <v>-127903668.21020977</v>
      </c>
      <c r="O137" s="824">
        <f>SUM(C136:O136)</f>
        <v>-127959854.92537665</v>
      </c>
      <c r="P137" s="824">
        <f>SUM(C136:P136)</f>
        <v>-130224771.4460126</v>
      </c>
      <c r="Q137" s="824">
        <f>SUM(C136:Q136)</f>
        <v>-131008821.16556692</v>
      </c>
      <c r="R137" s="824">
        <f>SUM(C136:R136)</f>
        <v>-131067525.78302585</v>
      </c>
      <c r="S137" s="824">
        <f>SUM(C136:S136)</f>
        <v>-131107003.7452945</v>
      </c>
      <c r="T137" s="824">
        <f>SUM(C136:T136)</f>
        <v>-131155067.52094668</v>
      </c>
      <c r="U137" s="824">
        <f>SUM(C136:U136)</f>
        <v>-132554178.33369428</v>
      </c>
      <c r="V137" s="824">
        <f>SUM(C136:V136)</f>
        <v>-133778003.1646474</v>
      </c>
      <c r="W137" s="824">
        <f>SUM(C136:W136)</f>
        <v>-134297261.1858874</v>
      </c>
      <c r="X137" s="824">
        <f>SUM(C136:X136)</f>
        <v>-134327814.3765485</v>
      </c>
      <c r="Y137" s="824">
        <f>SUM(C136:Y136)</f>
        <v>-134346272.36602268</v>
      </c>
      <c r="Z137" s="824">
        <f>SUM(C136:Z136)</f>
        <v>-134916193.53102043</v>
      </c>
      <c r="AA137" s="824">
        <f>SUM(C136:AA136)</f>
        <v>-135140527.06049049</v>
      </c>
      <c r="AB137" s="824">
        <f>SUM(C136:AB136)</f>
        <v>-135394706.47408956</v>
      </c>
      <c r="AC137" s="824">
        <f>SUM(C136:AC136)</f>
        <v>-135404981.10808852</v>
      </c>
      <c r="AD137" s="824">
        <f>SUM(C136:AD136)</f>
        <v>-135419927.96733344</v>
      </c>
      <c r="AE137" s="824">
        <f>SUM(C136:AE136)</f>
        <v>-135756753.15755188</v>
      </c>
      <c r="AF137" s="824">
        <f>SUM(C136:AF136)</f>
        <v>-135770575.17108613</v>
      </c>
      <c r="AG137" s="824">
        <f>SUM(C136:AG136)</f>
        <v>-135780363.40997416</v>
      </c>
      <c r="AH137" s="824">
        <f>SUM(C136:AH136)</f>
        <v>-135792984.51501906</v>
      </c>
      <c r="AI137" s="824">
        <f>SUM(C136:AI136)</f>
        <v>-135802195.78807724</v>
      </c>
      <c r="AJ137" s="824">
        <f>SUM(C136:AJ136)</f>
        <v>-136008401.35430184</v>
      </c>
      <c r="AK137" s="824">
        <f>SUM(C136:AK136)</f>
        <v>-136016928.66828191</v>
      </c>
      <c r="AL137" s="824">
        <f>SUM(C136:AL136)</f>
        <v>-136173238.19516325</v>
      </c>
      <c r="AM137" s="824">
        <f>SUM(C136:AM136)</f>
        <v>-136460683.06624022</v>
      </c>
      <c r="AN137" s="824">
        <f>SUM(C136:AN136)</f>
        <v>-136554406.79352379</v>
      </c>
      <c r="AO137" s="824">
        <f>SUM(C136:AO136)</f>
        <v>-136677625.06078798</v>
      </c>
      <c r="AP137" s="824">
        <f>SUM(C136:AP136)</f>
        <v>-136685674.5835762</v>
      </c>
      <c r="AQ137" s="824">
        <f>SUM(C136:AQ136)</f>
        <v>-136691995.93729472</v>
      </c>
      <c r="AR137" s="824">
        <f>SUM(C136:AR136)</f>
        <v>-136699080.28954354</v>
      </c>
      <c r="AS137" s="824">
        <f>SUM(C136:AS136)</f>
        <v>-136704708.92592171</v>
      </c>
      <c r="AT137" s="824">
        <f>SUM(C136:AT136)</f>
        <v>-136476684.28798464</v>
      </c>
      <c r="AU137" s="166"/>
      <c r="AV137" s="166"/>
      <c r="AW137" s="166"/>
      <c r="AX137" s="166"/>
      <c r="AY137" s="166"/>
      <c r="AZ137" s="166"/>
      <c r="BA137" s="166"/>
      <c r="BB137" s="166"/>
      <c r="BC137" s="166"/>
      <c r="BD137" s="166"/>
      <c r="BE137" s="166"/>
      <c r="BF137" s="166"/>
      <c r="BG137" s="166"/>
      <c r="BH137" s="166"/>
      <c r="BI137" s="166"/>
      <c r="BJ137" s="166"/>
      <c r="BK137" s="166"/>
      <c r="BL137" s="166"/>
      <c r="BM137" s="166"/>
      <c r="BN137" s="166"/>
    </row>
    <row r="138" spans="1:66" ht="14.4" x14ac:dyDescent="0.3">
      <c r="B138" s="180"/>
      <c r="C138" s="263"/>
      <c r="D138" s="263"/>
      <c r="E138" s="263"/>
      <c r="F138" s="263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263"/>
      <c r="AG138" s="263"/>
      <c r="AH138" s="263"/>
      <c r="AI138" s="263"/>
      <c r="AK138" s="263"/>
      <c r="AL138" s="263"/>
      <c r="AM138" s="263"/>
      <c r="AN138" s="263"/>
      <c r="AO138" s="263"/>
      <c r="AP138" s="263"/>
      <c r="AQ138" s="263"/>
      <c r="AR138" s="264"/>
      <c r="AS138" s="264"/>
      <c r="AU138" s="166"/>
      <c r="AV138" s="166"/>
      <c r="AW138" s="166"/>
      <c r="AX138" s="166"/>
      <c r="AY138" s="166"/>
      <c r="AZ138" s="166"/>
      <c r="BA138" s="166"/>
      <c r="BB138" s="166"/>
      <c r="BC138" s="166"/>
      <c r="BD138" s="166"/>
      <c r="BE138" s="166"/>
      <c r="BF138" s="166"/>
      <c r="BG138" s="166"/>
      <c r="BH138" s="166"/>
      <c r="BI138" s="166"/>
      <c r="BJ138" s="166"/>
      <c r="BK138" s="166"/>
      <c r="BL138" s="166"/>
      <c r="BM138" s="166"/>
      <c r="BN138" s="166"/>
    </row>
    <row r="139" spans="1:66" x14ac:dyDescent="0.25">
      <c r="AU139" s="166"/>
      <c r="AV139" s="166"/>
      <c r="AW139" s="166"/>
      <c r="AX139" s="166"/>
      <c r="AY139" s="166"/>
      <c r="AZ139" s="166"/>
      <c r="BA139" s="166"/>
      <c r="BB139" s="166"/>
      <c r="BC139" s="166"/>
      <c r="BD139" s="166"/>
      <c r="BE139" s="166"/>
      <c r="BF139" s="166"/>
      <c r="BG139" s="166"/>
      <c r="BH139" s="166"/>
      <c r="BI139" s="166"/>
      <c r="BJ139" s="166"/>
      <c r="BK139" s="166"/>
      <c r="BL139" s="166"/>
      <c r="BM139" s="166"/>
      <c r="BN139" s="166"/>
    </row>
    <row r="140" spans="1:66" s="304" customFormat="1" ht="14.4" x14ac:dyDescent="0.3">
      <c r="A140" s="306"/>
      <c r="B140" s="759" t="s">
        <v>530</v>
      </c>
      <c r="C140" s="759"/>
      <c r="D140" s="759"/>
      <c r="E140" s="759"/>
      <c r="F140" s="759"/>
      <c r="G140" s="759"/>
      <c r="H140" s="759"/>
      <c r="I140" s="759"/>
      <c r="J140" s="759"/>
      <c r="K140" s="759"/>
      <c r="L140" s="759"/>
      <c r="M140" s="759"/>
      <c r="N140" s="759"/>
      <c r="O140" s="759"/>
      <c r="P140" s="759"/>
      <c r="Q140" s="759"/>
      <c r="R140" s="759"/>
      <c r="S140" s="759"/>
      <c r="T140" s="759"/>
      <c r="U140" s="759"/>
      <c r="V140" s="759"/>
      <c r="W140" s="759"/>
      <c r="X140" s="759"/>
      <c r="Y140" s="759"/>
      <c r="Z140" s="759"/>
      <c r="AA140" s="759"/>
      <c r="AB140" s="759"/>
      <c r="AC140" s="759"/>
      <c r="AD140" s="759"/>
      <c r="AE140" s="759"/>
      <c r="AF140" s="759"/>
      <c r="AG140" s="759"/>
      <c r="AH140" s="759"/>
      <c r="AI140" s="759"/>
      <c r="AJ140" s="759"/>
      <c r="AK140" s="759"/>
      <c r="AL140" s="759"/>
      <c r="AM140" s="759"/>
      <c r="AN140" s="759"/>
      <c r="AO140" s="759"/>
      <c r="AP140" s="759"/>
      <c r="AQ140" s="759"/>
      <c r="AR140" s="759"/>
      <c r="AS140" s="759"/>
      <c r="AT140" s="760"/>
    </row>
    <row r="141" spans="1:66" x14ac:dyDescent="0.25"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  <c r="AF141" s="177"/>
      <c r="AG141" s="177"/>
      <c r="AH141" s="177"/>
      <c r="AI141" s="177"/>
      <c r="AJ141" s="13"/>
      <c r="AK141" s="38"/>
      <c r="AL141" s="38"/>
      <c r="AM141" s="38"/>
      <c r="AN141" s="38"/>
      <c r="AO141" s="38"/>
      <c r="AP141" s="38"/>
      <c r="AQ141" s="38"/>
      <c r="AR141" s="38"/>
      <c r="AS141" s="38"/>
      <c r="AT141" s="13"/>
      <c r="AU141" s="166"/>
      <c r="AV141" s="166"/>
      <c r="AW141" s="166"/>
      <c r="AX141" s="166"/>
      <c r="AY141" s="166"/>
      <c r="AZ141" s="166"/>
      <c r="BA141" s="166"/>
      <c r="BB141" s="166"/>
      <c r="BC141" s="166"/>
      <c r="BD141" s="166"/>
      <c r="BE141" s="166"/>
      <c r="BF141" s="166"/>
      <c r="BG141" s="166"/>
      <c r="BH141" s="166"/>
      <c r="BI141" s="166"/>
      <c r="BJ141" s="166"/>
      <c r="BK141" s="166"/>
      <c r="BL141" s="166"/>
      <c r="BM141" s="166"/>
      <c r="BN141" s="166"/>
    </row>
    <row r="142" spans="1:66" ht="14.4" x14ac:dyDescent="0.3">
      <c r="B142" s="813" t="s">
        <v>378</v>
      </c>
      <c r="C142" s="179">
        <v>2015</v>
      </c>
      <c r="D142" s="179">
        <v>2016</v>
      </c>
      <c r="E142" s="179">
        <v>2017</v>
      </c>
      <c r="F142" s="179">
        <v>2018</v>
      </c>
      <c r="G142" s="179">
        <v>2019</v>
      </c>
      <c r="H142" s="179">
        <v>2020</v>
      </c>
      <c r="I142" s="179">
        <v>2021</v>
      </c>
      <c r="J142" s="179">
        <v>2022</v>
      </c>
      <c r="K142" s="179">
        <v>2023</v>
      </c>
      <c r="L142" s="179">
        <v>2024</v>
      </c>
      <c r="M142" s="179">
        <v>2025</v>
      </c>
      <c r="N142" s="179">
        <v>2026</v>
      </c>
      <c r="O142" s="179">
        <v>2027</v>
      </c>
      <c r="P142" s="179">
        <v>2028</v>
      </c>
      <c r="Q142" s="179">
        <v>2029</v>
      </c>
      <c r="R142" s="179">
        <v>2030</v>
      </c>
      <c r="S142" s="179">
        <v>2031</v>
      </c>
      <c r="T142" s="179">
        <v>2032</v>
      </c>
      <c r="U142" s="179">
        <v>2033</v>
      </c>
      <c r="V142" s="179">
        <v>2034</v>
      </c>
      <c r="W142" s="179">
        <v>2035</v>
      </c>
      <c r="X142" s="179">
        <v>2036</v>
      </c>
      <c r="Y142" s="179">
        <v>2037</v>
      </c>
      <c r="Z142" s="179">
        <v>2038</v>
      </c>
      <c r="AA142" s="179">
        <v>2039</v>
      </c>
      <c r="AB142" s="179">
        <v>2040</v>
      </c>
      <c r="AC142" s="179">
        <v>2041</v>
      </c>
      <c r="AD142" s="179">
        <v>2042</v>
      </c>
      <c r="AE142" s="179">
        <v>2043</v>
      </c>
      <c r="AF142" s="179">
        <v>2044</v>
      </c>
      <c r="AG142" s="179">
        <v>2045</v>
      </c>
      <c r="AH142" s="179">
        <v>2046</v>
      </c>
      <c r="AI142" s="179">
        <v>2047</v>
      </c>
      <c r="AJ142" s="179">
        <v>2048</v>
      </c>
      <c r="AK142" s="179">
        <v>2049</v>
      </c>
      <c r="AL142" s="179">
        <v>2050</v>
      </c>
      <c r="AM142" s="179">
        <v>2051</v>
      </c>
      <c r="AN142" s="179">
        <v>2052</v>
      </c>
      <c r="AO142" s="179">
        <v>2053</v>
      </c>
      <c r="AP142" s="179">
        <v>2054</v>
      </c>
      <c r="AQ142" s="179">
        <v>2055</v>
      </c>
      <c r="AR142" s="179">
        <v>2056</v>
      </c>
      <c r="AS142" s="179">
        <v>2057</v>
      </c>
      <c r="AT142" s="179">
        <v>2058</v>
      </c>
      <c r="AU142" s="166"/>
      <c r="AV142" s="166"/>
      <c r="AW142" s="166"/>
      <c r="AX142" s="166"/>
      <c r="AY142" s="166"/>
      <c r="AZ142" s="166"/>
      <c r="BA142" s="166"/>
      <c r="BB142" s="166"/>
      <c r="BC142" s="166"/>
      <c r="BD142" s="166"/>
      <c r="BE142" s="166"/>
      <c r="BF142" s="166"/>
      <c r="BG142" s="166"/>
      <c r="BH142" s="166"/>
      <c r="BI142" s="166"/>
      <c r="BJ142" s="166"/>
      <c r="BK142" s="166"/>
      <c r="BL142" s="166"/>
      <c r="BM142" s="166"/>
      <c r="BN142" s="166"/>
    </row>
    <row r="143" spans="1:66" ht="14.4" x14ac:dyDescent="0.3">
      <c r="B143" s="813"/>
      <c r="C143" s="816" t="s">
        <v>134</v>
      </c>
      <c r="D143" s="816" t="s">
        <v>135</v>
      </c>
      <c r="E143" s="816" t="s">
        <v>136</v>
      </c>
      <c r="F143" s="816" t="s">
        <v>137</v>
      </c>
      <c r="G143" s="816" t="s">
        <v>138</v>
      </c>
      <c r="H143" s="816" t="s">
        <v>139</v>
      </c>
      <c r="I143" s="816" t="s">
        <v>140</v>
      </c>
      <c r="J143" s="816" t="s">
        <v>141</v>
      </c>
      <c r="K143" s="816" t="s">
        <v>142</v>
      </c>
      <c r="L143" s="816" t="s">
        <v>143</v>
      </c>
      <c r="M143" s="816" t="s">
        <v>144</v>
      </c>
      <c r="N143" s="816" t="s">
        <v>145</v>
      </c>
      <c r="O143" s="816" t="s">
        <v>146</v>
      </c>
      <c r="P143" s="816" t="s">
        <v>147</v>
      </c>
      <c r="Q143" s="816" t="s">
        <v>148</v>
      </c>
      <c r="R143" s="816" t="s">
        <v>149</v>
      </c>
      <c r="S143" s="816" t="s">
        <v>150</v>
      </c>
      <c r="T143" s="816" t="s">
        <v>151</v>
      </c>
      <c r="U143" s="816" t="s">
        <v>152</v>
      </c>
      <c r="V143" s="816" t="s">
        <v>153</v>
      </c>
      <c r="W143" s="816" t="s">
        <v>154</v>
      </c>
      <c r="X143" s="816" t="s">
        <v>155</v>
      </c>
      <c r="Y143" s="816" t="s">
        <v>156</v>
      </c>
      <c r="Z143" s="816" t="s">
        <v>157</v>
      </c>
      <c r="AA143" s="816" t="s">
        <v>158</v>
      </c>
      <c r="AB143" s="816" t="s">
        <v>159</v>
      </c>
      <c r="AC143" s="816" t="s">
        <v>160</v>
      </c>
      <c r="AD143" s="816" t="s">
        <v>161</v>
      </c>
      <c r="AE143" s="816" t="s">
        <v>162</v>
      </c>
      <c r="AF143" s="816" t="s">
        <v>163</v>
      </c>
      <c r="AG143" s="816" t="s">
        <v>164</v>
      </c>
      <c r="AH143" s="816" t="s">
        <v>165</v>
      </c>
      <c r="AI143" s="816" t="s">
        <v>166</v>
      </c>
      <c r="AJ143" s="816" t="s">
        <v>167</v>
      </c>
      <c r="AK143" s="816" t="s">
        <v>168</v>
      </c>
      <c r="AL143" s="816" t="s">
        <v>169</v>
      </c>
      <c r="AM143" s="816" t="s">
        <v>170</v>
      </c>
      <c r="AN143" s="816" t="s">
        <v>171</v>
      </c>
      <c r="AO143" s="816" t="s">
        <v>172</v>
      </c>
      <c r="AP143" s="816" t="s">
        <v>173</v>
      </c>
      <c r="AQ143" s="816" t="s">
        <v>174</v>
      </c>
      <c r="AR143" s="816" t="s">
        <v>224</v>
      </c>
      <c r="AS143" s="816" t="s">
        <v>225</v>
      </c>
      <c r="AT143" s="816" t="s">
        <v>226</v>
      </c>
      <c r="AU143" s="166"/>
      <c r="AV143" s="166"/>
      <c r="AW143" s="166"/>
      <c r="AX143" s="166"/>
      <c r="AY143" s="166"/>
      <c r="AZ143" s="166"/>
      <c r="BA143" s="166"/>
      <c r="BB143" s="166"/>
      <c r="BC143" s="166"/>
      <c r="BD143" s="166"/>
      <c r="BE143" s="166"/>
      <c r="BF143" s="166"/>
      <c r="BG143" s="166"/>
      <c r="BH143" s="166"/>
      <c r="BI143" s="166"/>
      <c r="BJ143" s="166"/>
      <c r="BK143" s="166"/>
      <c r="BL143" s="166"/>
      <c r="BM143" s="166"/>
      <c r="BN143" s="166"/>
    </row>
    <row r="144" spans="1:66" ht="14.4" x14ac:dyDescent="0.3">
      <c r="B144" s="813"/>
      <c r="C144" s="816">
        <v>0</v>
      </c>
      <c r="D144" s="816">
        <v>1</v>
      </c>
      <c r="E144" s="816">
        <v>2</v>
      </c>
      <c r="F144" s="816">
        <v>3</v>
      </c>
      <c r="G144" s="816">
        <v>4</v>
      </c>
      <c r="H144" s="816">
        <v>5</v>
      </c>
      <c r="I144" s="816">
        <v>6</v>
      </c>
      <c r="J144" s="816">
        <v>7</v>
      </c>
      <c r="K144" s="816">
        <v>8</v>
      </c>
      <c r="L144" s="816">
        <v>9</v>
      </c>
      <c r="M144" s="816">
        <v>10</v>
      </c>
      <c r="N144" s="816">
        <v>11</v>
      </c>
      <c r="O144" s="816">
        <v>12</v>
      </c>
      <c r="P144" s="816">
        <v>13</v>
      </c>
      <c r="Q144" s="816">
        <v>14</v>
      </c>
      <c r="R144" s="816">
        <v>15</v>
      </c>
      <c r="S144" s="816">
        <v>16</v>
      </c>
      <c r="T144" s="816">
        <v>17</v>
      </c>
      <c r="U144" s="816">
        <v>18</v>
      </c>
      <c r="V144" s="816">
        <v>19</v>
      </c>
      <c r="W144" s="816">
        <v>20</v>
      </c>
      <c r="X144" s="816">
        <v>21</v>
      </c>
      <c r="Y144" s="816">
        <v>22</v>
      </c>
      <c r="Z144" s="816">
        <v>23</v>
      </c>
      <c r="AA144" s="816">
        <v>24</v>
      </c>
      <c r="AB144" s="816">
        <v>25</v>
      </c>
      <c r="AC144" s="816">
        <v>26</v>
      </c>
      <c r="AD144" s="816">
        <v>27</v>
      </c>
      <c r="AE144" s="816">
        <v>28</v>
      </c>
      <c r="AF144" s="816">
        <v>29</v>
      </c>
      <c r="AG144" s="816">
        <v>30</v>
      </c>
      <c r="AH144" s="816">
        <v>31</v>
      </c>
      <c r="AI144" s="816">
        <v>32</v>
      </c>
      <c r="AJ144" s="816">
        <v>33</v>
      </c>
      <c r="AK144" s="816">
        <v>34</v>
      </c>
      <c r="AL144" s="816">
        <v>35</v>
      </c>
      <c r="AM144" s="816">
        <v>36</v>
      </c>
      <c r="AN144" s="816">
        <v>37</v>
      </c>
      <c r="AO144" s="816">
        <v>38</v>
      </c>
      <c r="AP144" s="816">
        <v>39</v>
      </c>
      <c r="AQ144" s="816">
        <v>40</v>
      </c>
      <c r="AR144" s="816">
        <v>41</v>
      </c>
      <c r="AS144" s="816">
        <v>42</v>
      </c>
      <c r="AT144" s="816">
        <v>43</v>
      </c>
      <c r="AU144" s="166"/>
      <c r="AV144" s="166"/>
      <c r="AW144" s="166"/>
      <c r="AX144" s="166"/>
      <c r="AY144" s="166"/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66"/>
      <c r="BM144" s="166"/>
      <c r="BN144" s="166"/>
    </row>
    <row r="145" spans="2:66" ht="14.4" x14ac:dyDescent="0.3">
      <c r="B145" s="813"/>
      <c r="C145" s="816">
        <v>0</v>
      </c>
      <c r="D145" s="816">
        <v>0</v>
      </c>
      <c r="E145" s="816">
        <v>0</v>
      </c>
      <c r="F145" s="816">
        <v>0</v>
      </c>
      <c r="G145" s="816">
        <v>1</v>
      </c>
      <c r="H145" s="816">
        <v>2</v>
      </c>
      <c r="I145" s="816">
        <v>3</v>
      </c>
      <c r="J145" s="816">
        <v>4</v>
      </c>
      <c r="K145" s="816">
        <v>5</v>
      </c>
      <c r="L145" s="816">
        <v>6</v>
      </c>
      <c r="M145" s="816">
        <v>7</v>
      </c>
      <c r="N145" s="816">
        <v>8</v>
      </c>
      <c r="O145" s="816">
        <v>9</v>
      </c>
      <c r="P145" s="816">
        <v>10</v>
      </c>
      <c r="Q145" s="816">
        <v>11</v>
      </c>
      <c r="R145" s="816">
        <v>12</v>
      </c>
      <c r="S145" s="816">
        <v>13</v>
      </c>
      <c r="T145" s="816">
        <v>14</v>
      </c>
      <c r="U145" s="816">
        <v>15</v>
      </c>
      <c r="V145" s="816">
        <v>16</v>
      </c>
      <c r="W145" s="816">
        <v>17</v>
      </c>
      <c r="X145" s="816">
        <v>18</v>
      </c>
      <c r="Y145" s="816">
        <v>19</v>
      </c>
      <c r="Z145" s="816">
        <v>20</v>
      </c>
      <c r="AA145" s="816">
        <v>21</v>
      </c>
      <c r="AB145" s="816">
        <v>22</v>
      </c>
      <c r="AC145" s="816">
        <v>23</v>
      </c>
      <c r="AD145" s="816">
        <v>24</v>
      </c>
      <c r="AE145" s="816">
        <v>25</v>
      </c>
      <c r="AF145" s="816">
        <v>26</v>
      </c>
      <c r="AG145" s="816">
        <v>27</v>
      </c>
      <c r="AH145" s="816">
        <v>28</v>
      </c>
      <c r="AI145" s="816">
        <v>29</v>
      </c>
      <c r="AJ145" s="816">
        <v>30</v>
      </c>
      <c r="AK145" s="816">
        <v>31</v>
      </c>
      <c r="AL145" s="816">
        <v>32</v>
      </c>
      <c r="AM145" s="816">
        <v>33</v>
      </c>
      <c r="AN145" s="816">
        <v>34</v>
      </c>
      <c r="AO145" s="816">
        <v>35</v>
      </c>
      <c r="AP145" s="816">
        <v>36</v>
      </c>
      <c r="AQ145" s="816">
        <v>37</v>
      </c>
      <c r="AR145" s="816">
        <v>38</v>
      </c>
      <c r="AS145" s="816">
        <v>39</v>
      </c>
      <c r="AT145" s="816">
        <v>40</v>
      </c>
      <c r="AU145" s="166"/>
      <c r="AV145" s="166"/>
      <c r="AW145" s="166"/>
      <c r="AX145" s="166"/>
      <c r="AY145" s="166"/>
      <c r="AZ145" s="166"/>
      <c r="BA145" s="166"/>
      <c r="BB145" s="166"/>
      <c r="BC145" s="166"/>
      <c r="BD145" s="166"/>
      <c r="BE145" s="166"/>
      <c r="BF145" s="166"/>
      <c r="BG145" s="166"/>
      <c r="BH145" s="166"/>
      <c r="BI145" s="166"/>
      <c r="BJ145" s="166"/>
      <c r="BK145" s="166"/>
      <c r="BL145" s="166"/>
      <c r="BM145" s="166"/>
      <c r="BN145" s="166"/>
    </row>
    <row r="146" spans="2:66" ht="14.4" x14ac:dyDescent="0.3">
      <c r="B146" s="813"/>
      <c r="C146" s="798"/>
      <c r="D146" s="798"/>
      <c r="E146" s="798"/>
      <c r="F146" s="798"/>
      <c r="G146" s="798"/>
      <c r="H146" s="798"/>
      <c r="I146" s="798"/>
      <c r="J146" s="798"/>
      <c r="K146" s="798"/>
      <c r="L146" s="798"/>
      <c r="M146" s="798"/>
      <c r="N146" s="798"/>
      <c r="O146" s="798"/>
      <c r="P146" s="798"/>
      <c r="Q146" s="798"/>
      <c r="R146" s="798"/>
      <c r="S146" s="798"/>
      <c r="T146" s="798"/>
      <c r="U146" s="798"/>
      <c r="V146" s="798"/>
      <c r="W146" s="798"/>
      <c r="X146" s="798"/>
      <c r="Y146" s="798"/>
      <c r="Z146" s="798"/>
      <c r="AA146" s="798"/>
      <c r="AB146" s="798"/>
      <c r="AC146" s="798"/>
      <c r="AD146" s="798"/>
      <c r="AE146" s="798"/>
      <c r="AF146" s="798"/>
      <c r="AG146" s="798"/>
      <c r="AH146" s="798"/>
      <c r="AI146" s="798"/>
      <c r="AJ146" s="798"/>
      <c r="AK146" s="798"/>
      <c r="AL146" s="798"/>
      <c r="AM146" s="798"/>
      <c r="AN146" s="798"/>
      <c r="AO146" s="798"/>
      <c r="AP146" s="798"/>
      <c r="AQ146" s="798"/>
      <c r="AR146" s="798"/>
      <c r="AS146" s="798"/>
      <c r="AT146" s="798"/>
      <c r="AU146" s="166"/>
      <c r="AV146" s="166"/>
      <c r="AW146" s="166"/>
      <c r="AX146" s="166"/>
      <c r="AY146" s="166"/>
      <c r="AZ146" s="166"/>
      <c r="BA146" s="166"/>
      <c r="BB146" s="166"/>
      <c r="BC146" s="166"/>
      <c r="BD146" s="166"/>
      <c r="BE146" s="166"/>
      <c r="BF146" s="166"/>
      <c r="BG146" s="166"/>
      <c r="BH146" s="166"/>
      <c r="BI146" s="166"/>
      <c r="BJ146" s="166"/>
      <c r="BK146" s="166"/>
      <c r="BL146" s="166"/>
      <c r="BM146" s="166"/>
      <c r="BN146" s="166"/>
    </row>
    <row r="147" spans="2:66" ht="14.4" x14ac:dyDescent="0.25">
      <c r="B147" s="830" t="s">
        <v>434</v>
      </c>
      <c r="C147" s="807"/>
      <c r="D147" s="807"/>
      <c r="E147" s="807"/>
      <c r="F147" s="807"/>
      <c r="G147" s="807"/>
      <c r="H147" s="807"/>
      <c r="I147" s="807"/>
      <c r="J147" s="807"/>
      <c r="K147" s="807"/>
      <c r="L147" s="807"/>
      <c r="M147" s="807"/>
      <c r="N147" s="807"/>
      <c r="O147" s="807"/>
      <c r="P147" s="807"/>
      <c r="Q147" s="807"/>
      <c r="R147" s="807"/>
      <c r="S147" s="807"/>
      <c r="T147" s="807"/>
      <c r="U147" s="807"/>
      <c r="V147" s="807"/>
      <c r="W147" s="807"/>
      <c r="X147" s="807"/>
      <c r="Y147" s="807"/>
      <c r="Z147" s="807"/>
      <c r="AA147" s="807"/>
      <c r="AB147" s="807"/>
      <c r="AC147" s="807"/>
      <c r="AD147" s="807"/>
      <c r="AE147" s="807"/>
      <c r="AF147" s="807"/>
      <c r="AG147" s="807"/>
      <c r="AH147" s="807"/>
      <c r="AI147" s="807"/>
      <c r="AJ147" s="807"/>
      <c r="AK147" s="807"/>
      <c r="AL147" s="807"/>
      <c r="AM147" s="807"/>
      <c r="AN147" s="807"/>
      <c r="AO147" s="807"/>
      <c r="AP147" s="807"/>
      <c r="AQ147" s="807"/>
      <c r="AR147" s="807"/>
      <c r="AS147" s="807"/>
      <c r="AT147" s="807"/>
      <c r="AU147" s="166"/>
      <c r="AV147" s="166"/>
      <c r="AW147" s="166"/>
      <c r="AX147" s="166"/>
      <c r="AY147" s="166"/>
      <c r="AZ147" s="166"/>
      <c r="BA147" s="166"/>
      <c r="BB147" s="166"/>
      <c r="BC147" s="166"/>
      <c r="BD147" s="166"/>
      <c r="BE147" s="166"/>
      <c r="BF147" s="166"/>
      <c r="BG147" s="166"/>
      <c r="BH147" s="166"/>
      <c r="BI147" s="166"/>
      <c r="BJ147" s="166"/>
      <c r="BK147" s="166"/>
      <c r="BL147" s="166"/>
      <c r="BM147" s="166"/>
      <c r="BN147" s="166"/>
    </row>
    <row r="148" spans="2:66" x14ac:dyDescent="0.25">
      <c r="B148" s="831" t="s">
        <v>449</v>
      </c>
      <c r="C148" s="178">
        <v>0</v>
      </c>
      <c r="D148" s="178">
        <v>0</v>
      </c>
      <c r="E148" s="178">
        <v>0</v>
      </c>
      <c r="F148" s="178">
        <v>0</v>
      </c>
      <c r="G148" s="268">
        <f>G72</f>
        <v>4318236.9614306372</v>
      </c>
      <c r="H148" s="268">
        <f t="shared" ref="H148:AT148" si="54">H72</f>
        <v>4432937.8249451816</v>
      </c>
      <c r="I148" s="268">
        <f t="shared" si="54"/>
        <v>4536875.1815609755</v>
      </c>
      <c r="J148" s="268">
        <f t="shared" si="54"/>
        <v>4643311.9130354663</v>
      </c>
      <c r="K148" s="268">
        <f t="shared" si="54"/>
        <v>11617904.705841476</v>
      </c>
      <c r="L148" s="268">
        <f t="shared" si="54"/>
        <v>4863931.4676566217</v>
      </c>
      <c r="M148" s="268">
        <f t="shared" si="54"/>
        <v>4978242.2002252238</v>
      </c>
      <c r="N148" s="268">
        <f t="shared" si="54"/>
        <v>5095308.2077043382</v>
      </c>
      <c r="O148" s="268">
        <f t="shared" si="54"/>
        <v>5215197.5552692544</v>
      </c>
      <c r="P148" s="268">
        <f t="shared" si="54"/>
        <v>12881550.570299722</v>
      </c>
      <c r="Q148" s="268">
        <f t="shared" si="54"/>
        <v>5463727.1811422799</v>
      </c>
      <c r="R148" s="268">
        <f t="shared" si="54"/>
        <v>5592512.3741521444</v>
      </c>
      <c r="S148" s="268">
        <f t="shared" si="54"/>
        <v>5724410.8291271329</v>
      </c>
      <c r="T148" s="268">
        <f t="shared" si="54"/>
        <v>5859499.6730848122</v>
      </c>
      <c r="U148" s="268">
        <f t="shared" si="54"/>
        <v>14286356.439628357</v>
      </c>
      <c r="V148" s="268">
        <f t="shared" si="54"/>
        <v>6139566.8637729799</v>
      </c>
      <c r="W148" s="268">
        <f t="shared" si="54"/>
        <v>6284709.445565287</v>
      </c>
      <c r="X148" s="268">
        <f t="shared" si="54"/>
        <v>6433370.9918016</v>
      </c>
      <c r="Y148" s="268">
        <f t="shared" si="54"/>
        <v>6585638.926612027</v>
      </c>
      <c r="Z148" s="268">
        <f t="shared" si="54"/>
        <v>15848593.767328328</v>
      </c>
      <c r="AA148" s="268">
        <f t="shared" si="54"/>
        <v>6901354.8280941052</v>
      </c>
      <c r="AB148" s="268">
        <f t="shared" si="54"/>
        <v>7064988.9872727636</v>
      </c>
      <c r="AC148" s="268">
        <f t="shared" si="54"/>
        <v>7232602.0400624331</v>
      </c>
      <c r="AD148" s="268">
        <f t="shared" si="54"/>
        <v>7404293.1149919936</v>
      </c>
      <c r="AE148" s="268">
        <f t="shared" si="54"/>
        <v>17586476.742962986</v>
      </c>
      <c r="AF148" s="268">
        <f t="shared" si="54"/>
        <v>7760318.5440044012</v>
      </c>
      <c r="AG148" s="268">
        <f t="shared" si="54"/>
        <v>7944864.0527799763</v>
      </c>
      <c r="AH148" s="268">
        <f t="shared" si="54"/>
        <v>8133910.0298752068</v>
      </c>
      <c r="AI148" s="268">
        <f t="shared" si="54"/>
        <v>8327568.9119321909</v>
      </c>
      <c r="AJ148" s="268">
        <f t="shared" si="54"/>
        <v>19520403.065015338</v>
      </c>
      <c r="AK148" s="268">
        <f t="shared" si="54"/>
        <v>8729189.5788463596</v>
      </c>
      <c r="AL148" s="268">
        <f t="shared" si="54"/>
        <v>8937390.9052098654</v>
      </c>
      <c r="AM148" s="268">
        <f t="shared" si="54"/>
        <v>9150684.3755010031</v>
      </c>
      <c r="AN148" s="268">
        <f t="shared" si="54"/>
        <v>9369197.5625528172</v>
      </c>
      <c r="AO148" s="268">
        <f t="shared" si="54"/>
        <v>21673225.690419316</v>
      </c>
      <c r="AP148" s="268">
        <f t="shared" si="54"/>
        <v>9822409.8065093718</v>
      </c>
      <c r="AQ148" s="268">
        <f t="shared" si="54"/>
        <v>10057380.696025331</v>
      </c>
      <c r="AR148" s="268">
        <f t="shared" si="54"/>
        <v>10298115.14536953</v>
      </c>
      <c r="AS148" s="268">
        <f t="shared" si="54"/>
        <v>10544757.947980508</v>
      </c>
      <c r="AT148" s="268">
        <f t="shared" si="54"/>
        <v>24070559.689610455</v>
      </c>
      <c r="AU148" s="166"/>
      <c r="AV148" s="166"/>
      <c r="AW148" s="166"/>
      <c r="AX148" s="166"/>
      <c r="AY148" s="166"/>
      <c r="AZ148" s="166"/>
      <c r="BA148" s="166"/>
      <c r="BB148" s="166"/>
      <c r="BC148" s="166"/>
      <c r="BD148" s="166"/>
      <c r="BE148" s="166"/>
      <c r="BF148" s="166"/>
      <c r="BG148" s="166"/>
      <c r="BH148" s="166"/>
      <c r="BI148" s="166"/>
      <c r="BJ148" s="166"/>
      <c r="BK148" s="166"/>
      <c r="BL148" s="166"/>
      <c r="BM148" s="166"/>
      <c r="BN148" s="166"/>
    </row>
    <row r="149" spans="2:66" x14ac:dyDescent="0.25">
      <c r="B149" s="832" t="s">
        <v>379</v>
      </c>
      <c r="C149" s="178">
        <v>0</v>
      </c>
      <c r="D149" s="178">
        <v>0</v>
      </c>
      <c r="E149" s="178">
        <v>0</v>
      </c>
      <c r="F149" s="178">
        <v>0</v>
      </c>
      <c r="G149" s="758">
        <f>DEMANDA!C48*PARAMETROS!$C$61</f>
        <v>5460350</v>
      </c>
      <c r="H149" s="758">
        <f>DEMANDA!D48*PARAMETROS!$C$61</f>
        <v>7280466.666666667</v>
      </c>
      <c r="I149" s="758">
        <f>DEMANDA!E48*PARAMETROS!$C$61</f>
        <v>7361853.333333333</v>
      </c>
      <c r="J149" s="758">
        <f>DEMANDA!F48*PARAMETROS!$C$61</f>
        <v>7443239.9999999991</v>
      </c>
      <c r="K149" s="758">
        <f>DEMANDA!G48*PARAMETROS!$C$61</f>
        <v>7524626.666666666</v>
      </c>
      <c r="L149" s="758">
        <f>DEMANDA!H48*PARAMETROS!$C$61</f>
        <v>7606013.3333333321</v>
      </c>
      <c r="M149" s="758">
        <f>DEMANDA!I48*PARAMETROS!$C$61</f>
        <v>7687399.9999999991</v>
      </c>
      <c r="N149" s="758">
        <f>DEMANDA!J48*PARAMETROS!$C$61</f>
        <v>7730961.5936351027</v>
      </c>
      <c r="O149" s="758">
        <f>DEMANDA!K48*PARAMETROS!$C$61</f>
        <v>7774523.1872702073</v>
      </c>
      <c r="P149" s="758">
        <f>DEMANDA!L48*PARAMETROS!$C$61</f>
        <v>7818084.780905311</v>
      </c>
      <c r="Q149" s="758">
        <f>DEMANDA!M48*PARAMETROS!$C$61</f>
        <v>7861646.3745404156</v>
      </c>
      <c r="R149" s="758">
        <f>DEMANDA!N48*PARAMETROS!$C$61</f>
        <v>7905207.9681755165</v>
      </c>
      <c r="S149" s="758">
        <f>DEMANDA!O48*PARAMETROS!$C$61</f>
        <v>7914859.1504256204</v>
      </c>
      <c r="T149" s="758">
        <f>DEMANDA!P48*PARAMETROS!$C$61</f>
        <v>7924510.3326757224</v>
      </c>
      <c r="U149" s="758">
        <f>DEMANDA!Q48*PARAMETROS!$C$61</f>
        <v>7934161.5149258263</v>
      </c>
      <c r="V149" s="758">
        <f>DEMANDA!R48*PARAMETROS!$C$61</f>
        <v>7943812.6971759293</v>
      </c>
      <c r="W149" s="758">
        <f>DEMANDA!S48*PARAMETROS!$C$61</f>
        <v>7953463.8794260332</v>
      </c>
      <c r="X149" s="758">
        <f>DEMANDA!T48*PARAMETROS!$C$61</f>
        <v>8014180.8764595343</v>
      </c>
      <c r="Y149" s="758">
        <f>DEMANDA!U48*PARAMETROS!$C$61</f>
        <v>8074897.8734930344</v>
      </c>
      <c r="Z149" s="758">
        <f>DEMANDA!V48*PARAMETROS!$C$61</f>
        <v>8135614.8705265354</v>
      </c>
      <c r="AA149" s="758">
        <f>DEMANDA!W48*PARAMETROS!$C$61</f>
        <v>8196331.8675600365</v>
      </c>
      <c r="AB149" s="758">
        <f>DEMANDA!X48*PARAMETROS!$C$61</f>
        <v>8257048.8645935403</v>
      </c>
      <c r="AC149" s="758">
        <f>DEMANDA!Y48*PARAMETROS!$C$61</f>
        <v>8257048.8645935403</v>
      </c>
      <c r="AD149" s="758">
        <f>DEMANDA!Z48*PARAMETROS!$C$61</f>
        <v>8257048.8645935403</v>
      </c>
      <c r="AE149" s="758">
        <f>DEMANDA!AA48*PARAMETROS!$C$61</f>
        <v>8257048.8645935403</v>
      </c>
      <c r="AF149" s="758">
        <f>DEMANDA!AB48*PARAMETROS!$C$61</f>
        <v>8257048.8645935403</v>
      </c>
      <c r="AG149" s="758">
        <f>DEMANDA!AC48*PARAMETROS!$C$61</f>
        <v>8257048.8645935403</v>
      </c>
      <c r="AH149" s="758">
        <f>DEMANDA!AD48*PARAMETROS!$C$61</f>
        <v>8257048.8645935403</v>
      </c>
      <c r="AI149" s="758">
        <f>DEMANDA!AE48*PARAMETROS!$C$61</f>
        <v>8257048.8645935403</v>
      </c>
      <c r="AJ149" s="758">
        <f>DEMANDA!AF48*PARAMETROS!$C$61</f>
        <v>8257048.8645935403</v>
      </c>
      <c r="AK149" s="758">
        <f>DEMANDA!AG48*PARAMETROS!$C$61</f>
        <v>8257048.8645935403</v>
      </c>
      <c r="AL149" s="758">
        <f>DEMANDA!AH48*PARAMETROS!$C$61</f>
        <v>8257048.8645935403</v>
      </c>
      <c r="AM149" s="758">
        <f>DEMANDA!AI48*PARAMETROS!$C$61</f>
        <v>8257048.8645935403</v>
      </c>
      <c r="AN149" s="758">
        <f>DEMANDA!AJ48*PARAMETROS!$C$61</f>
        <v>8257048.8645935403</v>
      </c>
      <c r="AO149" s="758">
        <f>DEMANDA!AK48*PARAMETROS!$C$61</f>
        <v>8257048.8645935403</v>
      </c>
      <c r="AP149" s="758">
        <f>DEMANDA!AL48*PARAMETROS!$C$61</f>
        <v>8257048.8645935403</v>
      </c>
      <c r="AQ149" s="758">
        <f>DEMANDA!AM48*PARAMETROS!$C$61</f>
        <v>8257048.8645935403</v>
      </c>
      <c r="AR149" s="758">
        <f>DEMANDA!AN48*PARAMETROS!$C$61</f>
        <v>8257048.8645935403</v>
      </c>
      <c r="AS149" s="758">
        <f>DEMANDA!AO48*PARAMETROS!$C$61</f>
        <v>8257048.8645935403</v>
      </c>
      <c r="AT149" s="758">
        <f>DEMANDA!AP48*PARAMETROS!$C$61</f>
        <v>8257048.8645935403</v>
      </c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</row>
    <row r="150" spans="2:66" x14ac:dyDescent="0.25">
      <c r="B150" s="832" t="s">
        <v>395</v>
      </c>
      <c r="C150" s="178">
        <v>0</v>
      </c>
      <c r="D150" s="178">
        <v>0</v>
      </c>
      <c r="E150" s="178">
        <v>0</v>
      </c>
      <c r="F150" s="178">
        <v>0</v>
      </c>
      <c r="G150" s="758">
        <f>'INGRESOS de pasajeros'!C56*PARAMETROS!$C$61</f>
        <v>3333543.6749999998</v>
      </c>
      <c r="H150" s="758">
        <f>'INGRESOS de pasajeros'!D56*PARAMETROS!$C$61</f>
        <v>4444724.9000000004</v>
      </c>
      <c r="I150" s="758">
        <f>'INGRESOS de pasajeros'!E56*PARAMETROS!$C$61</f>
        <v>4698907.1814299999</v>
      </c>
      <c r="J150" s="758">
        <f>'INGRESOS de pasajeros'!F56*PARAMETROS!$C$61</f>
        <v>4750854.4799100002</v>
      </c>
      <c r="K150" s="758">
        <f>'INGRESOS de pasajeros'!G56*PARAMETROS!$C$61</f>
        <v>4996834.9702369543</v>
      </c>
      <c r="L150" s="758">
        <f>'INGRESOS de pasajeros'!H56*PARAMETROS!$C$61</f>
        <v>5050880.9395755455</v>
      </c>
      <c r="M150" s="758">
        <f>'INGRESOS de pasajeros'!I56*PARAMETROS!$C$61</f>
        <v>5311165.9560342701</v>
      </c>
      <c r="N150" s="758">
        <f>'INGRESOS de pasajeros'!J56*PARAMETROS!$C$61</f>
        <v>5341262.3284235513</v>
      </c>
      <c r="O150" s="758">
        <f>'INGRESOS de pasajeros'!K56*PARAMETROS!$C$61</f>
        <v>5588361.5923256716</v>
      </c>
      <c r="P150" s="758">
        <f>'INGRESOS de pasajeros'!L56*PARAMETROS!$C$61</f>
        <v>5619673.8581594788</v>
      </c>
      <c r="Q150" s="758">
        <f>'INGRESOS de pasajeros'!M56*PARAMETROS!$C$61</f>
        <v>5879285.9634026177</v>
      </c>
      <c r="R150" s="758">
        <f>'INGRESOS de pasajeros'!N56*PARAMETROS!$C$61</f>
        <v>5911863.2447761111</v>
      </c>
      <c r="S150" s="758">
        <f>'INGRESOS de pasajeros'!O56*PARAMETROS!$C$61</f>
        <v>6158211.6899241405</v>
      </c>
      <c r="T150" s="758">
        <f>'INGRESOS de pasajeros'!P56*PARAMETROS!$C$61</f>
        <v>6165720.8599832142</v>
      </c>
      <c r="U150" s="758">
        <f>'INGRESOS de pasajeros'!Q56*PARAMETROS!$C$61</f>
        <v>6422628.5232560001</v>
      </c>
      <c r="V150" s="758">
        <f>'INGRESOS de pasajeros'!R56*PARAMETROS!$C$61</f>
        <v>6430441.0637854608</v>
      </c>
      <c r="W150" s="758">
        <f>'INGRESOS de pasajeros'!S56*PARAMETROS!$C$61</f>
        <v>6698359.0499292454</v>
      </c>
      <c r="X150" s="758">
        <f>'INGRESOS de pasajeros'!T56*PARAMETROS!$C$61</f>
        <v>6749494.536646666</v>
      </c>
      <c r="Y150" s="758">
        <f>'INGRESOS de pasajeros'!U56*PARAMETROS!$C$61</f>
        <v>7075375.4763079975</v>
      </c>
      <c r="Z150" s="758">
        <f>'INGRESOS de pasajeros'!V56*PARAMETROS!$C$61</f>
        <v>7128576.8366888026</v>
      </c>
      <c r="AA150" s="758">
        <f>'INGRESOS de pasajeros'!W56*PARAMETROS!$C$61</f>
        <v>7471922.0362312179</v>
      </c>
      <c r="AB150" s="758">
        <f>'INGRESOS de pasajeros'!X56*PARAMETROS!$C$61</f>
        <v>7527272.7315714126</v>
      </c>
      <c r="AC150" s="758">
        <f>'INGRESOS de pasajeros'!Y56*PARAMETROS!$C$61</f>
        <v>7831374.5499268984</v>
      </c>
      <c r="AD150" s="758">
        <f>'INGRESOS de pasajeros'!Z56*PARAMETROS!$C$61</f>
        <v>7831374.5499268984</v>
      </c>
      <c r="AE150" s="758">
        <f>'INGRESOS de pasajeros'!AA56*PARAMETROS!$C$61</f>
        <v>8147762.0817439435</v>
      </c>
      <c r="AF150" s="758">
        <f>'INGRESOS de pasajeros'!AB56*PARAMETROS!$C$61</f>
        <v>8147762.0817439435</v>
      </c>
      <c r="AG150" s="758">
        <f>'INGRESOS de pasajeros'!AC56*PARAMETROS!$C$61</f>
        <v>8476931.6698463988</v>
      </c>
      <c r="AH150" s="758">
        <f>'INGRESOS de pasajeros'!AD56*PARAMETROS!$C$61</f>
        <v>8476931.6698463988</v>
      </c>
      <c r="AI150" s="758">
        <f>'INGRESOS de pasajeros'!AE56*PARAMETROS!$C$61</f>
        <v>8819399.7093081921</v>
      </c>
      <c r="AJ150" s="758">
        <f>'INGRESOS de pasajeros'!AF56*PARAMETROS!$C$61</f>
        <v>8819399.7093081921</v>
      </c>
      <c r="AK150" s="758">
        <f>'INGRESOS de pasajeros'!AG56*PARAMETROS!$C$61</f>
        <v>9175703.457564244</v>
      </c>
      <c r="AL150" s="758">
        <f>'INGRESOS de pasajeros'!AH56*PARAMETROS!$C$61</f>
        <v>9175703.457564244</v>
      </c>
      <c r="AM150" s="758">
        <f>'INGRESOS de pasajeros'!AI56*PARAMETROS!$C$61</f>
        <v>9546401.8772498388</v>
      </c>
      <c r="AN150" s="758">
        <f>'INGRESOS de pasajeros'!AJ56*PARAMETROS!$C$61</f>
        <v>9546401.8772498388</v>
      </c>
      <c r="AO150" s="758">
        <f>'INGRESOS de pasajeros'!AK56*PARAMETROS!$C$61</f>
        <v>9932076.5130907353</v>
      </c>
      <c r="AP150" s="758">
        <f>'INGRESOS de pasajeros'!AL56*PARAMETROS!$C$61</f>
        <v>9932076.5130907353</v>
      </c>
      <c r="AQ150" s="758">
        <f>'INGRESOS de pasajeros'!AM56*PARAMETROS!$C$61</f>
        <v>10333332.404219599</v>
      </c>
      <c r="AR150" s="758">
        <f>'INGRESOS de pasajeros'!AN56*PARAMETROS!$C$61</f>
        <v>10333332.404219599</v>
      </c>
      <c r="AS150" s="758">
        <f>'INGRESOS de pasajeros'!AO56*PARAMETROS!$C$61</f>
        <v>10750799.033350073</v>
      </c>
      <c r="AT150" s="758">
        <f>'INGRESOS de pasajeros'!AP56*PARAMETROS!$C$61</f>
        <v>10750799.033350073</v>
      </c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  <c r="BN150" s="166"/>
    </row>
    <row r="151" spans="2:66" x14ac:dyDescent="0.25">
      <c r="B151" s="832" t="s">
        <v>396</v>
      </c>
      <c r="C151" s="178">
        <v>0</v>
      </c>
      <c r="D151" s="178">
        <v>0</v>
      </c>
      <c r="E151" s="178">
        <v>0</v>
      </c>
      <c r="F151" s="178">
        <v>0</v>
      </c>
      <c r="G151" s="178">
        <f>$C$14*$C$15*12</f>
        <v>420000</v>
      </c>
      <c r="H151" s="178">
        <f t="shared" ref="H151:AT151" si="55">$G$75*((1+$C$25)^G145)</f>
        <v>428400</v>
      </c>
      <c r="I151" s="178">
        <f t="shared" si="55"/>
        <v>436968</v>
      </c>
      <c r="J151" s="178">
        <f t="shared" si="55"/>
        <v>445707.36</v>
      </c>
      <c r="K151" s="178">
        <f t="shared" si="55"/>
        <v>454621.50719999999</v>
      </c>
      <c r="L151" s="178">
        <f t="shared" si="55"/>
        <v>463713.93734400003</v>
      </c>
      <c r="M151" s="178">
        <f t="shared" si="55"/>
        <v>472988.21609088004</v>
      </c>
      <c r="N151" s="178">
        <f t="shared" si="55"/>
        <v>482447.98041269754</v>
      </c>
      <c r="O151" s="178">
        <f t="shared" si="55"/>
        <v>492096.9400209515</v>
      </c>
      <c r="P151" s="178">
        <f t="shared" si="55"/>
        <v>501938.87882137054</v>
      </c>
      <c r="Q151" s="178">
        <f t="shared" si="55"/>
        <v>511977.65639779798</v>
      </c>
      <c r="R151" s="178">
        <f t="shared" si="55"/>
        <v>522217.20952575386</v>
      </c>
      <c r="S151" s="178">
        <f t="shared" si="55"/>
        <v>532661.55371626897</v>
      </c>
      <c r="T151" s="178">
        <f t="shared" si="55"/>
        <v>543314.78479059436</v>
      </c>
      <c r="U151" s="178">
        <f t="shared" si="55"/>
        <v>554181.08048640634</v>
      </c>
      <c r="V151" s="178">
        <f t="shared" si="55"/>
        <v>565264.70209613431</v>
      </c>
      <c r="W151" s="178">
        <f t="shared" si="55"/>
        <v>576569.99613805709</v>
      </c>
      <c r="X151" s="178">
        <f t="shared" si="55"/>
        <v>588101.39606081822</v>
      </c>
      <c r="Y151" s="178">
        <f t="shared" si="55"/>
        <v>599863.42398203455</v>
      </c>
      <c r="Z151" s="178">
        <f t="shared" si="55"/>
        <v>611860.69246167527</v>
      </c>
      <c r="AA151" s="178">
        <f t="shared" si="55"/>
        <v>624097.90631090873</v>
      </c>
      <c r="AB151" s="178">
        <f t="shared" si="55"/>
        <v>636579.8644371269</v>
      </c>
      <c r="AC151" s="178">
        <f t="shared" si="55"/>
        <v>649311.46172586945</v>
      </c>
      <c r="AD151" s="178">
        <f t="shared" si="55"/>
        <v>662297.69096038677</v>
      </c>
      <c r="AE151" s="178">
        <f t="shared" si="55"/>
        <v>675543.6447795945</v>
      </c>
      <c r="AF151" s="178">
        <f t="shared" si="55"/>
        <v>689054.51767518639</v>
      </c>
      <c r="AG151" s="178">
        <f t="shared" si="55"/>
        <v>702835.60802869021</v>
      </c>
      <c r="AH151" s="178">
        <f t="shared" si="55"/>
        <v>716892.3201892639</v>
      </c>
      <c r="AI151" s="178">
        <f t="shared" si="55"/>
        <v>731230.1665930493</v>
      </c>
      <c r="AJ151" s="178">
        <f t="shared" si="55"/>
        <v>745854.76992491016</v>
      </c>
      <c r="AK151" s="178">
        <f t="shared" si="55"/>
        <v>760771.86532340851</v>
      </c>
      <c r="AL151" s="178">
        <f t="shared" si="55"/>
        <v>775987.30262987642</v>
      </c>
      <c r="AM151" s="178">
        <f t="shared" si="55"/>
        <v>791507.04868247418</v>
      </c>
      <c r="AN151" s="178">
        <f t="shared" si="55"/>
        <v>807337.18965612364</v>
      </c>
      <c r="AO151" s="178">
        <f t="shared" si="55"/>
        <v>823483.93344924611</v>
      </c>
      <c r="AP151" s="178">
        <f t="shared" si="55"/>
        <v>839953.61211823102</v>
      </c>
      <c r="AQ151" s="178">
        <f t="shared" si="55"/>
        <v>856752.68436059554</v>
      </c>
      <c r="AR151" s="178">
        <f t="shared" si="55"/>
        <v>873887.73804780759</v>
      </c>
      <c r="AS151" s="178">
        <f t="shared" si="55"/>
        <v>891365.49280876387</v>
      </c>
      <c r="AT151" s="178">
        <f t="shared" si="55"/>
        <v>909192.80266493873</v>
      </c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  <c r="BN151" s="166"/>
    </row>
    <row r="152" spans="2:66" x14ac:dyDescent="0.25">
      <c r="B152" s="832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66"/>
      <c r="AV152" s="166"/>
      <c r="AW152" s="166"/>
      <c r="AX152" s="166"/>
      <c r="AY152" s="166"/>
      <c r="AZ152" s="166"/>
      <c r="BA152" s="166"/>
      <c r="BB152" s="166"/>
      <c r="BC152" s="166"/>
      <c r="BD152" s="166"/>
      <c r="BE152" s="166"/>
      <c r="BF152" s="166"/>
      <c r="BG152" s="166"/>
      <c r="BH152" s="166"/>
      <c r="BI152" s="166"/>
      <c r="BJ152" s="166"/>
      <c r="BK152" s="166"/>
      <c r="BL152" s="166"/>
      <c r="BM152" s="166"/>
      <c r="BN152" s="166"/>
    </row>
    <row r="153" spans="2:66" x14ac:dyDescent="0.25">
      <c r="B153" s="831" t="str">
        <f>B77</f>
        <v>Activos iniciales - Depreciacion 50 años</v>
      </c>
      <c r="C153" s="965">
        <f t="shared" ref="C153:AT159" si="56">C77</f>
        <v>0</v>
      </c>
      <c r="D153" s="965">
        <f t="shared" si="56"/>
        <v>0</v>
      </c>
      <c r="E153" s="965">
        <f t="shared" si="56"/>
        <v>0</v>
      </c>
      <c r="F153" s="965">
        <f t="shared" si="56"/>
        <v>0</v>
      </c>
      <c r="G153" s="965">
        <f t="shared" si="56"/>
        <v>-839011.57800246822</v>
      </c>
      <c r="H153" s="965">
        <f t="shared" si="56"/>
        <v>-839011.57800246822</v>
      </c>
      <c r="I153" s="965">
        <f t="shared" si="56"/>
        <v>-839011.57800246822</v>
      </c>
      <c r="J153" s="965">
        <f t="shared" si="56"/>
        <v>-839011.57800246822</v>
      </c>
      <c r="K153" s="965">
        <f t="shared" si="56"/>
        <v>-839011.57800246822</v>
      </c>
      <c r="L153" s="965">
        <f t="shared" si="56"/>
        <v>-839011.57800246822</v>
      </c>
      <c r="M153" s="965">
        <f t="shared" si="56"/>
        <v>-839011.57800246822</v>
      </c>
      <c r="N153" s="965">
        <f t="shared" si="56"/>
        <v>-839011.57800246822</v>
      </c>
      <c r="O153" s="965">
        <f t="shared" si="56"/>
        <v>-839011.57800246822</v>
      </c>
      <c r="P153" s="965">
        <f t="shared" si="56"/>
        <v>-839011.57800246822</v>
      </c>
      <c r="Q153" s="965">
        <f t="shared" si="56"/>
        <v>-839011.57800246822</v>
      </c>
      <c r="R153" s="965">
        <f t="shared" si="56"/>
        <v>-839011.57800246822</v>
      </c>
      <c r="S153" s="965">
        <f t="shared" si="56"/>
        <v>-839011.57800246822</v>
      </c>
      <c r="T153" s="965">
        <f t="shared" si="56"/>
        <v>-839011.57800246822</v>
      </c>
      <c r="U153" s="965">
        <f t="shared" si="56"/>
        <v>-839011.57800246822</v>
      </c>
      <c r="V153" s="965">
        <f t="shared" si="56"/>
        <v>-839011.57800246822</v>
      </c>
      <c r="W153" s="965">
        <f t="shared" si="56"/>
        <v>-839011.57800246822</v>
      </c>
      <c r="X153" s="965">
        <f t="shared" si="56"/>
        <v>-839011.57800246822</v>
      </c>
      <c r="Y153" s="965">
        <f t="shared" si="56"/>
        <v>-839011.57800246822</v>
      </c>
      <c r="Z153" s="965">
        <f t="shared" si="56"/>
        <v>-839011.57800246822</v>
      </c>
      <c r="AA153" s="965">
        <f t="shared" si="56"/>
        <v>-839011.57800246822</v>
      </c>
      <c r="AB153" s="965">
        <f t="shared" si="56"/>
        <v>-839011.57800246822</v>
      </c>
      <c r="AC153" s="965">
        <f t="shared" si="56"/>
        <v>-839011.57800246822</v>
      </c>
      <c r="AD153" s="965">
        <f t="shared" si="56"/>
        <v>-839011.57800246822</v>
      </c>
      <c r="AE153" s="965">
        <f t="shared" si="56"/>
        <v>-839011.57800246822</v>
      </c>
      <c r="AF153" s="965">
        <f t="shared" si="56"/>
        <v>-839011.57800246822</v>
      </c>
      <c r="AG153" s="965">
        <f t="shared" si="56"/>
        <v>-839011.57800246822</v>
      </c>
      <c r="AH153" s="965">
        <f t="shared" si="56"/>
        <v>-839011.57800246822</v>
      </c>
      <c r="AI153" s="965">
        <f t="shared" si="56"/>
        <v>-839011.57800246822</v>
      </c>
      <c r="AJ153" s="965">
        <f t="shared" si="56"/>
        <v>-839011.57800246822</v>
      </c>
      <c r="AK153" s="965">
        <f t="shared" si="56"/>
        <v>-839011.57800246822</v>
      </c>
      <c r="AL153" s="965">
        <f t="shared" si="56"/>
        <v>-839011.57800246822</v>
      </c>
      <c r="AM153" s="965">
        <f t="shared" si="56"/>
        <v>-839011.57800246822</v>
      </c>
      <c r="AN153" s="965">
        <f t="shared" si="56"/>
        <v>-839011.57800246822</v>
      </c>
      <c r="AO153" s="965">
        <f t="shared" si="56"/>
        <v>-839011.57800246822</v>
      </c>
      <c r="AP153" s="965">
        <f t="shared" si="56"/>
        <v>-839011.57800246822</v>
      </c>
      <c r="AQ153" s="965">
        <f t="shared" si="56"/>
        <v>-839011.57800246822</v>
      </c>
      <c r="AR153" s="965">
        <f t="shared" si="56"/>
        <v>-839011.57800246822</v>
      </c>
      <c r="AS153" s="965">
        <f t="shared" si="56"/>
        <v>-839011.57800246822</v>
      </c>
      <c r="AT153" s="965">
        <f t="shared" si="56"/>
        <v>-839011.57800246822</v>
      </c>
      <c r="AU153" s="166"/>
      <c r="AV153" s="166"/>
      <c r="AW153" s="166"/>
      <c r="AX153" s="166"/>
      <c r="AY153" s="166"/>
      <c r="AZ153" s="166"/>
      <c r="BA153" s="166"/>
      <c r="BB153" s="166"/>
      <c r="BC153" s="166"/>
      <c r="BD153" s="166"/>
      <c r="BE153" s="166"/>
      <c r="BF153" s="166"/>
      <c r="BG153" s="166"/>
      <c r="BH153" s="166"/>
      <c r="BI153" s="166"/>
      <c r="BJ153" s="166"/>
      <c r="BK153" s="166"/>
      <c r="BL153" s="166"/>
      <c r="BM153" s="166"/>
      <c r="BN153" s="166"/>
    </row>
    <row r="154" spans="2:66" x14ac:dyDescent="0.25">
      <c r="B154" s="831" t="str">
        <f t="shared" ref="B154:Q166" si="57">B78</f>
        <v>Activos iniciales - Depreciacion 40 años</v>
      </c>
      <c r="C154" s="965">
        <f t="shared" si="57"/>
        <v>0</v>
      </c>
      <c r="D154" s="965">
        <f t="shared" si="57"/>
        <v>0</v>
      </c>
      <c r="E154" s="965">
        <f t="shared" si="57"/>
        <v>0</v>
      </c>
      <c r="F154" s="965">
        <f t="shared" si="57"/>
        <v>0</v>
      </c>
      <c r="G154" s="965">
        <f t="shared" si="57"/>
        <v>-1763216.5038117287</v>
      </c>
      <c r="H154" s="965">
        <f t="shared" si="57"/>
        <v>-1763216.5038117287</v>
      </c>
      <c r="I154" s="965">
        <f t="shared" si="57"/>
        <v>-1763216.5038117287</v>
      </c>
      <c r="J154" s="965">
        <f t="shared" si="57"/>
        <v>-1763216.5038117287</v>
      </c>
      <c r="K154" s="965">
        <f t="shared" si="57"/>
        <v>-1763216.5038117287</v>
      </c>
      <c r="L154" s="965">
        <f t="shared" si="57"/>
        <v>-1763216.5038117287</v>
      </c>
      <c r="M154" s="965">
        <f t="shared" si="57"/>
        <v>-1763216.5038117287</v>
      </c>
      <c r="N154" s="965">
        <f t="shared" si="57"/>
        <v>-1763216.5038117287</v>
      </c>
      <c r="O154" s="965">
        <f t="shared" si="57"/>
        <v>-1763216.5038117287</v>
      </c>
      <c r="P154" s="965">
        <f t="shared" si="57"/>
        <v>-1763216.5038117287</v>
      </c>
      <c r="Q154" s="965">
        <f t="shared" si="57"/>
        <v>-1763216.5038117287</v>
      </c>
      <c r="R154" s="965">
        <f t="shared" si="56"/>
        <v>-1763216.5038117287</v>
      </c>
      <c r="S154" s="965">
        <f t="shared" si="56"/>
        <v>-1763216.5038117287</v>
      </c>
      <c r="T154" s="965">
        <f t="shared" si="56"/>
        <v>-1763216.5038117287</v>
      </c>
      <c r="U154" s="965">
        <f t="shared" si="56"/>
        <v>-1763216.5038117287</v>
      </c>
      <c r="V154" s="965">
        <f t="shared" si="56"/>
        <v>-1763216.5038117287</v>
      </c>
      <c r="W154" s="965">
        <f t="shared" si="56"/>
        <v>-1763216.5038117287</v>
      </c>
      <c r="X154" s="965">
        <f t="shared" si="56"/>
        <v>-1763216.5038117287</v>
      </c>
      <c r="Y154" s="965">
        <f t="shared" si="56"/>
        <v>-1763216.5038117287</v>
      </c>
      <c r="Z154" s="965">
        <f t="shared" si="56"/>
        <v>-1763216.5038117287</v>
      </c>
      <c r="AA154" s="965">
        <f t="shared" si="56"/>
        <v>-1763216.5038117287</v>
      </c>
      <c r="AB154" s="965">
        <f t="shared" si="56"/>
        <v>-1763216.5038117287</v>
      </c>
      <c r="AC154" s="965">
        <f t="shared" si="56"/>
        <v>-1763216.5038117287</v>
      </c>
      <c r="AD154" s="965">
        <f t="shared" si="56"/>
        <v>-1763216.5038117287</v>
      </c>
      <c r="AE154" s="965">
        <f t="shared" si="56"/>
        <v>-1763216.5038117287</v>
      </c>
      <c r="AF154" s="965">
        <f t="shared" si="56"/>
        <v>-1763216.5038117287</v>
      </c>
      <c r="AG154" s="965">
        <f t="shared" si="56"/>
        <v>-1763216.5038117287</v>
      </c>
      <c r="AH154" s="965">
        <f t="shared" si="56"/>
        <v>-1763216.5038117287</v>
      </c>
      <c r="AI154" s="965">
        <f t="shared" si="56"/>
        <v>-1763216.5038117287</v>
      </c>
      <c r="AJ154" s="965">
        <f t="shared" si="56"/>
        <v>-1763216.5038117287</v>
      </c>
      <c r="AK154" s="965">
        <f t="shared" si="56"/>
        <v>-1763216.5038117287</v>
      </c>
      <c r="AL154" s="965">
        <f t="shared" si="56"/>
        <v>-1763216.5038117287</v>
      </c>
      <c r="AM154" s="965">
        <f t="shared" si="56"/>
        <v>-1763216.5038117287</v>
      </c>
      <c r="AN154" s="965">
        <f t="shared" si="56"/>
        <v>-1763216.5038117287</v>
      </c>
      <c r="AO154" s="965">
        <f t="shared" si="56"/>
        <v>-1763216.5038117287</v>
      </c>
      <c r="AP154" s="965">
        <f t="shared" si="56"/>
        <v>-1763216.5038117287</v>
      </c>
      <c r="AQ154" s="965">
        <f t="shared" si="56"/>
        <v>-1763216.5038117287</v>
      </c>
      <c r="AR154" s="965">
        <f t="shared" si="56"/>
        <v>-1763216.5038117287</v>
      </c>
      <c r="AS154" s="965">
        <f t="shared" si="56"/>
        <v>-1763216.5038117287</v>
      </c>
      <c r="AT154" s="965">
        <f t="shared" si="56"/>
        <v>-1763216.5038117287</v>
      </c>
      <c r="AU154" s="166"/>
      <c r="AV154" s="166"/>
      <c r="AW154" s="166"/>
      <c r="AX154" s="166"/>
      <c r="AY154" s="166"/>
      <c r="AZ154" s="166"/>
      <c r="BA154" s="166"/>
      <c r="BB154" s="166"/>
      <c r="BC154" s="166"/>
      <c r="BD154" s="166"/>
      <c r="BE154" s="166"/>
      <c r="BF154" s="166"/>
      <c r="BG154" s="166"/>
      <c r="BH154" s="166"/>
      <c r="BI154" s="166"/>
      <c r="BJ154" s="166"/>
      <c r="BK154" s="166"/>
      <c r="BL154" s="166"/>
      <c r="BM154" s="166"/>
      <c r="BN154" s="166"/>
    </row>
    <row r="155" spans="2:66" x14ac:dyDescent="0.25">
      <c r="B155" s="831" t="str">
        <f t="shared" si="57"/>
        <v>Activos iniciales - Depreciacion 15 años</v>
      </c>
      <c r="C155" s="965">
        <f t="shared" si="56"/>
        <v>0</v>
      </c>
      <c r="D155" s="965">
        <f t="shared" si="56"/>
        <v>0</v>
      </c>
      <c r="E155" s="965">
        <f t="shared" si="56"/>
        <v>0</v>
      </c>
      <c r="F155" s="965">
        <f t="shared" si="56"/>
        <v>0</v>
      </c>
      <c r="G155" s="965">
        <f t="shared" si="56"/>
        <v>-1033960.8285917911</v>
      </c>
      <c r="H155" s="965">
        <f t="shared" si="56"/>
        <v>-1033960.8285917911</v>
      </c>
      <c r="I155" s="965">
        <f t="shared" si="56"/>
        <v>-1033960.8285917911</v>
      </c>
      <c r="J155" s="965">
        <f t="shared" si="56"/>
        <v>-1033960.8285917911</v>
      </c>
      <c r="K155" s="965">
        <f t="shared" si="56"/>
        <v>-1033960.8285917911</v>
      </c>
      <c r="L155" s="965">
        <f t="shared" si="56"/>
        <v>-1033960.8285917911</v>
      </c>
      <c r="M155" s="965">
        <f t="shared" si="56"/>
        <v>-1033960.8285917911</v>
      </c>
      <c r="N155" s="965">
        <f t="shared" si="56"/>
        <v>-1033960.8285917911</v>
      </c>
      <c r="O155" s="965">
        <f t="shared" si="56"/>
        <v>-1033960.8285917911</v>
      </c>
      <c r="P155" s="965">
        <f t="shared" si="56"/>
        <v>-1033960.8285917911</v>
      </c>
      <c r="Q155" s="965">
        <f t="shared" si="56"/>
        <v>-1033960.8285917911</v>
      </c>
      <c r="R155" s="965">
        <f t="shared" si="56"/>
        <v>-1033960.8285917911</v>
      </c>
      <c r="S155" s="965">
        <f t="shared" si="56"/>
        <v>-1033960.8285917911</v>
      </c>
      <c r="T155" s="965">
        <f t="shared" si="56"/>
        <v>-1033960.8285917911</v>
      </c>
      <c r="U155" s="965">
        <f t="shared" si="56"/>
        <v>-1033960.8285917911</v>
      </c>
      <c r="V155" s="965">
        <f t="shared" si="56"/>
        <v>0</v>
      </c>
      <c r="W155" s="965">
        <f t="shared" si="56"/>
        <v>0</v>
      </c>
      <c r="X155" s="965">
        <f t="shared" si="56"/>
        <v>0</v>
      </c>
      <c r="Y155" s="965">
        <f t="shared" si="56"/>
        <v>0</v>
      </c>
      <c r="Z155" s="965">
        <f t="shared" si="56"/>
        <v>0</v>
      </c>
      <c r="AA155" s="965">
        <f t="shared" si="56"/>
        <v>0</v>
      </c>
      <c r="AB155" s="965">
        <f t="shared" si="56"/>
        <v>0</v>
      </c>
      <c r="AC155" s="965">
        <f t="shared" si="56"/>
        <v>0</v>
      </c>
      <c r="AD155" s="965">
        <f t="shared" si="56"/>
        <v>0</v>
      </c>
      <c r="AE155" s="965">
        <f t="shared" si="56"/>
        <v>0</v>
      </c>
      <c r="AF155" s="965">
        <f t="shared" si="56"/>
        <v>0</v>
      </c>
      <c r="AG155" s="965">
        <f t="shared" si="56"/>
        <v>0</v>
      </c>
      <c r="AH155" s="965">
        <f t="shared" si="56"/>
        <v>0</v>
      </c>
      <c r="AI155" s="965">
        <f t="shared" si="56"/>
        <v>0</v>
      </c>
      <c r="AJ155" s="965">
        <f t="shared" si="56"/>
        <v>0</v>
      </c>
      <c r="AK155" s="965">
        <f t="shared" si="56"/>
        <v>0</v>
      </c>
      <c r="AL155" s="965">
        <f t="shared" si="56"/>
        <v>0</v>
      </c>
      <c r="AM155" s="965">
        <f t="shared" si="56"/>
        <v>0</v>
      </c>
      <c r="AN155" s="965">
        <f t="shared" si="56"/>
        <v>0</v>
      </c>
      <c r="AO155" s="965">
        <f t="shared" si="56"/>
        <v>0</v>
      </c>
      <c r="AP155" s="965">
        <f t="shared" si="56"/>
        <v>0</v>
      </c>
      <c r="AQ155" s="965">
        <f t="shared" si="56"/>
        <v>0</v>
      </c>
      <c r="AR155" s="965">
        <f t="shared" si="56"/>
        <v>0</v>
      </c>
      <c r="AS155" s="965">
        <f t="shared" si="56"/>
        <v>0</v>
      </c>
      <c r="AT155" s="965">
        <f t="shared" si="56"/>
        <v>0</v>
      </c>
      <c r="AU155" s="166"/>
      <c r="AV155" s="166"/>
      <c r="AW155" s="166"/>
      <c r="AX155" s="166"/>
      <c r="AY155" s="166"/>
      <c r="AZ155" s="166"/>
      <c r="BA155" s="166"/>
      <c r="BB155" s="166"/>
      <c r="BC155" s="166"/>
      <c r="BD155" s="166"/>
      <c r="BE155" s="166"/>
      <c r="BF155" s="166"/>
      <c r="BG155" s="166"/>
      <c r="BH155" s="166"/>
      <c r="BI155" s="166"/>
      <c r="BJ155" s="166"/>
      <c r="BK155" s="166"/>
      <c r="BL155" s="166"/>
      <c r="BM155" s="166"/>
      <c r="BN155" s="166"/>
    </row>
    <row r="156" spans="2:66" x14ac:dyDescent="0.25">
      <c r="B156" s="831" t="str">
        <f t="shared" si="57"/>
        <v>Activos iniciales - Depreciacion 10 años</v>
      </c>
      <c r="C156" s="965">
        <f t="shared" si="56"/>
        <v>0</v>
      </c>
      <c r="D156" s="965">
        <f t="shared" si="56"/>
        <v>0</v>
      </c>
      <c r="E156" s="965">
        <f t="shared" si="56"/>
        <v>0</v>
      </c>
      <c r="F156" s="965">
        <f t="shared" si="56"/>
        <v>0</v>
      </c>
      <c r="G156" s="965">
        <f t="shared" si="56"/>
        <v>-590377.75688031956</v>
      </c>
      <c r="H156" s="965">
        <f t="shared" si="56"/>
        <v>-590377.75688031956</v>
      </c>
      <c r="I156" s="965">
        <f t="shared" si="56"/>
        <v>-590377.75688031956</v>
      </c>
      <c r="J156" s="965">
        <f t="shared" si="56"/>
        <v>-590377.75688031956</v>
      </c>
      <c r="K156" s="965">
        <f t="shared" si="56"/>
        <v>-590377.75688031956</v>
      </c>
      <c r="L156" s="965">
        <f t="shared" si="56"/>
        <v>-590377.75688031956</v>
      </c>
      <c r="M156" s="965">
        <f t="shared" si="56"/>
        <v>-590377.75688031956</v>
      </c>
      <c r="N156" s="965">
        <f t="shared" si="56"/>
        <v>-590377.75688031956</v>
      </c>
      <c r="O156" s="965">
        <f t="shared" si="56"/>
        <v>-590377.75688031956</v>
      </c>
      <c r="P156" s="965">
        <f t="shared" si="56"/>
        <v>-590377.75688031956</v>
      </c>
      <c r="Q156" s="965">
        <f t="shared" si="56"/>
        <v>0</v>
      </c>
      <c r="R156" s="965">
        <f t="shared" si="56"/>
        <v>0</v>
      </c>
      <c r="S156" s="965">
        <f t="shared" si="56"/>
        <v>0</v>
      </c>
      <c r="T156" s="965">
        <f t="shared" si="56"/>
        <v>0</v>
      </c>
      <c r="U156" s="965">
        <f t="shared" si="56"/>
        <v>0</v>
      </c>
      <c r="V156" s="965">
        <f t="shared" si="56"/>
        <v>0</v>
      </c>
      <c r="W156" s="965">
        <f t="shared" si="56"/>
        <v>0</v>
      </c>
      <c r="X156" s="965">
        <f t="shared" si="56"/>
        <v>0</v>
      </c>
      <c r="Y156" s="965">
        <f t="shared" si="56"/>
        <v>0</v>
      </c>
      <c r="Z156" s="965">
        <f t="shared" si="56"/>
        <v>0</v>
      </c>
      <c r="AA156" s="965">
        <f t="shared" si="56"/>
        <v>0</v>
      </c>
      <c r="AB156" s="965">
        <f t="shared" si="56"/>
        <v>0</v>
      </c>
      <c r="AC156" s="965">
        <f t="shared" si="56"/>
        <v>0</v>
      </c>
      <c r="AD156" s="965">
        <f t="shared" si="56"/>
        <v>0</v>
      </c>
      <c r="AE156" s="965">
        <f t="shared" si="56"/>
        <v>0</v>
      </c>
      <c r="AF156" s="965">
        <f t="shared" si="56"/>
        <v>0</v>
      </c>
      <c r="AG156" s="965">
        <f t="shared" si="56"/>
        <v>0</v>
      </c>
      <c r="AH156" s="965">
        <f t="shared" si="56"/>
        <v>0</v>
      </c>
      <c r="AI156" s="965">
        <f t="shared" si="56"/>
        <v>0</v>
      </c>
      <c r="AJ156" s="965">
        <f t="shared" si="56"/>
        <v>0</v>
      </c>
      <c r="AK156" s="965">
        <f t="shared" si="56"/>
        <v>0</v>
      </c>
      <c r="AL156" s="965">
        <f t="shared" si="56"/>
        <v>0</v>
      </c>
      <c r="AM156" s="965">
        <f t="shared" si="56"/>
        <v>0</v>
      </c>
      <c r="AN156" s="965">
        <f t="shared" si="56"/>
        <v>0</v>
      </c>
      <c r="AO156" s="965">
        <f t="shared" si="56"/>
        <v>0</v>
      </c>
      <c r="AP156" s="965">
        <f t="shared" si="56"/>
        <v>0</v>
      </c>
      <c r="AQ156" s="965">
        <f t="shared" si="56"/>
        <v>0</v>
      </c>
      <c r="AR156" s="965">
        <f t="shared" si="56"/>
        <v>0</v>
      </c>
      <c r="AS156" s="965">
        <f t="shared" si="56"/>
        <v>0</v>
      </c>
      <c r="AT156" s="965">
        <f t="shared" si="56"/>
        <v>0</v>
      </c>
      <c r="AU156" s="166"/>
      <c r="AV156" s="166"/>
      <c r="AW156" s="166"/>
      <c r="AX156" s="166"/>
      <c r="AY156" s="166"/>
      <c r="AZ156" s="166"/>
      <c r="BA156" s="166"/>
      <c r="BB156" s="166"/>
      <c r="BC156" s="166"/>
      <c r="BD156" s="166"/>
      <c r="BE156" s="166"/>
      <c r="BF156" s="166"/>
      <c r="BG156" s="166"/>
      <c r="BH156" s="166"/>
      <c r="BI156" s="166"/>
      <c r="BJ156" s="166"/>
      <c r="BK156" s="166"/>
      <c r="BL156" s="166"/>
      <c r="BM156" s="166"/>
      <c r="BN156" s="166"/>
    </row>
    <row r="157" spans="2:66" x14ac:dyDescent="0.25">
      <c r="B157" s="831" t="str">
        <f t="shared" si="57"/>
        <v>Activos iniciales - Depreciacion 5 años</v>
      </c>
      <c r="C157" s="965">
        <f t="shared" si="56"/>
        <v>0</v>
      </c>
      <c r="D157" s="965">
        <f t="shared" si="56"/>
        <v>0</v>
      </c>
      <c r="E157" s="965">
        <f t="shared" si="56"/>
        <v>0</v>
      </c>
      <c r="F157" s="965">
        <f t="shared" si="56"/>
        <v>0</v>
      </c>
      <c r="G157" s="965">
        <f t="shared" si="56"/>
        <v>-249751.95009344042</v>
      </c>
      <c r="H157" s="965">
        <f t="shared" si="56"/>
        <v>-249751.95009344042</v>
      </c>
      <c r="I157" s="965">
        <f t="shared" si="56"/>
        <v>-249751.95009344042</v>
      </c>
      <c r="J157" s="965">
        <f t="shared" si="56"/>
        <v>-249751.95009344042</v>
      </c>
      <c r="K157" s="965">
        <f t="shared" si="56"/>
        <v>-249751.95009344042</v>
      </c>
      <c r="L157" s="965">
        <f t="shared" si="56"/>
        <v>0</v>
      </c>
      <c r="M157" s="965">
        <f t="shared" si="56"/>
        <v>0</v>
      </c>
      <c r="N157" s="965">
        <f t="shared" si="56"/>
        <v>0</v>
      </c>
      <c r="O157" s="965">
        <f t="shared" si="56"/>
        <v>0</v>
      </c>
      <c r="P157" s="965">
        <f t="shared" si="56"/>
        <v>0</v>
      </c>
      <c r="Q157" s="965">
        <f t="shared" si="56"/>
        <v>0</v>
      </c>
      <c r="R157" s="965">
        <f t="shared" si="56"/>
        <v>0</v>
      </c>
      <c r="S157" s="965">
        <f t="shared" si="56"/>
        <v>0</v>
      </c>
      <c r="T157" s="965">
        <f t="shared" si="56"/>
        <v>0</v>
      </c>
      <c r="U157" s="965">
        <f t="shared" si="56"/>
        <v>0</v>
      </c>
      <c r="V157" s="965">
        <f t="shared" si="56"/>
        <v>0</v>
      </c>
      <c r="W157" s="965">
        <f t="shared" si="56"/>
        <v>0</v>
      </c>
      <c r="X157" s="965">
        <f t="shared" si="56"/>
        <v>0</v>
      </c>
      <c r="Y157" s="965">
        <f t="shared" si="56"/>
        <v>0</v>
      </c>
      <c r="Z157" s="965">
        <f t="shared" si="56"/>
        <v>0</v>
      </c>
      <c r="AA157" s="965">
        <f t="shared" si="56"/>
        <v>0</v>
      </c>
      <c r="AB157" s="965">
        <f t="shared" si="56"/>
        <v>0</v>
      </c>
      <c r="AC157" s="965">
        <f t="shared" si="56"/>
        <v>0</v>
      </c>
      <c r="AD157" s="965">
        <f t="shared" si="56"/>
        <v>0</v>
      </c>
      <c r="AE157" s="965">
        <f t="shared" si="56"/>
        <v>0</v>
      </c>
      <c r="AF157" s="965">
        <f t="shared" si="56"/>
        <v>0</v>
      </c>
      <c r="AG157" s="965">
        <f t="shared" si="56"/>
        <v>0</v>
      </c>
      <c r="AH157" s="965">
        <f t="shared" si="56"/>
        <v>0</v>
      </c>
      <c r="AI157" s="965">
        <f t="shared" si="56"/>
        <v>0</v>
      </c>
      <c r="AJ157" s="965">
        <f t="shared" si="56"/>
        <v>0</v>
      </c>
      <c r="AK157" s="965">
        <f t="shared" si="56"/>
        <v>0</v>
      </c>
      <c r="AL157" s="965">
        <f t="shared" si="56"/>
        <v>0</v>
      </c>
      <c r="AM157" s="965">
        <f t="shared" si="56"/>
        <v>0</v>
      </c>
      <c r="AN157" s="965">
        <f t="shared" si="56"/>
        <v>0</v>
      </c>
      <c r="AO157" s="965">
        <f t="shared" si="56"/>
        <v>0</v>
      </c>
      <c r="AP157" s="965">
        <f t="shared" si="56"/>
        <v>0</v>
      </c>
      <c r="AQ157" s="965">
        <f t="shared" si="56"/>
        <v>0</v>
      </c>
      <c r="AR157" s="965">
        <f t="shared" si="56"/>
        <v>0</v>
      </c>
      <c r="AS157" s="965">
        <f t="shared" si="56"/>
        <v>0</v>
      </c>
      <c r="AT157" s="965">
        <f t="shared" si="56"/>
        <v>0</v>
      </c>
      <c r="AU157" s="166"/>
      <c r="AV157" s="166"/>
      <c r="AW157" s="166"/>
      <c r="AX157" s="166"/>
      <c r="AY157" s="166"/>
      <c r="AZ157" s="166"/>
      <c r="BA157" s="166"/>
      <c r="BB157" s="166"/>
      <c r="BC157" s="166"/>
      <c r="BD157" s="166"/>
      <c r="BE157" s="166"/>
      <c r="BF157" s="166"/>
      <c r="BG157" s="166"/>
      <c r="BH157" s="166"/>
      <c r="BI157" s="166"/>
      <c r="BJ157" s="166"/>
      <c r="BK157" s="166"/>
      <c r="BL157" s="166"/>
      <c r="BM157" s="166"/>
      <c r="BN157" s="166"/>
    </row>
    <row r="158" spans="2:66" x14ac:dyDescent="0.25">
      <c r="B158" s="831" t="str">
        <f t="shared" si="57"/>
        <v>Activos iniciales - Valor residual</v>
      </c>
      <c r="C158" s="965">
        <f t="shared" si="56"/>
        <v>0</v>
      </c>
      <c r="D158" s="965">
        <f t="shared" si="56"/>
        <v>0</v>
      </c>
      <c r="E158" s="965">
        <f t="shared" si="56"/>
        <v>0</v>
      </c>
      <c r="F158" s="965">
        <f t="shared" si="56"/>
        <v>0</v>
      </c>
      <c r="G158" s="965">
        <f t="shared" si="56"/>
        <v>151074474.56595954</v>
      </c>
      <c r="H158" s="965">
        <f t="shared" si="56"/>
        <v>146598155.94857979</v>
      </c>
      <c r="I158" s="965">
        <f t="shared" si="56"/>
        <v>142121837.33120003</v>
      </c>
      <c r="J158" s="965">
        <f t="shared" si="56"/>
        <v>137645518.71382028</v>
      </c>
      <c r="K158" s="965">
        <f t="shared" si="56"/>
        <v>133169200.09644052</v>
      </c>
      <c r="L158" s="965">
        <f t="shared" si="56"/>
        <v>128942633.42915422</v>
      </c>
      <c r="M158" s="965">
        <f t="shared" si="56"/>
        <v>124716066.76186791</v>
      </c>
      <c r="N158" s="965">
        <f t="shared" si="56"/>
        <v>120489500.0945816</v>
      </c>
      <c r="O158" s="965">
        <f t="shared" si="56"/>
        <v>116262933.4272953</v>
      </c>
      <c r="P158" s="965">
        <f t="shared" si="56"/>
        <v>112036366.76000899</v>
      </c>
      <c r="Q158" s="965">
        <f t="shared" si="56"/>
        <v>108400177.849603</v>
      </c>
      <c r="R158" s="965">
        <f t="shared" si="56"/>
        <v>104763988.939197</v>
      </c>
      <c r="S158" s="965">
        <f t="shared" si="56"/>
        <v>101127800.02879101</v>
      </c>
      <c r="T158" s="965">
        <f t="shared" si="56"/>
        <v>97491611.118385017</v>
      </c>
      <c r="U158" s="965">
        <f t="shared" si="56"/>
        <v>93855422.207979023</v>
      </c>
      <c r="V158" s="965">
        <f t="shared" si="56"/>
        <v>91253194.126164824</v>
      </c>
      <c r="W158" s="965">
        <f t="shared" si="56"/>
        <v>88650966.044350624</v>
      </c>
      <c r="X158" s="965">
        <f t="shared" si="56"/>
        <v>86048737.962536424</v>
      </c>
      <c r="Y158" s="965">
        <f t="shared" si="56"/>
        <v>83446509.880722225</v>
      </c>
      <c r="Z158" s="965">
        <f t="shared" si="56"/>
        <v>80844281.798908025</v>
      </c>
      <c r="AA158" s="965">
        <f t="shared" si="56"/>
        <v>78242053.717093825</v>
      </c>
      <c r="AB158" s="965">
        <f t="shared" si="56"/>
        <v>75639825.635279626</v>
      </c>
      <c r="AC158" s="965">
        <f t="shared" si="56"/>
        <v>73037597.553465426</v>
      </c>
      <c r="AD158" s="965">
        <f t="shared" si="56"/>
        <v>70435369.471651226</v>
      </c>
      <c r="AE158" s="965">
        <f t="shared" si="56"/>
        <v>67833141.389837027</v>
      </c>
      <c r="AF158" s="965">
        <f t="shared" si="56"/>
        <v>65230913.308022827</v>
      </c>
      <c r="AG158" s="965">
        <f t="shared" si="56"/>
        <v>62628685.226208627</v>
      </c>
      <c r="AH158" s="965">
        <f t="shared" si="56"/>
        <v>60026457.144394428</v>
      </c>
      <c r="AI158" s="965">
        <f t="shared" si="56"/>
        <v>57424229.062580228</v>
      </c>
      <c r="AJ158" s="965">
        <f t="shared" si="56"/>
        <v>54822000.980766028</v>
      </c>
      <c r="AK158" s="965">
        <f t="shared" si="56"/>
        <v>52219772.898951828</v>
      </c>
      <c r="AL158" s="965">
        <f t="shared" si="56"/>
        <v>49617544.817137629</v>
      </c>
      <c r="AM158" s="965">
        <f t="shared" si="56"/>
        <v>47015316.735323429</v>
      </c>
      <c r="AN158" s="965">
        <f t="shared" si="56"/>
        <v>44413088.653509229</v>
      </c>
      <c r="AO158" s="965">
        <f t="shared" si="56"/>
        <v>41810860.57169503</v>
      </c>
      <c r="AP158" s="965">
        <f t="shared" si="56"/>
        <v>39208632.48988083</v>
      </c>
      <c r="AQ158" s="965">
        <f t="shared" si="56"/>
        <v>36606404.40806663</v>
      </c>
      <c r="AR158" s="965">
        <f t="shared" si="56"/>
        <v>34004176.326252431</v>
      </c>
      <c r="AS158" s="965">
        <f t="shared" si="56"/>
        <v>31401948.244438235</v>
      </c>
      <c r="AT158" s="965">
        <f t="shared" si="56"/>
        <v>28799720.162624039</v>
      </c>
      <c r="AU158" s="166"/>
      <c r="AV158" s="166"/>
      <c r="AW158" s="166"/>
      <c r="AX158" s="166"/>
      <c r="AY158" s="166"/>
      <c r="AZ158" s="166"/>
      <c r="BA158" s="166"/>
      <c r="BB158" s="166"/>
      <c r="BC158" s="166"/>
      <c r="BD158" s="166"/>
      <c r="BE158" s="166"/>
      <c r="BF158" s="166"/>
      <c r="BG158" s="166"/>
      <c r="BH158" s="166"/>
      <c r="BI158" s="166"/>
      <c r="BJ158" s="166"/>
      <c r="BK158" s="166"/>
      <c r="BL158" s="166"/>
      <c r="BM158" s="166"/>
      <c r="BN158" s="166"/>
    </row>
    <row r="159" spans="2:66" x14ac:dyDescent="0.25">
      <c r="B159" s="831" t="str">
        <f t="shared" si="57"/>
        <v>Activos nuevos 1 - Depreciacion 10 años</v>
      </c>
      <c r="C159" s="965">
        <f t="shared" si="56"/>
        <v>0</v>
      </c>
      <c r="D159" s="965">
        <f t="shared" si="56"/>
        <v>0</v>
      </c>
      <c r="E159" s="965">
        <f t="shared" si="56"/>
        <v>0</v>
      </c>
      <c r="F159" s="965">
        <f t="shared" si="56"/>
        <v>0</v>
      </c>
      <c r="G159" s="965">
        <f t="shared" si="56"/>
        <v>0</v>
      </c>
      <c r="H159" s="965">
        <f t="shared" si="56"/>
        <v>0</v>
      </c>
      <c r="I159" s="965">
        <f t="shared" ref="C159:AT164" si="58">I83</f>
        <v>0</v>
      </c>
      <c r="J159" s="965">
        <f t="shared" si="58"/>
        <v>0</v>
      </c>
      <c r="K159" s="965">
        <f t="shared" si="58"/>
        <v>0</v>
      </c>
      <c r="L159" s="965">
        <f t="shared" si="58"/>
        <v>0</v>
      </c>
      <c r="M159" s="965">
        <f t="shared" si="58"/>
        <v>0</v>
      </c>
      <c r="N159" s="965">
        <f t="shared" si="58"/>
        <v>0</v>
      </c>
      <c r="O159" s="965">
        <f t="shared" si="58"/>
        <v>0</v>
      </c>
      <c r="P159" s="965">
        <f t="shared" si="58"/>
        <v>0</v>
      </c>
      <c r="Q159" s="965">
        <f t="shared" si="58"/>
        <v>0</v>
      </c>
      <c r="R159" s="965">
        <f t="shared" si="58"/>
        <v>-728389.33338023908</v>
      </c>
      <c r="S159" s="965">
        <f t="shared" si="58"/>
        <v>-728389.33338023908</v>
      </c>
      <c r="T159" s="965">
        <f t="shared" si="58"/>
        <v>-728389.33338023908</v>
      </c>
      <c r="U159" s="965">
        <f t="shared" si="58"/>
        <v>-728389.33338023908</v>
      </c>
      <c r="V159" s="965">
        <f t="shared" si="58"/>
        <v>-728389.33338023908</v>
      </c>
      <c r="W159" s="965">
        <f t="shared" si="58"/>
        <v>-728389.33338023908</v>
      </c>
      <c r="X159" s="965">
        <f t="shared" si="58"/>
        <v>-728389.33338023908</v>
      </c>
      <c r="Y159" s="965">
        <f t="shared" si="58"/>
        <v>-728389.33338023908</v>
      </c>
      <c r="Z159" s="965">
        <f t="shared" si="58"/>
        <v>-728389.33338023908</v>
      </c>
      <c r="AA159" s="965">
        <f t="shared" si="58"/>
        <v>-728389.33338023908</v>
      </c>
      <c r="AB159" s="965">
        <f t="shared" si="58"/>
        <v>-728389.33338023908</v>
      </c>
      <c r="AC159" s="965">
        <f t="shared" si="58"/>
        <v>0</v>
      </c>
      <c r="AD159" s="965">
        <f t="shared" si="58"/>
        <v>0</v>
      </c>
      <c r="AE159" s="965">
        <f t="shared" si="58"/>
        <v>0</v>
      </c>
      <c r="AF159" s="965">
        <f t="shared" si="58"/>
        <v>0</v>
      </c>
      <c r="AG159" s="965">
        <f t="shared" si="58"/>
        <v>0</v>
      </c>
      <c r="AH159" s="965">
        <f t="shared" si="58"/>
        <v>0</v>
      </c>
      <c r="AI159" s="965">
        <f t="shared" si="58"/>
        <v>0</v>
      </c>
      <c r="AJ159" s="965">
        <f t="shared" si="58"/>
        <v>0</v>
      </c>
      <c r="AK159" s="965">
        <f t="shared" si="58"/>
        <v>0</v>
      </c>
      <c r="AL159" s="965">
        <f t="shared" si="58"/>
        <v>0</v>
      </c>
      <c r="AM159" s="965">
        <f t="shared" si="58"/>
        <v>0</v>
      </c>
      <c r="AN159" s="965">
        <f t="shared" si="58"/>
        <v>0</v>
      </c>
      <c r="AO159" s="965">
        <f t="shared" si="58"/>
        <v>0</v>
      </c>
      <c r="AP159" s="965">
        <f t="shared" si="58"/>
        <v>0</v>
      </c>
      <c r="AQ159" s="965">
        <f t="shared" si="58"/>
        <v>0</v>
      </c>
      <c r="AR159" s="965">
        <f t="shared" si="58"/>
        <v>0</v>
      </c>
      <c r="AS159" s="965">
        <f t="shared" si="58"/>
        <v>0</v>
      </c>
      <c r="AT159" s="965">
        <f t="shared" si="58"/>
        <v>0</v>
      </c>
      <c r="AU159" s="166"/>
      <c r="AV159" s="166"/>
      <c r="AW159" s="166"/>
      <c r="AX159" s="166"/>
      <c r="AY159" s="166"/>
      <c r="AZ159" s="166"/>
      <c r="BA159" s="166"/>
      <c r="BB159" s="166"/>
      <c r="BC159" s="166"/>
      <c r="BD159" s="166"/>
      <c r="BE159" s="166"/>
      <c r="BF159" s="166"/>
      <c r="BG159" s="166"/>
      <c r="BH159" s="166"/>
      <c r="BI159" s="166"/>
      <c r="BJ159" s="166"/>
      <c r="BK159" s="166"/>
      <c r="BL159" s="166"/>
      <c r="BM159" s="166"/>
      <c r="BN159" s="166"/>
    </row>
    <row r="160" spans="2:66" x14ac:dyDescent="0.25">
      <c r="B160" s="831" t="str">
        <f t="shared" si="57"/>
        <v>Activos nuevos 1 - Valor residual</v>
      </c>
      <c r="C160" s="965">
        <f t="shared" si="58"/>
        <v>0</v>
      </c>
      <c r="D160" s="965">
        <f t="shared" si="58"/>
        <v>0</v>
      </c>
      <c r="E160" s="965">
        <f t="shared" si="58"/>
        <v>0</v>
      </c>
      <c r="F160" s="965">
        <f t="shared" si="58"/>
        <v>0</v>
      </c>
      <c r="G160" s="965">
        <f t="shared" si="58"/>
        <v>0</v>
      </c>
      <c r="H160" s="965">
        <f t="shared" si="58"/>
        <v>0</v>
      </c>
      <c r="I160" s="965">
        <f t="shared" si="58"/>
        <v>0</v>
      </c>
      <c r="J160" s="965">
        <f t="shared" si="58"/>
        <v>0</v>
      </c>
      <c r="K160" s="965">
        <f t="shared" si="58"/>
        <v>0</v>
      </c>
      <c r="L160" s="965">
        <f t="shared" si="58"/>
        <v>0</v>
      </c>
      <c r="M160" s="965">
        <f t="shared" si="58"/>
        <v>0</v>
      </c>
      <c r="N160" s="965">
        <f t="shared" si="58"/>
        <v>0</v>
      </c>
      <c r="O160" s="965">
        <f t="shared" si="58"/>
        <v>0</v>
      </c>
      <c r="P160" s="965">
        <f t="shared" si="58"/>
        <v>0</v>
      </c>
      <c r="Q160" s="965">
        <f t="shared" si="58"/>
        <v>0</v>
      </c>
      <c r="R160" s="965">
        <f t="shared" si="58"/>
        <v>7283893.3338023908</v>
      </c>
      <c r="S160" s="965">
        <f t="shared" si="58"/>
        <v>6555504.0004221518</v>
      </c>
      <c r="T160" s="965">
        <f t="shared" si="58"/>
        <v>5827114.6670419127</v>
      </c>
      <c r="U160" s="965">
        <f t="shared" si="58"/>
        <v>5098725.3336616736</v>
      </c>
      <c r="V160" s="965">
        <f t="shared" si="58"/>
        <v>4370336.0002814345</v>
      </c>
      <c r="W160" s="965">
        <f t="shared" si="58"/>
        <v>3641946.6669011954</v>
      </c>
      <c r="X160" s="965">
        <f t="shared" si="58"/>
        <v>2913557.3335209563</v>
      </c>
      <c r="Y160" s="965">
        <f t="shared" si="58"/>
        <v>2185168.0001407173</v>
      </c>
      <c r="Z160" s="965">
        <f t="shared" si="58"/>
        <v>1456778.6667604782</v>
      </c>
      <c r="AA160" s="965">
        <f t="shared" si="58"/>
        <v>728389.33338023908</v>
      </c>
      <c r="AB160" s="965">
        <f t="shared" si="58"/>
        <v>0</v>
      </c>
      <c r="AC160" s="965">
        <f t="shared" si="58"/>
        <v>0</v>
      </c>
      <c r="AD160" s="965">
        <f t="shared" si="58"/>
        <v>0</v>
      </c>
      <c r="AE160" s="965">
        <f t="shared" si="58"/>
        <v>0</v>
      </c>
      <c r="AF160" s="965">
        <f t="shared" si="58"/>
        <v>0</v>
      </c>
      <c r="AG160" s="965">
        <f t="shared" si="58"/>
        <v>0</v>
      </c>
      <c r="AH160" s="965">
        <f t="shared" si="58"/>
        <v>0</v>
      </c>
      <c r="AI160" s="965">
        <f t="shared" si="58"/>
        <v>0</v>
      </c>
      <c r="AJ160" s="965">
        <f t="shared" si="58"/>
        <v>0</v>
      </c>
      <c r="AK160" s="965">
        <f t="shared" si="58"/>
        <v>0</v>
      </c>
      <c r="AL160" s="965">
        <f t="shared" si="58"/>
        <v>0</v>
      </c>
      <c r="AM160" s="965">
        <f t="shared" si="58"/>
        <v>0</v>
      </c>
      <c r="AN160" s="965">
        <f t="shared" si="58"/>
        <v>0</v>
      </c>
      <c r="AO160" s="965">
        <f t="shared" si="58"/>
        <v>0</v>
      </c>
      <c r="AP160" s="965">
        <f t="shared" si="58"/>
        <v>0</v>
      </c>
      <c r="AQ160" s="965">
        <f t="shared" si="58"/>
        <v>0</v>
      </c>
      <c r="AR160" s="965">
        <f t="shared" si="58"/>
        <v>0</v>
      </c>
      <c r="AS160" s="965">
        <f t="shared" si="58"/>
        <v>0</v>
      </c>
      <c r="AT160" s="965">
        <f t="shared" si="58"/>
        <v>0</v>
      </c>
      <c r="AU160" s="166"/>
      <c r="AV160" s="166"/>
      <c r="AW160" s="166"/>
      <c r="AX160" s="166"/>
      <c r="AY160" s="166"/>
      <c r="AZ160" s="166"/>
      <c r="BA160" s="166"/>
      <c r="BB160" s="166"/>
      <c r="BC160" s="166"/>
      <c r="BD160" s="166"/>
      <c r="BE160" s="166"/>
      <c r="BF160" s="166"/>
      <c r="BG160" s="166"/>
      <c r="BH160" s="166"/>
      <c r="BI160" s="166"/>
      <c r="BJ160" s="166"/>
      <c r="BK160" s="166"/>
      <c r="BL160" s="166"/>
      <c r="BM160" s="166"/>
      <c r="BN160" s="166"/>
    </row>
    <row r="161" spans="2:66" x14ac:dyDescent="0.25">
      <c r="B161" s="831" t="str">
        <f t="shared" si="57"/>
        <v>Activos nuevos 2 - Depreciacion 15 años</v>
      </c>
      <c r="C161" s="965">
        <f t="shared" si="58"/>
        <v>0</v>
      </c>
      <c r="D161" s="965">
        <f t="shared" si="58"/>
        <v>0</v>
      </c>
      <c r="E161" s="965">
        <f t="shared" si="58"/>
        <v>0</v>
      </c>
      <c r="F161" s="965">
        <f t="shared" si="58"/>
        <v>0</v>
      </c>
      <c r="G161" s="965">
        <f t="shared" si="58"/>
        <v>0</v>
      </c>
      <c r="H161" s="965">
        <f t="shared" si="58"/>
        <v>0</v>
      </c>
      <c r="I161" s="965">
        <f t="shared" si="58"/>
        <v>0</v>
      </c>
      <c r="J161" s="965">
        <f t="shared" si="58"/>
        <v>0</v>
      </c>
      <c r="K161" s="965">
        <f t="shared" si="58"/>
        <v>0</v>
      </c>
      <c r="L161" s="965">
        <f t="shared" si="58"/>
        <v>0</v>
      </c>
      <c r="M161" s="965">
        <f t="shared" si="58"/>
        <v>0</v>
      </c>
      <c r="N161" s="965">
        <f t="shared" si="58"/>
        <v>0</v>
      </c>
      <c r="O161" s="965">
        <f t="shared" si="58"/>
        <v>0</v>
      </c>
      <c r="P161" s="965">
        <f t="shared" si="58"/>
        <v>0</v>
      </c>
      <c r="Q161" s="965">
        <f t="shared" si="58"/>
        <v>0</v>
      </c>
      <c r="R161" s="965">
        <f t="shared" si="58"/>
        <v>0</v>
      </c>
      <c r="S161" s="965">
        <f t="shared" si="58"/>
        <v>0</v>
      </c>
      <c r="T161" s="965">
        <f t="shared" si="58"/>
        <v>0</v>
      </c>
      <c r="U161" s="965">
        <f t="shared" si="58"/>
        <v>0</v>
      </c>
      <c r="V161" s="965">
        <f t="shared" si="58"/>
        <v>0</v>
      </c>
      <c r="W161" s="965">
        <f t="shared" si="58"/>
        <v>0</v>
      </c>
      <c r="X161" s="965">
        <f t="shared" si="58"/>
        <v>-1453440.5611895286</v>
      </c>
      <c r="Y161" s="965">
        <f t="shared" si="58"/>
        <v>-1453440.5611895286</v>
      </c>
      <c r="Z161" s="965">
        <f t="shared" si="58"/>
        <v>-1453440.5611895286</v>
      </c>
      <c r="AA161" s="965">
        <f t="shared" si="58"/>
        <v>-1453440.5611895286</v>
      </c>
      <c r="AB161" s="965">
        <f t="shared" si="58"/>
        <v>-1453440.5611895286</v>
      </c>
      <c r="AC161" s="965">
        <f t="shared" si="58"/>
        <v>-1453440.5611895286</v>
      </c>
      <c r="AD161" s="965">
        <f t="shared" si="58"/>
        <v>-1453440.5611895286</v>
      </c>
      <c r="AE161" s="965">
        <f t="shared" si="58"/>
        <v>-1453440.5611895286</v>
      </c>
      <c r="AF161" s="965">
        <f t="shared" si="58"/>
        <v>-1453440.5611895286</v>
      </c>
      <c r="AG161" s="965">
        <f t="shared" si="58"/>
        <v>-1453440.5611895286</v>
      </c>
      <c r="AH161" s="965">
        <f t="shared" si="58"/>
        <v>-1453440.5611895286</v>
      </c>
      <c r="AI161" s="965">
        <f t="shared" si="58"/>
        <v>-1453440.5611895286</v>
      </c>
      <c r="AJ161" s="965">
        <f t="shared" si="58"/>
        <v>-1453440.5611895286</v>
      </c>
      <c r="AK161" s="965">
        <f t="shared" si="58"/>
        <v>-1453440.5611895286</v>
      </c>
      <c r="AL161" s="965">
        <f t="shared" si="58"/>
        <v>-1453440.5611895286</v>
      </c>
      <c r="AM161" s="965">
        <f t="shared" si="58"/>
        <v>0</v>
      </c>
      <c r="AN161" s="965">
        <f t="shared" si="58"/>
        <v>0</v>
      </c>
      <c r="AO161" s="965">
        <f t="shared" si="58"/>
        <v>0</v>
      </c>
      <c r="AP161" s="965">
        <f t="shared" si="58"/>
        <v>0</v>
      </c>
      <c r="AQ161" s="965">
        <f t="shared" si="58"/>
        <v>0</v>
      </c>
      <c r="AR161" s="965">
        <f t="shared" si="58"/>
        <v>0</v>
      </c>
      <c r="AS161" s="965">
        <f t="shared" si="58"/>
        <v>0</v>
      </c>
      <c r="AT161" s="965">
        <f t="shared" si="58"/>
        <v>0</v>
      </c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/>
      <c r="BK161" s="166"/>
      <c r="BL161" s="166"/>
      <c r="BM161" s="166"/>
      <c r="BN161" s="166"/>
    </row>
    <row r="162" spans="2:66" x14ac:dyDescent="0.25">
      <c r="B162" s="831" t="str">
        <f t="shared" si="57"/>
        <v>Activos nuevos 2 - Valor residual</v>
      </c>
      <c r="C162" s="965">
        <f t="shared" si="58"/>
        <v>0</v>
      </c>
      <c r="D162" s="965">
        <f t="shared" si="58"/>
        <v>0</v>
      </c>
      <c r="E162" s="965">
        <f t="shared" si="58"/>
        <v>0</v>
      </c>
      <c r="F162" s="965">
        <f t="shared" si="58"/>
        <v>0</v>
      </c>
      <c r="G162" s="965">
        <f t="shared" si="58"/>
        <v>0</v>
      </c>
      <c r="H162" s="965">
        <f t="shared" si="58"/>
        <v>0</v>
      </c>
      <c r="I162" s="965">
        <f t="shared" si="58"/>
        <v>0</v>
      </c>
      <c r="J162" s="965">
        <f t="shared" si="58"/>
        <v>0</v>
      </c>
      <c r="K162" s="965">
        <f t="shared" si="58"/>
        <v>0</v>
      </c>
      <c r="L162" s="965">
        <f t="shared" si="58"/>
        <v>0</v>
      </c>
      <c r="M162" s="965">
        <f t="shared" si="58"/>
        <v>0</v>
      </c>
      <c r="N162" s="965">
        <f t="shared" si="58"/>
        <v>0</v>
      </c>
      <c r="O162" s="965">
        <f t="shared" si="58"/>
        <v>0</v>
      </c>
      <c r="P162" s="965">
        <f t="shared" si="58"/>
        <v>0</v>
      </c>
      <c r="Q162" s="965">
        <f t="shared" si="58"/>
        <v>0</v>
      </c>
      <c r="R162" s="965">
        <f t="shared" si="58"/>
        <v>0</v>
      </c>
      <c r="S162" s="965">
        <f t="shared" si="58"/>
        <v>0</v>
      </c>
      <c r="T162" s="965">
        <f t="shared" si="58"/>
        <v>0</v>
      </c>
      <c r="U162" s="965">
        <f t="shared" si="58"/>
        <v>0</v>
      </c>
      <c r="V162" s="965">
        <f t="shared" si="58"/>
        <v>0</v>
      </c>
      <c r="W162" s="965">
        <f t="shared" si="58"/>
        <v>0</v>
      </c>
      <c r="X162" s="965">
        <f t="shared" si="58"/>
        <v>20348167.8566534</v>
      </c>
      <c r="Y162" s="965">
        <f t="shared" si="58"/>
        <v>18894727.295463871</v>
      </c>
      <c r="Z162" s="965">
        <f t="shared" si="58"/>
        <v>17441286.734274343</v>
      </c>
      <c r="AA162" s="965">
        <f t="shared" si="58"/>
        <v>15987846.173084814</v>
      </c>
      <c r="AB162" s="965">
        <f t="shared" si="58"/>
        <v>14534405.611895286</v>
      </c>
      <c r="AC162" s="965">
        <f t="shared" si="58"/>
        <v>13080965.050705757</v>
      </c>
      <c r="AD162" s="965">
        <f t="shared" si="58"/>
        <v>11627524.489516228</v>
      </c>
      <c r="AE162" s="965">
        <f t="shared" si="58"/>
        <v>10174083.9283267</v>
      </c>
      <c r="AF162" s="965">
        <f t="shared" si="58"/>
        <v>8720643.3671371713</v>
      </c>
      <c r="AG162" s="965">
        <f t="shared" si="58"/>
        <v>7267202.8059476428</v>
      </c>
      <c r="AH162" s="965">
        <f t="shared" si="58"/>
        <v>5813762.2447581142</v>
      </c>
      <c r="AI162" s="965">
        <f t="shared" si="58"/>
        <v>4360321.6835685857</v>
      </c>
      <c r="AJ162" s="965">
        <f t="shared" si="58"/>
        <v>2906881.1223790571</v>
      </c>
      <c r="AK162" s="965">
        <f t="shared" si="58"/>
        <v>1453440.5611895286</v>
      </c>
      <c r="AL162" s="965">
        <f t="shared" si="58"/>
        <v>0</v>
      </c>
      <c r="AM162" s="965">
        <f t="shared" si="58"/>
        <v>0</v>
      </c>
      <c r="AN162" s="965">
        <f t="shared" si="58"/>
        <v>0</v>
      </c>
      <c r="AO162" s="965">
        <f t="shared" si="58"/>
        <v>0</v>
      </c>
      <c r="AP162" s="965">
        <f t="shared" si="58"/>
        <v>0</v>
      </c>
      <c r="AQ162" s="965">
        <f t="shared" si="58"/>
        <v>0</v>
      </c>
      <c r="AR162" s="965">
        <f t="shared" si="58"/>
        <v>0</v>
      </c>
      <c r="AS162" s="965">
        <f t="shared" si="58"/>
        <v>0</v>
      </c>
      <c r="AT162" s="965">
        <f t="shared" si="58"/>
        <v>0</v>
      </c>
      <c r="AU162" s="166"/>
      <c r="AV162" s="166"/>
      <c r="AW162" s="166"/>
      <c r="AX162" s="166"/>
      <c r="AY162" s="166"/>
      <c r="AZ162" s="166"/>
      <c r="BA162" s="166"/>
      <c r="BB162" s="166"/>
      <c r="BC162" s="166"/>
      <c r="BD162" s="166"/>
      <c r="BE162" s="166"/>
      <c r="BF162" s="166"/>
      <c r="BG162" s="166"/>
      <c r="BH162" s="166"/>
      <c r="BI162" s="166"/>
      <c r="BJ162" s="166"/>
      <c r="BK162" s="166"/>
      <c r="BL162" s="166"/>
      <c r="BM162" s="166"/>
      <c r="BN162" s="166"/>
    </row>
    <row r="163" spans="2:66" x14ac:dyDescent="0.25">
      <c r="B163" s="831" t="str">
        <f t="shared" si="57"/>
        <v>Activos nuevos 3 - Depreciacion 10 años</v>
      </c>
      <c r="C163" s="965">
        <f t="shared" si="58"/>
        <v>0</v>
      </c>
      <c r="D163" s="965">
        <f t="shared" si="58"/>
        <v>0</v>
      </c>
      <c r="E163" s="965">
        <f t="shared" si="58"/>
        <v>0</v>
      </c>
      <c r="F163" s="965">
        <f t="shared" si="58"/>
        <v>0</v>
      </c>
      <c r="G163" s="965">
        <f t="shared" si="58"/>
        <v>0</v>
      </c>
      <c r="H163" s="965">
        <f t="shared" si="58"/>
        <v>0</v>
      </c>
      <c r="I163" s="965">
        <f t="shared" si="58"/>
        <v>0</v>
      </c>
      <c r="J163" s="965">
        <f t="shared" si="58"/>
        <v>0</v>
      </c>
      <c r="K163" s="965">
        <f t="shared" si="58"/>
        <v>0</v>
      </c>
      <c r="L163" s="965">
        <f t="shared" si="58"/>
        <v>0</v>
      </c>
      <c r="M163" s="965">
        <f t="shared" si="58"/>
        <v>0</v>
      </c>
      <c r="N163" s="965">
        <f t="shared" si="58"/>
        <v>0</v>
      </c>
      <c r="O163" s="965">
        <f t="shared" si="58"/>
        <v>0</v>
      </c>
      <c r="P163" s="965">
        <f t="shared" si="58"/>
        <v>0</v>
      </c>
      <c r="Q163" s="965">
        <f t="shared" si="58"/>
        <v>0</v>
      </c>
      <c r="R163" s="965">
        <f t="shared" si="58"/>
        <v>0</v>
      </c>
      <c r="S163" s="965">
        <f t="shared" si="58"/>
        <v>0</v>
      </c>
      <c r="T163" s="965">
        <f t="shared" si="58"/>
        <v>0</v>
      </c>
      <c r="U163" s="965">
        <f t="shared" si="58"/>
        <v>0</v>
      </c>
      <c r="V163" s="965">
        <f t="shared" si="58"/>
        <v>0</v>
      </c>
      <c r="W163" s="965">
        <f t="shared" si="58"/>
        <v>0</v>
      </c>
      <c r="X163" s="965">
        <f t="shared" si="58"/>
        <v>0</v>
      </c>
      <c r="Y163" s="965">
        <f t="shared" si="58"/>
        <v>0</v>
      </c>
      <c r="Z163" s="965">
        <f t="shared" si="58"/>
        <v>0</v>
      </c>
      <c r="AA163" s="965">
        <f t="shared" si="58"/>
        <v>0</v>
      </c>
      <c r="AB163" s="965">
        <f t="shared" si="58"/>
        <v>0</v>
      </c>
      <c r="AC163" s="965">
        <f t="shared" si="58"/>
        <v>-903839.85404605814</v>
      </c>
      <c r="AD163" s="965">
        <f t="shared" si="58"/>
        <v>-903839.85404605814</v>
      </c>
      <c r="AE163" s="965">
        <f t="shared" si="58"/>
        <v>-903839.85404605814</v>
      </c>
      <c r="AF163" s="965">
        <f t="shared" si="58"/>
        <v>-903839.85404605814</v>
      </c>
      <c r="AG163" s="965">
        <f t="shared" si="58"/>
        <v>-903839.85404605814</v>
      </c>
      <c r="AH163" s="965">
        <f t="shared" si="58"/>
        <v>-903839.85404605814</v>
      </c>
      <c r="AI163" s="965">
        <f t="shared" si="58"/>
        <v>-903839.85404605814</v>
      </c>
      <c r="AJ163" s="965">
        <f t="shared" si="58"/>
        <v>-903839.85404605814</v>
      </c>
      <c r="AK163" s="965">
        <f t="shared" si="58"/>
        <v>-903839.85404605814</v>
      </c>
      <c r="AL163" s="965">
        <f t="shared" si="58"/>
        <v>-903839.85404605814</v>
      </c>
      <c r="AM163" s="965">
        <f t="shared" si="58"/>
        <v>-903839.85404605814</v>
      </c>
      <c r="AN163" s="965">
        <f t="shared" si="58"/>
        <v>0</v>
      </c>
      <c r="AO163" s="965">
        <f t="shared" si="58"/>
        <v>0</v>
      </c>
      <c r="AP163" s="965">
        <f t="shared" si="58"/>
        <v>0</v>
      </c>
      <c r="AQ163" s="965">
        <f t="shared" si="58"/>
        <v>0</v>
      </c>
      <c r="AR163" s="965">
        <f t="shared" si="58"/>
        <v>0</v>
      </c>
      <c r="AS163" s="965">
        <f t="shared" si="58"/>
        <v>0</v>
      </c>
      <c r="AT163" s="965">
        <f t="shared" si="58"/>
        <v>0</v>
      </c>
      <c r="AU163" s="166"/>
      <c r="AV163" s="166"/>
      <c r="AW163" s="166"/>
      <c r="AX163" s="166"/>
      <c r="AY163" s="166"/>
      <c r="AZ163" s="166"/>
      <c r="BA163" s="166"/>
      <c r="BB163" s="166"/>
      <c r="BC163" s="166"/>
      <c r="BD163" s="166"/>
      <c r="BE163" s="166"/>
      <c r="BF163" s="166"/>
      <c r="BG163" s="166"/>
      <c r="BH163" s="166"/>
      <c r="BI163" s="166"/>
      <c r="BJ163" s="166"/>
      <c r="BK163" s="166"/>
      <c r="BL163" s="166"/>
      <c r="BM163" s="166"/>
      <c r="BN163" s="166"/>
    </row>
    <row r="164" spans="2:66" x14ac:dyDescent="0.25">
      <c r="B164" s="831" t="str">
        <f t="shared" si="57"/>
        <v>Activos nuevos 3 - Valor residual</v>
      </c>
      <c r="C164" s="965">
        <f t="shared" si="58"/>
        <v>0</v>
      </c>
      <c r="D164" s="965">
        <f t="shared" si="58"/>
        <v>0</v>
      </c>
      <c r="E164" s="965">
        <f t="shared" si="58"/>
        <v>0</v>
      </c>
      <c r="F164" s="965">
        <f t="shared" si="58"/>
        <v>0</v>
      </c>
      <c r="G164" s="965">
        <f t="shared" si="58"/>
        <v>0</v>
      </c>
      <c r="H164" s="965">
        <f t="shared" si="58"/>
        <v>0</v>
      </c>
      <c r="I164" s="965">
        <f t="shared" si="58"/>
        <v>0</v>
      </c>
      <c r="J164" s="965">
        <f t="shared" si="58"/>
        <v>0</v>
      </c>
      <c r="K164" s="965">
        <f t="shared" si="58"/>
        <v>0</v>
      </c>
      <c r="L164" s="965">
        <f t="shared" si="58"/>
        <v>0</v>
      </c>
      <c r="M164" s="965">
        <f t="shared" si="58"/>
        <v>0</v>
      </c>
      <c r="N164" s="965">
        <f t="shared" si="58"/>
        <v>0</v>
      </c>
      <c r="O164" s="965">
        <f t="shared" si="58"/>
        <v>0</v>
      </c>
      <c r="P164" s="965">
        <f t="shared" si="58"/>
        <v>0</v>
      </c>
      <c r="Q164" s="965">
        <f t="shared" si="58"/>
        <v>0</v>
      </c>
      <c r="R164" s="965">
        <f t="shared" si="58"/>
        <v>0</v>
      </c>
      <c r="S164" s="965">
        <f t="shared" si="58"/>
        <v>0</v>
      </c>
      <c r="T164" s="965">
        <f t="shared" si="58"/>
        <v>0</v>
      </c>
      <c r="U164" s="965">
        <f t="shared" si="58"/>
        <v>0</v>
      </c>
      <c r="V164" s="965">
        <f t="shared" si="58"/>
        <v>0</v>
      </c>
      <c r="W164" s="965">
        <f t="shared" si="58"/>
        <v>0</v>
      </c>
      <c r="X164" s="965">
        <f t="shared" si="58"/>
        <v>0</v>
      </c>
      <c r="Y164" s="965">
        <f t="shared" si="58"/>
        <v>0</v>
      </c>
      <c r="Z164" s="965">
        <f t="shared" si="58"/>
        <v>0</v>
      </c>
      <c r="AA164" s="965">
        <f t="shared" si="58"/>
        <v>0</v>
      </c>
      <c r="AB164" s="965">
        <f t="shared" si="58"/>
        <v>0</v>
      </c>
      <c r="AC164" s="965">
        <f t="shared" si="58"/>
        <v>9038398.540460581</v>
      </c>
      <c r="AD164" s="965">
        <f t="shared" si="58"/>
        <v>8134558.6864145231</v>
      </c>
      <c r="AE164" s="965">
        <f t="shared" si="58"/>
        <v>7230718.8323684651</v>
      </c>
      <c r="AF164" s="965">
        <f t="shared" si="58"/>
        <v>6326878.9783224072</v>
      </c>
      <c r="AG164" s="965">
        <f t="shared" si="58"/>
        <v>5423039.1242763493</v>
      </c>
      <c r="AH164" s="965">
        <f t="shared" si="58"/>
        <v>4519199.2702302914</v>
      </c>
      <c r="AI164" s="965">
        <f t="shared" si="58"/>
        <v>3615359.4161842335</v>
      </c>
      <c r="AJ164" s="965">
        <f t="shared" si="58"/>
        <v>2711519.5621381756</v>
      </c>
      <c r="AK164" s="965">
        <f t="shared" si="58"/>
        <v>1807679.7080921174</v>
      </c>
      <c r="AL164" s="965">
        <f t="shared" si="58"/>
        <v>903839.85404605931</v>
      </c>
      <c r="AM164" s="965">
        <f t="shared" si="58"/>
        <v>1.1641532182693481E-9</v>
      </c>
      <c r="AN164" s="965">
        <f t="shared" si="58"/>
        <v>0</v>
      </c>
      <c r="AO164" s="965">
        <f t="shared" si="58"/>
        <v>0</v>
      </c>
      <c r="AP164" s="965">
        <f t="shared" si="58"/>
        <v>0</v>
      </c>
      <c r="AQ164" s="965">
        <f t="shared" si="58"/>
        <v>0</v>
      </c>
      <c r="AR164" s="965">
        <f t="shared" ref="C164:AT166" si="59">AR88</f>
        <v>0</v>
      </c>
      <c r="AS164" s="965">
        <f t="shared" si="59"/>
        <v>0</v>
      </c>
      <c r="AT164" s="965">
        <f t="shared" si="59"/>
        <v>0</v>
      </c>
      <c r="AU164" s="166"/>
      <c r="AV164" s="166"/>
      <c r="AW164" s="166"/>
      <c r="AX164" s="166"/>
      <c r="AY164" s="166"/>
      <c r="AZ164" s="166"/>
      <c r="BA164" s="166"/>
      <c r="BB164" s="166"/>
      <c r="BC164" s="166"/>
      <c r="BD164" s="166"/>
      <c r="BE164" s="166"/>
      <c r="BF164" s="166"/>
      <c r="BG164" s="166"/>
      <c r="BH164" s="166"/>
      <c r="BI164" s="166"/>
      <c r="BJ164" s="166"/>
      <c r="BK164" s="166"/>
      <c r="BL164" s="166"/>
      <c r="BM164" s="166"/>
      <c r="BN164" s="166"/>
    </row>
    <row r="165" spans="2:66" x14ac:dyDescent="0.25">
      <c r="B165" s="831" t="str">
        <f t="shared" si="57"/>
        <v>Activos nuevos 4 - Depreciacion 15 años</v>
      </c>
      <c r="C165" s="965">
        <f t="shared" si="59"/>
        <v>0</v>
      </c>
      <c r="D165" s="965">
        <f t="shared" si="59"/>
        <v>0</v>
      </c>
      <c r="E165" s="965">
        <f t="shared" si="59"/>
        <v>0</v>
      </c>
      <c r="F165" s="965">
        <f t="shared" si="59"/>
        <v>0</v>
      </c>
      <c r="G165" s="965">
        <f t="shared" si="59"/>
        <v>0</v>
      </c>
      <c r="H165" s="965">
        <f t="shared" si="59"/>
        <v>0</v>
      </c>
      <c r="I165" s="965">
        <f t="shared" si="59"/>
        <v>0</v>
      </c>
      <c r="J165" s="965">
        <f t="shared" si="59"/>
        <v>0</v>
      </c>
      <c r="K165" s="965">
        <f t="shared" si="59"/>
        <v>0</v>
      </c>
      <c r="L165" s="965">
        <f t="shared" si="59"/>
        <v>0</v>
      </c>
      <c r="M165" s="965">
        <f t="shared" si="59"/>
        <v>0</v>
      </c>
      <c r="N165" s="965">
        <f t="shared" si="59"/>
        <v>0</v>
      </c>
      <c r="O165" s="965">
        <f t="shared" si="59"/>
        <v>0</v>
      </c>
      <c r="P165" s="965">
        <f t="shared" si="59"/>
        <v>0</v>
      </c>
      <c r="Q165" s="965">
        <f t="shared" si="59"/>
        <v>0</v>
      </c>
      <c r="R165" s="965">
        <f t="shared" si="59"/>
        <v>0</v>
      </c>
      <c r="S165" s="965">
        <f t="shared" si="59"/>
        <v>0</v>
      </c>
      <c r="T165" s="965">
        <f t="shared" si="59"/>
        <v>0</v>
      </c>
      <c r="U165" s="965">
        <f t="shared" si="59"/>
        <v>0</v>
      </c>
      <c r="V165" s="965">
        <f t="shared" si="59"/>
        <v>0</v>
      </c>
      <c r="W165" s="965">
        <f t="shared" si="59"/>
        <v>0</v>
      </c>
      <c r="X165" s="965">
        <f t="shared" si="59"/>
        <v>0</v>
      </c>
      <c r="Y165" s="965">
        <f t="shared" si="59"/>
        <v>0</v>
      </c>
      <c r="Z165" s="965">
        <f t="shared" si="59"/>
        <v>0</v>
      </c>
      <c r="AA165" s="965">
        <f t="shared" si="59"/>
        <v>0</v>
      </c>
      <c r="AB165" s="965">
        <f t="shared" si="59"/>
        <v>0</v>
      </c>
      <c r="AC165" s="965">
        <f t="shared" si="59"/>
        <v>0</v>
      </c>
      <c r="AD165" s="965">
        <f t="shared" si="59"/>
        <v>0</v>
      </c>
      <c r="AE165" s="965">
        <f t="shared" si="59"/>
        <v>0</v>
      </c>
      <c r="AF165" s="965">
        <f t="shared" si="59"/>
        <v>0</v>
      </c>
      <c r="AG165" s="965">
        <f t="shared" si="59"/>
        <v>0</v>
      </c>
      <c r="AH165" s="965">
        <f t="shared" si="59"/>
        <v>0</v>
      </c>
      <c r="AI165" s="965">
        <f t="shared" si="59"/>
        <v>0</v>
      </c>
      <c r="AJ165" s="965">
        <f t="shared" si="59"/>
        <v>0</v>
      </c>
      <c r="AK165" s="965">
        <f t="shared" si="59"/>
        <v>0</v>
      </c>
      <c r="AL165" s="965">
        <f t="shared" si="59"/>
        <v>0</v>
      </c>
      <c r="AM165" s="965">
        <f t="shared" si="59"/>
        <v>0</v>
      </c>
      <c r="AN165" s="965">
        <f t="shared" si="59"/>
        <v>0</v>
      </c>
      <c r="AO165" s="965">
        <f t="shared" si="59"/>
        <v>-2934984.6362588019</v>
      </c>
      <c r="AP165" s="965">
        <f t="shared" si="59"/>
        <v>-2934984.6362588019</v>
      </c>
      <c r="AQ165" s="965">
        <f t="shared" si="59"/>
        <v>-2934984.6362588019</v>
      </c>
      <c r="AR165" s="965">
        <f t="shared" si="59"/>
        <v>-2934984.6362588019</v>
      </c>
      <c r="AS165" s="965">
        <f t="shared" si="59"/>
        <v>-2934984.6362588019</v>
      </c>
      <c r="AT165" s="965">
        <f t="shared" si="59"/>
        <v>-2934984.6362588019</v>
      </c>
      <c r="AU165" s="166"/>
      <c r="AV165" s="166"/>
      <c r="AW165" s="166"/>
      <c r="AX165" s="166"/>
      <c r="AY165" s="166"/>
      <c r="AZ165" s="166"/>
      <c r="BA165" s="166"/>
      <c r="BB165" s="166"/>
      <c r="BC165" s="166"/>
      <c r="BD165" s="166"/>
      <c r="BE165" s="166"/>
      <c r="BF165" s="166"/>
      <c r="BG165" s="166"/>
      <c r="BH165" s="166"/>
      <c r="BI165" s="166"/>
      <c r="BJ165" s="166"/>
      <c r="BK165" s="166"/>
      <c r="BL165" s="166"/>
      <c r="BM165" s="166"/>
      <c r="BN165" s="166"/>
    </row>
    <row r="166" spans="2:66" x14ac:dyDescent="0.25">
      <c r="B166" s="846" t="str">
        <f t="shared" si="57"/>
        <v>Activos nuevos 4 - Valor residual</v>
      </c>
      <c r="C166" s="968">
        <f t="shared" si="59"/>
        <v>0</v>
      </c>
      <c r="D166" s="968">
        <f t="shared" si="59"/>
        <v>0</v>
      </c>
      <c r="E166" s="968">
        <f t="shared" si="59"/>
        <v>0</v>
      </c>
      <c r="F166" s="968">
        <f t="shared" si="59"/>
        <v>0</v>
      </c>
      <c r="G166" s="968">
        <f t="shared" si="59"/>
        <v>0</v>
      </c>
      <c r="H166" s="968">
        <f t="shared" si="59"/>
        <v>0</v>
      </c>
      <c r="I166" s="968">
        <f t="shared" si="59"/>
        <v>0</v>
      </c>
      <c r="J166" s="968">
        <f t="shared" si="59"/>
        <v>0</v>
      </c>
      <c r="K166" s="968">
        <f t="shared" si="59"/>
        <v>0</v>
      </c>
      <c r="L166" s="968">
        <f t="shared" si="59"/>
        <v>0</v>
      </c>
      <c r="M166" s="968">
        <f t="shared" si="59"/>
        <v>0</v>
      </c>
      <c r="N166" s="968">
        <f t="shared" si="59"/>
        <v>0</v>
      </c>
      <c r="O166" s="968">
        <f t="shared" si="59"/>
        <v>0</v>
      </c>
      <c r="P166" s="968">
        <f t="shared" si="59"/>
        <v>0</v>
      </c>
      <c r="Q166" s="968">
        <f t="shared" si="59"/>
        <v>0</v>
      </c>
      <c r="R166" s="968">
        <f t="shared" si="59"/>
        <v>0</v>
      </c>
      <c r="S166" s="968">
        <f t="shared" si="59"/>
        <v>0</v>
      </c>
      <c r="T166" s="968">
        <f t="shared" si="59"/>
        <v>0</v>
      </c>
      <c r="U166" s="968">
        <f t="shared" si="59"/>
        <v>0</v>
      </c>
      <c r="V166" s="968">
        <f t="shared" si="59"/>
        <v>0</v>
      </c>
      <c r="W166" s="968">
        <f t="shared" si="59"/>
        <v>0</v>
      </c>
      <c r="X166" s="968">
        <f t="shared" si="59"/>
        <v>0</v>
      </c>
      <c r="Y166" s="968">
        <f t="shared" si="59"/>
        <v>0</v>
      </c>
      <c r="Z166" s="968">
        <f t="shared" si="59"/>
        <v>0</v>
      </c>
      <c r="AA166" s="968">
        <f t="shared" si="59"/>
        <v>0</v>
      </c>
      <c r="AB166" s="968">
        <f t="shared" si="59"/>
        <v>0</v>
      </c>
      <c r="AC166" s="968">
        <f t="shared" si="59"/>
        <v>0</v>
      </c>
      <c r="AD166" s="968">
        <f t="shared" si="59"/>
        <v>0</v>
      </c>
      <c r="AE166" s="968">
        <f t="shared" si="59"/>
        <v>0</v>
      </c>
      <c r="AF166" s="968">
        <f t="shared" si="59"/>
        <v>0</v>
      </c>
      <c r="AG166" s="968">
        <f t="shared" si="59"/>
        <v>0</v>
      </c>
      <c r="AH166" s="968">
        <f t="shared" si="59"/>
        <v>0</v>
      </c>
      <c r="AI166" s="968">
        <f t="shared" si="59"/>
        <v>0</v>
      </c>
      <c r="AJ166" s="968">
        <f t="shared" si="59"/>
        <v>0</v>
      </c>
      <c r="AK166" s="968">
        <f t="shared" si="59"/>
        <v>0</v>
      </c>
      <c r="AL166" s="968">
        <f t="shared" si="59"/>
        <v>0</v>
      </c>
      <c r="AM166" s="968">
        <f t="shared" si="59"/>
        <v>0</v>
      </c>
      <c r="AN166" s="968">
        <f t="shared" si="59"/>
        <v>0</v>
      </c>
      <c r="AO166" s="968">
        <f t="shared" si="59"/>
        <v>44024769.543882027</v>
      </c>
      <c r="AP166" s="968">
        <f t="shared" si="59"/>
        <v>41089784.907623224</v>
      </c>
      <c r="AQ166" s="968">
        <f t="shared" si="59"/>
        <v>38154800.271364421</v>
      </c>
      <c r="AR166" s="968">
        <f t="shared" si="59"/>
        <v>35219815.635105617</v>
      </c>
      <c r="AS166" s="968">
        <f t="shared" si="59"/>
        <v>32284830.998846814</v>
      </c>
      <c r="AT166" s="968">
        <f t="shared" si="59"/>
        <v>29349846.362588011</v>
      </c>
      <c r="AU166" s="166"/>
      <c r="AV166" s="166"/>
      <c r="AW166" s="166"/>
      <c r="AX166" s="166"/>
      <c r="AY166" s="166"/>
      <c r="AZ166" s="166"/>
      <c r="BA166" s="166"/>
      <c r="BB166" s="166"/>
      <c r="BC166" s="166"/>
      <c r="BD166" s="166"/>
      <c r="BE166" s="166"/>
      <c r="BF166" s="166"/>
      <c r="BG166" s="166"/>
      <c r="BH166" s="166"/>
      <c r="BI166" s="166"/>
      <c r="BJ166" s="166"/>
      <c r="BK166" s="166"/>
      <c r="BL166" s="166"/>
      <c r="BM166" s="166"/>
      <c r="BN166" s="166"/>
    </row>
    <row r="167" spans="2:66" x14ac:dyDescent="0.25">
      <c r="B167" s="845" t="s">
        <v>441</v>
      </c>
      <c r="C167" s="824">
        <v>0</v>
      </c>
      <c r="D167" s="824">
        <v>0</v>
      </c>
      <c r="E167" s="824">
        <v>0</v>
      </c>
      <c r="F167" s="824">
        <v>0</v>
      </c>
      <c r="G167" s="824">
        <f>SUM(G153:G157)+G159+G161+G163+G165</f>
        <v>-4476318.6173797483</v>
      </c>
      <c r="H167" s="824">
        <f t="shared" ref="H167:AT167" si="60">SUM(H153:H157)+H159+H161+H163+H165</f>
        <v>-4476318.6173797483</v>
      </c>
      <c r="I167" s="824">
        <f t="shared" si="60"/>
        <v>-4476318.6173797483</v>
      </c>
      <c r="J167" s="824">
        <f t="shared" si="60"/>
        <v>-4476318.6173797483</v>
      </c>
      <c r="K167" s="824">
        <f t="shared" si="60"/>
        <v>-4476318.6173797483</v>
      </c>
      <c r="L167" s="824">
        <f t="shared" si="60"/>
        <v>-4226566.6672863076</v>
      </c>
      <c r="M167" s="824">
        <f t="shared" si="60"/>
        <v>-4226566.6672863076</v>
      </c>
      <c r="N167" s="824">
        <f t="shared" si="60"/>
        <v>-4226566.6672863076</v>
      </c>
      <c r="O167" s="824">
        <f t="shared" si="60"/>
        <v>-4226566.6672863076</v>
      </c>
      <c r="P167" s="824">
        <f t="shared" si="60"/>
        <v>-4226566.6672863076</v>
      </c>
      <c r="Q167" s="824">
        <f t="shared" si="60"/>
        <v>-3636188.9104059879</v>
      </c>
      <c r="R167" s="824">
        <f t="shared" si="60"/>
        <v>-4364578.243786227</v>
      </c>
      <c r="S167" s="824">
        <f t="shared" si="60"/>
        <v>-4364578.243786227</v>
      </c>
      <c r="T167" s="824">
        <f t="shared" si="60"/>
        <v>-4364578.243786227</v>
      </c>
      <c r="U167" s="824">
        <f t="shared" si="60"/>
        <v>-4364578.243786227</v>
      </c>
      <c r="V167" s="824">
        <f t="shared" si="60"/>
        <v>-3330617.415194436</v>
      </c>
      <c r="W167" s="824">
        <f t="shared" si="60"/>
        <v>-3330617.415194436</v>
      </c>
      <c r="X167" s="824">
        <f t="shared" si="60"/>
        <v>-4784057.9763839645</v>
      </c>
      <c r="Y167" s="824">
        <f t="shared" si="60"/>
        <v>-4784057.9763839645</v>
      </c>
      <c r="Z167" s="824">
        <f t="shared" si="60"/>
        <v>-4784057.9763839645</v>
      </c>
      <c r="AA167" s="824">
        <f t="shared" si="60"/>
        <v>-4784057.9763839645</v>
      </c>
      <c r="AB167" s="824">
        <f t="shared" si="60"/>
        <v>-4784057.9763839645</v>
      </c>
      <c r="AC167" s="824">
        <f t="shared" si="60"/>
        <v>-4959508.4970497834</v>
      </c>
      <c r="AD167" s="824">
        <f t="shared" si="60"/>
        <v>-4959508.4970497834</v>
      </c>
      <c r="AE167" s="824">
        <f t="shared" si="60"/>
        <v>-4959508.4970497834</v>
      </c>
      <c r="AF167" s="824">
        <f t="shared" si="60"/>
        <v>-4959508.4970497834</v>
      </c>
      <c r="AG167" s="824">
        <f t="shared" si="60"/>
        <v>-4959508.4970497834</v>
      </c>
      <c r="AH167" s="824">
        <f t="shared" si="60"/>
        <v>-4959508.4970497834</v>
      </c>
      <c r="AI167" s="824">
        <f t="shared" si="60"/>
        <v>-4959508.4970497834</v>
      </c>
      <c r="AJ167" s="824">
        <f t="shared" si="60"/>
        <v>-4959508.4970497834</v>
      </c>
      <c r="AK167" s="824">
        <f t="shared" si="60"/>
        <v>-4959508.4970497834</v>
      </c>
      <c r="AL167" s="824">
        <f t="shared" si="60"/>
        <v>-4959508.4970497834</v>
      </c>
      <c r="AM167" s="824">
        <f t="shared" si="60"/>
        <v>-3506067.9358602548</v>
      </c>
      <c r="AN167" s="824">
        <f t="shared" si="60"/>
        <v>-2602228.0818141969</v>
      </c>
      <c r="AO167" s="824">
        <f t="shared" si="60"/>
        <v>-5537212.7180729993</v>
      </c>
      <c r="AP167" s="824">
        <f t="shared" si="60"/>
        <v>-5537212.7180729993</v>
      </c>
      <c r="AQ167" s="824">
        <f t="shared" si="60"/>
        <v>-5537212.7180729993</v>
      </c>
      <c r="AR167" s="824">
        <f t="shared" si="60"/>
        <v>-5537212.7180729993</v>
      </c>
      <c r="AS167" s="824">
        <f t="shared" si="60"/>
        <v>-5537212.7180729993</v>
      </c>
      <c r="AT167" s="824">
        <f t="shared" si="60"/>
        <v>-5537212.7180729993</v>
      </c>
      <c r="AU167" s="166"/>
      <c r="AV167" s="166"/>
      <c r="AW167" s="166"/>
      <c r="AX167" s="166"/>
      <c r="AY167" s="166"/>
      <c r="AZ167" s="166"/>
      <c r="BA167" s="166"/>
      <c r="BB167" s="166"/>
      <c r="BC167" s="166"/>
      <c r="BD167" s="166"/>
      <c r="BE167" s="166"/>
      <c r="BF167" s="166"/>
      <c r="BG167" s="166"/>
      <c r="BH167" s="166"/>
      <c r="BI167" s="166"/>
      <c r="BJ167" s="166"/>
      <c r="BK167" s="166"/>
      <c r="BL167" s="166"/>
      <c r="BM167" s="166"/>
      <c r="BN167" s="166"/>
    </row>
    <row r="168" spans="2:66" x14ac:dyDescent="0.25">
      <c r="B168" s="833" t="s">
        <v>435</v>
      </c>
      <c r="C168" s="824">
        <f>C158+C162+C166</f>
        <v>0</v>
      </c>
      <c r="D168" s="824">
        <f t="shared" ref="D168:F168" si="61">D158+D162+D166</f>
        <v>0</v>
      </c>
      <c r="E168" s="824">
        <f t="shared" si="61"/>
        <v>0</v>
      </c>
      <c r="F168" s="824">
        <f t="shared" si="61"/>
        <v>0</v>
      </c>
      <c r="G168" s="824">
        <f>G158+G160+G162+G164+G166</f>
        <v>151074474.56595954</v>
      </c>
      <c r="H168" s="824">
        <f t="shared" ref="H168:AT168" si="62">H158+H160+H162+H164+H166</f>
        <v>146598155.94857979</v>
      </c>
      <c r="I168" s="824">
        <f t="shared" si="62"/>
        <v>142121837.33120003</v>
      </c>
      <c r="J168" s="824">
        <f t="shared" si="62"/>
        <v>137645518.71382028</v>
      </c>
      <c r="K168" s="824">
        <f t="shared" si="62"/>
        <v>133169200.09644052</v>
      </c>
      <c r="L168" s="824">
        <f t="shared" si="62"/>
        <v>128942633.42915422</v>
      </c>
      <c r="M168" s="824">
        <f t="shared" si="62"/>
        <v>124716066.76186791</v>
      </c>
      <c r="N168" s="824">
        <f t="shared" si="62"/>
        <v>120489500.0945816</v>
      </c>
      <c r="O168" s="824">
        <f t="shared" si="62"/>
        <v>116262933.4272953</v>
      </c>
      <c r="P168" s="824">
        <f t="shared" si="62"/>
        <v>112036366.76000899</v>
      </c>
      <c r="Q168" s="824">
        <f t="shared" si="62"/>
        <v>108400177.849603</v>
      </c>
      <c r="R168" s="824">
        <f t="shared" si="62"/>
        <v>112047882.27299939</v>
      </c>
      <c r="S168" s="824">
        <f t="shared" si="62"/>
        <v>107683304.02921316</v>
      </c>
      <c r="T168" s="824">
        <f t="shared" si="62"/>
        <v>103318725.78542693</v>
      </c>
      <c r="U168" s="824">
        <f t="shared" si="62"/>
        <v>98954147.541640699</v>
      </c>
      <c r="V168" s="824">
        <f t="shared" si="62"/>
        <v>95623530.126446262</v>
      </c>
      <c r="W168" s="824">
        <f t="shared" si="62"/>
        <v>92292912.711251825</v>
      </c>
      <c r="X168" s="824">
        <f t="shared" si="62"/>
        <v>109310463.15271077</v>
      </c>
      <c r="Y168" s="824">
        <f t="shared" si="62"/>
        <v>104526405.17632681</v>
      </c>
      <c r="Z168" s="824">
        <f t="shared" si="62"/>
        <v>99742347.199942842</v>
      </c>
      <c r="AA168" s="824">
        <f t="shared" si="62"/>
        <v>94958289.223558873</v>
      </c>
      <c r="AB168" s="824">
        <f t="shared" si="62"/>
        <v>90174231.247174919</v>
      </c>
      <c r="AC168" s="824">
        <f t="shared" si="62"/>
        <v>95156961.144631773</v>
      </c>
      <c r="AD168" s="824">
        <f t="shared" si="62"/>
        <v>90197452.64758198</v>
      </c>
      <c r="AE168" s="824">
        <f t="shared" si="62"/>
        <v>85237944.150532186</v>
      </c>
      <c r="AF168" s="824">
        <f t="shared" si="62"/>
        <v>80278435.653482392</v>
      </c>
      <c r="AG168" s="824">
        <f t="shared" si="62"/>
        <v>75318927.156432629</v>
      </c>
      <c r="AH168" s="824">
        <f t="shared" si="62"/>
        <v>70359418.659382835</v>
      </c>
      <c r="AI168" s="824">
        <f t="shared" si="62"/>
        <v>65399910.162333041</v>
      </c>
      <c r="AJ168" s="824">
        <f t="shared" si="62"/>
        <v>60440401.665283263</v>
      </c>
      <c r="AK168" s="824">
        <f t="shared" si="62"/>
        <v>55480893.168233477</v>
      </c>
      <c r="AL168" s="824">
        <f t="shared" si="62"/>
        <v>50521384.67118369</v>
      </c>
      <c r="AM168" s="824">
        <f t="shared" si="62"/>
        <v>47015316.735323429</v>
      </c>
      <c r="AN168" s="824">
        <f t="shared" si="62"/>
        <v>44413088.653509229</v>
      </c>
      <c r="AO168" s="824">
        <f t="shared" si="62"/>
        <v>85835630.115577057</v>
      </c>
      <c r="AP168" s="824">
        <f t="shared" si="62"/>
        <v>80298417.397504061</v>
      </c>
      <c r="AQ168" s="824">
        <f t="shared" si="62"/>
        <v>74761204.679431051</v>
      </c>
      <c r="AR168" s="824">
        <f t="shared" si="62"/>
        <v>69223991.961358041</v>
      </c>
      <c r="AS168" s="824">
        <f t="shared" si="62"/>
        <v>63686779.243285045</v>
      </c>
      <c r="AT168" s="824">
        <f t="shared" si="62"/>
        <v>58149566.525212049</v>
      </c>
      <c r="AU168" s="166"/>
      <c r="AV168" s="166"/>
      <c r="AW168" s="166"/>
      <c r="AX168" s="166"/>
      <c r="AY168" s="166"/>
      <c r="AZ168" s="166"/>
      <c r="BA168" s="166"/>
      <c r="BB168" s="166"/>
      <c r="BC168" s="166"/>
      <c r="BD168" s="166"/>
      <c r="BE168" s="166"/>
      <c r="BF168" s="166"/>
      <c r="BG168" s="166"/>
      <c r="BH168" s="166"/>
      <c r="BI168" s="166"/>
      <c r="BJ168" s="166"/>
      <c r="BK168" s="166"/>
      <c r="BL168" s="166"/>
      <c r="BM168" s="166"/>
      <c r="BN168" s="166"/>
    </row>
    <row r="169" spans="2:66" x14ac:dyDescent="0.25">
      <c r="B169" s="481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  <c r="R169" s="382"/>
      <c r="S169" s="382"/>
      <c r="T169" s="382"/>
      <c r="U169" s="382"/>
      <c r="V169" s="382"/>
      <c r="W169" s="382"/>
      <c r="X169" s="382"/>
      <c r="Y169" s="382"/>
      <c r="Z169" s="382"/>
      <c r="AA169" s="382"/>
      <c r="AB169" s="382"/>
      <c r="AC169" s="382"/>
      <c r="AD169" s="382"/>
      <c r="AE169" s="382"/>
      <c r="AF169" s="382"/>
      <c r="AG169" s="382"/>
      <c r="AH169" s="382"/>
      <c r="AI169" s="382"/>
      <c r="AJ169" s="382"/>
      <c r="AK169" s="382"/>
      <c r="AL169" s="382"/>
      <c r="AM169" s="382"/>
      <c r="AN169" s="382"/>
      <c r="AO169" s="382"/>
      <c r="AP169" s="382"/>
      <c r="AQ169" s="382"/>
      <c r="AR169" s="382"/>
      <c r="AS169" s="382"/>
      <c r="AT169" s="382"/>
      <c r="AU169" s="166"/>
      <c r="AV169" s="166"/>
      <c r="AW169" s="166"/>
      <c r="AX169" s="166"/>
      <c r="AY169" s="166"/>
      <c r="AZ169" s="166"/>
      <c r="BA169" s="166"/>
      <c r="BB169" s="166"/>
      <c r="BC169" s="166"/>
      <c r="BD169" s="166"/>
      <c r="BE169" s="166"/>
      <c r="BF169" s="166"/>
      <c r="BG169" s="166"/>
      <c r="BH169" s="166"/>
      <c r="BI169" s="166"/>
      <c r="BJ169" s="166"/>
      <c r="BK169" s="166"/>
      <c r="BL169" s="166"/>
      <c r="BM169" s="166"/>
      <c r="BN169" s="166"/>
    </row>
    <row r="170" spans="2:66" ht="13.8" thickBot="1" x14ac:dyDescent="0.3">
      <c r="B170" s="834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66"/>
      <c r="AV170" s="166"/>
      <c r="AW170" s="166"/>
      <c r="AX170" s="166"/>
      <c r="AY170" s="166"/>
      <c r="AZ170" s="166"/>
      <c r="BA170" s="166"/>
      <c r="BB170" s="166"/>
      <c r="BC170" s="166"/>
      <c r="BD170" s="166"/>
      <c r="BE170" s="166"/>
      <c r="BF170" s="166"/>
      <c r="BG170" s="166"/>
      <c r="BH170" s="166"/>
      <c r="BI170" s="166"/>
      <c r="BJ170" s="166"/>
      <c r="BK170" s="166"/>
      <c r="BL170" s="166"/>
      <c r="BM170" s="166"/>
      <c r="BN170" s="166"/>
    </row>
    <row r="171" spans="2:66" ht="14.4" x14ac:dyDescent="0.25">
      <c r="B171" s="835" t="s">
        <v>390</v>
      </c>
      <c r="C171" s="818"/>
      <c r="D171" s="818"/>
      <c r="E171" s="818"/>
      <c r="F171" s="818"/>
      <c r="G171" s="818"/>
      <c r="H171" s="818"/>
      <c r="I171" s="818"/>
      <c r="J171" s="818"/>
      <c r="K171" s="818"/>
      <c r="L171" s="818"/>
      <c r="M171" s="818"/>
      <c r="N171" s="818"/>
      <c r="O171" s="818"/>
      <c r="P171" s="818"/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  <c r="AA171" s="818"/>
      <c r="AB171" s="818"/>
      <c r="AC171" s="818"/>
      <c r="AD171" s="818"/>
      <c r="AE171" s="818"/>
      <c r="AF171" s="818"/>
      <c r="AG171" s="818"/>
      <c r="AH171" s="818"/>
      <c r="AI171" s="818"/>
      <c r="AJ171" s="818"/>
      <c r="AK171" s="818"/>
      <c r="AL171" s="818"/>
      <c r="AM171" s="818"/>
      <c r="AN171" s="818"/>
      <c r="AO171" s="818"/>
      <c r="AP171" s="818"/>
      <c r="AQ171" s="818"/>
      <c r="AR171" s="818"/>
      <c r="AS171" s="818"/>
      <c r="AT171" s="819"/>
      <c r="AU171" s="166"/>
      <c r="AV171" s="166"/>
      <c r="AW171" s="166"/>
      <c r="AX171" s="166"/>
      <c r="AY171" s="166"/>
      <c r="AZ171" s="166"/>
      <c r="BA171" s="166"/>
      <c r="BB171" s="166"/>
      <c r="BC171" s="166"/>
      <c r="BD171" s="166"/>
      <c r="BE171" s="166"/>
      <c r="BF171" s="166"/>
      <c r="BG171" s="166"/>
      <c r="BH171" s="166"/>
      <c r="BI171" s="166"/>
      <c r="BJ171" s="166"/>
      <c r="BK171" s="166"/>
      <c r="BL171" s="166"/>
      <c r="BM171" s="166"/>
      <c r="BN171" s="166"/>
    </row>
    <row r="172" spans="2:66" x14ac:dyDescent="0.25">
      <c r="B172" s="836" t="s">
        <v>391</v>
      </c>
      <c r="C172" s="268">
        <v>0</v>
      </c>
      <c r="D172" s="268">
        <v>0</v>
      </c>
      <c r="E172" s="268">
        <v>0</v>
      </c>
      <c r="F172" s="268">
        <v>0</v>
      </c>
      <c r="G172" s="268">
        <f>-G148</f>
        <v>-4318236.9614306372</v>
      </c>
      <c r="H172" s="268">
        <f t="shared" ref="H172:AT172" si="63">-H148</f>
        <v>-4432937.8249451816</v>
      </c>
      <c r="I172" s="268">
        <f t="shared" si="63"/>
        <v>-4536875.1815609755</v>
      </c>
      <c r="J172" s="268">
        <f t="shared" si="63"/>
        <v>-4643311.9130354663</v>
      </c>
      <c r="K172" s="268">
        <f t="shared" si="63"/>
        <v>-11617904.705841476</v>
      </c>
      <c r="L172" s="268">
        <f t="shared" si="63"/>
        <v>-4863931.4676566217</v>
      </c>
      <c r="M172" s="268">
        <f t="shared" si="63"/>
        <v>-4978242.2002252238</v>
      </c>
      <c r="N172" s="268">
        <f t="shared" si="63"/>
        <v>-5095308.2077043382</v>
      </c>
      <c r="O172" s="268">
        <f t="shared" si="63"/>
        <v>-5215197.5552692544</v>
      </c>
      <c r="P172" s="268">
        <f t="shared" si="63"/>
        <v>-12881550.570299722</v>
      </c>
      <c r="Q172" s="268">
        <f t="shared" si="63"/>
        <v>-5463727.1811422799</v>
      </c>
      <c r="R172" s="268">
        <f t="shared" si="63"/>
        <v>-5592512.3741521444</v>
      </c>
      <c r="S172" s="268">
        <f t="shared" si="63"/>
        <v>-5724410.8291271329</v>
      </c>
      <c r="T172" s="268">
        <f t="shared" si="63"/>
        <v>-5859499.6730848122</v>
      </c>
      <c r="U172" s="268">
        <f t="shared" si="63"/>
        <v>-14286356.439628357</v>
      </c>
      <c r="V172" s="268">
        <f t="shared" si="63"/>
        <v>-6139566.8637729799</v>
      </c>
      <c r="W172" s="268">
        <f t="shared" si="63"/>
        <v>-6284709.445565287</v>
      </c>
      <c r="X172" s="268">
        <f t="shared" si="63"/>
        <v>-6433370.9918016</v>
      </c>
      <c r="Y172" s="268">
        <f t="shared" si="63"/>
        <v>-6585638.926612027</v>
      </c>
      <c r="Z172" s="268">
        <f t="shared" si="63"/>
        <v>-15848593.767328328</v>
      </c>
      <c r="AA172" s="268">
        <f t="shared" si="63"/>
        <v>-6901354.8280941052</v>
      </c>
      <c r="AB172" s="268">
        <f t="shared" si="63"/>
        <v>-7064988.9872727636</v>
      </c>
      <c r="AC172" s="268">
        <f t="shared" si="63"/>
        <v>-7232602.0400624331</v>
      </c>
      <c r="AD172" s="268">
        <f t="shared" si="63"/>
        <v>-7404293.1149919936</v>
      </c>
      <c r="AE172" s="268">
        <f t="shared" si="63"/>
        <v>-17586476.742962986</v>
      </c>
      <c r="AF172" s="268">
        <f t="shared" si="63"/>
        <v>-7760318.5440044012</v>
      </c>
      <c r="AG172" s="268">
        <f t="shared" si="63"/>
        <v>-7944864.0527799763</v>
      </c>
      <c r="AH172" s="268">
        <f t="shared" si="63"/>
        <v>-8133910.0298752068</v>
      </c>
      <c r="AI172" s="268">
        <f t="shared" si="63"/>
        <v>-8327568.9119321909</v>
      </c>
      <c r="AJ172" s="268">
        <f t="shared" si="63"/>
        <v>-19520403.065015338</v>
      </c>
      <c r="AK172" s="268">
        <f t="shared" si="63"/>
        <v>-8729189.5788463596</v>
      </c>
      <c r="AL172" s="268">
        <f t="shared" si="63"/>
        <v>-8937390.9052098654</v>
      </c>
      <c r="AM172" s="268">
        <f t="shared" si="63"/>
        <v>-9150684.3755010031</v>
      </c>
      <c r="AN172" s="268">
        <f t="shared" si="63"/>
        <v>-9369197.5625528172</v>
      </c>
      <c r="AO172" s="268">
        <f t="shared" si="63"/>
        <v>-21673225.690419316</v>
      </c>
      <c r="AP172" s="268">
        <f t="shared" si="63"/>
        <v>-9822409.8065093718</v>
      </c>
      <c r="AQ172" s="268">
        <f t="shared" si="63"/>
        <v>-10057380.696025331</v>
      </c>
      <c r="AR172" s="268">
        <f t="shared" si="63"/>
        <v>-10298115.14536953</v>
      </c>
      <c r="AS172" s="268">
        <f t="shared" si="63"/>
        <v>-10544757.947980508</v>
      </c>
      <c r="AT172" s="799">
        <f t="shared" si="63"/>
        <v>-24070559.689610455</v>
      </c>
      <c r="AU172" s="166"/>
      <c r="AV172" s="166"/>
      <c r="AW172" s="166"/>
      <c r="AX172" s="166"/>
      <c r="AY172" s="166"/>
      <c r="AZ172" s="166"/>
      <c r="BA172" s="166"/>
      <c r="BB172" s="166"/>
      <c r="BC172" s="166"/>
      <c r="BD172" s="166"/>
      <c r="BE172" s="166"/>
      <c r="BF172" s="166"/>
      <c r="BG172" s="166"/>
      <c r="BH172" s="166"/>
      <c r="BI172" s="166"/>
      <c r="BJ172" s="166"/>
      <c r="BK172" s="166"/>
      <c r="BL172" s="166"/>
      <c r="BM172" s="166"/>
      <c r="BN172" s="166"/>
    </row>
    <row r="173" spans="2:66" ht="15" thickBot="1" x14ac:dyDescent="0.3">
      <c r="B173" s="842" t="s">
        <v>389</v>
      </c>
      <c r="C173" s="820"/>
      <c r="D173" s="820"/>
      <c r="E173" s="820"/>
      <c r="F173" s="820"/>
      <c r="G173" s="820">
        <f>G172</f>
        <v>-4318236.9614306372</v>
      </c>
      <c r="H173" s="820">
        <f t="shared" ref="H173:AT173" si="64">H172</f>
        <v>-4432937.8249451816</v>
      </c>
      <c r="I173" s="820">
        <f t="shared" si="64"/>
        <v>-4536875.1815609755</v>
      </c>
      <c r="J173" s="820">
        <f t="shared" si="64"/>
        <v>-4643311.9130354663</v>
      </c>
      <c r="K173" s="820">
        <f t="shared" si="64"/>
        <v>-11617904.705841476</v>
      </c>
      <c r="L173" s="820">
        <f t="shared" si="64"/>
        <v>-4863931.4676566217</v>
      </c>
      <c r="M173" s="820">
        <f t="shared" si="64"/>
        <v>-4978242.2002252238</v>
      </c>
      <c r="N173" s="820">
        <f t="shared" si="64"/>
        <v>-5095308.2077043382</v>
      </c>
      <c r="O173" s="820">
        <f t="shared" si="64"/>
        <v>-5215197.5552692544</v>
      </c>
      <c r="P173" s="820">
        <f t="shared" si="64"/>
        <v>-12881550.570299722</v>
      </c>
      <c r="Q173" s="820">
        <f t="shared" si="64"/>
        <v>-5463727.1811422799</v>
      </c>
      <c r="R173" s="820">
        <f t="shared" si="64"/>
        <v>-5592512.3741521444</v>
      </c>
      <c r="S173" s="820">
        <f t="shared" si="64"/>
        <v>-5724410.8291271329</v>
      </c>
      <c r="T173" s="820">
        <f t="shared" si="64"/>
        <v>-5859499.6730848122</v>
      </c>
      <c r="U173" s="820">
        <f t="shared" si="64"/>
        <v>-14286356.439628357</v>
      </c>
      <c r="V173" s="820">
        <f t="shared" si="64"/>
        <v>-6139566.8637729799</v>
      </c>
      <c r="W173" s="820">
        <f t="shared" si="64"/>
        <v>-6284709.445565287</v>
      </c>
      <c r="X173" s="820">
        <f t="shared" si="64"/>
        <v>-6433370.9918016</v>
      </c>
      <c r="Y173" s="820">
        <f t="shared" si="64"/>
        <v>-6585638.926612027</v>
      </c>
      <c r="Z173" s="820">
        <f t="shared" si="64"/>
        <v>-15848593.767328328</v>
      </c>
      <c r="AA173" s="820">
        <f t="shared" si="64"/>
        <v>-6901354.8280941052</v>
      </c>
      <c r="AB173" s="820">
        <f t="shared" si="64"/>
        <v>-7064988.9872727636</v>
      </c>
      <c r="AC173" s="820">
        <f t="shared" si="64"/>
        <v>-7232602.0400624331</v>
      </c>
      <c r="AD173" s="820">
        <f t="shared" si="64"/>
        <v>-7404293.1149919936</v>
      </c>
      <c r="AE173" s="820">
        <f t="shared" si="64"/>
        <v>-17586476.742962986</v>
      </c>
      <c r="AF173" s="820">
        <f t="shared" si="64"/>
        <v>-7760318.5440044012</v>
      </c>
      <c r="AG173" s="820">
        <f t="shared" si="64"/>
        <v>-7944864.0527799763</v>
      </c>
      <c r="AH173" s="820">
        <f t="shared" si="64"/>
        <v>-8133910.0298752068</v>
      </c>
      <c r="AI173" s="820">
        <f t="shared" si="64"/>
        <v>-8327568.9119321909</v>
      </c>
      <c r="AJ173" s="820">
        <f t="shared" si="64"/>
        <v>-19520403.065015338</v>
      </c>
      <c r="AK173" s="820">
        <f t="shared" si="64"/>
        <v>-8729189.5788463596</v>
      </c>
      <c r="AL173" s="820">
        <f t="shared" si="64"/>
        <v>-8937390.9052098654</v>
      </c>
      <c r="AM173" s="820">
        <f t="shared" si="64"/>
        <v>-9150684.3755010031</v>
      </c>
      <c r="AN173" s="820">
        <f t="shared" si="64"/>
        <v>-9369197.5625528172</v>
      </c>
      <c r="AO173" s="820">
        <f t="shared" si="64"/>
        <v>-21673225.690419316</v>
      </c>
      <c r="AP173" s="820">
        <f t="shared" si="64"/>
        <v>-9822409.8065093718</v>
      </c>
      <c r="AQ173" s="820">
        <f t="shared" si="64"/>
        <v>-10057380.696025331</v>
      </c>
      <c r="AR173" s="820">
        <f t="shared" si="64"/>
        <v>-10298115.14536953</v>
      </c>
      <c r="AS173" s="820">
        <f t="shared" si="64"/>
        <v>-10544757.947980508</v>
      </c>
      <c r="AT173" s="821">
        <f t="shared" si="64"/>
        <v>-24070559.689610455</v>
      </c>
      <c r="AU173" s="166"/>
      <c r="AV173" s="166"/>
      <c r="AW173" s="166"/>
      <c r="AX173" s="166"/>
      <c r="AY173" s="166"/>
      <c r="AZ173" s="166"/>
      <c r="BA173" s="166"/>
      <c r="BB173" s="166"/>
      <c r="BC173" s="166"/>
      <c r="BD173" s="166"/>
      <c r="BE173" s="166"/>
      <c r="BF173" s="166"/>
      <c r="BG173" s="166"/>
      <c r="BH173" s="166"/>
      <c r="BI173" s="166"/>
      <c r="BJ173" s="166"/>
      <c r="BK173" s="166"/>
      <c r="BL173" s="166"/>
      <c r="BM173" s="166"/>
      <c r="BN173" s="166"/>
    </row>
    <row r="174" spans="2:66" ht="15" thickBot="1" x14ac:dyDescent="0.3">
      <c r="B174" s="837"/>
      <c r="C174" s="824"/>
      <c r="D174" s="824"/>
      <c r="E174" s="824"/>
      <c r="F174" s="824"/>
      <c r="G174" s="824"/>
      <c r="H174" s="824"/>
      <c r="I174" s="824"/>
      <c r="J174" s="824"/>
      <c r="K174" s="824"/>
      <c r="L174" s="824"/>
      <c r="M174" s="824"/>
      <c r="N174" s="824"/>
      <c r="O174" s="824"/>
      <c r="P174" s="824"/>
      <c r="Q174" s="824"/>
      <c r="R174" s="824"/>
      <c r="S174" s="824"/>
      <c r="T174" s="824"/>
      <c r="U174" s="824"/>
      <c r="V174" s="824"/>
      <c r="W174" s="824"/>
      <c r="X174" s="824"/>
      <c r="Y174" s="824"/>
      <c r="Z174" s="824"/>
      <c r="AA174" s="824"/>
      <c r="AB174" s="824"/>
      <c r="AC174" s="824"/>
      <c r="AD174" s="824"/>
      <c r="AE174" s="824"/>
      <c r="AF174" s="824"/>
      <c r="AG174" s="824"/>
      <c r="AH174" s="824"/>
      <c r="AI174" s="824"/>
      <c r="AJ174" s="824"/>
      <c r="AK174" s="824"/>
      <c r="AL174" s="824"/>
      <c r="AM174" s="824"/>
      <c r="AN174" s="824"/>
      <c r="AO174" s="824"/>
      <c r="AP174" s="824"/>
      <c r="AQ174" s="824"/>
      <c r="AR174" s="824"/>
      <c r="AS174" s="824"/>
      <c r="AT174" s="824"/>
      <c r="AU174" s="166"/>
      <c r="AV174" s="166"/>
      <c r="AW174" s="166"/>
      <c r="AX174" s="166"/>
      <c r="AY174" s="166"/>
      <c r="AZ174" s="166"/>
      <c r="BA174" s="166"/>
      <c r="BB174" s="166"/>
      <c r="BC174" s="166"/>
      <c r="BD174" s="166"/>
      <c r="BE174" s="166"/>
      <c r="BF174" s="166"/>
      <c r="BG174" s="166"/>
      <c r="BH174" s="166"/>
      <c r="BI174" s="166"/>
      <c r="BJ174" s="166"/>
      <c r="BK174" s="166"/>
      <c r="BL174" s="166"/>
      <c r="BM174" s="166"/>
      <c r="BN174" s="166"/>
    </row>
    <row r="175" spans="2:66" ht="14.4" x14ac:dyDescent="0.25">
      <c r="B175" s="835" t="s">
        <v>392</v>
      </c>
      <c r="C175" s="818"/>
      <c r="D175" s="818"/>
      <c r="E175" s="818"/>
      <c r="F175" s="818"/>
      <c r="G175" s="818"/>
      <c r="H175" s="818"/>
      <c r="I175" s="818"/>
      <c r="J175" s="818"/>
      <c r="K175" s="818"/>
      <c r="L175" s="818"/>
      <c r="M175" s="818"/>
      <c r="N175" s="818"/>
      <c r="O175" s="818"/>
      <c r="P175" s="818"/>
      <c r="Q175" s="818"/>
      <c r="R175" s="818"/>
      <c r="S175" s="818"/>
      <c r="T175" s="818"/>
      <c r="U175" s="818"/>
      <c r="V175" s="818"/>
      <c r="W175" s="818"/>
      <c r="X175" s="818"/>
      <c r="Y175" s="818"/>
      <c r="Z175" s="818"/>
      <c r="AA175" s="818"/>
      <c r="AB175" s="818"/>
      <c r="AC175" s="818"/>
      <c r="AD175" s="818"/>
      <c r="AE175" s="818"/>
      <c r="AF175" s="818"/>
      <c r="AG175" s="818"/>
      <c r="AH175" s="818"/>
      <c r="AI175" s="818"/>
      <c r="AJ175" s="818"/>
      <c r="AK175" s="818"/>
      <c r="AL175" s="818"/>
      <c r="AM175" s="818"/>
      <c r="AN175" s="818"/>
      <c r="AO175" s="818"/>
      <c r="AP175" s="818"/>
      <c r="AQ175" s="818"/>
      <c r="AR175" s="818"/>
      <c r="AS175" s="818"/>
      <c r="AT175" s="819"/>
      <c r="AU175" s="166"/>
      <c r="AV175" s="166"/>
      <c r="AW175" s="166"/>
      <c r="AX175" s="166"/>
      <c r="AY175" s="166"/>
      <c r="AZ175" s="166"/>
      <c r="BA175" s="166"/>
      <c r="BB175" s="166"/>
      <c r="BC175" s="166"/>
      <c r="BD175" s="166"/>
      <c r="BE175" s="166"/>
      <c r="BF175" s="166"/>
      <c r="BG175" s="166"/>
      <c r="BH175" s="166"/>
      <c r="BI175" s="166"/>
      <c r="BJ175" s="166"/>
      <c r="BK175" s="166"/>
      <c r="BL175" s="166"/>
      <c r="BM175" s="166"/>
      <c r="BN175" s="166"/>
    </row>
    <row r="176" spans="2:66" x14ac:dyDescent="0.25">
      <c r="B176" s="836" t="s">
        <v>393</v>
      </c>
      <c r="C176" s="268">
        <v>0</v>
      </c>
      <c r="D176" s="268">
        <v>0</v>
      </c>
      <c r="E176" s="268">
        <v>0</v>
      </c>
      <c r="F176" s="268">
        <v>0</v>
      </c>
      <c r="G176" s="178">
        <f t="shared" ref="G176:AT176" si="65">G150</f>
        <v>3333543.6749999998</v>
      </c>
      <c r="H176" s="178">
        <f t="shared" si="65"/>
        <v>4444724.9000000004</v>
      </c>
      <c r="I176" s="178">
        <f t="shared" si="65"/>
        <v>4698907.1814299999</v>
      </c>
      <c r="J176" s="178">
        <f t="shared" si="65"/>
        <v>4750854.4799100002</v>
      </c>
      <c r="K176" s="178">
        <f t="shared" si="65"/>
        <v>4996834.9702369543</v>
      </c>
      <c r="L176" s="178">
        <f t="shared" si="65"/>
        <v>5050880.9395755455</v>
      </c>
      <c r="M176" s="178">
        <f t="shared" si="65"/>
        <v>5311165.9560342701</v>
      </c>
      <c r="N176" s="178">
        <f t="shared" si="65"/>
        <v>5341262.3284235513</v>
      </c>
      <c r="O176" s="178">
        <f t="shared" si="65"/>
        <v>5588361.5923256716</v>
      </c>
      <c r="P176" s="178">
        <f t="shared" si="65"/>
        <v>5619673.8581594788</v>
      </c>
      <c r="Q176" s="178">
        <f t="shared" si="65"/>
        <v>5879285.9634026177</v>
      </c>
      <c r="R176" s="178">
        <f t="shared" si="65"/>
        <v>5911863.2447761111</v>
      </c>
      <c r="S176" s="178">
        <f t="shared" si="65"/>
        <v>6158211.6899241405</v>
      </c>
      <c r="T176" s="178">
        <f t="shared" si="65"/>
        <v>6165720.8599832142</v>
      </c>
      <c r="U176" s="178">
        <f t="shared" si="65"/>
        <v>6422628.5232560001</v>
      </c>
      <c r="V176" s="178">
        <f t="shared" si="65"/>
        <v>6430441.0637854608</v>
      </c>
      <c r="W176" s="178">
        <f t="shared" si="65"/>
        <v>6698359.0499292454</v>
      </c>
      <c r="X176" s="178">
        <f t="shared" si="65"/>
        <v>6749494.536646666</v>
      </c>
      <c r="Y176" s="178">
        <f t="shared" si="65"/>
        <v>7075375.4763079975</v>
      </c>
      <c r="Z176" s="178">
        <f t="shared" si="65"/>
        <v>7128576.8366888026</v>
      </c>
      <c r="AA176" s="178">
        <f t="shared" si="65"/>
        <v>7471922.0362312179</v>
      </c>
      <c r="AB176" s="178">
        <f t="shared" si="65"/>
        <v>7527272.7315714126</v>
      </c>
      <c r="AC176" s="178">
        <f t="shared" si="65"/>
        <v>7831374.5499268984</v>
      </c>
      <c r="AD176" s="178">
        <f t="shared" si="65"/>
        <v>7831374.5499268984</v>
      </c>
      <c r="AE176" s="178">
        <f t="shared" si="65"/>
        <v>8147762.0817439435</v>
      </c>
      <c r="AF176" s="178">
        <f t="shared" si="65"/>
        <v>8147762.0817439435</v>
      </c>
      <c r="AG176" s="178">
        <f t="shared" si="65"/>
        <v>8476931.6698463988</v>
      </c>
      <c r="AH176" s="178">
        <f t="shared" si="65"/>
        <v>8476931.6698463988</v>
      </c>
      <c r="AI176" s="178">
        <f t="shared" si="65"/>
        <v>8819399.7093081921</v>
      </c>
      <c r="AJ176" s="178">
        <f t="shared" si="65"/>
        <v>8819399.7093081921</v>
      </c>
      <c r="AK176" s="178">
        <f t="shared" si="65"/>
        <v>9175703.457564244</v>
      </c>
      <c r="AL176" s="178">
        <f t="shared" si="65"/>
        <v>9175703.457564244</v>
      </c>
      <c r="AM176" s="178">
        <f t="shared" si="65"/>
        <v>9546401.8772498388</v>
      </c>
      <c r="AN176" s="178">
        <f t="shared" si="65"/>
        <v>9546401.8772498388</v>
      </c>
      <c r="AO176" s="178">
        <f t="shared" si="65"/>
        <v>9932076.5130907353</v>
      </c>
      <c r="AP176" s="178">
        <f t="shared" si="65"/>
        <v>9932076.5130907353</v>
      </c>
      <c r="AQ176" s="178">
        <f t="shared" si="65"/>
        <v>10333332.404219599</v>
      </c>
      <c r="AR176" s="178">
        <f t="shared" si="65"/>
        <v>10333332.404219599</v>
      </c>
      <c r="AS176" s="178">
        <f t="shared" si="65"/>
        <v>10750799.033350073</v>
      </c>
      <c r="AT176" s="265">
        <f t="shared" si="65"/>
        <v>10750799.033350073</v>
      </c>
      <c r="AU176" s="166"/>
      <c r="AV176" s="166"/>
      <c r="AW176" s="166"/>
      <c r="AX176" s="166"/>
      <c r="AY176" s="166"/>
      <c r="AZ176" s="166"/>
      <c r="BA176" s="166"/>
      <c r="BB176" s="166"/>
      <c r="BC176" s="166"/>
      <c r="BD176" s="166"/>
      <c r="BE176" s="166"/>
      <c r="BF176" s="166"/>
      <c r="BG176" s="166"/>
      <c r="BH176" s="166"/>
      <c r="BI176" s="166"/>
      <c r="BJ176" s="166"/>
      <c r="BK176" s="166"/>
      <c r="BL176" s="166"/>
      <c r="BM176" s="166"/>
      <c r="BN176" s="166"/>
    </row>
    <row r="177" spans="2:66" x14ac:dyDescent="0.25">
      <c r="B177" s="836" t="s">
        <v>394</v>
      </c>
      <c r="C177" s="268">
        <v>0</v>
      </c>
      <c r="D177" s="268">
        <v>0</v>
      </c>
      <c r="E177" s="268">
        <v>0</v>
      </c>
      <c r="F177" s="268">
        <v>0</v>
      </c>
      <c r="G177" s="178">
        <f t="shared" ref="G177:AT177" si="66">G151</f>
        <v>420000</v>
      </c>
      <c r="H177" s="178">
        <f t="shared" si="66"/>
        <v>428400</v>
      </c>
      <c r="I177" s="178">
        <f t="shared" si="66"/>
        <v>436968</v>
      </c>
      <c r="J177" s="178">
        <f t="shared" si="66"/>
        <v>445707.36</v>
      </c>
      <c r="K177" s="178">
        <f t="shared" si="66"/>
        <v>454621.50719999999</v>
      </c>
      <c r="L177" s="178">
        <f t="shared" si="66"/>
        <v>463713.93734400003</v>
      </c>
      <c r="M177" s="178">
        <f t="shared" si="66"/>
        <v>472988.21609088004</v>
      </c>
      <c r="N177" s="178">
        <f t="shared" si="66"/>
        <v>482447.98041269754</v>
      </c>
      <c r="O177" s="178">
        <f t="shared" si="66"/>
        <v>492096.9400209515</v>
      </c>
      <c r="P177" s="178">
        <f t="shared" si="66"/>
        <v>501938.87882137054</v>
      </c>
      <c r="Q177" s="178">
        <f t="shared" si="66"/>
        <v>511977.65639779798</v>
      </c>
      <c r="R177" s="178">
        <f t="shared" si="66"/>
        <v>522217.20952575386</v>
      </c>
      <c r="S177" s="178">
        <f t="shared" si="66"/>
        <v>532661.55371626897</v>
      </c>
      <c r="T177" s="178">
        <f t="shared" si="66"/>
        <v>543314.78479059436</v>
      </c>
      <c r="U177" s="178">
        <f t="shared" si="66"/>
        <v>554181.08048640634</v>
      </c>
      <c r="V177" s="178">
        <f t="shared" si="66"/>
        <v>565264.70209613431</v>
      </c>
      <c r="W177" s="178">
        <f t="shared" si="66"/>
        <v>576569.99613805709</v>
      </c>
      <c r="X177" s="178">
        <f t="shared" si="66"/>
        <v>588101.39606081822</v>
      </c>
      <c r="Y177" s="178">
        <f t="shared" si="66"/>
        <v>599863.42398203455</v>
      </c>
      <c r="Z177" s="178">
        <f t="shared" si="66"/>
        <v>611860.69246167527</v>
      </c>
      <c r="AA177" s="178">
        <f t="shared" si="66"/>
        <v>624097.90631090873</v>
      </c>
      <c r="AB177" s="178">
        <f t="shared" si="66"/>
        <v>636579.8644371269</v>
      </c>
      <c r="AC177" s="178">
        <f t="shared" si="66"/>
        <v>649311.46172586945</v>
      </c>
      <c r="AD177" s="178">
        <f t="shared" si="66"/>
        <v>662297.69096038677</v>
      </c>
      <c r="AE177" s="178">
        <f t="shared" si="66"/>
        <v>675543.6447795945</v>
      </c>
      <c r="AF177" s="178">
        <f t="shared" si="66"/>
        <v>689054.51767518639</v>
      </c>
      <c r="AG177" s="178">
        <f t="shared" si="66"/>
        <v>702835.60802869021</v>
      </c>
      <c r="AH177" s="178">
        <f t="shared" si="66"/>
        <v>716892.3201892639</v>
      </c>
      <c r="AI177" s="178">
        <f t="shared" si="66"/>
        <v>731230.1665930493</v>
      </c>
      <c r="AJ177" s="178">
        <f t="shared" si="66"/>
        <v>745854.76992491016</v>
      </c>
      <c r="AK177" s="178">
        <f t="shared" si="66"/>
        <v>760771.86532340851</v>
      </c>
      <c r="AL177" s="178">
        <f t="shared" si="66"/>
        <v>775987.30262987642</v>
      </c>
      <c r="AM177" s="178">
        <f t="shared" si="66"/>
        <v>791507.04868247418</v>
      </c>
      <c r="AN177" s="178">
        <f t="shared" si="66"/>
        <v>807337.18965612364</v>
      </c>
      <c r="AO177" s="178">
        <f t="shared" si="66"/>
        <v>823483.93344924611</v>
      </c>
      <c r="AP177" s="178">
        <f t="shared" si="66"/>
        <v>839953.61211823102</v>
      </c>
      <c r="AQ177" s="178">
        <f t="shared" si="66"/>
        <v>856752.68436059554</v>
      </c>
      <c r="AR177" s="178">
        <f t="shared" si="66"/>
        <v>873887.73804780759</v>
      </c>
      <c r="AS177" s="178">
        <f t="shared" si="66"/>
        <v>891365.49280876387</v>
      </c>
      <c r="AT177" s="265">
        <f t="shared" si="66"/>
        <v>909192.80266493873</v>
      </c>
      <c r="AU177" s="166"/>
      <c r="AV177" s="166"/>
      <c r="AW177" s="166"/>
      <c r="AX177" s="166"/>
      <c r="AY177" s="166"/>
      <c r="AZ177" s="166"/>
      <c r="BA177" s="166"/>
      <c r="BB177" s="166"/>
      <c r="BC177" s="166"/>
      <c r="BD177" s="166"/>
      <c r="BE177" s="166"/>
      <c r="BF177" s="166"/>
      <c r="BG177" s="166"/>
      <c r="BH177" s="166"/>
      <c r="BI177" s="166"/>
      <c r="BJ177" s="166"/>
      <c r="BK177" s="166"/>
      <c r="BL177" s="166"/>
      <c r="BM177" s="166"/>
      <c r="BN177" s="166"/>
    </row>
    <row r="178" spans="2:66" ht="15" thickBot="1" x14ac:dyDescent="0.3">
      <c r="B178" s="842" t="s">
        <v>388</v>
      </c>
      <c r="C178" s="822">
        <v>0</v>
      </c>
      <c r="D178" s="822">
        <v>0</v>
      </c>
      <c r="E178" s="822">
        <v>0</v>
      </c>
      <c r="F178" s="822">
        <v>0</v>
      </c>
      <c r="G178" s="822">
        <f>G176+G177</f>
        <v>3753543.6749999998</v>
      </c>
      <c r="H178" s="822">
        <f t="shared" ref="H178:AT178" si="67">H176+H177</f>
        <v>4873124.9000000004</v>
      </c>
      <c r="I178" s="822">
        <f t="shared" si="67"/>
        <v>5135875.1814299999</v>
      </c>
      <c r="J178" s="822">
        <f t="shared" si="67"/>
        <v>5196561.8399100006</v>
      </c>
      <c r="K178" s="822">
        <f t="shared" si="67"/>
        <v>5451456.4774369542</v>
      </c>
      <c r="L178" s="822">
        <f t="shared" si="67"/>
        <v>5514594.8769195452</v>
      </c>
      <c r="M178" s="822">
        <f t="shared" si="67"/>
        <v>5784154.1721251504</v>
      </c>
      <c r="N178" s="822">
        <f t="shared" si="67"/>
        <v>5823710.3088362487</v>
      </c>
      <c r="O178" s="822">
        <f t="shared" si="67"/>
        <v>6080458.532346623</v>
      </c>
      <c r="P178" s="822">
        <f t="shared" si="67"/>
        <v>6121612.7369808489</v>
      </c>
      <c r="Q178" s="822">
        <f t="shared" si="67"/>
        <v>6391263.6198004158</v>
      </c>
      <c r="R178" s="822">
        <f t="shared" si="67"/>
        <v>6434080.4543018648</v>
      </c>
      <c r="S178" s="822">
        <f t="shared" si="67"/>
        <v>6690873.2436404098</v>
      </c>
      <c r="T178" s="822">
        <f t="shared" si="67"/>
        <v>6709035.6447738083</v>
      </c>
      <c r="U178" s="822">
        <f t="shared" si="67"/>
        <v>6976809.6037424067</v>
      </c>
      <c r="V178" s="822">
        <f t="shared" si="67"/>
        <v>6995705.7658815952</v>
      </c>
      <c r="W178" s="822">
        <f t="shared" si="67"/>
        <v>7274929.0460673021</v>
      </c>
      <c r="X178" s="822">
        <f t="shared" si="67"/>
        <v>7337595.9327074839</v>
      </c>
      <c r="Y178" s="822">
        <f t="shared" si="67"/>
        <v>7675238.9002900319</v>
      </c>
      <c r="Z178" s="822">
        <f t="shared" si="67"/>
        <v>7740437.5291504776</v>
      </c>
      <c r="AA178" s="822">
        <f t="shared" si="67"/>
        <v>8096019.9425421264</v>
      </c>
      <c r="AB178" s="822">
        <f t="shared" si="67"/>
        <v>8163852.5960085392</v>
      </c>
      <c r="AC178" s="822">
        <f t="shared" si="67"/>
        <v>8480686.0116527677</v>
      </c>
      <c r="AD178" s="822">
        <f t="shared" si="67"/>
        <v>8493672.2408872843</v>
      </c>
      <c r="AE178" s="822">
        <f t="shared" si="67"/>
        <v>8823305.7265235372</v>
      </c>
      <c r="AF178" s="822">
        <f t="shared" si="67"/>
        <v>8836816.59941913</v>
      </c>
      <c r="AG178" s="822">
        <f t="shared" si="67"/>
        <v>9179767.2778750882</v>
      </c>
      <c r="AH178" s="822">
        <f t="shared" si="67"/>
        <v>9193823.9900356624</v>
      </c>
      <c r="AI178" s="822">
        <f t="shared" si="67"/>
        <v>9550629.8759012409</v>
      </c>
      <c r="AJ178" s="822">
        <f t="shared" si="67"/>
        <v>9565254.4792331029</v>
      </c>
      <c r="AK178" s="822">
        <f t="shared" si="67"/>
        <v>9936475.3228876516</v>
      </c>
      <c r="AL178" s="822">
        <f t="shared" si="67"/>
        <v>9951690.7601941209</v>
      </c>
      <c r="AM178" s="822">
        <f t="shared" si="67"/>
        <v>10337908.925932312</v>
      </c>
      <c r="AN178" s="822">
        <f t="shared" si="67"/>
        <v>10353739.066905962</v>
      </c>
      <c r="AO178" s="822">
        <f t="shared" si="67"/>
        <v>10755560.446539981</v>
      </c>
      <c r="AP178" s="822">
        <f t="shared" si="67"/>
        <v>10772030.125208966</v>
      </c>
      <c r="AQ178" s="822">
        <f t="shared" si="67"/>
        <v>11190085.088580195</v>
      </c>
      <c r="AR178" s="822">
        <f t="shared" si="67"/>
        <v>11207220.142267408</v>
      </c>
      <c r="AS178" s="822">
        <f t="shared" si="67"/>
        <v>11642164.526158836</v>
      </c>
      <c r="AT178" s="823">
        <f t="shared" si="67"/>
        <v>11659991.836015012</v>
      </c>
      <c r="AU178" s="166"/>
      <c r="AV178" s="166"/>
      <c r="AW178" s="166"/>
      <c r="AX178" s="166"/>
      <c r="AY178" s="166"/>
      <c r="AZ178" s="166"/>
      <c r="BA178" s="166"/>
      <c r="BB178" s="166"/>
      <c r="BC178" s="166"/>
      <c r="BD178" s="166"/>
      <c r="BE178" s="166"/>
      <c r="BF178" s="166"/>
      <c r="BG178" s="166"/>
      <c r="BH178" s="166"/>
      <c r="BI178" s="166"/>
      <c r="BJ178" s="166"/>
      <c r="BK178" s="166"/>
      <c r="BL178" s="166"/>
      <c r="BM178" s="166"/>
      <c r="BN178" s="166"/>
    </row>
    <row r="179" spans="2:66" ht="15" thickBot="1" x14ac:dyDescent="0.3">
      <c r="B179" s="83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66"/>
      <c r="AV179" s="166"/>
      <c r="AW179" s="166"/>
      <c r="AX179" s="166"/>
      <c r="AY179" s="166"/>
      <c r="AZ179" s="166"/>
      <c r="BA179" s="166"/>
      <c r="BB179" s="166"/>
      <c r="BC179" s="166"/>
      <c r="BD179" s="166"/>
      <c r="BE179" s="166"/>
      <c r="BF179" s="166"/>
      <c r="BG179" s="166"/>
      <c r="BH179" s="166"/>
      <c r="BI179" s="166"/>
      <c r="BJ179" s="166"/>
      <c r="BK179" s="166"/>
      <c r="BL179" s="166"/>
      <c r="BM179" s="166"/>
      <c r="BN179" s="166"/>
    </row>
    <row r="180" spans="2:66" ht="15" thickBot="1" x14ac:dyDescent="0.3">
      <c r="B180" s="843" t="s">
        <v>387</v>
      </c>
      <c r="C180" s="825"/>
      <c r="D180" s="825"/>
      <c r="E180" s="825"/>
      <c r="F180" s="825"/>
      <c r="G180" s="826">
        <f>G178+G173</f>
        <v>-564693.28643063735</v>
      </c>
      <c r="H180" s="826">
        <f t="shared" ref="H180:AT180" si="68">H178+H173</f>
        <v>440187.07505481876</v>
      </c>
      <c r="I180" s="826">
        <f t="shared" si="68"/>
        <v>598999.99986902438</v>
      </c>
      <c r="J180" s="826">
        <f t="shared" si="68"/>
        <v>553249.92687453423</v>
      </c>
      <c r="K180" s="826">
        <f t="shared" si="68"/>
        <v>-6166448.2284045219</v>
      </c>
      <c r="L180" s="826">
        <f t="shared" si="68"/>
        <v>650663.40926292352</v>
      </c>
      <c r="M180" s="826">
        <f t="shared" si="68"/>
        <v>805911.97189992666</v>
      </c>
      <c r="N180" s="826">
        <f t="shared" si="68"/>
        <v>728402.10113191046</v>
      </c>
      <c r="O180" s="826">
        <f t="shared" si="68"/>
        <v>865260.97707736865</v>
      </c>
      <c r="P180" s="826">
        <f t="shared" si="68"/>
        <v>-6759937.8333188733</v>
      </c>
      <c r="Q180" s="826">
        <f t="shared" si="68"/>
        <v>927536.43865813594</v>
      </c>
      <c r="R180" s="826">
        <f t="shared" si="68"/>
        <v>841568.08014972042</v>
      </c>
      <c r="S180" s="826">
        <f t="shared" si="68"/>
        <v>966462.41451327689</v>
      </c>
      <c r="T180" s="826">
        <f t="shared" si="68"/>
        <v>849535.97168899607</v>
      </c>
      <c r="U180" s="826">
        <f t="shared" si="68"/>
        <v>-7309546.8358859504</v>
      </c>
      <c r="V180" s="826">
        <f t="shared" si="68"/>
        <v>856138.90210861526</v>
      </c>
      <c r="W180" s="826">
        <f t="shared" si="68"/>
        <v>990219.60050201509</v>
      </c>
      <c r="X180" s="826">
        <f t="shared" si="68"/>
        <v>904224.94090588391</v>
      </c>
      <c r="Y180" s="826">
        <f t="shared" si="68"/>
        <v>1089599.9736780049</v>
      </c>
      <c r="Z180" s="826">
        <f t="shared" si="68"/>
        <v>-8108156.2381778499</v>
      </c>
      <c r="AA180" s="826">
        <f t="shared" si="68"/>
        <v>1194665.1144480212</v>
      </c>
      <c r="AB180" s="826">
        <f t="shared" si="68"/>
        <v>1098863.6087357756</v>
      </c>
      <c r="AC180" s="826">
        <f t="shared" si="68"/>
        <v>1248083.9715903345</v>
      </c>
      <c r="AD180" s="826">
        <f t="shared" si="68"/>
        <v>1089379.1258952906</v>
      </c>
      <c r="AE180" s="826">
        <f t="shared" si="68"/>
        <v>-8763171.016439449</v>
      </c>
      <c r="AF180" s="826">
        <f t="shared" si="68"/>
        <v>1076498.0554147288</v>
      </c>
      <c r="AG180" s="826">
        <f t="shared" si="68"/>
        <v>1234903.2250951119</v>
      </c>
      <c r="AH180" s="826">
        <f t="shared" si="68"/>
        <v>1059913.9601604557</v>
      </c>
      <c r="AI180" s="826">
        <f t="shared" si="68"/>
        <v>1223060.96396905</v>
      </c>
      <c r="AJ180" s="826">
        <f t="shared" si="68"/>
        <v>-9955148.5857822355</v>
      </c>
      <c r="AK180" s="826">
        <f t="shared" si="68"/>
        <v>1207285.744041292</v>
      </c>
      <c r="AL180" s="826">
        <f t="shared" si="68"/>
        <v>1014299.8549842555</v>
      </c>
      <c r="AM180" s="826">
        <f t="shared" si="68"/>
        <v>1187224.5504313093</v>
      </c>
      <c r="AN180" s="826">
        <f t="shared" si="68"/>
        <v>984541.50435314514</v>
      </c>
      <c r="AO180" s="826">
        <f t="shared" si="68"/>
        <v>-10917665.243879335</v>
      </c>
      <c r="AP180" s="826">
        <f t="shared" si="68"/>
        <v>949620.31869959459</v>
      </c>
      <c r="AQ180" s="826">
        <f t="shared" si="68"/>
        <v>1132704.3925548643</v>
      </c>
      <c r="AR180" s="826">
        <f t="shared" si="68"/>
        <v>909104.99689787813</v>
      </c>
      <c r="AS180" s="826">
        <f t="shared" si="68"/>
        <v>1097406.5781783275</v>
      </c>
      <c r="AT180" s="827">
        <f t="shared" si="68"/>
        <v>-12410567.853595443</v>
      </c>
      <c r="AU180" s="166"/>
      <c r="AV180" s="166"/>
      <c r="AW180" s="166"/>
      <c r="AX180" s="166"/>
      <c r="AY180" s="166"/>
      <c r="AZ180" s="166"/>
      <c r="BA180" s="166"/>
      <c r="BB180" s="166"/>
      <c r="BC180" s="166"/>
      <c r="BD180" s="166"/>
      <c r="BE180" s="166"/>
      <c r="BF180" s="166"/>
      <c r="BG180" s="166"/>
      <c r="BH180" s="166"/>
      <c r="BI180" s="166"/>
      <c r="BJ180" s="166"/>
      <c r="BK180" s="166"/>
      <c r="BL180" s="166"/>
      <c r="BM180" s="166"/>
      <c r="BN180" s="166"/>
    </row>
    <row r="181" spans="2:66" ht="15" thickBot="1" x14ac:dyDescent="0.3">
      <c r="B181" s="839"/>
      <c r="C181" s="801"/>
      <c r="D181" s="801"/>
      <c r="E181" s="801"/>
      <c r="F181" s="801"/>
      <c r="G181" s="824"/>
      <c r="H181" s="824"/>
      <c r="I181" s="824"/>
      <c r="J181" s="824"/>
      <c r="K181" s="824"/>
      <c r="L181" s="824"/>
      <c r="M181" s="824"/>
      <c r="N181" s="824"/>
      <c r="O181" s="824"/>
      <c r="P181" s="824"/>
      <c r="Q181" s="824"/>
      <c r="R181" s="824"/>
      <c r="S181" s="824"/>
      <c r="T181" s="824"/>
      <c r="U181" s="824"/>
      <c r="V181" s="824"/>
      <c r="W181" s="824"/>
      <c r="X181" s="824"/>
      <c r="Y181" s="824"/>
      <c r="Z181" s="824"/>
      <c r="AA181" s="824"/>
      <c r="AB181" s="824"/>
      <c r="AC181" s="824"/>
      <c r="AD181" s="824"/>
      <c r="AE181" s="824"/>
      <c r="AF181" s="824"/>
      <c r="AG181" s="824"/>
      <c r="AH181" s="824"/>
      <c r="AI181" s="824"/>
      <c r="AJ181" s="824"/>
      <c r="AK181" s="824"/>
      <c r="AL181" s="824"/>
      <c r="AM181" s="824"/>
      <c r="AN181" s="824"/>
      <c r="AO181" s="824"/>
      <c r="AP181" s="824"/>
      <c r="AQ181" s="824"/>
      <c r="AR181" s="824"/>
      <c r="AS181" s="824"/>
      <c r="AT181" s="824"/>
      <c r="AU181" s="166"/>
      <c r="AV181" s="166"/>
      <c r="AW181" s="166"/>
      <c r="AX181" s="166"/>
      <c r="AY181" s="166"/>
      <c r="AZ181" s="166"/>
      <c r="BA181" s="166"/>
      <c r="BB181" s="166"/>
      <c r="BC181" s="166"/>
      <c r="BD181" s="166"/>
      <c r="BE181" s="166"/>
      <c r="BF181" s="166"/>
      <c r="BG181" s="166"/>
      <c r="BH181" s="166"/>
      <c r="BI181" s="166"/>
      <c r="BJ181" s="166"/>
      <c r="BK181" s="166"/>
      <c r="BL181" s="166"/>
      <c r="BM181" s="166"/>
      <c r="BN181" s="166"/>
    </row>
    <row r="182" spans="2:66" ht="14.4" x14ac:dyDescent="0.25">
      <c r="B182" s="835" t="s">
        <v>397</v>
      </c>
      <c r="C182" s="818"/>
      <c r="D182" s="818"/>
      <c r="E182" s="818"/>
      <c r="F182" s="818"/>
      <c r="G182" s="818"/>
      <c r="H182" s="818"/>
      <c r="I182" s="818"/>
      <c r="J182" s="818"/>
      <c r="K182" s="818"/>
      <c r="L182" s="818"/>
      <c r="M182" s="818"/>
      <c r="N182" s="818"/>
      <c r="O182" s="818"/>
      <c r="P182" s="818"/>
      <c r="Q182" s="818"/>
      <c r="R182" s="818"/>
      <c r="S182" s="818"/>
      <c r="T182" s="818"/>
      <c r="U182" s="818"/>
      <c r="V182" s="818"/>
      <c r="W182" s="818"/>
      <c r="X182" s="818"/>
      <c r="Y182" s="818"/>
      <c r="Z182" s="818"/>
      <c r="AA182" s="818"/>
      <c r="AB182" s="818"/>
      <c r="AC182" s="818"/>
      <c r="AD182" s="818"/>
      <c r="AE182" s="818"/>
      <c r="AF182" s="818"/>
      <c r="AG182" s="818"/>
      <c r="AH182" s="818"/>
      <c r="AI182" s="818"/>
      <c r="AJ182" s="818"/>
      <c r="AK182" s="818"/>
      <c r="AL182" s="818"/>
      <c r="AM182" s="818"/>
      <c r="AN182" s="818"/>
      <c r="AO182" s="818"/>
      <c r="AP182" s="818"/>
      <c r="AQ182" s="818"/>
      <c r="AR182" s="818"/>
      <c r="AS182" s="818"/>
      <c r="AT182" s="819"/>
      <c r="AU182" s="166"/>
      <c r="AV182" s="166"/>
      <c r="AW182" s="166"/>
      <c r="AX182" s="166"/>
      <c r="AY182" s="166"/>
      <c r="AZ182" s="166"/>
      <c r="BA182" s="166"/>
      <c r="BB182" s="166"/>
      <c r="BC182" s="166"/>
      <c r="BD182" s="166"/>
      <c r="BE182" s="166"/>
      <c r="BF182" s="166"/>
      <c r="BG182" s="166"/>
      <c r="BH182" s="166"/>
      <c r="BI182" s="166"/>
      <c r="BJ182" s="166"/>
      <c r="BK182" s="166"/>
      <c r="BL182" s="166"/>
      <c r="BM182" s="166"/>
      <c r="BN182" s="166"/>
    </row>
    <row r="183" spans="2:66" x14ac:dyDescent="0.25">
      <c r="B183" s="836" t="s">
        <v>442</v>
      </c>
      <c r="C183" s="268">
        <v>0</v>
      </c>
      <c r="D183" s="268">
        <v>0</v>
      </c>
      <c r="E183" s="268">
        <v>0</v>
      </c>
      <c r="F183" s="268">
        <v>0</v>
      </c>
      <c r="G183" s="178">
        <f>G180</f>
        <v>-564693.28643063735</v>
      </c>
      <c r="H183" s="178">
        <f t="shared" ref="H183:AT183" si="69">H180</f>
        <v>440187.07505481876</v>
      </c>
      <c r="I183" s="178">
        <f t="shared" si="69"/>
        <v>598999.99986902438</v>
      </c>
      <c r="J183" s="178">
        <f t="shared" si="69"/>
        <v>553249.92687453423</v>
      </c>
      <c r="K183" s="178">
        <f t="shared" si="69"/>
        <v>-6166448.2284045219</v>
      </c>
      <c r="L183" s="178">
        <f t="shared" si="69"/>
        <v>650663.40926292352</v>
      </c>
      <c r="M183" s="178">
        <f t="shared" si="69"/>
        <v>805911.97189992666</v>
      </c>
      <c r="N183" s="178">
        <f t="shared" si="69"/>
        <v>728402.10113191046</v>
      </c>
      <c r="O183" s="178">
        <f t="shared" si="69"/>
        <v>865260.97707736865</v>
      </c>
      <c r="P183" s="178">
        <f t="shared" si="69"/>
        <v>-6759937.8333188733</v>
      </c>
      <c r="Q183" s="178">
        <f t="shared" si="69"/>
        <v>927536.43865813594</v>
      </c>
      <c r="R183" s="178">
        <f t="shared" si="69"/>
        <v>841568.08014972042</v>
      </c>
      <c r="S183" s="178">
        <f t="shared" si="69"/>
        <v>966462.41451327689</v>
      </c>
      <c r="T183" s="178">
        <f t="shared" si="69"/>
        <v>849535.97168899607</v>
      </c>
      <c r="U183" s="178">
        <f t="shared" si="69"/>
        <v>-7309546.8358859504</v>
      </c>
      <c r="V183" s="178">
        <f t="shared" si="69"/>
        <v>856138.90210861526</v>
      </c>
      <c r="W183" s="178">
        <f t="shared" si="69"/>
        <v>990219.60050201509</v>
      </c>
      <c r="X183" s="178">
        <f t="shared" si="69"/>
        <v>904224.94090588391</v>
      </c>
      <c r="Y183" s="178">
        <f t="shared" si="69"/>
        <v>1089599.9736780049</v>
      </c>
      <c r="Z183" s="178">
        <f t="shared" si="69"/>
        <v>-8108156.2381778499</v>
      </c>
      <c r="AA183" s="178">
        <f t="shared" si="69"/>
        <v>1194665.1144480212</v>
      </c>
      <c r="AB183" s="178">
        <f t="shared" si="69"/>
        <v>1098863.6087357756</v>
      </c>
      <c r="AC183" s="178">
        <f t="shared" si="69"/>
        <v>1248083.9715903345</v>
      </c>
      <c r="AD183" s="178">
        <f t="shared" si="69"/>
        <v>1089379.1258952906</v>
      </c>
      <c r="AE183" s="178">
        <f t="shared" si="69"/>
        <v>-8763171.016439449</v>
      </c>
      <c r="AF183" s="178">
        <f t="shared" si="69"/>
        <v>1076498.0554147288</v>
      </c>
      <c r="AG183" s="178">
        <f t="shared" si="69"/>
        <v>1234903.2250951119</v>
      </c>
      <c r="AH183" s="178">
        <f t="shared" si="69"/>
        <v>1059913.9601604557</v>
      </c>
      <c r="AI183" s="178">
        <f t="shared" si="69"/>
        <v>1223060.96396905</v>
      </c>
      <c r="AJ183" s="178">
        <f t="shared" si="69"/>
        <v>-9955148.5857822355</v>
      </c>
      <c r="AK183" s="178">
        <f t="shared" si="69"/>
        <v>1207285.744041292</v>
      </c>
      <c r="AL183" s="178">
        <f t="shared" si="69"/>
        <v>1014299.8549842555</v>
      </c>
      <c r="AM183" s="178">
        <f t="shared" si="69"/>
        <v>1187224.5504313093</v>
      </c>
      <c r="AN183" s="178">
        <f t="shared" si="69"/>
        <v>984541.50435314514</v>
      </c>
      <c r="AO183" s="178">
        <f t="shared" si="69"/>
        <v>-10917665.243879335</v>
      </c>
      <c r="AP183" s="178">
        <f t="shared" si="69"/>
        <v>949620.31869959459</v>
      </c>
      <c r="AQ183" s="178">
        <f t="shared" si="69"/>
        <v>1132704.3925548643</v>
      </c>
      <c r="AR183" s="178">
        <f t="shared" si="69"/>
        <v>909104.99689787813</v>
      </c>
      <c r="AS183" s="178">
        <f t="shared" si="69"/>
        <v>1097406.5781783275</v>
      </c>
      <c r="AT183" s="265">
        <f t="shared" si="69"/>
        <v>-12410567.853595443</v>
      </c>
      <c r="AU183" s="166"/>
      <c r="AV183" s="166"/>
      <c r="AW183" s="166"/>
      <c r="AX183" s="166"/>
      <c r="AY183" s="166"/>
      <c r="AZ183" s="166"/>
      <c r="BA183" s="166"/>
      <c r="BB183" s="166"/>
      <c r="BC183" s="166"/>
      <c r="BD183" s="166"/>
      <c r="BE183" s="166"/>
      <c r="BF183" s="166"/>
      <c r="BG183" s="166"/>
      <c r="BH183" s="166"/>
      <c r="BI183" s="166"/>
      <c r="BJ183" s="166"/>
      <c r="BK183" s="166"/>
      <c r="BL183" s="166"/>
      <c r="BM183" s="166"/>
      <c r="BN183" s="166"/>
    </row>
    <row r="184" spans="2:66" x14ac:dyDescent="0.25">
      <c r="B184" s="836" t="s">
        <v>440</v>
      </c>
      <c r="C184" s="268">
        <v>0</v>
      </c>
      <c r="D184" s="268">
        <v>0</v>
      </c>
      <c r="E184" s="268">
        <v>0</v>
      </c>
      <c r="F184" s="268">
        <v>0</v>
      </c>
      <c r="G184" s="178">
        <f>IF(G183&gt;0,-$C$23*G183,0)</f>
        <v>0</v>
      </c>
      <c r="H184" s="178">
        <f t="shared" ref="H184:AT184" si="70">IF(H183&gt;0,-$C$23*H183,0)</f>
        <v>0</v>
      </c>
      <c r="I184" s="178">
        <f t="shared" si="70"/>
        <v>0</v>
      </c>
      <c r="J184" s="178">
        <f t="shared" si="70"/>
        <v>0</v>
      </c>
      <c r="K184" s="178">
        <f t="shared" si="70"/>
        <v>0</v>
      </c>
      <c r="L184" s="178">
        <f t="shared" si="70"/>
        <v>0</v>
      </c>
      <c r="M184" s="178">
        <f t="shared" si="70"/>
        <v>0</v>
      </c>
      <c r="N184" s="178">
        <f t="shared" si="70"/>
        <v>0</v>
      </c>
      <c r="O184" s="178">
        <f t="shared" si="70"/>
        <v>0</v>
      </c>
      <c r="P184" s="178">
        <f t="shared" si="70"/>
        <v>0</v>
      </c>
      <c r="Q184" s="178">
        <f t="shared" si="70"/>
        <v>0</v>
      </c>
      <c r="R184" s="178">
        <f t="shared" si="70"/>
        <v>0</v>
      </c>
      <c r="S184" s="178">
        <f t="shared" si="70"/>
        <v>0</v>
      </c>
      <c r="T184" s="178">
        <f t="shared" si="70"/>
        <v>0</v>
      </c>
      <c r="U184" s="178">
        <f t="shared" si="70"/>
        <v>0</v>
      </c>
      <c r="V184" s="178">
        <f t="shared" si="70"/>
        <v>0</v>
      </c>
      <c r="W184" s="178">
        <f t="shared" si="70"/>
        <v>0</v>
      </c>
      <c r="X184" s="178">
        <f t="shared" si="70"/>
        <v>0</v>
      </c>
      <c r="Y184" s="178">
        <f t="shared" si="70"/>
        <v>0</v>
      </c>
      <c r="Z184" s="178">
        <f t="shared" si="70"/>
        <v>0</v>
      </c>
      <c r="AA184" s="178">
        <f t="shared" si="70"/>
        <v>0</v>
      </c>
      <c r="AB184" s="178">
        <f t="shared" si="70"/>
        <v>0</v>
      </c>
      <c r="AC184" s="178">
        <f t="shared" si="70"/>
        <v>0</v>
      </c>
      <c r="AD184" s="178">
        <f t="shared" si="70"/>
        <v>0</v>
      </c>
      <c r="AE184" s="178">
        <f t="shared" si="70"/>
        <v>0</v>
      </c>
      <c r="AF184" s="178">
        <f t="shared" si="70"/>
        <v>0</v>
      </c>
      <c r="AG184" s="178">
        <f t="shared" si="70"/>
        <v>0</v>
      </c>
      <c r="AH184" s="178">
        <f t="shared" si="70"/>
        <v>0</v>
      </c>
      <c r="AI184" s="178">
        <f t="shared" si="70"/>
        <v>0</v>
      </c>
      <c r="AJ184" s="178">
        <f t="shared" si="70"/>
        <v>0</v>
      </c>
      <c r="AK184" s="178">
        <f t="shared" si="70"/>
        <v>0</v>
      </c>
      <c r="AL184" s="178">
        <f t="shared" si="70"/>
        <v>0</v>
      </c>
      <c r="AM184" s="178">
        <f t="shared" si="70"/>
        <v>0</v>
      </c>
      <c r="AN184" s="178">
        <f t="shared" si="70"/>
        <v>0</v>
      </c>
      <c r="AO184" s="178">
        <f t="shared" si="70"/>
        <v>0</v>
      </c>
      <c r="AP184" s="178">
        <f t="shared" si="70"/>
        <v>0</v>
      </c>
      <c r="AQ184" s="178">
        <f t="shared" si="70"/>
        <v>0</v>
      </c>
      <c r="AR184" s="178">
        <f t="shared" si="70"/>
        <v>0</v>
      </c>
      <c r="AS184" s="178">
        <f t="shared" si="70"/>
        <v>0</v>
      </c>
      <c r="AT184" s="265">
        <f t="shared" si="70"/>
        <v>0</v>
      </c>
      <c r="AU184" s="166"/>
      <c r="AV184" s="166"/>
      <c r="AW184" s="166"/>
      <c r="AX184" s="166"/>
      <c r="AY184" s="166"/>
      <c r="AZ184" s="166"/>
      <c r="BA184" s="166"/>
      <c r="BB184" s="166"/>
      <c r="BC184" s="166"/>
      <c r="BD184" s="166"/>
      <c r="BE184" s="166"/>
      <c r="BF184" s="166"/>
      <c r="BG184" s="166"/>
      <c r="BH184" s="166"/>
      <c r="BI184" s="166"/>
      <c r="BJ184" s="166"/>
      <c r="BK184" s="166"/>
      <c r="BL184" s="166"/>
      <c r="BM184" s="166"/>
      <c r="BN184" s="166"/>
    </row>
    <row r="185" spans="2:66" ht="14.4" x14ac:dyDescent="0.25">
      <c r="B185" s="840" t="s">
        <v>175</v>
      </c>
      <c r="C185" s="800">
        <v>0</v>
      </c>
      <c r="D185" s="800">
        <v>0</v>
      </c>
      <c r="E185" s="800">
        <v>0</v>
      </c>
      <c r="F185" s="800">
        <v>0</v>
      </c>
      <c r="G185" s="261">
        <f>G167</f>
        <v>-4476318.6173797483</v>
      </c>
      <c r="H185" s="261">
        <f t="shared" ref="H185:AT185" si="71">H167</f>
        <v>-4476318.6173797483</v>
      </c>
      <c r="I185" s="261">
        <f t="shared" si="71"/>
        <v>-4476318.6173797483</v>
      </c>
      <c r="J185" s="261">
        <f t="shared" si="71"/>
        <v>-4476318.6173797483</v>
      </c>
      <c r="K185" s="261">
        <f t="shared" si="71"/>
        <v>-4476318.6173797483</v>
      </c>
      <c r="L185" s="261">
        <f t="shared" si="71"/>
        <v>-4226566.6672863076</v>
      </c>
      <c r="M185" s="261">
        <f t="shared" si="71"/>
        <v>-4226566.6672863076</v>
      </c>
      <c r="N185" s="261">
        <f t="shared" si="71"/>
        <v>-4226566.6672863076</v>
      </c>
      <c r="O185" s="261">
        <f t="shared" si="71"/>
        <v>-4226566.6672863076</v>
      </c>
      <c r="P185" s="261">
        <f t="shared" si="71"/>
        <v>-4226566.6672863076</v>
      </c>
      <c r="Q185" s="261">
        <f t="shared" si="71"/>
        <v>-3636188.9104059879</v>
      </c>
      <c r="R185" s="261">
        <f t="shared" si="71"/>
        <v>-4364578.243786227</v>
      </c>
      <c r="S185" s="261">
        <f t="shared" si="71"/>
        <v>-4364578.243786227</v>
      </c>
      <c r="T185" s="261">
        <f t="shared" si="71"/>
        <v>-4364578.243786227</v>
      </c>
      <c r="U185" s="261">
        <f t="shared" si="71"/>
        <v>-4364578.243786227</v>
      </c>
      <c r="V185" s="261">
        <f t="shared" si="71"/>
        <v>-3330617.415194436</v>
      </c>
      <c r="W185" s="261">
        <f t="shared" si="71"/>
        <v>-3330617.415194436</v>
      </c>
      <c r="X185" s="261">
        <f t="shared" si="71"/>
        <v>-4784057.9763839645</v>
      </c>
      <c r="Y185" s="261">
        <f t="shared" si="71"/>
        <v>-4784057.9763839645</v>
      </c>
      <c r="Z185" s="261">
        <f t="shared" si="71"/>
        <v>-4784057.9763839645</v>
      </c>
      <c r="AA185" s="261">
        <f t="shared" si="71"/>
        <v>-4784057.9763839645</v>
      </c>
      <c r="AB185" s="261">
        <f t="shared" si="71"/>
        <v>-4784057.9763839645</v>
      </c>
      <c r="AC185" s="261">
        <f t="shared" si="71"/>
        <v>-4959508.4970497834</v>
      </c>
      <c r="AD185" s="261">
        <f t="shared" si="71"/>
        <v>-4959508.4970497834</v>
      </c>
      <c r="AE185" s="261">
        <f t="shared" si="71"/>
        <v>-4959508.4970497834</v>
      </c>
      <c r="AF185" s="261">
        <f t="shared" si="71"/>
        <v>-4959508.4970497834</v>
      </c>
      <c r="AG185" s="261">
        <f t="shared" si="71"/>
        <v>-4959508.4970497834</v>
      </c>
      <c r="AH185" s="261">
        <f t="shared" si="71"/>
        <v>-4959508.4970497834</v>
      </c>
      <c r="AI185" s="261">
        <f t="shared" si="71"/>
        <v>-4959508.4970497834</v>
      </c>
      <c r="AJ185" s="261">
        <f t="shared" si="71"/>
        <v>-4959508.4970497834</v>
      </c>
      <c r="AK185" s="261">
        <f t="shared" si="71"/>
        <v>-4959508.4970497834</v>
      </c>
      <c r="AL185" s="261">
        <f t="shared" si="71"/>
        <v>-4959508.4970497834</v>
      </c>
      <c r="AM185" s="261">
        <f t="shared" si="71"/>
        <v>-3506067.9358602548</v>
      </c>
      <c r="AN185" s="261">
        <f t="shared" si="71"/>
        <v>-2602228.0818141969</v>
      </c>
      <c r="AO185" s="261">
        <f t="shared" si="71"/>
        <v>-5537212.7180729993</v>
      </c>
      <c r="AP185" s="261">
        <f t="shared" si="71"/>
        <v>-5537212.7180729993</v>
      </c>
      <c r="AQ185" s="261">
        <f t="shared" si="71"/>
        <v>-5537212.7180729993</v>
      </c>
      <c r="AR185" s="261">
        <f t="shared" si="71"/>
        <v>-5537212.7180729993</v>
      </c>
      <c r="AS185" s="261">
        <f t="shared" si="71"/>
        <v>-5537212.7180729993</v>
      </c>
      <c r="AT185" s="266">
        <f t="shared" si="71"/>
        <v>-5537212.7180729993</v>
      </c>
      <c r="AU185" s="166"/>
      <c r="AV185" s="166"/>
      <c r="AW185" s="166"/>
      <c r="AX185" s="166"/>
      <c r="AY185" s="166"/>
      <c r="AZ185" s="166"/>
      <c r="BA185" s="166"/>
      <c r="BB185" s="166"/>
      <c r="BC185" s="166"/>
      <c r="BD185" s="166"/>
      <c r="BE185" s="166"/>
      <c r="BF185" s="166"/>
      <c r="BG185" s="166"/>
      <c r="BH185" s="166"/>
      <c r="BI185" s="166"/>
      <c r="BJ185" s="166"/>
      <c r="BK185" s="166"/>
      <c r="BL185" s="166"/>
      <c r="BM185" s="166"/>
      <c r="BN185" s="166"/>
    </row>
    <row r="186" spans="2:66" x14ac:dyDescent="0.25">
      <c r="B186" s="836" t="s">
        <v>444</v>
      </c>
      <c r="C186" s="268">
        <v>0</v>
      </c>
      <c r="D186" s="268">
        <v>0</v>
      </c>
      <c r="E186" s="268">
        <v>0</v>
      </c>
      <c r="F186" s="268">
        <v>0</v>
      </c>
      <c r="G186" s="178">
        <f t="shared" ref="G186:AT186" si="72">G183+G184+G185</f>
        <v>-5041011.9038103856</v>
      </c>
      <c r="H186" s="178">
        <f t="shared" si="72"/>
        <v>-4036131.5423249295</v>
      </c>
      <c r="I186" s="178">
        <f t="shared" si="72"/>
        <v>-3877318.6175107239</v>
      </c>
      <c r="J186" s="178">
        <f t="shared" si="72"/>
        <v>-3923068.690505214</v>
      </c>
      <c r="K186" s="178">
        <f t="shared" si="72"/>
        <v>-10642766.845784269</v>
      </c>
      <c r="L186" s="178">
        <f t="shared" si="72"/>
        <v>-3575903.258023384</v>
      </c>
      <c r="M186" s="178">
        <f t="shared" si="72"/>
        <v>-3420654.6953863809</v>
      </c>
      <c r="N186" s="178">
        <f t="shared" si="72"/>
        <v>-3498164.5661543971</v>
      </c>
      <c r="O186" s="178">
        <f t="shared" si="72"/>
        <v>-3361305.6902089389</v>
      </c>
      <c r="P186" s="178">
        <f t="shared" si="72"/>
        <v>-10986504.500605181</v>
      </c>
      <c r="Q186" s="178">
        <f t="shared" si="72"/>
        <v>-2708652.4717478519</v>
      </c>
      <c r="R186" s="178">
        <f t="shared" si="72"/>
        <v>-3523010.1636365065</v>
      </c>
      <c r="S186" s="178">
        <f t="shared" si="72"/>
        <v>-3398115.8292729501</v>
      </c>
      <c r="T186" s="178">
        <f t="shared" si="72"/>
        <v>-3515042.2720972309</v>
      </c>
      <c r="U186" s="178">
        <f t="shared" si="72"/>
        <v>-11674125.079672176</v>
      </c>
      <c r="V186" s="178">
        <f t="shared" si="72"/>
        <v>-2474478.5130858207</v>
      </c>
      <c r="W186" s="178">
        <f t="shared" si="72"/>
        <v>-2340397.8146924209</v>
      </c>
      <c r="X186" s="178">
        <f t="shared" si="72"/>
        <v>-3879833.0354780806</v>
      </c>
      <c r="Y186" s="178">
        <f t="shared" si="72"/>
        <v>-3694458.0027059596</v>
      </c>
      <c r="Z186" s="178">
        <f t="shared" si="72"/>
        <v>-12892214.214561814</v>
      </c>
      <c r="AA186" s="178">
        <f t="shared" si="72"/>
        <v>-3589392.8619359434</v>
      </c>
      <c r="AB186" s="178">
        <f t="shared" si="72"/>
        <v>-3685194.367648189</v>
      </c>
      <c r="AC186" s="178">
        <f t="shared" si="72"/>
        <v>-3711424.5254594488</v>
      </c>
      <c r="AD186" s="178">
        <f t="shared" si="72"/>
        <v>-3870129.3711544927</v>
      </c>
      <c r="AE186" s="178">
        <f t="shared" si="72"/>
        <v>-13722679.513489231</v>
      </c>
      <c r="AF186" s="178">
        <f t="shared" si="72"/>
        <v>-3883010.4416350545</v>
      </c>
      <c r="AG186" s="178">
        <f t="shared" si="72"/>
        <v>-3724605.2719546715</v>
      </c>
      <c r="AH186" s="178">
        <f t="shared" si="72"/>
        <v>-3899594.5368893277</v>
      </c>
      <c r="AI186" s="178">
        <f t="shared" si="72"/>
        <v>-3736447.5330807334</v>
      </c>
      <c r="AJ186" s="178">
        <f t="shared" si="72"/>
        <v>-14914657.08283202</v>
      </c>
      <c r="AK186" s="178">
        <f t="shared" si="72"/>
        <v>-3752222.7530084914</v>
      </c>
      <c r="AL186" s="178">
        <f t="shared" si="72"/>
        <v>-3945208.6420655278</v>
      </c>
      <c r="AM186" s="178">
        <f t="shared" si="72"/>
        <v>-2318843.3854289455</v>
      </c>
      <c r="AN186" s="178">
        <f t="shared" si="72"/>
        <v>-1617686.5774610518</v>
      </c>
      <c r="AO186" s="178">
        <f t="shared" si="72"/>
        <v>-16454877.961952334</v>
      </c>
      <c r="AP186" s="178">
        <f t="shared" si="72"/>
        <v>-4587592.3993734047</v>
      </c>
      <c r="AQ186" s="178">
        <f t="shared" si="72"/>
        <v>-4404508.325518135</v>
      </c>
      <c r="AR186" s="178">
        <f t="shared" si="72"/>
        <v>-4628107.7211751211</v>
      </c>
      <c r="AS186" s="178">
        <f t="shared" si="72"/>
        <v>-4439806.1398946717</v>
      </c>
      <c r="AT186" s="265">
        <f t="shared" si="72"/>
        <v>-17947780.571668442</v>
      </c>
      <c r="AU186" s="166"/>
      <c r="AV186" s="166"/>
      <c r="AW186" s="166"/>
      <c r="AX186" s="166"/>
      <c r="AY186" s="166"/>
      <c r="AZ186" s="166"/>
      <c r="BA186" s="166"/>
      <c r="BB186" s="166"/>
      <c r="BC186" s="166"/>
      <c r="BD186" s="166"/>
      <c r="BE186" s="166"/>
      <c r="BF186" s="166"/>
      <c r="BG186" s="166"/>
      <c r="BH186" s="166"/>
      <c r="BI186" s="166"/>
      <c r="BJ186" s="166"/>
      <c r="BK186" s="166"/>
      <c r="BL186" s="166"/>
      <c r="BM186" s="166"/>
      <c r="BN186" s="166"/>
    </row>
    <row r="187" spans="2:66" x14ac:dyDescent="0.25">
      <c r="B187" s="836" t="s">
        <v>443</v>
      </c>
      <c r="C187" s="268">
        <v>0</v>
      </c>
      <c r="D187" s="268">
        <v>0</v>
      </c>
      <c r="E187" s="268">
        <v>0</v>
      </c>
      <c r="F187" s="268">
        <v>0</v>
      </c>
      <c r="G187" s="178">
        <f>IF(G186&gt;0,-$C$24*G186,0)</f>
        <v>0</v>
      </c>
      <c r="H187" s="178">
        <f t="shared" ref="H187:AT187" si="73">IF(H186&gt;0,-$C$24*H186,0)</f>
        <v>0</v>
      </c>
      <c r="I187" s="178">
        <f t="shared" si="73"/>
        <v>0</v>
      </c>
      <c r="J187" s="178">
        <f t="shared" si="73"/>
        <v>0</v>
      </c>
      <c r="K187" s="178">
        <f t="shared" si="73"/>
        <v>0</v>
      </c>
      <c r="L187" s="178">
        <f t="shared" si="73"/>
        <v>0</v>
      </c>
      <c r="M187" s="178">
        <f t="shared" si="73"/>
        <v>0</v>
      </c>
      <c r="N187" s="178">
        <f t="shared" si="73"/>
        <v>0</v>
      </c>
      <c r="O187" s="178">
        <f t="shared" si="73"/>
        <v>0</v>
      </c>
      <c r="P187" s="178">
        <f t="shared" si="73"/>
        <v>0</v>
      </c>
      <c r="Q187" s="178">
        <f t="shared" si="73"/>
        <v>0</v>
      </c>
      <c r="R187" s="178">
        <f t="shared" si="73"/>
        <v>0</v>
      </c>
      <c r="S187" s="178">
        <f t="shared" si="73"/>
        <v>0</v>
      </c>
      <c r="T187" s="178">
        <f t="shared" si="73"/>
        <v>0</v>
      </c>
      <c r="U187" s="178">
        <f t="shared" si="73"/>
        <v>0</v>
      </c>
      <c r="V187" s="178">
        <f t="shared" si="73"/>
        <v>0</v>
      </c>
      <c r="W187" s="178">
        <f t="shared" si="73"/>
        <v>0</v>
      </c>
      <c r="X187" s="178">
        <f t="shared" si="73"/>
        <v>0</v>
      </c>
      <c r="Y187" s="178">
        <f t="shared" si="73"/>
        <v>0</v>
      </c>
      <c r="Z187" s="178">
        <f t="shared" si="73"/>
        <v>0</v>
      </c>
      <c r="AA187" s="178">
        <f t="shared" si="73"/>
        <v>0</v>
      </c>
      <c r="AB187" s="178">
        <f t="shared" si="73"/>
        <v>0</v>
      </c>
      <c r="AC187" s="178">
        <f t="shared" si="73"/>
        <v>0</v>
      </c>
      <c r="AD187" s="178">
        <f t="shared" si="73"/>
        <v>0</v>
      </c>
      <c r="AE187" s="178">
        <f t="shared" si="73"/>
        <v>0</v>
      </c>
      <c r="AF187" s="178">
        <f t="shared" si="73"/>
        <v>0</v>
      </c>
      <c r="AG187" s="178">
        <f t="shared" si="73"/>
        <v>0</v>
      </c>
      <c r="AH187" s="178">
        <f t="shared" si="73"/>
        <v>0</v>
      </c>
      <c r="AI187" s="178">
        <f t="shared" si="73"/>
        <v>0</v>
      </c>
      <c r="AJ187" s="178">
        <f t="shared" si="73"/>
        <v>0</v>
      </c>
      <c r="AK187" s="178">
        <f t="shared" si="73"/>
        <v>0</v>
      </c>
      <c r="AL187" s="178">
        <f t="shared" si="73"/>
        <v>0</v>
      </c>
      <c r="AM187" s="178">
        <f t="shared" si="73"/>
        <v>0</v>
      </c>
      <c r="AN187" s="178">
        <f t="shared" si="73"/>
        <v>0</v>
      </c>
      <c r="AO187" s="178">
        <f t="shared" si="73"/>
        <v>0</v>
      </c>
      <c r="AP187" s="178">
        <f t="shared" si="73"/>
        <v>0</v>
      </c>
      <c r="AQ187" s="178">
        <f t="shared" si="73"/>
        <v>0</v>
      </c>
      <c r="AR187" s="178">
        <f t="shared" si="73"/>
        <v>0</v>
      </c>
      <c r="AS187" s="178">
        <f t="shared" si="73"/>
        <v>0</v>
      </c>
      <c r="AT187" s="265">
        <f t="shared" si="73"/>
        <v>0</v>
      </c>
      <c r="AU187" s="166"/>
      <c r="AV187" s="166"/>
      <c r="AW187" s="166"/>
      <c r="AX187" s="166"/>
      <c r="AY187" s="166"/>
      <c r="AZ187" s="166"/>
      <c r="BA187" s="166"/>
      <c r="BB187" s="166"/>
      <c r="BC187" s="166"/>
      <c r="BD187" s="166"/>
      <c r="BE187" s="166"/>
      <c r="BF187" s="166"/>
      <c r="BG187" s="166"/>
      <c r="BH187" s="166"/>
      <c r="BI187" s="166"/>
      <c r="BJ187" s="166"/>
      <c r="BK187" s="166"/>
      <c r="BL187" s="166"/>
      <c r="BM187" s="166"/>
      <c r="BN187" s="166"/>
    </row>
    <row r="188" spans="2:66" ht="14.4" x14ac:dyDescent="0.25">
      <c r="B188" s="841" t="s">
        <v>445</v>
      </c>
      <c r="C188" s="801">
        <v>0</v>
      </c>
      <c r="D188" s="801">
        <v>0</v>
      </c>
      <c r="E188" s="801">
        <v>0</v>
      </c>
      <c r="F188" s="801">
        <v>0</v>
      </c>
      <c r="G188" s="262">
        <f>G186+G187</f>
        <v>-5041011.9038103856</v>
      </c>
      <c r="H188" s="262">
        <f t="shared" ref="H188:AT188" si="74">H186+H187</f>
        <v>-4036131.5423249295</v>
      </c>
      <c r="I188" s="262">
        <f t="shared" si="74"/>
        <v>-3877318.6175107239</v>
      </c>
      <c r="J188" s="262">
        <f t="shared" si="74"/>
        <v>-3923068.690505214</v>
      </c>
      <c r="K188" s="262">
        <f t="shared" si="74"/>
        <v>-10642766.845784269</v>
      </c>
      <c r="L188" s="262">
        <f t="shared" si="74"/>
        <v>-3575903.258023384</v>
      </c>
      <c r="M188" s="262">
        <f t="shared" si="74"/>
        <v>-3420654.6953863809</v>
      </c>
      <c r="N188" s="262">
        <f t="shared" si="74"/>
        <v>-3498164.5661543971</v>
      </c>
      <c r="O188" s="262">
        <f t="shared" si="74"/>
        <v>-3361305.6902089389</v>
      </c>
      <c r="P188" s="262">
        <f t="shared" si="74"/>
        <v>-10986504.500605181</v>
      </c>
      <c r="Q188" s="262">
        <f t="shared" si="74"/>
        <v>-2708652.4717478519</v>
      </c>
      <c r="R188" s="262">
        <f t="shared" si="74"/>
        <v>-3523010.1636365065</v>
      </c>
      <c r="S188" s="262">
        <f t="shared" si="74"/>
        <v>-3398115.8292729501</v>
      </c>
      <c r="T188" s="262">
        <f t="shared" si="74"/>
        <v>-3515042.2720972309</v>
      </c>
      <c r="U188" s="262">
        <f t="shared" si="74"/>
        <v>-11674125.079672176</v>
      </c>
      <c r="V188" s="262">
        <f t="shared" si="74"/>
        <v>-2474478.5130858207</v>
      </c>
      <c r="W188" s="262">
        <f t="shared" si="74"/>
        <v>-2340397.8146924209</v>
      </c>
      <c r="X188" s="262">
        <f t="shared" si="74"/>
        <v>-3879833.0354780806</v>
      </c>
      <c r="Y188" s="262">
        <f t="shared" si="74"/>
        <v>-3694458.0027059596</v>
      </c>
      <c r="Z188" s="262">
        <f t="shared" si="74"/>
        <v>-12892214.214561814</v>
      </c>
      <c r="AA188" s="262">
        <f t="shared" si="74"/>
        <v>-3589392.8619359434</v>
      </c>
      <c r="AB188" s="262">
        <f t="shared" si="74"/>
        <v>-3685194.367648189</v>
      </c>
      <c r="AC188" s="262">
        <f t="shared" si="74"/>
        <v>-3711424.5254594488</v>
      </c>
      <c r="AD188" s="262">
        <f t="shared" si="74"/>
        <v>-3870129.3711544927</v>
      </c>
      <c r="AE188" s="262">
        <f t="shared" si="74"/>
        <v>-13722679.513489231</v>
      </c>
      <c r="AF188" s="262">
        <f t="shared" si="74"/>
        <v>-3883010.4416350545</v>
      </c>
      <c r="AG188" s="262">
        <f t="shared" si="74"/>
        <v>-3724605.2719546715</v>
      </c>
      <c r="AH188" s="262">
        <f t="shared" si="74"/>
        <v>-3899594.5368893277</v>
      </c>
      <c r="AI188" s="262">
        <f t="shared" si="74"/>
        <v>-3736447.5330807334</v>
      </c>
      <c r="AJ188" s="262">
        <f t="shared" si="74"/>
        <v>-14914657.08283202</v>
      </c>
      <c r="AK188" s="262">
        <f t="shared" si="74"/>
        <v>-3752222.7530084914</v>
      </c>
      <c r="AL188" s="262">
        <f t="shared" si="74"/>
        <v>-3945208.6420655278</v>
      </c>
      <c r="AM188" s="262">
        <f t="shared" si="74"/>
        <v>-2318843.3854289455</v>
      </c>
      <c r="AN188" s="262">
        <f t="shared" si="74"/>
        <v>-1617686.5774610518</v>
      </c>
      <c r="AO188" s="262">
        <f t="shared" si="74"/>
        <v>-16454877.961952334</v>
      </c>
      <c r="AP188" s="262">
        <f t="shared" si="74"/>
        <v>-4587592.3993734047</v>
      </c>
      <c r="AQ188" s="262">
        <f t="shared" si="74"/>
        <v>-4404508.325518135</v>
      </c>
      <c r="AR188" s="262">
        <f t="shared" si="74"/>
        <v>-4628107.7211751211</v>
      </c>
      <c r="AS188" s="262">
        <f t="shared" si="74"/>
        <v>-4439806.1398946717</v>
      </c>
      <c r="AT188" s="267">
        <f t="shared" si="74"/>
        <v>-17947780.571668442</v>
      </c>
      <c r="AU188" s="166"/>
      <c r="AV188" s="166"/>
      <c r="AW188" s="166"/>
      <c r="AX188" s="166"/>
      <c r="AY188" s="166"/>
      <c r="AZ188" s="166"/>
      <c r="BA188" s="166"/>
      <c r="BB188" s="166"/>
      <c r="BC188" s="166"/>
      <c r="BD188" s="166"/>
      <c r="BE188" s="166"/>
      <c r="BF188" s="166"/>
      <c r="BG188" s="166"/>
      <c r="BH188" s="166"/>
      <c r="BI188" s="166"/>
      <c r="BJ188" s="166"/>
      <c r="BK188" s="166"/>
      <c r="BL188" s="166"/>
      <c r="BM188" s="166"/>
      <c r="BN188" s="166"/>
    </row>
    <row r="189" spans="2:66" x14ac:dyDescent="0.25">
      <c r="B189" s="836" t="s">
        <v>446</v>
      </c>
      <c r="C189" s="268">
        <v>0</v>
      </c>
      <c r="D189" s="268">
        <v>0</v>
      </c>
      <c r="E189" s="268">
        <v>0</v>
      </c>
      <c r="F189" s="268">
        <v>0</v>
      </c>
      <c r="G189" s="178">
        <f>-G185</f>
        <v>4476318.6173797483</v>
      </c>
      <c r="H189" s="178">
        <f t="shared" ref="H189:AT189" si="75">-H185</f>
        <v>4476318.6173797483</v>
      </c>
      <c r="I189" s="178">
        <f t="shared" si="75"/>
        <v>4476318.6173797483</v>
      </c>
      <c r="J189" s="178">
        <f t="shared" si="75"/>
        <v>4476318.6173797483</v>
      </c>
      <c r="K189" s="178">
        <f t="shared" si="75"/>
        <v>4476318.6173797483</v>
      </c>
      <c r="L189" s="178">
        <f t="shared" si="75"/>
        <v>4226566.6672863076</v>
      </c>
      <c r="M189" s="178">
        <f t="shared" si="75"/>
        <v>4226566.6672863076</v>
      </c>
      <c r="N189" s="178">
        <f t="shared" si="75"/>
        <v>4226566.6672863076</v>
      </c>
      <c r="O189" s="178">
        <f t="shared" si="75"/>
        <v>4226566.6672863076</v>
      </c>
      <c r="P189" s="178">
        <f t="shared" si="75"/>
        <v>4226566.6672863076</v>
      </c>
      <c r="Q189" s="178">
        <f t="shared" si="75"/>
        <v>3636188.9104059879</v>
      </c>
      <c r="R189" s="178">
        <f t="shared" si="75"/>
        <v>4364578.243786227</v>
      </c>
      <c r="S189" s="178">
        <f t="shared" si="75"/>
        <v>4364578.243786227</v>
      </c>
      <c r="T189" s="178">
        <f t="shared" si="75"/>
        <v>4364578.243786227</v>
      </c>
      <c r="U189" s="178">
        <f t="shared" si="75"/>
        <v>4364578.243786227</v>
      </c>
      <c r="V189" s="178">
        <f t="shared" si="75"/>
        <v>3330617.415194436</v>
      </c>
      <c r="W189" s="178">
        <f t="shared" si="75"/>
        <v>3330617.415194436</v>
      </c>
      <c r="X189" s="178">
        <f t="shared" si="75"/>
        <v>4784057.9763839645</v>
      </c>
      <c r="Y189" s="178">
        <f t="shared" si="75"/>
        <v>4784057.9763839645</v>
      </c>
      <c r="Z189" s="178">
        <f t="shared" si="75"/>
        <v>4784057.9763839645</v>
      </c>
      <c r="AA189" s="178">
        <f t="shared" si="75"/>
        <v>4784057.9763839645</v>
      </c>
      <c r="AB189" s="178">
        <f t="shared" si="75"/>
        <v>4784057.9763839645</v>
      </c>
      <c r="AC189" s="178">
        <f t="shared" si="75"/>
        <v>4959508.4970497834</v>
      </c>
      <c r="AD189" s="178">
        <f t="shared" si="75"/>
        <v>4959508.4970497834</v>
      </c>
      <c r="AE189" s="178">
        <f t="shared" si="75"/>
        <v>4959508.4970497834</v>
      </c>
      <c r="AF189" s="178">
        <f t="shared" si="75"/>
        <v>4959508.4970497834</v>
      </c>
      <c r="AG189" s="178">
        <f t="shared" si="75"/>
        <v>4959508.4970497834</v>
      </c>
      <c r="AH189" s="178">
        <f t="shared" si="75"/>
        <v>4959508.4970497834</v>
      </c>
      <c r="AI189" s="178">
        <f t="shared" si="75"/>
        <v>4959508.4970497834</v>
      </c>
      <c r="AJ189" s="178">
        <f t="shared" si="75"/>
        <v>4959508.4970497834</v>
      </c>
      <c r="AK189" s="178">
        <f t="shared" si="75"/>
        <v>4959508.4970497834</v>
      </c>
      <c r="AL189" s="178">
        <f t="shared" si="75"/>
        <v>4959508.4970497834</v>
      </c>
      <c r="AM189" s="178">
        <f t="shared" si="75"/>
        <v>3506067.9358602548</v>
      </c>
      <c r="AN189" s="178">
        <f t="shared" si="75"/>
        <v>2602228.0818141969</v>
      </c>
      <c r="AO189" s="178">
        <f t="shared" si="75"/>
        <v>5537212.7180729993</v>
      </c>
      <c r="AP189" s="178">
        <f t="shared" si="75"/>
        <v>5537212.7180729993</v>
      </c>
      <c r="AQ189" s="178">
        <f t="shared" si="75"/>
        <v>5537212.7180729993</v>
      </c>
      <c r="AR189" s="178">
        <f t="shared" si="75"/>
        <v>5537212.7180729993</v>
      </c>
      <c r="AS189" s="178">
        <f t="shared" si="75"/>
        <v>5537212.7180729993</v>
      </c>
      <c r="AT189" s="265">
        <f t="shared" si="75"/>
        <v>5537212.7180729993</v>
      </c>
      <c r="AU189" s="166"/>
      <c r="AV189" s="166"/>
      <c r="AW189" s="166"/>
      <c r="AX189" s="166"/>
      <c r="AY189" s="166"/>
      <c r="AZ189" s="166"/>
      <c r="BA189" s="166"/>
      <c r="BB189" s="166"/>
      <c r="BC189" s="166"/>
      <c r="BD189" s="166"/>
      <c r="BE189" s="166"/>
      <c r="BF189" s="166"/>
      <c r="BG189" s="166"/>
      <c r="BH189" s="166"/>
      <c r="BI189" s="166"/>
      <c r="BJ189" s="166"/>
      <c r="BK189" s="166"/>
      <c r="BL189" s="166"/>
      <c r="BM189" s="166"/>
      <c r="BN189" s="166"/>
    </row>
    <row r="190" spans="2:66" ht="15" thickBot="1" x14ac:dyDescent="0.3">
      <c r="B190" s="842" t="s">
        <v>386</v>
      </c>
      <c r="C190" s="828"/>
      <c r="D190" s="828"/>
      <c r="E190" s="828"/>
      <c r="F190" s="828"/>
      <c r="G190" s="828">
        <f>G188+G189</f>
        <v>-564693.28643063735</v>
      </c>
      <c r="H190" s="828">
        <f t="shared" ref="H190:AT190" si="76">H188+H189</f>
        <v>440187.07505481876</v>
      </c>
      <c r="I190" s="828">
        <f t="shared" si="76"/>
        <v>598999.99986902438</v>
      </c>
      <c r="J190" s="828">
        <f t="shared" si="76"/>
        <v>553249.92687453423</v>
      </c>
      <c r="K190" s="828">
        <f t="shared" si="76"/>
        <v>-6166448.228404521</v>
      </c>
      <c r="L190" s="828">
        <f t="shared" si="76"/>
        <v>650663.40926292352</v>
      </c>
      <c r="M190" s="828">
        <f t="shared" si="76"/>
        <v>805911.97189992666</v>
      </c>
      <c r="N190" s="828">
        <f t="shared" si="76"/>
        <v>728402.10113191046</v>
      </c>
      <c r="O190" s="828">
        <f t="shared" si="76"/>
        <v>865260.97707736865</v>
      </c>
      <c r="P190" s="828">
        <f t="shared" si="76"/>
        <v>-6759937.8333188733</v>
      </c>
      <c r="Q190" s="828">
        <f t="shared" si="76"/>
        <v>927536.43865813594</v>
      </c>
      <c r="R190" s="828">
        <f t="shared" si="76"/>
        <v>841568.08014972042</v>
      </c>
      <c r="S190" s="828">
        <f t="shared" si="76"/>
        <v>966462.41451327689</v>
      </c>
      <c r="T190" s="828">
        <f t="shared" si="76"/>
        <v>849535.97168899607</v>
      </c>
      <c r="U190" s="828">
        <f t="shared" si="76"/>
        <v>-7309546.8358859494</v>
      </c>
      <c r="V190" s="828">
        <f t="shared" si="76"/>
        <v>856138.90210861526</v>
      </c>
      <c r="W190" s="828">
        <f t="shared" si="76"/>
        <v>990219.60050201509</v>
      </c>
      <c r="X190" s="828">
        <f t="shared" si="76"/>
        <v>904224.94090588391</v>
      </c>
      <c r="Y190" s="828">
        <f t="shared" si="76"/>
        <v>1089599.9736780049</v>
      </c>
      <c r="Z190" s="828">
        <f t="shared" si="76"/>
        <v>-8108156.2381778499</v>
      </c>
      <c r="AA190" s="828">
        <f t="shared" si="76"/>
        <v>1194665.1144480212</v>
      </c>
      <c r="AB190" s="828">
        <f t="shared" si="76"/>
        <v>1098863.6087357756</v>
      </c>
      <c r="AC190" s="828">
        <f t="shared" si="76"/>
        <v>1248083.9715903345</v>
      </c>
      <c r="AD190" s="828">
        <f t="shared" si="76"/>
        <v>1089379.1258952906</v>
      </c>
      <c r="AE190" s="828">
        <f t="shared" si="76"/>
        <v>-8763171.016439449</v>
      </c>
      <c r="AF190" s="828">
        <f t="shared" si="76"/>
        <v>1076498.0554147288</v>
      </c>
      <c r="AG190" s="828">
        <f t="shared" si="76"/>
        <v>1234903.2250951119</v>
      </c>
      <c r="AH190" s="828">
        <f t="shared" si="76"/>
        <v>1059913.9601604557</v>
      </c>
      <c r="AI190" s="828">
        <f t="shared" si="76"/>
        <v>1223060.96396905</v>
      </c>
      <c r="AJ190" s="828">
        <f t="shared" si="76"/>
        <v>-9955148.5857822374</v>
      </c>
      <c r="AK190" s="828">
        <f t="shared" si="76"/>
        <v>1207285.744041292</v>
      </c>
      <c r="AL190" s="828">
        <f t="shared" si="76"/>
        <v>1014299.8549842555</v>
      </c>
      <c r="AM190" s="828">
        <f t="shared" si="76"/>
        <v>1187224.5504313093</v>
      </c>
      <c r="AN190" s="828">
        <f t="shared" si="76"/>
        <v>984541.50435314514</v>
      </c>
      <c r="AO190" s="828">
        <f t="shared" si="76"/>
        <v>-10917665.243879335</v>
      </c>
      <c r="AP190" s="828">
        <f t="shared" si="76"/>
        <v>949620.31869959459</v>
      </c>
      <c r="AQ190" s="828">
        <f t="shared" si="76"/>
        <v>1132704.3925548643</v>
      </c>
      <c r="AR190" s="828">
        <f t="shared" si="76"/>
        <v>909104.99689787813</v>
      </c>
      <c r="AS190" s="828">
        <f t="shared" si="76"/>
        <v>1097406.5781783275</v>
      </c>
      <c r="AT190" s="829">
        <f t="shared" si="76"/>
        <v>-12410567.853595443</v>
      </c>
      <c r="AU190" s="166"/>
      <c r="AV190" s="166"/>
      <c r="AW190" s="166"/>
      <c r="AX190" s="166"/>
      <c r="AY190" s="166"/>
      <c r="AZ190" s="166"/>
      <c r="BA190" s="166"/>
      <c r="BB190" s="166"/>
      <c r="BC190" s="166"/>
      <c r="BD190" s="166"/>
      <c r="BE190" s="166"/>
      <c r="BF190" s="166"/>
      <c r="BG190" s="166"/>
      <c r="BH190" s="166"/>
      <c r="BI190" s="166"/>
      <c r="BJ190" s="166"/>
      <c r="BK190" s="166"/>
      <c r="BL190" s="166"/>
      <c r="BM190" s="166"/>
      <c r="BN190" s="166"/>
    </row>
    <row r="191" spans="2:66" ht="15" thickBot="1" x14ac:dyDescent="0.3">
      <c r="B191" s="839"/>
      <c r="C191" s="811"/>
      <c r="D191" s="811"/>
      <c r="E191" s="811"/>
      <c r="F191" s="811"/>
      <c r="G191" s="811"/>
      <c r="H191" s="811"/>
      <c r="I191" s="811"/>
      <c r="J191" s="811"/>
      <c r="K191" s="811"/>
      <c r="L191" s="811"/>
      <c r="M191" s="811"/>
      <c r="N191" s="811"/>
      <c r="O191" s="811"/>
      <c r="P191" s="811"/>
      <c r="Q191" s="811"/>
      <c r="R191" s="811"/>
      <c r="S191" s="811"/>
      <c r="T191" s="811"/>
      <c r="U191" s="811"/>
      <c r="V191" s="811"/>
      <c r="W191" s="811"/>
      <c r="X191" s="811"/>
      <c r="Y191" s="811"/>
      <c r="Z191" s="811"/>
      <c r="AA191" s="811"/>
      <c r="AB191" s="811"/>
      <c r="AC191" s="811"/>
      <c r="AD191" s="811"/>
      <c r="AE191" s="811"/>
      <c r="AF191" s="811"/>
      <c r="AG191" s="811"/>
      <c r="AH191" s="811"/>
      <c r="AI191" s="811"/>
      <c r="AJ191" s="811"/>
      <c r="AK191" s="811"/>
      <c r="AL191" s="811"/>
      <c r="AM191" s="811"/>
      <c r="AN191" s="811"/>
      <c r="AO191" s="811"/>
      <c r="AP191" s="811"/>
      <c r="AQ191" s="811"/>
      <c r="AR191" s="811"/>
      <c r="AS191" s="811"/>
      <c r="AT191" s="811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6"/>
      <c r="BN191" s="166"/>
    </row>
    <row r="192" spans="2:66" ht="14.4" x14ac:dyDescent="0.25">
      <c r="B192" s="835" t="s">
        <v>447</v>
      </c>
      <c r="C192" s="818"/>
      <c r="D192" s="818"/>
      <c r="E192" s="818"/>
      <c r="F192" s="818"/>
      <c r="G192" s="818"/>
      <c r="H192" s="818"/>
      <c r="I192" s="818"/>
      <c r="J192" s="818"/>
      <c r="K192" s="818"/>
      <c r="L192" s="818"/>
      <c r="M192" s="818"/>
      <c r="N192" s="818"/>
      <c r="O192" s="818"/>
      <c r="P192" s="818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  <c r="AA192" s="818"/>
      <c r="AB192" s="818"/>
      <c r="AC192" s="818"/>
      <c r="AD192" s="818"/>
      <c r="AE192" s="818"/>
      <c r="AF192" s="818"/>
      <c r="AG192" s="818"/>
      <c r="AH192" s="818"/>
      <c r="AI192" s="818"/>
      <c r="AJ192" s="818"/>
      <c r="AK192" s="818"/>
      <c r="AL192" s="818"/>
      <c r="AM192" s="818"/>
      <c r="AN192" s="818"/>
      <c r="AO192" s="818"/>
      <c r="AP192" s="818"/>
      <c r="AQ192" s="818"/>
      <c r="AR192" s="818"/>
      <c r="AS192" s="818"/>
      <c r="AT192" s="819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  <c r="BN192" s="166"/>
    </row>
    <row r="193" spans="2:66" x14ac:dyDescent="0.25">
      <c r="B193" s="836" t="s">
        <v>448</v>
      </c>
      <c r="C193" s="268">
        <f>C117</f>
        <v>-7968994.6529367194</v>
      </c>
      <c r="D193" s="268">
        <f t="shared" ref="D193:F193" si="77">D117</f>
        <v>-31237973.050517157</v>
      </c>
      <c r="E193" s="268">
        <f t="shared" si="77"/>
        <v>-82610243.589414939</v>
      </c>
      <c r="F193" s="268">
        <f t="shared" si="77"/>
        <v>-33733581.890470475</v>
      </c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265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66"/>
      <c r="BI193" s="166"/>
      <c r="BJ193" s="166"/>
      <c r="BK193" s="166"/>
      <c r="BL193" s="166"/>
      <c r="BM193" s="166"/>
      <c r="BN193" s="166"/>
    </row>
    <row r="194" spans="2:66" x14ac:dyDescent="0.25">
      <c r="B194" s="836" t="s">
        <v>383</v>
      </c>
      <c r="C194" s="178"/>
      <c r="D194" s="178"/>
      <c r="E194" s="178"/>
      <c r="F194" s="178"/>
      <c r="G194" s="268">
        <f t="shared" ref="G194:AT194" si="78">G118</f>
        <v>0</v>
      </c>
      <c r="H194" s="268">
        <f t="shared" si="78"/>
        <v>0</v>
      </c>
      <c r="I194" s="268">
        <f t="shared" si="78"/>
        <v>0</v>
      </c>
      <c r="J194" s="268">
        <f t="shared" si="78"/>
        <v>0</v>
      </c>
      <c r="K194" s="268">
        <f t="shared" si="78"/>
        <v>0</v>
      </c>
      <c r="L194" s="268">
        <f t="shared" si="78"/>
        <v>0</v>
      </c>
      <c r="M194" s="268">
        <f t="shared" si="78"/>
        <v>0</v>
      </c>
      <c r="N194" s="268">
        <f t="shared" si="78"/>
        <v>0</v>
      </c>
      <c r="O194" s="268">
        <f t="shared" si="78"/>
        <v>0</v>
      </c>
      <c r="P194" s="268">
        <f t="shared" si="78"/>
        <v>-3207183.885592333</v>
      </c>
      <c r="Q194" s="268">
        <f t="shared" si="78"/>
        <v>-4076709.4482100578</v>
      </c>
      <c r="R194" s="268">
        <f t="shared" si="78"/>
        <v>0</v>
      </c>
      <c r="S194" s="268">
        <f t="shared" si="78"/>
        <v>0</v>
      </c>
      <c r="T194" s="268">
        <f t="shared" si="78"/>
        <v>0</v>
      </c>
      <c r="U194" s="268">
        <f t="shared" si="78"/>
        <v>-4045775.9888849272</v>
      </c>
      <c r="V194" s="268">
        <f t="shared" si="78"/>
        <v>-12077947.469822951</v>
      </c>
      <c r="W194" s="268">
        <f t="shared" si="78"/>
        <v>-5677884.95913505</v>
      </c>
      <c r="X194" s="268">
        <f t="shared" si="78"/>
        <v>0</v>
      </c>
      <c r="Y194" s="268">
        <f t="shared" si="78"/>
        <v>0</v>
      </c>
      <c r="Z194" s="268">
        <f t="shared" si="78"/>
        <v>0</v>
      </c>
      <c r="AA194" s="268">
        <f t="shared" si="78"/>
        <v>-3979709.5823840685</v>
      </c>
      <c r="AB194" s="268">
        <f t="shared" si="78"/>
        <v>-5058688.9580765124</v>
      </c>
      <c r="AC194" s="268">
        <f t="shared" si="78"/>
        <v>0</v>
      </c>
      <c r="AD194" s="268">
        <f t="shared" si="78"/>
        <v>0</v>
      </c>
      <c r="AE194" s="268">
        <f t="shared" si="78"/>
        <v>0</v>
      </c>
      <c r="AF194" s="268">
        <f t="shared" si="78"/>
        <v>0</v>
      </c>
      <c r="AG194" s="268">
        <f t="shared" si="78"/>
        <v>0</v>
      </c>
      <c r="AH194" s="268">
        <f t="shared" si="78"/>
        <v>0</v>
      </c>
      <c r="AI194" s="268">
        <f t="shared" si="78"/>
        <v>0</v>
      </c>
      <c r="AJ194" s="268">
        <f t="shared" si="78"/>
        <v>0</v>
      </c>
      <c r="AK194" s="268">
        <f t="shared" si="78"/>
        <v>0</v>
      </c>
      <c r="AL194" s="268">
        <f t="shared" si="78"/>
        <v>-10528158.00957758</v>
      </c>
      <c r="AM194" s="268">
        <f t="shared" si="78"/>
        <v>-22774109.143506903</v>
      </c>
      <c r="AN194" s="268">
        <f t="shared" si="78"/>
        <v>-7787517.7545387391</v>
      </c>
      <c r="AO194" s="268">
        <f t="shared" si="78"/>
        <v>0</v>
      </c>
      <c r="AP194" s="268">
        <f t="shared" si="78"/>
        <v>0</v>
      </c>
      <c r="AQ194" s="268">
        <f t="shared" si="78"/>
        <v>0</v>
      </c>
      <c r="AR194" s="268">
        <f t="shared" si="78"/>
        <v>0</v>
      </c>
      <c r="AS194" s="268">
        <f t="shared" si="78"/>
        <v>0</v>
      </c>
      <c r="AT194" s="799">
        <f t="shared" si="78"/>
        <v>0</v>
      </c>
      <c r="AU194" s="166"/>
      <c r="AV194" s="166"/>
      <c r="AW194" s="166"/>
      <c r="AX194" s="166"/>
      <c r="AY194" s="166"/>
      <c r="AZ194" s="166"/>
      <c r="BA194" s="166"/>
      <c r="BB194" s="166"/>
      <c r="BC194" s="166"/>
      <c r="BD194" s="166"/>
      <c r="BE194" s="166"/>
      <c r="BF194" s="166"/>
      <c r="BG194" s="166"/>
      <c r="BH194" s="166"/>
      <c r="BI194" s="166"/>
      <c r="BJ194" s="166"/>
      <c r="BK194" s="166"/>
      <c r="BL194" s="166"/>
      <c r="BM194" s="166"/>
      <c r="BN194" s="166"/>
    </row>
    <row r="195" spans="2:66" x14ac:dyDescent="0.25">
      <c r="B195" s="836" t="s">
        <v>384</v>
      </c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758">
        <f>AJ168</f>
        <v>60440401.665283263</v>
      </c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847">
        <f>AT168</f>
        <v>58149566.525212049</v>
      </c>
      <c r="AU195" s="166"/>
      <c r="AV195" s="166"/>
      <c r="AW195" s="166"/>
      <c r="AX195" s="166"/>
      <c r="AY195" s="166"/>
      <c r="AZ195" s="166"/>
      <c r="BA195" s="166"/>
      <c r="BB195" s="166"/>
      <c r="BC195" s="166"/>
      <c r="BD195" s="166"/>
      <c r="BE195" s="166"/>
      <c r="BF195" s="166"/>
      <c r="BG195" s="166"/>
      <c r="BH195" s="166"/>
      <c r="BI195" s="166"/>
      <c r="BJ195" s="166"/>
      <c r="BK195" s="166"/>
      <c r="BL195" s="166"/>
      <c r="BM195" s="166"/>
      <c r="BN195" s="166"/>
    </row>
    <row r="196" spans="2:66" ht="15" thickBot="1" x14ac:dyDescent="0.3">
      <c r="B196" s="842" t="s">
        <v>385</v>
      </c>
      <c r="C196" s="822">
        <f t="shared" ref="C196:AT196" si="79">C193+C194+C195</f>
        <v>-7968994.6529367194</v>
      </c>
      <c r="D196" s="822">
        <f t="shared" si="79"/>
        <v>-31237973.050517157</v>
      </c>
      <c r="E196" s="822">
        <f t="shared" si="79"/>
        <v>-82610243.589414939</v>
      </c>
      <c r="F196" s="822">
        <f t="shared" si="79"/>
        <v>-33733581.890470475</v>
      </c>
      <c r="G196" s="822">
        <f t="shared" si="79"/>
        <v>0</v>
      </c>
      <c r="H196" s="822">
        <f t="shared" si="79"/>
        <v>0</v>
      </c>
      <c r="I196" s="822">
        <f t="shared" si="79"/>
        <v>0</v>
      </c>
      <c r="J196" s="822">
        <f t="shared" si="79"/>
        <v>0</v>
      </c>
      <c r="K196" s="822">
        <f t="shared" si="79"/>
        <v>0</v>
      </c>
      <c r="L196" s="822">
        <f t="shared" si="79"/>
        <v>0</v>
      </c>
      <c r="M196" s="822">
        <f t="shared" si="79"/>
        <v>0</v>
      </c>
      <c r="N196" s="822">
        <f t="shared" si="79"/>
        <v>0</v>
      </c>
      <c r="O196" s="822">
        <f t="shared" si="79"/>
        <v>0</v>
      </c>
      <c r="P196" s="822">
        <f t="shared" si="79"/>
        <v>-3207183.885592333</v>
      </c>
      <c r="Q196" s="822">
        <f t="shared" si="79"/>
        <v>-4076709.4482100578</v>
      </c>
      <c r="R196" s="822">
        <f t="shared" si="79"/>
        <v>0</v>
      </c>
      <c r="S196" s="822">
        <f t="shared" si="79"/>
        <v>0</v>
      </c>
      <c r="T196" s="822">
        <f t="shared" si="79"/>
        <v>0</v>
      </c>
      <c r="U196" s="822">
        <f t="shared" si="79"/>
        <v>-4045775.9888849272</v>
      </c>
      <c r="V196" s="822">
        <f t="shared" si="79"/>
        <v>-12077947.469822951</v>
      </c>
      <c r="W196" s="822">
        <f t="shared" si="79"/>
        <v>-5677884.95913505</v>
      </c>
      <c r="X196" s="822">
        <f t="shared" si="79"/>
        <v>0</v>
      </c>
      <c r="Y196" s="822">
        <f t="shared" si="79"/>
        <v>0</v>
      </c>
      <c r="Z196" s="822">
        <f t="shared" si="79"/>
        <v>0</v>
      </c>
      <c r="AA196" s="822">
        <f t="shared" si="79"/>
        <v>-3979709.5823840685</v>
      </c>
      <c r="AB196" s="822">
        <f t="shared" si="79"/>
        <v>-5058688.9580765124</v>
      </c>
      <c r="AC196" s="822">
        <f t="shared" si="79"/>
        <v>0</v>
      </c>
      <c r="AD196" s="822">
        <f t="shared" si="79"/>
        <v>0</v>
      </c>
      <c r="AE196" s="822">
        <f t="shared" si="79"/>
        <v>0</v>
      </c>
      <c r="AF196" s="822">
        <f t="shared" si="79"/>
        <v>0</v>
      </c>
      <c r="AG196" s="822">
        <f t="shared" si="79"/>
        <v>0</v>
      </c>
      <c r="AH196" s="822">
        <f t="shared" si="79"/>
        <v>0</v>
      </c>
      <c r="AI196" s="822">
        <f t="shared" si="79"/>
        <v>0</v>
      </c>
      <c r="AJ196" s="822">
        <f t="shared" si="79"/>
        <v>60440401.665283263</v>
      </c>
      <c r="AK196" s="822">
        <f t="shared" si="79"/>
        <v>0</v>
      </c>
      <c r="AL196" s="822">
        <f t="shared" si="79"/>
        <v>-10528158.00957758</v>
      </c>
      <c r="AM196" s="822">
        <f t="shared" si="79"/>
        <v>-22774109.143506903</v>
      </c>
      <c r="AN196" s="822">
        <f t="shared" si="79"/>
        <v>-7787517.7545387391</v>
      </c>
      <c r="AO196" s="822">
        <f t="shared" si="79"/>
        <v>0</v>
      </c>
      <c r="AP196" s="822">
        <f t="shared" si="79"/>
        <v>0</v>
      </c>
      <c r="AQ196" s="822">
        <f t="shared" si="79"/>
        <v>0</v>
      </c>
      <c r="AR196" s="822">
        <f t="shared" si="79"/>
        <v>0</v>
      </c>
      <c r="AS196" s="822">
        <f t="shared" si="79"/>
        <v>0</v>
      </c>
      <c r="AT196" s="823">
        <f t="shared" si="79"/>
        <v>58149566.525212049</v>
      </c>
      <c r="AU196" s="166"/>
      <c r="AV196" s="166"/>
      <c r="AW196" s="166"/>
      <c r="AX196" s="166"/>
      <c r="AY196" s="166"/>
      <c r="AZ196" s="166"/>
      <c r="BA196" s="166"/>
      <c r="BB196" s="166"/>
      <c r="BC196" s="166"/>
      <c r="BD196" s="166"/>
      <c r="BE196" s="166"/>
      <c r="BF196" s="166"/>
      <c r="BG196" s="166"/>
      <c r="BH196" s="166"/>
      <c r="BI196" s="166"/>
      <c r="BJ196" s="166"/>
      <c r="BK196" s="166"/>
      <c r="BL196" s="166"/>
      <c r="BM196" s="166"/>
      <c r="BN196" s="166"/>
    </row>
    <row r="197" spans="2:66" ht="14.4" x14ac:dyDescent="0.25">
      <c r="B197" s="838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66"/>
      <c r="AV197" s="166"/>
      <c r="AW197" s="166"/>
      <c r="AX197" s="166"/>
      <c r="AY197" s="166"/>
      <c r="AZ197" s="166"/>
      <c r="BA197" s="166"/>
      <c r="BB197" s="166"/>
      <c r="BC197" s="166"/>
      <c r="BD197" s="166"/>
      <c r="BE197" s="166"/>
      <c r="BF197" s="166"/>
      <c r="BG197" s="166"/>
      <c r="BH197" s="166"/>
      <c r="BI197" s="166"/>
      <c r="BJ197" s="166"/>
      <c r="BK197" s="166"/>
      <c r="BL197" s="166"/>
      <c r="BM197" s="166"/>
      <c r="BN197" s="166"/>
    </row>
    <row r="198" spans="2:66" ht="14.4" x14ac:dyDescent="0.25">
      <c r="B198" s="838"/>
      <c r="C198" s="178"/>
      <c r="D198" s="178"/>
      <c r="E198" s="884" t="s">
        <v>473</v>
      </c>
      <c r="F198" s="178">
        <f>C196+D196+E196+F196</f>
        <v>-155550793.1833393</v>
      </c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66"/>
      <c r="AV198" s="166"/>
      <c r="AW198" s="166"/>
      <c r="AX198" s="166"/>
      <c r="AY198" s="166"/>
      <c r="AZ198" s="166"/>
      <c r="BA198" s="166"/>
      <c r="BB198" s="166"/>
      <c r="BC198" s="166"/>
      <c r="BD198" s="166"/>
      <c r="BE198" s="166"/>
      <c r="BF198" s="166"/>
      <c r="BG198" s="166"/>
      <c r="BH198" s="166"/>
      <c r="BI198" s="166"/>
      <c r="BJ198" s="166"/>
      <c r="BK198" s="166"/>
      <c r="BL198" s="166"/>
      <c r="BM198" s="166"/>
      <c r="BN198" s="166"/>
    </row>
    <row r="199" spans="2:66" ht="14.4" x14ac:dyDescent="0.25">
      <c r="B199" s="838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66"/>
      <c r="AV199" s="166"/>
      <c r="AW199" s="166"/>
      <c r="AX199" s="166"/>
      <c r="AY199" s="166"/>
      <c r="AZ199" s="166"/>
      <c r="BA199" s="166"/>
      <c r="BB199" s="166"/>
      <c r="BC199" s="166"/>
      <c r="BD199" s="166"/>
      <c r="BE199" s="166"/>
      <c r="BF199" s="166"/>
      <c r="BG199" s="166"/>
      <c r="BH199" s="166"/>
      <c r="BI199" s="166"/>
      <c r="BJ199" s="166"/>
      <c r="BK199" s="166"/>
      <c r="BL199" s="166"/>
      <c r="BM199" s="166"/>
      <c r="BN199" s="166"/>
    </row>
    <row r="200" spans="2:66" ht="14.4" x14ac:dyDescent="0.25">
      <c r="B200" s="844" t="s">
        <v>436</v>
      </c>
      <c r="C200" s="178">
        <f t="shared" ref="C200:AJ200" si="80">C190+C196</f>
        <v>-7968994.6529367194</v>
      </c>
      <c r="D200" s="178">
        <f t="shared" si="80"/>
        <v>-31237973.050517157</v>
      </c>
      <c r="E200" s="178">
        <f t="shared" si="80"/>
        <v>-82610243.589414939</v>
      </c>
      <c r="F200" s="178">
        <f t="shared" si="80"/>
        <v>-33733581.890470475</v>
      </c>
      <c r="G200" s="178">
        <f t="shared" si="80"/>
        <v>-564693.28643063735</v>
      </c>
      <c r="H200" s="178">
        <f t="shared" si="80"/>
        <v>440187.07505481876</v>
      </c>
      <c r="I200" s="178">
        <f t="shared" si="80"/>
        <v>598999.99986902438</v>
      </c>
      <c r="J200" s="178">
        <f t="shared" si="80"/>
        <v>553249.92687453423</v>
      </c>
      <c r="K200" s="178">
        <f t="shared" si="80"/>
        <v>-6166448.228404521</v>
      </c>
      <c r="L200" s="178">
        <f t="shared" si="80"/>
        <v>650663.40926292352</v>
      </c>
      <c r="M200" s="178">
        <f t="shared" si="80"/>
        <v>805911.97189992666</v>
      </c>
      <c r="N200" s="178">
        <f t="shared" si="80"/>
        <v>728402.10113191046</v>
      </c>
      <c r="O200" s="178">
        <f t="shared" si="80"/>
        <v>865260.97707736865</v>
      </c>
      <c r="P200" s="178">
        <f t="shared" si="80"/>
        <v>-9967121.7189112063</v>
      </c>
      <c r="Q200" s="178">
        <f t="shared" si="80"/>
        <v>-3149173.0095519219</v>
      </c>
      <c r="R200" s="178">
        <f t="shared" si="80"/>
        <v>841568.08014972042</v>
      </c>
      <c r="S200" s="178">
        <f t="shared" si="80"/>
        <v>966462.41451327689</v>
      </c>
      <c r="T200" s="178">
        <f t="shared" si="80"/>
        <v>849535.97168899607</v>
      </c>
      <c r="U200" s="178">
        <f t="shared" si="80"/>
        <v>-11355322.824770877</v>
      </c>
      <c r="V200" s="178">
        <f t="shared" si="80"/>
        <v>-11221808.567714335</v>
      </c>
      <c r="W200" s="178">
        <f t="shared" si="80"/>
        <v>-4687665.3586330349</v>
      </c>
      <c r="X200" s="178">
        <f t="shared" si="80"/>
        <v>904224.94090588391</v>
      </c>
      <c r="Y200" s="178">
        <f t="shared" si="80"/>
        <v>1089599.9736780049</v>
      </c>
      <c r="Z200" s="178">
        <f t="shared" si="80"/>
        <v>-8108156.2381778499</v>
      </c>
      <c r="AA200" s="178">
        <f t="shared" si="80"/>
        <v>-2785044.4679360474</v>
      </c>
      <c r="AB200" s="178">
        <f t="shared" si="80"/>
        <v>-3959825.3493407369</v>
      </c>
      <c r="AC200" s="178">
        <f t="shared" si="80"/>
        <v>1248083.9715903345</v>
      </c>
      <c r="AD200" s="178">
        <f t="shared" si="80"/>
        <v>1089379.1258952906</v>
      </c>
      <c r="AE200" s="178">
        <f t="shared" si="80"/>
        <v>-8763171.016439449</v>
      </c>
      <c r="AF200" s="178">
        <f t="shared" si="80"/>
        <v>1076498.0554147288</v>
      </c>
      <c r="AG200" s="178">
        <f t="shared" si="80"/>
        <v>1234903.2250951119</v>
      </c>
      <c r="AH200" s="178">
        <f t="shared" si="80"/>
        <v>1059913.9601604557</v>
      </c>
      <c r="AI200" s="178">
        <f t="shared" si="80"/>
        <v>1223060.96396905</v>
      </c>
      <c r="AJ200" s="178">
        <f t="shared" si="80"/>
        <v>50485253.079501025</v>
      </c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66"/>
      <c r="AV200" s="166"/>
      <c r="AW200" s="166"/>
      <c r="AX200" s="166"/>
      <c r="AY200" s="166"/>
      <c r="AZ200" s="166"/>
      <c r="BA200" s="166"/>
      <c r="BB200" s="166"/>
      <c r="BC200" s="166"/>
      <c r="BD200" s="166"/>
      <c r="BE200" s="166"/>
      <c r="BF200" s="166"/>
      <c r="BG200" s="166"/>
      <c r="BH200" s="166"/>
      <c r="BI200" s="166"/>
      <c r="BJ200" s="166"/>
      <c r="BK200" s="166"/>
      <c r="BL200" s="166"/>
      <c r="BM200" s="166"/>
      <c r="BN200" s="166"/>
    </row>
    <row r="201" spans="2:66" ht="14.4" x14ac:dyDescent="0.25">
      <c r="B201" s="844" t="s">
        <v>438</v>
      </c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848">
        <f>IRR(C200:AJ200)</f>
        <v>-5.5771967110902376E-2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66"/>
      <c r="AV201" s="166"/>
      <c r="AW201" s="166"/>
      <c r="AX201" s="166"/>
      <c r="AY201" s="166"/>
      <c r="AZ201" s="166"/>
      <c r="BA201" s="166"/>
      <c r="BB201" s="166"/>
      <c r="BC201" s="166"/>
      <c r="BD201" s="166"/>
      <c r="BE201" s="166"/>
      <c r="BF201" s="166"/>
      <c r="BG201" s="166"/>
      <c r="BH201" s="166"/>
      <c r="BI201" s="166"/>
      <c r="BJ201" s="166"/>
      <c r="BK201" s="166"/>
      <c r="BL201" s="166"/>
      <c r="BM201" s="166"/>
      <c r="BN201" s="166"/>
    </row>
    <row r="202" spans="2:66" ht="14.4" x14ac:dyDescent="0.25">
      <c r="B202" s="844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66"/>
      <c r="AV202" s="166"/>
      <c r="AW202" s="166"/>
      <c r="AX202" s="166"/>
      <c r="AY202" s="166"/>
      <c r="AZ202" s="166"/>
      <c r="BA202" s="166"/>
      <c r="BB202" s="166"/>
      <c r="BC202" s="166"/>
      <c r="BD202" s="166"/>
      <c r="BE202" s="166"/>
      <c r="BF202" s="166"/>
      <c r="BG202" s="166"/>
      <c r="BH202" s="166"/>
      <c r="BI202" s="166"/>
      <c r="BJ202" s="166"/>
      <c r="BK202" s="166"/>
      <c r="BL202" s="166"/>
      <c r="BM202" s="166"/>
      <c r="BN202" s="166"/>
    </row>
    <row r="203" spans="2:66" ht="14.4" x14ac:dyDescent="0.25">
      <c r="B203" s="844" t="s">
        <v>437</v>
      </c>
      <c r="C203" s="178">
        <f>C190+C196</f>
        <v>-7968994.6529367194</v>
      </c>
      <c r="D203" s="178">
        <f t="shared" ref="D203:AI203" si="81">D190+D196</f>
        <v>-31237973.050517157</v>
      </c>
      <c r="E203" s="178">
        <f t="shared" si="81"/>
        <v>-82610243.589414939</v>
      </c>
      <c r="F203" s="178">
        <f t="shared" si="81"/>
        <v>-33733581.890470475</v>
      </c>
      <c r="G203" s="178">
        <f t="shared" si="81"/>
        <v>-564693.28643063735</v>
      </c>
      <c r="H203" s="178">
        <f t="shared" si="81"/>
        <v>440187.07505481876</v>
      </c>
      <c r="I203" s="178">
        <f t="shared" si="81"/>
        <v>598999.99986902438</v>
      </c>
      <c r="J203" s="178">
        <f t="shared" si="81"/>
        <v>553249.92687453423</v>
      </c>
      <c r="K203" s="178">
        <f t="shared" si="81"/>
        <v>-6166448.228404521</v>
      </c>
      <c r="L203" s="178">
        <f t="shared" si="81"/>
        <v>650663.40926292352</v>
      </c>
      <c r="M203" s="178">
        <f t="shared" si="81"/>
        <v>805911.97189992666</v>
      </c>
      <c r="N203" s="178">
        <f t="shared" si="81"/>
        <v>728402.10113191046</v>
      </c>
      <c r="O203" s="178">
        <f t="shared" si="81"/>
        <v>865260.97707736865</v>
      </c>
      <c r="P203" s="178">
        <f t="shared" si="81"/>
        <v>-9967121.7189112063</v>
      </c>
      <c r="Q203" s="178">
        <f t="shared" si="81"/>
        <v>-3149173.0095519219</v>
      </c>
      <c r="R203" s="178">
        <f t="shared" si="81"/>
        <v>841568.08014972042</v>
      </c>
      <c r="S203" s="178">
        <f t="shared" si="81"/>
        <v>966462.41451327689</v>
      </c>
      <c r="T203" s="178">
        <f t="shared" si="81"/>
        <v>849535.97168899607</v>
      </c>
      <c r="U203" s="178">
        <f t="shared" si="81"/>
        <v>-11355322.824770877</v>
      </c>
      <c r="V203" s="178">
        <f t="shared" si="81"/>
        <v>-11221808.567714335</v>
      </c>
      <c r="W203" s="178">
        <f t="shared" si="81"/>
        <v>-4687665.3586330349</v>
      </c>
      <c r="X203" s="178">
        <f t="shared" si="81"/>
        <v>904224.94090588391</v>
      </c>
      <c r="Y203" s="178">
        <f t="shared" si="81"/>
        <v>1089599.9736780049</v>
      </c>
      <c r="Z203" s="178">
        <f t="shared" si="81"/>
        <v>-8108156.2381778499</v>
      </c>
      <c r="AA203" s="178">
        <f t="shared" si="81"/>
        <v>-2785044.4679360474</v>
      </c>
      <c r="AB203" s="178">
        <f t="shared" si="81"/>
        <v>-3959825.3493407369</v>
      </c>
      <c r="AC203" s="178">
        <f t="shared" si="81"/>
        <v>1248083.9715903345</v>
      </c>
      <c r="AD203" s="178">
        <f t="shared" si="81"/>
        <v>1089379.1258952906</v>
      </c>
      <c r="AE203" s="178">
        <f t="shared" si="81"/>
        <v>-8763171.016439449</v>
      </c>
      <c r="AF203" s="178">
        <f t="shared" si="81"/>
        <v>1076498.0554147288</v>
      </c>
      <c r="AG203" s="178">
        <f t="shared" si="81"/>
        <v>1234903.2250951119</v>
      </c>
      <c r="AH203" s="178">
        <f t="shared" si="81"/>
        <v>1059913.9601604557</v>
      </c>
      <c r="AI203" s="178">
        <f t="shared" si="81"/>
        <v>1223060.96396905</v>
      </c>
      <c r="AJ203" s="178">
        <f>AJ190+AJ194</f>
        <v>-9955148.5857822374</v>
      </c>
      <c r="AK203" s="178">
        <f t="shared" ref="AK203:AT203" si="82">AK190+AK196</f>
        <v>1207285.744041292</v>
      </c>
      <c r="AL203" s="178">
        <f t="shared" si="82"/>
        <v>-9513858.1545933243</v>
      </c>
      <c r="AM203" s="178">
        <f t="shared" si="82"/>
        <v>-21586884.593075596</v>
      </c>
      <c r="AN203" s="178">
        <f t="shared" si="82"/>
        <v>-6802976.250185594</v>
      </c>
      <c r="AO203" s="178">
        <f t="shared" si="82"/>
        <v>-10917665.243879335</v>
      </c>
      <c r="AP203" s="178">
        <f t="shared" si="82"/>
        <v>949620.31869959459</v>
      </c>
      <c r="AQ203" s="178">
        <f t="shared" si="82"/>
        <v>1132704.3925548643</v>
      </c>
      <c r="AR203" s="178">
        <f t="shared" si="82"/>
        <v>909104.99689787813</v>
      </c>
      <c r="AS203" s="178">
        <f t="shared" si="82"/>
        <v>1097406.5781783275</v>
      </c>
      <c r="AT203" s="178">
        <f t="shared" si="82"/>
        <v>45738998.671616606</v>
      </c>
      <c r="AU203" s="166"/>
      <c r="AV203" s="166"/>
      <c r="AW203" s="166"/>
      <c r="AX203" s="166"/>
      <c r="AY203" s="166"/>
      <c r="AZ203" s="166"/>
      <c r="BA203" s="166"/>
      <c r="BB203" s="166"/>
      <c r="BC203" s="166"/>
      <c r="BD203" s="166"/>
      <c r="BE203" s="166"/>
      <c r="BF203" s="166"/>
      <c r="BG203" s="166"/>
      <c r="BH203" s="166"/>
      <c r="BI203" s="166"/>
      <c r="BJ203" s="166"/>
      <c r="BK203" s="166"/>
      <c r="BL203" s="166"/>
      <c r="BM203" s="166"/>
      <c r="BN203" s="166"/>
    </row>
    <row r="204" spans="2:66" ht="14.4" x14ac:dyDescent="0.25">
      <c r="B204" s="844" t="s">
        <v>439</v>
      </c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849">
        <f>IRR(C203:AT203)</f>
        <v>-7.3522525314199116E-2</v>
      </c>
      <c r="AU204" s="166"/>
      <c r="AV204" s="166"/>
      <c r="AW204" s="166"/>
      <c r="AX204" s="166"/>
      <c r="AY204" s="166"/>
      <c r="AZ204" s="166"/>
      <c r="BA204" s="166"/>
      <c r="BB204" s="166"/>
      <c r="BC204" s="166"/>
      <c r="BD204" s="166"/>
      <c r="BE204" s="166"/>
      <c r="BF204" s="166"/>
      <c r="BG204" s="166"/>
      <c r="BH204" s="166"/>
      <c r="BI204" s="166"/>
      <c r="BJ204" s="166"/>
      <c r="BK204" s="166"/>
      <c r="BL204" s="166"/>
      <c r="BM204" s="166"/>
      <c r="BN204" s="166"/>
    </row>
    <row r="205" spans="2:66" ht="14.4" x14ac:dyDescent="0.25">
      <c r="B205" s="844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66"/>
      <c r="BI205" s="166"/>
      <c r="BJ205" s="166"/>
      <c r="BK205" s="166"/>
      <c r="BL205" s="166"/>
      <c r="BM205" s="166"/>
      <c r="BN205" s="166"/>
    </row>
    <row r="206" spans="2:66" ht="14.4" x14ac:dyDescent="0.25">
      <c r="B206" s="844" t="s">
        <v>450</v>
      </c>
      <c r="C206" s="178">
        <f>C180</f>
        <v>0</v>
      </c>
      <c r="D206" s="178">
        <f t="shared" ref="D206:AT206" si="83">D180</f>
        <v>0</v>
      </c>
      <c r="E206" s="178">
        <f t="shared" si="83"/>
        <v>0</v>
      </c>
      <c r="F206" s="178">
        <f t="shared" si="83"/>
        <v>0</v>
      </c>
      <c r="G206" s="178">
        <f t="shared" si="83"/>
        <v>-564693.28643063735</v>
      </c>
      <c r="H206" s="178">
        <f t="shared" si="83"/>
        <v>440187.07505481876</v>
      </c>
      <c r="I206" s="178">
        <f t="shared" si="83"/>
        <v>598999.99986902438</v>
      </c>
      <c r="J206" s="178">
        <f t="shared" si="83"/>
        <v>553249.92687453423</v>
      </c>
      <c r="K206" s="178">
        <f t="shared" si="83"/>
        <v>-6166448.2284045219</v>
      </c>
      <c r="L206" s="178">
        <f t="shared" si="83"/>
        <v>650663.40926292352</v>
      </c>
      <c r="M206" s="178">
        <f t="shared" si="83"/>
        <v>805911.97189992666</v>
      </c>
      <c r="N206" s="178">
        <f t="shared" si="83"/>
        <v>728402.10113191046</v>
      </c>
      <c r="O206" s="178">
        <f t="shared" si="83"/>
        <v>865260.97707736865</v>
      </c>
      <c r="P206" s="178">
        <f t="shared" si="83"/>
        <v>-6759937.8333188733</v>
      </c>
      <c r="Q206" s="178">
        <f t="shared" si="83"/>
        <v>927536.43865813594</v>
      </c>
      <c r="R206" s="178">
        <f t="shared" si="83"/>
        <v>841568.08014972042</v>
      </c>
      <c r="S206" s="178">
        <f t="shared" si="83"/>
        <v>966462.41451327689</v>
      </c>
      <c r="T206" s="178">
        <f t="shared" si="83"/>
        <v>849535.97168899607</v>
      </c>
      <c r="U206" s="178">
        <f t="shared" si="83"/>
        <v>-7309546.8358859504</v>
      </c>
      <c r="V206" s="178">
        <f t="shared" si="83"/>
        <v>856138.90210861526</v>
      </c>
      <c r="W206" s="178">
        <f t="shared" si="83"/>
        <v>990219.60050201509</v>
      </c>
      <c r="X206" s="178">
        <f t="shared" si="83"/>
        <v>904224.94090588391</v>
      </c>
      <c r="Y206" s="178">
        <f t="shared" si="83"/>
        <v>1089599.9736780049</v>
      </c>
      <c r="Z206" s="178">
        <f t="shared" si="83"/>
        <v>-8108156.2381778499</v>
      </c>
      <c r="AA206" s="178">
        <f t="shared" si="83"/>
        <v>1194665.1144480212</v>
      </c>
      <c r="AB206" s="178">
        <f t="shared" si="83"/>
        <v>1098863.6087357756</v>
      </c>
      <c r="AC206" s="178">
        <f t="shared" si="83"/>
        <v>1248083.9715903345</v>
      </c>
      <c r="AD206" s="178">
        <f t="shared" si="83"/>
        <v>1089379.1258952906</v>
      </c>
      <c r="AE206" s="178">
        <f t="shared" si="83"/>
        <v>-8763171.016439449</v>
      </c>
      <c r="AF206" s="178">
        <f t="shared" si="83"/>
        <v>1076498.0554147288</v>
      </c>
      <c r="AG206" s="178">
        <f t="shared" si="83"/>
        <v>1234903.2250951119</v>
      </c>
      <c r="AH206" s="178">
        <f t="shared" si="83"/>
        <v>1059913.9601604557</v>
      </c>
      <c r="AI206" s="178">
        <f t="shared" si="83"/>
        <v>1223060.96396905</v>
      </c>
      <c r="AJ206" s="178">
        <f t="shared" si="83"/>
        <v>-9955148.5857822355</v>
      </c>
      <c r="AK206" s="178">
        <f t="shared" si="83"/>
        <v>1207285.744041292</v>
      </c>
      <c r="AL206" s="178">
        <f t="shared" si="83"/>
        <v>1014299.8549842555</v>
      </c>
      <c r="AM206" s="178">
        <f t="shared" si="83"/>
        <v>1187224.5504313093</v>
      </c>
      <c r="AN206" s="178">
        <f t="shared" si="83"/>
        <v>984541.50435314514</v>
      </c>
      <c r="AO206" s="178">
        <f t="shared" si="83"/>
        <v>-10917665.243879335</v>
      </c>
      <c r="AP206" s="178">
        <f t="shared" si="83"/>
        <v>949620.31869959459</v>
      </c>
      <c r="AQ206" s="178">
        <f t="shared" si="83"/>
        <v>1132704.3925548643</v>
      </c>
      <c r="AR206" s="178">
        <f t="shared" si="83"/>
        <v>909104.99689787813</v>
      </c>
      <c r="AS206" s="178">
        <f t="shared" si="83"/>
        <v>1097406.5781783275</v>
      </c>
      <c r="AT206" s="178">
        <f t="shared" si="83"/>
        <v>-12410567.853595443</v>
      </c>
      <c r="AU206" s="166"/>
      <c r="AV206" s="166"/>
      <c r="AW206" s="166"/>
      <c r="AX206" s="166"/>
      <c r="AY206" s="166"/>
      <c r="AZ206" s="166"/>
      <c r="BA206" s="166"/>
      <c r="BB206" s="166"/>
      <c r="BC206" s="166"/>
      <c r="BD206" s="166"/>
      <c r="BE206" s="166"/>
      <c r="BF206" s="166"/>
      <c r="BG206" s="166"/>
      <c r="BH206" s="166"/>
      <c r="BI206" s="166"/>
      <c r="BJ206" s="166"/>
      <c r="BK206" s="166"/>
      <c r="BL206" s="166"/>
      <c r="BM206" s="166"/>
      <c r="BN206" s="166"/>
    </row>
    <row r="207" spans="2:66" ht="14.4" x14ac:dyDescent="0.25">
      <c r="B207" s="844" t="s">
        <v>451</v>
      </c>
      <c r="C207" s="178">
        <f>C206+C167</f>
        <v>0</v>
      </c>
      <c r="D207" s="178">
        <f t="shared" ref="D207:AT207" si="84">D206+D167</f>
        <v>0</v>
      </c>
      <c r="E207" s="178">
        <f t="shared" si="84"/>
        <v>0</v>
      </c>
      <c r="F207" s="178">
        <f t="shared" si="84"/>
        <v>0</v>
      </c>
      <c r="G207" s="178">
        <f t="shared" si="84"/>
        <v>-5041011.9038103856</v>
      </c>
      <c r="H207" s="178">
        <f t="shared" si="84"/>
        <v>-4036131.5423249295</v>
      </c>
      <c r="I207" s="178">
        <f t="shared" si="84"/>
        <v>-3877318.6175107239</v>
      </c>
      <c r="J207" s="178">
        <f t="shared" si="84"/>
        <v>-3923068.690505214</v>
      </c>
      <c r="K207" s="178">
        <f t="shared" si="84"/>
        <v>-10642766.845784269</v>
      </c>
      <c r="L207" s="178">
        <f t="shared" si="84"/>
        <v>-3575903.258023384</v>
      </c>
      <c r="M207" s="178">
        <f t="shared" si="84"/>
        <v>-3420654.6953863809</v>
      </c>
      <c r="N207" s="178">
        <f t="shared" si="84"/>
        <v>-3498164.5661543971</v>
      </c>
      <c r="O207" s="178">
        <f t="shared" si="84"/>
        <v>-3361305.6902089389</v>
      </c>
      <c r="P207" s="178">
        <f t="shared" si="84"/>
        <v>-10986504.500605181</v>
      </c>
      <c r="Q207" s="178">
        <f t="shared" si="84"/>
        <v>-2708652.4717478519</v>
      </c>
      <c r="R207" s="178">
        <f t="shared" si="84"/>
        <v>-3523010.1636365065</v>
      </c>
      <c r="S207" s="178">
        <f t="shared" si="84"/>
        <v>-3398115.8292729501</v>
      </c>
      <c r="T207" s="178">
        <f t="shared" si="84"/>
        <v>-3515042.2720972309</v>
      </c>
      <c r="U207" s="178">
        <f t="shared" si="84"/>
        <v>-11674125.079672176</v>
      </c>
      <c r="V207" s="178">
        <f t="shared" si="84"/>
        <v>-2474478.5130858207</v>
      </c>
      <c r="W207" s="178">
        <f t="shared" si="84"/>
        <v>-2340397.8146924209</v>
      </c>
      <c r="X207" s="178">
        <f t="shared" si="84"/>
        <v>-3879833.0354780806</v>
      </c>
      <c r="Y207" s="178">
        <f t="shared" si="84"/>
        <v>-3694458.0027059596</v>
      </c>
      <c r="Z207" s="178">
        <f t="shared" si="84"/>
        <v>-12892214.214561814</v>
      </c>
      <c r="AA207" s="178">
        <f t="shared" si="84"/>
        <v>-3589392.8619359434</v>
      </c>
      <c r="AB207" s="178">
        <f t="shared" si="84"/>
        <v>-3685194.367648189</v>
      </c>
      <c r="AC207" s="178">
        <f t="shared" si="84"/>
        <v>-3711424.5254594488</v>
      </c>
      <c r="AD207" s="178">
        <f t="shared" si="84"/>
        <v>-3870129.3711544927</v>
      </c>
      <c r="AE207" s="178">
        <f t="shared" si="84"/>
        <v>-13722679.513489231</v>
      </c>
      <c r="AF207" s="178">
        <f t="shared" si="84"/>
        <v>-3883010.4416350545</v>
      </c>
      <c r="AG207" s="178">
        <f t="shared" si="84"/>
        <v>-3724605.2719546715</v>
      </c>
      <c r="AH207" s="178">
        <f t="shared" si="84"/>
        <v>-3899594.5368893277</v>
      </c>
      <c r="AI207" s="178">
        <f t="shared" si="84"/>
        <v>-3736447.5330807334</v>
      </c>
      <c r="AJ207" s="178">
        <f t="shared" si="84"/>
        <v>-14914657.08283202</v>
      </c>
      <c r="AK207" s="178">
        <f t="shared" si="84"/>
        <v>-3752222.7530084914</v>
      </c>
      <c r="AL207" s="178">
        <f t="shared" si="84"/>
        <v>-3945208.6420655278</v>
      </c>
      <c r="AM207" s="178">
        <f t="shared" si="84"/>
        <v>-2318843.3854289455</v>
      </c>
      <c r="AN207" s="178">
        <f t="shared" si="84"/>
        <v>-1617686.5774610518</v>
      </c>
      <c r="AO207" s="178">
        <f t="shared" si="84"/>
        <v>-16454877.961952334</v>
      </c>
      <c r="AP207" s="178">
        <f t="shared" si="84"/>
        <v>-4587592.3993734047</v>
      </c>
      <c r="AQ207" s="178">
        <f t="shared" si="84"/>
        <v>-4404508.325518135</v>
      </c>
      <c r="AR207" s="178">
        <f t="shared" si="84"/>
        <v>-4628107.7211751211</v>
      </c>
      <c r="AS207" s="178">
        <f t="shared" si="84"/>
        <v>-4439806.1398946717</v>
      </c>
      <c r="AT207" s="178">
        <f t="shared" si="84"/>
        <v>-17947780.571668442</v>
      </c>
      <c r="AU207" s="166"/>
      <c r="AV207" s="166"/>
      <c r="AW207" s="166"/>
      <c r="AX207" s="166"/>
      <c r="AY207" s="166"/>
      <c r="AZ207" s="166"/>
      <c r="BA207" s="166"/>
      <c r="BB207" s="166"/>
      <c r="BC207" s="166"/>
      <c r="BD207" s="166"/>
      <c r="BE207" s="166"/>
      <c r="BF207" s="166"/>
      <c r="BG207" s="166"/>
      <c r="BH207" s="166"/>
      <c r="BI207" s="166"/>
      <c r="BJ207" s="166"/>
      <c r="BK207" s="166"/>
      <c r="BL207" s="166"/>
      <c r="BM207" s="166"/>
      <c r="BN207" s="166"/>
    </row>
    <row r="208" spans="2:66" ht="14.4" x14ac:dyDescent="0.25">
      <c r="B208" s="844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</row>
    <row r="209" spans="1:66" ht="14.4" x14ac:dyDescent="0.25">
      <c r="B209" s="844" t="s">
        <v>489</v>
      </c>
      <c r="C209" s="908"/>
      <c r="D209" s="908"/>
      <c r="E209" s="908"/>
      <c r="F209" s="908"/>
      <c r="G209" s="909">
        <f>ABS(G178)/ABS(G173)</f>
        <v>0.86923059306973427</v>
      </c>
      <c r="H209" s="909">
        <f t="shared" ref="H209:AT209" si="85">ABS(H178)/ABS(H173)</f>
        <v>1.0992991764012079</v>
      </c>
      <c r="I209" s="909">
        <f t="shared" si="85"/>
        <v>1.1320291998121337</v>
      </c>
      <c r="J209" s="909">
        <f t="shared" si="85"/>
        <v>1.1191498519238736</v>
      </c>
      <c r="K209" s="909">
        <f t="shared" si="85"/>
        <v>0.46922888554043352</v>
      </c>
      <c r="L209" s="909">
        <f t="shared" si="85"/>
        <v>1.1337731449527195</v>
      </c>
      <c r="M209" s="909">
        <f t="shared" si="85"/>
        <v>1.1618868547342807</v>
      </c>
      <c r="N209" s="909">
        <f t="shared" si="85"/>
        <v>1.1429554545945884</v>
      </c>
      <c r="O209" s="909">
        <f t="shared" si="85"/>
        <v>1.165911447822938</v>
      </c>
      <c r="P209" s="909">
        <f t="shared" si="85"/>
        <v>0.47522328182254026</v>
      </c>
      <c r="Q209" s="909">
        <f t="shared" si="85"/>
        <v>1.1697625829231502</v>
      </c>
      <c r="R209" s="909">
        <f t="shared" si="85"/>
        <v>1.1504812191456808</v>
      </c>
      <c r="S209" s="909">
        <f t="shared" si="85"/>
        <v>1.1688317703536741</v>
      </c>
      <c r="T209" s="909">
        <f t="shared" si="85"/>
        <v>1.1449843875905101</v>
      </c>
      <c r="U209" s="909">
        <f t="shared" si="85"/>
        <v>0.48835472033930999</v>
      </c>
      <c r="V209" s="909">
        <f t="shared" si="85"/>
        <v>1.139446140274216</v>
      </c>
      <c r="W209" s="909">
        <f t="shared" si="85"/>
        <v>1.1575601241519207</v>
      </c>
      <c r="X209" s="909">
        <f t="shared" si="85"/>
        <v>1.1405522768791334</v>
      </c>
      <c r="Y209" s="909">
        <f t="shared" si="85"/>
        <v>1.1654509130883293</v>
      </c>
      <c r="Z209" s="909">
        <f t="shared" si="85"/>
        <v>0.48839901146985609</v>
      </c>
      <c r="AA209" s="909">
        <f t="shared" si="85"/>
        <v>1.1731058819907023</v>
      </c>
      <c r="AB209" s="909">
        <f t="shared" si="85"/>
        <v>1.1555364927978409</v>
      </c>
      <c r="AC209" s="909">
        <f t="shared" si="85"/>
        <v>1.1725636174473608</v>
      </c>
      <c r="AD209" s="909">
        <f t="shared" si="85"/>
        <v>1.147128038960201</v>
      </c>
      <c r="AE209" s="909">
        <f t="shared" si="85"/>
        <v>0.50170968611174915</v>
      </c>
      <c r="AF209" s="909">
        <f t="shared" si="85"/>
        <v>1.1387182818991919</v>
      </c>
      <c r="AG209" s="909">
        <f t="shared" si="85"/>
        <v>1.1554341543028679</v>
      </c>
      <c r="AH209" s="909">
        <f t="shared" si="85"/>
        <v>1.1303080506506067</v>
      </c>
      <c r="AI209" s="909">
        <f t="shared" si="85"/>
        <v>1.1468689093904203</v>
      </c>
      <c r="AJ209" s="909">
        <f t="shared" si="85"/>
        <v>0.49001316455273652</v>
      </c>
      <c r="AK209" s="909">
        <f t="shared" si="85"/>
        <v>1.1383044477538824</v>
      </c>
      <c r="AL209" s="909">
        <f t="shared" si="85"/>
        <v>1.1134894809617191</v>
      </c>
      <c r="AM209" s="909">
        <f t="shared" si="85"/>
        <v>1.1297416129453497</v>
      </c>
      <c r="AN209" s="909">
        <f t="shared" si="85"/>
        <v>1.105082799010259</v>
      </c>
      <c r="AO209" s="909">
        <f t="shared" si="85"/>
        <v>0.49626025217346831</v>
      </c>
      <c r="AP209" s="909">
        <f t="shared" si="85"/>
        <v>1.0966789553079199</v>
      </c>
      <c r="AQ209" s="909">
        <f t="shared" si="85"/>
        <v>1.1126241937925754</v>
      </c>
      <c r="AR209" s="909">
        <f t="shared" si="85"/>
        <v>1.0882787756851457</v>
      </c>
      <c r="AS209" s="909">
        <f t="shared" si="85"/>
        <v>1.1040712914978288</v>
      </c>
      <c r="AT209" s="909">
        <f t="shared" si="85"/>
        <v>0.48440883744999913</v>
      </c>
      <c r="AU209" s="166"/>
      <c r="AV209" s="166"/>
      <c r="AW209" s="166"/>
      <c r="AX209" s="166"/>
      <c r="AY209" s="166"/>
      <c r="AZ209" s="166"/>
      <c r="BA209" s="166"/>
      <c r="BB209" s="166"/>
      <c r="BC209" s="166"/>
      <c r="BD209" s="166"/>
      <c r="BE209" s="166"/>
      <c r="BF209" s="166"/>
      <c r="BG209" s="166"/>
      <c r="BH209" s="166"/>
      <c r="BI209" s="166"/>
      <c r="BJ209" s="166"/>
      <c r="BK209" s="166"/>
      <c r="BL209" s="166"/>
      <c r="BM209" s="166"/>
      <c r="BN209" s="166"/>
    </row>
    <row r="210" spans="1:66" ht="14.4" x14ac:dyDescent="0.25">
      <c r="B210" s="844" t="s">
        <v>490</v>
      </c>
      <c r="C210" s="908"/>
      <c r="D210" s="908"/>
      <c r="E210" s="908"/>
      <c r="F210" s="908"/>
      <c r="G210" s="909">
        <f>G209-1</f>
        <v>-0.13076940693026573</v>
      </c>
      <c r="H210" s="909">
        <f t="shared" ref="H210" si="86">H209-1</f>
        <v>9.9299176401207889E-2</v>
      </c>
      <c r="I210" s="909">
        <f t="shared" ref="I210" si="87">I209-1</f>
        <v>0.13202919981213368</v>
      </c>
      <c r="J210" s="909">
        <f t="shared" ref="J210" si="88">J209-1</f>
        <v>0.11914985192387362</v>
      </c>
      <c r="K210" s="909">
        <f t="shared" ref="K210" si="89">K209-1</f>
        <v>-0.53077111445956648</v>
      </c>
      <c r="L210" s="909">
        <f t="shared" ref="L210" si="90">L209-1</f>
        <v>0.13377314495271952</v>
      </c>
      <c r="M210" s="909">
        <f t="shared" ref="M210" si="91">M209-1</f>
        <v>0.16188685473428066</v>
      </c>
      <c r="N210" s="909">
        <f t="shared" ref="N210" si="92">N209-1</f>
        <v>0.14295545459458836</v>
      </c>
      <c r="O210" s="909">
        <f t="shared" ref="O210" si="93">O209-1</f>
        <v>0.16591144782293799</v>
      </c>
      <c r="P210" s="909">
        <f t="shared" ref="P210" si="94">P209-1</f>
        <v>-0.52477671817745974</v>
      </c>
      <c r="Q210" s="909">
        <f t="shared" ref="Q210" si="95">Q209-1</f>
        <v>0.16976258292315016</v>
      </c>
      <c r="R210" s="909">
        <f t="shared" ref="R210" si="96">R209-1</f>
        <v>0.1504812191456808</v>
      </c>
      <c r="S210" s="909">
        <f t="shared" ref="S210" si="97">S209-1</f>
        <v>0.16883177035367414</v>
      </c>
      <c r="T210" s="909">
        <f t="shared" ref="T210" si="98">T209-1</f>
        <v>0.14498438759051013</v>
      </c>
      <c r="U210" s="909">
        <f t="shared" ref="U210" si="99">U209-1</f>
        <v>-0.51164527966069007</v>
      </c>
      <c r="V210" s="909">
        <f t="shared" ref="V210" si="100">V209-1</f>
        <v>0.13944614027421598</v>
      </c>
      <c r="W210" s="909">
        <f t="shared" ref="W210" si="101">W209-1</f>
        <v>0.15756012415192067</v>
      </c>
      <c r="X210" s="909">
        <f t="shared" ref="X210" si="102">X209-1</f>
        <v>0.14055227687913341</v>
      </c>
      <c r="Y210" s="909">
        <f t="shared" ref="Y210" si="103">Y209-1</f>
        <v>0.16545091308832927</v>
      </c>
      <c r="Z210" s="909">
        <f t="shared" ref="Z210" si="104">Z209-1</f>
        <v>-0.51160098853014391</v>
      </c>
      <c r="AA210" s="909">
        <f t="shared" ref="AA210" si="105">AA209-1</f>
        <v>0.17310588199070231</v>
      </c>
      <c r="AB210" s="909">
        <f t="shared" ref="AB210" si="106">AB209-1</f>
        <v>0.15553649279784088</v>
      </c>
      <c r="AC210" s="909">
        <f t="shared" ref="AC210" si="107">AC209-1</f>
        <v>0.17256361744736082</v>
      </c>
      <c r="AD210" s="909">
        <f t="shared" ref="AD210" si="108">AD209-1</f>
        <v>0.14712803896020099</v>
      </c>
      <c r="AE210" s="909">
        <f t="shared" ref="AE210" si="109">AE209-1</f>
        <v>-0.49829031388825085</v>
      </c>
      <c r="AF210" s="909">
        <f t="shared" ref="AF210" si="110">AF209-1</f>
        <v>0.13871828189919189</v>
      </c>
      <c r="AG210" s="909">
        <f t="shared" ref="AG210" si="111">AG209-1</f>
        <v>0.15543415430286789</v>
      </c>
      <c r="AH210" s="909">
        <f t="shared" ref="AH210" si="112">AH209-1</f>
        <v>0.13030805065060669</v>
      </c>
      <c r="AI210" s="909">
        <f t="shared" ref="AI210" si="113">AI209-1</f>
        <v>0.1468689093904203</v>
      </c>
      <c r="AJ210" s="909">
        <f t="shared" ref="AJ210" si="114">AJ209-1</f>
        <v>-0.50998683544726342</v>
      </c>
      <c r="AK210" s="909">
        <f t="shared" ref="AK210" si="115">AK209-1</f>
        <v>0.1383044477538824</v>
      </c>
      <c r="AL210" s="909">
        <f t="shared" ref="AL210" si="116">AL209-1</f>
        <v>0.11348948096171907</v>
      </c>
      <c r="AM210" s="909">
        <f t="shared" ref="AM210" si="117">AM209-1</f>
        <v>0.12974161294534969</v>
      </c>
      <c r="AN210" s="909">
        <f t="shared" ref="AN210" si="118">AN209-1</f>
        <v>0.10508279901025896</v>
      </c>
      <c r="AO210" s="909">
        <f t="shared" ref="AO210" si="119">AO209-1</f>
        <v>-0.50373974782653175</v>
      </c>
      <c r="AP210" s="909">
        <f t="shared" ref="AP210" si="120">AP209-1</f>
        <v>9.6678955307919923E-2</v>
      </c>
      <c r="AQ210" s="909">
        <f t="shared" ref="AQ210" si="121">AQ209-1</f>
        <v>0.11262419379257538</v>
      </c>
      <c r="AR210" s="909">
        <f t="shared" ref="AR210" si="122">AR209-1</f>
        <v>8.8278775685145749E-2</v>
      </c>
      <c r="AS210" s="909">
        <f t="shared" ref="AS210" si="123">AS209-1</f>
        <v>0.10407129149782879</v>
      </c>
      <c r="AT210" s="909">
        <f t="shared" ref="AT210" si="124">AT209-1</f>
        <v>-0.51559116255000093</v>
      </c>
      <c r="AU210" s="166"/>
      <c r="AV210" s="166"/>
      <c r="AW210" s="166"/>
      <c r="AX210" s="166"/>
      <c r="AY210" s="166"/>
      <c r="AZ210" s="166"/>
      <c r="BA210" s="166"/>
      <c r="BB210" s="166"/>
      <c r="BC210" s="166"/>
      <c r="BD210" s="166"/>
      <c r="BE210" s="166"/>
      <c r="BF210" s="166"/>
      <c r="BG210" s="166"/>
      <c r="BH210" s="166"/>
      <c r="BI210" s="166"/>
      <c r="BJ210" s="166"/>
      <c r="BK210" s="166"/>
      <c r="BL210" s="166"/>
      <c r="BM210" s="166"/>
      <c r="BN210" s="166"/>
    </row>
    <row r="211" spans="1:66" ht="14.4" x14ac:dyDescent="0.25">
      <c r="B211" s="844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66"/>
      <c r="AV211" s="166"/>
      <c r="AW211" s="166"/>
      <c r="AX211" s="166"/>
      <c r="AY211" s="166"/>
      <c r="AZ211" s="166"/>
      <c r="BA211" s="166"/>
      <c r="BB211" s="166"/>
      <c r="BC211" s="166"/>
      <c r="BD211" s="166"/>
      <c r="BE211" s="166"/>
      <c r="BF211" s="166"/>
      <c r="BG211" s="166"/>
      <c r="BH211" s="166"/>
      <c r="BI211" s="166"/>
      <c r="BJ211" s="166"/>
      <c r="BK211" s="166"/>
      <c r="BL211" s="166"/>
      <c r="BM211" s="166"/>
      <c r="BN211" s="166"/>
    </row>
    <row r="212" spans="1:66" ht="14.4" x14ac:dyDescent="0.25">
      <c r="B212" s="907" t="s">
        <v>404</v>
      </c>
      <c r="C212" s="268">
        <f>C203</f>
        <v>-7968994.6529367194</v>
      </c>
      <c r="D212" s="268">
        <f>D203/((1+$C$26)^D144)</f>
        <v>-27644223.938510761</v>
      </c>
      <c r="E212" s="268">
        <f t="shared" ref="E212:AT212" si="125">E203/((1+$C$26)^E144)</f>
        <v>-64695938.279751711</v>
      </c>
      <c r="F212" s="268">
        <f t="shared" si="125"/>
        <v>-23379064.403398503</v>
      </c>
      <c r="G212" s="268">
        <f t="shared" si="125"/>
        <v>-346336.96796272439</v>
      </c>
      <c r="H212" s="268">
        <f t="shared" si="125"/>
        <v>238915.90868453792</v>
      </c>
      <c r="I212" s="268">
        <f t="shared" si="125"/>
        <v>287710.7978695411</v>
      </c>
      <c r="J212" s="268">
        <f t="shared" si="125"/>
        <v>235164.77006979552</v>
      </c>
      <c r="K212" s="268">
        <f t="shared" si="125"/>
        <v>-2319570.3129140553</v>
      </c>
      <c r="L212" s="268">
        <f t="shared" si="125"/>
        <v>216595.98058059189</v>
      </c>
      <c r="M212" s="268">
        <f t="shared" si="125"/>
        <v>237412.27653706787</v>
      </c>
      <c r="N212" s="268">
        <f t="shared" si="125"/>
        <v>189892.71835756509</v>
      </c>
      <c r="O212" s="268">
        <f t="shared" si="125"/>
        <v>199620.80189147111</v>
      </c>
      <c r="P212" s="268">
        <f t="shared" si="125"/>
        <v>-2034932.4468386045</v>
      </c>
      <c r="Q212" s="268">
        <f t="shared" si="125"/>
        <v>-568981.71743318217</v>
      </c>
      <c r="R212" s="268">
        <f t="shared" si="125"/>
        <v>134558.95401496423</v>
      </c>
      <c r="S212" s="268">
        <f t="shared" si="125"/>
        <v>136750.79927316777</v>
      </c>
      <c r="T212" s="268">
        <f t="shared" si="125"/>
        <v>106377.12130378504</v>
      </c>
      <c r="U212" s="268">
        <f t="shared" si="125"/>
        <v>-1258309.5790816485</v>
      </c>
      <c r="V212" s="268">
        <f t="shared" si="125"/>
        <v>-1100455.3588785098</v>
      </c>
      <c r="W212" s="268">
        <f t="shared" si="125"/>
        <v>-406806.35731889511</v>
      </c>
      <c r="X212" s="268">
        <f t="shared" si="125"/>
        <v>69443.111003483835</v>
      </c>
      <c r="Y212" s="268">
        <f t="shared" si="125"/>
        <v>74052.773268154662</v>
      </c>
      <c r="Z212" s="268">
        <f t="shared" si="125"/>
        <v>-487660.86932402902</v>
      </c>
      <c r="AA212" s="268">
        <f t="shared" si="125"/>
        <v>-148234.56737301286</v>
      </c>
      <c r="AB212" s="268">
        <f t="shared" si="125"/>
        <v>-186515.50669923861</v>
      </c>
      <c r="AC212" s="268">
        <f t="shared" si="125"/>
        <v>52024.063999790895</v>
      </c>
      <c r="AD212" s="268">
        <f t="shared" si="125"/>
        <v>40184.73190443316</v>
      </c>
      <c r="AE212" s="268">
        <f t="shared" si="125"/>
        <v>-286065.09514608636</v>
      </c>
      <c r="AF212" s="268">
        <f t="shared" si="125"/>
        <v>31098.424582895997</v>
      </c>
      <c r="AG212" s="268">
        <f t="shared" si="125"/>
        <v>31570.366259822371</v>
      </c>
      <c r="AH212" s="268">
        <f t="shared" si="125"/>
        <v>23979.430484176351</v>
      </c>
      <c r="AI212" s="268">
        <f t="shared" si="125"/>
        <v>24487.131512125867</v>
      </c>
      <c r="AJ212" s="268">
        <f t="shared" si="125"/>
        <v>-176383.96925974218</v>
      </c>
      <c r="AK212" s="268">
        <f t="shared" si="125"/>
        <v>18929.667862626196</v>
      </c>
      <c r="AL212" s="268">
        <f t="shared" si="125"/>
        <v>-132011.31286123858</v>
      </c>
      <c r="AM212" s="268">
        <f t="shared" si="125"/>
        <v>-265073.3119030738</v>
      </c>
      <c r="AN212" s="268">
        <f t="shared" si="125"/>
        <v>-73925.887306669116</v>
      </c>
      <c r="AO212" s="268">
        <f t="shared" si="125"/>
        <v>-104990.23831553546</v>
      </c>
      <c r="AP212" s="268">
        <f t="shared" si="125"/>
        <v>8081.4762813757889</v>
      </c>
      <c r="AQ212" s="268">
        <f t="shared" si="125"/>
        <v>8530.5856018400755</v>
      </c>
      <c r="AR212" s="268">
        <f t="shared" si="125"/>
        <v>6058.9568842387735</v>
      </c>
      <c r="AS212" s="268">
        <f t="shared" si="125"/>
        <v>6472.513021876789</v>
      </c>
      <c r="AT212" s="268">
        <f t="shared" si="125"/>
        <v>238733.61970701339</v>
      </c>
      <c r="AU212" s="166"/>
      <c r="AV212" s="166"/>
      <c r="AW212" s="166"/>
      <c r="AX212" s="166"/>
      <c r="AY212" s="166"/>
      <c r="AZ212" s="166"/>
      <c r="BA212" s="166"/>
      <c r="BB212" s="166"/>
      <c r="BC212" s="166"/>
      <c r="BD212" s="166"/>
      <c r="BE212" s="166"/>
      <c r="BF212" s="166"/>
      <c r="BG212" s="166"/>
      <c r="BH212" s="166"/>
      <c r="BI212" s="166"/>
      <c r="BJ212" s="166"/>
      <c r="BK212" s="166"/>
      <c r="BL212" s="166"/>
      <c r="BM212" s="166"/>
      <c r="BN212" s="166"/>
    </row>
    <row r="213" spans="1:66" ht="14.4" x14ac:dyDescent="0.25">
      <c r="B213" s="907" t="s">
        <v>403</v>
      </c>
      <c r="C213" s="824">
        <f>SUM(C212)</f>
        <v>-7968994.6529367194</v>
      </c>
      <c r="D213" s="824">
        <f>SUM(C212:D212)</f>
        <v>-35613218.59144748</v>
      </c>
      <c r="E213" s="824">
        <f>SUM(C212:E212)</f>
        <v>-100309156.87119919</v>
      </c>
      <c r="F213" s="824">
        <f>SUM(C212:F212)</f>
        <v>-123688221.27459769</v>
      </c>
      <c r="G213" s="824">
        <f>SUM(C212:G212)</f>
        <v>-124034558.24256042</v>
      </c>
      <c r="H213" s="824">
        <f>SUM(C212:H212)</f>
        <v>-123795642.33387588</v>
      </c>
      <c r="I213" s="824">
        <f>SUM(C212:I212)</f>
        <v>-123507931.53600633</v>
      </c>
      <c r="J213" s="824">
        <f>SUM(C212:J212)</f>
        <v>-123272766.76593654</v>
      </c>
      <c r="K213" s="824">
        <f>SUM(C212:K212)</f>
        <v>-125592337.0788506</v>
      </c>
      <c r="L213" s="824">
        <f>SUM(C212:L212)</f>
        <v>-125375741.09827</v>
      </c>
      <c r="M213" s="824">
        <f>SUM(C212:M212)</f>
        <v>-125138328.82173294</v>
      </c>
      <c r="N213" s="824">
        <f>SUM(C212:N212)</f>
        <v>-124948436.10337538</v>
      </c>
      <c r="O213" s="824">
        <f>SUM(C212:O212)</f>
        <v>-124748815.3014839</v>
      </c>
      <c r="P213" s="824">
        <f>SUM(C212:P212)</f>
        <v>-126783747.7483225</v>
      </c>
      <c r="Q213" s="824">
        <f>SUM(C212:Q212)</f>
        <v>-127352729.46575569</v>
      </c>
      <c r="R213" s="824">
        <f>SUM(C212:R212)</f>
        <v>-127218170.51174073</v>
      </c>
      <c r="S213" s="824">
        <f>SUM(C212:S212)</f>
        <v>-127081419.71246757</v>
      </c>
      <c r="T213" s="824">
        <f>SUM(C212:T212)</f>
        <v>-126975042.59116378</v>
      </c>
      <c r="U213" s="824">
        <f>SUM(C212:U212)</f>
        <v>-128233352.17024544</v>
      </c>
      <c r="V213" s="824">
        <f>SUM(C212:V212)</f>
        <v>-129333807.52912395</v>
      </c>
      <c r="W213" s="824">
        <f>SUM(C212:W212)</f>
        <v>-129740613.88644284</v>
      </c>
      <c r="X213" s="824">
        <f>SUM(C212:X212)</f>
        <v>-129671170.77543935</v>
      </c>
      <c r="Y213" s="824">
        <f>SUM(C212:Y212)</f>
        <v>-129597118.0021712</v>
      </c>
      <c r="Z213" s="824">
        <f>SUM(C212:Z212)</f>
        <v>-130084778.87149523</v>
      </c>
      <c r="AA213" s="824">
        <f>SUM(C212:AA212)</f>
        <v>-130233013.43886824</v>
      </c>
      <c r="AB213" s="824">
        <f>SUM(C212:AB212)</f>
        <v>-130419528.94556747</v>
      </c>
      <c r="AC213" s="824">
        <f>SUM(C212:AC212)</f>
        <v>-130367504.88156769</v>
      </c>
      <c r="AD213" s="824">
        <f>SUM(C212:AD212)</f>
        <v>-130327320.14966325</v>
      </c>
      <c r="AE213" s="824">
        <f>SUM(C212:AE212)</f>
        <v>-130613385.24480934</v>
      </c>
      <c r="AF213" s="824">
        <f>SUM(C212:AF212)</f>
        <v>-130582286.82022645</v>
      </c>
      <c r="AG213" s="824">
        <f>SUM(C212:AG212)</f>
        <v>-130550716.45396662</v>
      </c>
      <c r="AH213" s="824">
        <f>SUM(C212:AH212)</f>
        <v>-130526737.02348244</v>
      </c>
      <c r="AI213" s="824">
        <f>SUM(C212:AI212)</f>
        <v>-130502249.89197032</v>
      </c>
      <c r="AJ213" s="824">
        <f>SUM(C212:AJ212)</f>
        <v>-130678633.86123006</v>
      </c>
      <c r="AK213" s="824">
        <f>SUM(C212:AK212)</f>
        <v>-130659704.19336744</v>
      </c>
      <c r="AL213" s="824">
        <f>SUM(C212:AL212)</f>
        <v>-130791715.50622867</v>
      </c>
      <c r="AM213" s="824">
        <f>SUM(C212:AM212)</f>
        <v>-131056788.81813174</v>
      </c>
      <c r="AN213" s="824">
        <f>SUM(C212:AN212)</f>
        <v>-131130714.70543842</v>
      </c>
      <c r="AO213" s="824">
        <f>SUM(C212:AO212)</f>
        <v>-131235704.94375396</v>
      </c>
      <c r="AP213" s="824">
        <f>SUM(C212:AP212)</f>
        <v>-131227623.46747258</v>
      </c>
      <c r="AQ213" s="824">
        <f>SUM(C212:AQ212)</f>
        <v>-131219092.88187075</v>
      </c>
      <c r="AR213" s="824">
        <f>SUM(C212:AR212)</f>
        <v>-131213033.92498651</v>
      </c>
      <c r="AS213" s="824">
        <f>SUM(C212:AS212)</f>
        <v>-131206561.41196464</v>
      </c>
      <c r="AT213" s="824">
        <f>SUM(C212:AT212)</f>
        <v>-130967827.79225762</v>
      </c>
      <c r="AU213" s="166"/>
      <c r="AV213" s="166"/>
      <c r="AW213" s="166"/>
      <c r="AX213" s="166"/>
      <c r="AY213" s="166"/>
      <c r="AZ213" s="166"/>
      <c r="BA213" s="166"/>
      <c r="BB213" s="166"/>
      <c r="BC213" s="166"/>
      <c r="BD213" s="166"/>
      <c r="BE213" s="166"/>
      <c r="BF213" s="166"/>
      <c r="BG213" s="166"/>
      <c r="BH213" s="166"/>
      <c r="BI213" s="166"/>
      <c r="BJ213" s="166"/>
      <c r="BK213" s="166"/>
      <c r="BL213" s="166"/>
      <c r="BM213" s="166"/>
      <c r="BN213" s="166"/>
    </row>
    <row r="214" spans="1:66" ht="14.4" x14ac:dyDescent="0.3">
      <c r="B214" s="180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263"/>
      <c r="AG214" s="263"/>
      <c r="AH214" s="263"/>
      <c r="AI214" s="263"/>
      <c r="AK214" s="263"/>
      <c r="AL214" s="263"/>
      <c r="AM214" s="263"/>
      <c r="AN214" s="263"/>
      <c r="AO214" s="263"/>
      <c r="AP214" s="263"/>
      <c r="AQ214" s="263"/>
      <c r="AR214" s="264"/>
      <c r="AS214" s="264"/>
      <c r="AU214" s="166"/>
      <c r="AV214" s="166"/>
      <c r="AW214" s="166"/>
      <c r="AX214" s="166"/>
      <c r="AY214" s="166"/>
      <c r="AZ214" s="166"/>
      <c r="BA214" s="166"/>
      <c r="BB214" s="166"/>
      <c r="BC214" s="166"/>
      <c r="BD214" s="166"/>
      <c r="BE214" s="166"/>
      <c r="BF214" s="166"/>
      <c r="BG214" s="166"/>
      <c r="BH214" s="166"/>
      <c r="BI214" s="166"/>
      <c r="BJ214" s="166"/>
      <c r="BK214" s="166"/>
      <c r="BL214" s="166"/>
      <c r="BM214" s="166"/>
      <c r="BN214" s="166"/>
    </row>
    <row r="215" spans="1:66" x14ac:dyDescent="0.25">
      <c r="AU215" s="166"/>
      <c r="AV215" s="166"/>
      <c r="AW215" s="166"/>
      <c r="AX215" s="166"/>
      <c r="AY215" s="166"/>
      <c r="AZ215" s="166"/>
      <c r="BA215" s="166"/>
      <c r="BB215" s="166"/>
      <c r="BC215" s="166"/>
      <c r="BD215" s="166"/>
      <c r="BE215" s="166"/>
      <c r="BF215" s="166"/>
      <c r="BG215" s="166"/>
      <c r="BH215" s="166"/>
      <c r="BI215" s="166"/>
      <c r="BJ215" s="166"/>
      <c r="BK215" s="166"/>
      <c r="BL215" s="166"/>
      <c r="BM215" s="166"/>
      <c r="BN215" s="166"/>
    </row>
    <row r="216" spans="1:66" s="304" customFormat="1" ht="14.4" x14ac:dyDescent="0.3">
      <c r="A216" s="306"/>
      <c r="B216" s="759" t="s">
        <v>531</v>
      </c>
      <c r="C216" s="759"/>
      <c r="D216" s="759"/>
      <c r="E216" s="759"/>
      <c r="F216" s="759"/>
      <c r="G216" s="759"/>
      <c r="H216" s="759"/>
      <c r="I216" s="759"/>
      <c r="J216" s="759"/>
      <c r="K216" s="759"/>
      <c r="L216" s="759"/>
      <c r="M216" s="759"/>
      <c r="N216" s="759"/>
      <c r="O216" s="759"/>
      <c r="P216" s="759"/>
      <c r="Q216" s="759"/>
      <c r="R216" s="759"/>
      <c r="S216" s="759"/>
      <c r="T216" s="759"/>
      <c r="U216" s="759"/>
      <c r="V216" s="759"/>
      <c r="W216" s="759"/>
      <c r="X216" s="759"/>
      <c r="Y216" s="759"/>
      <c r="Z216" s="759"/>
      <c r="AA216" s="759"/>
      <c r="AB216" s="759"/>
      <c r="AC216" s="759"/>
      <c r="AD216" s="759"/>
      <c r="AE216" s="759"/>
      <c r="AF216" s="759"/>
      <c r="AG216" s="759"/>
      <c r="AH216" s="759"/>
      <c r="AI216" s="759"/>
      <c r="AJ216" s="759"/>
      <c r="AK216" s="759"/>
      <c r="AL216" s="759"/>
      <c r="AM216" s="759"/>
      <c r="AN216" s="759"/>
      <c r="AO216" s="759"/>
      <c r="AP216" s="759"/>
      <c r="AQ216" s="759"/>
      <c r="AR216" s="759"/>
      <c r="AS216" s="759"/>
      <c r="AT216" s="760"/>
    </row>
    <row r="217" spans="1:66" x14ac:dyDescent="0.25"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  <c r="AG217" s="177"/>
      <c r="AH217" s="177"/>
      <c r="AI217" s="177"/>
      <c r="AJ217" s="13"/>
      <c r="AK217" s="38"/>
      <c r="AL217" s="38"/>
      <c r="AM217" s="38"/>
      <c r="AN217" s="38"/>
      <c r="AO217" s="38"/>
      <c r="AP217" s="38"/>
      <c r="AQ217" s="38"/>
      <c r="AR217" s="38"/>
      <c r="AS217" s="38"/>
      <c r="AT217" s="13"/>
      <c r="AU217" s="166"/>
      <c r="AV217" s="166"/>
      <c r="AW217" s="166"/>
      <c r="AX217" s="166"/>
      <c r="AY217" s="166"/>
      <c r="AZ217" s="166"/>
      <c r="BA217" s="166"/>
      <c r="BB217" s="166"/>
      <c r="BC217" s="166"/>
      <c r="BD217" s="166"/>
      <c r="BE217" s="166"/>
      <c r="BF217" s="166"/>
      <c r="BG217" s="166"/>
      <c r="BH217" s="166"/>
      <c r="BI217" s="166"/>
      <c r="BJ217" s="166"/>
      <c r="BK217" s="166"/>
      <c r="BL217" s="166"/>
      <c r="BM217" s="166"/>
      <c r="BN217" s="166"/>
    </row>
    <row r="218" spans="1:66" ht="14.4" x14ac:dyDescent="0.3">
      <c r="B218" s="813" t="s">
        <v>378</v>
      </c>
      <c r="C218" s="179">
        <v>2015</v>
      </c>
      <c r="D218" s="179">
        <v>2016</v>
      </c>
      <c r="E218" s="179">
        <v>2017</v>
      </c>
      <c r="F218" s="179">
        <v>2018</v>
      </c>
      <c r="G218" s="179">
        <v>2019</v>
      </c>
      <c r="H218" s="179">
        <v>2020</v>
      </c>
      <c r="I218" s="179">
        <v>2021</v>
      </c>
      <c r="J218" s="179">
        <v>2022</v>
      </c>
      <c r="K218" s="179">
        <v>2023</v>
      </c>
      <c r="L218" s="179">
        <v>2024</v>
      </c>
      <c r="M218" s="179">
        <v>2025</v>
      </c>
      <c r="N218" s="179">
        <v>2026</v>
      </c>
      <c r="O218" s="179">
        <v>2027</v>
      </c>
      <c r="P218" s="179">
        <v>2028</v>
      </c>
      <c r="Q218" s="179">
        <v>2029</v>
      </c>
      <c r="R218" s="179">
        <v>2030</v>
      </c>
      <c r="S218" s="179">
        <v>2031</v>
      </c>
      <c r="T218" s="179">
        <v>2032</v>
      </c>
      <c r="U218" s="179">
        <v>2033</v>
      </c>
      <c r="V218" s="179">
        <v>2034</v>
      </c>
      <c r="W218" s="179">
        <v>2035</v>
      </c>
      <c r="X218" s="179">
        <v>2036</v>
      </c>
      <c r="Y218" s="179">
        <v>2037</v>
      </c>
      <c r="Z218" s="179">
        <v>2038</v>
      </c>
      <c r="AA218" s="179">
        <v>2039</v>
      </c>
      <c r="AB218" s="179">
        <v>2040</v>
      </c>
      <c r="AC218" s="179">
        <v>2041</v>
      </c>
      <c r="AD218" s="179">
        <v>2042</v>
      </c>
      <c r="AE218" s="179">
        <v>2043</v>
      </c>
      <c r="AF218" s="179">
        <v>2044</v>
      </c>
      <c r="AG218" s="179">
        <v>2045</v>
      </c>
      <c r="AH218" s="179">
        <v>2046</v>
      </c>
      <c r="AI218" s="179">
        <v>2047</v>
      </c>
      <c r="AJ218" s="179">
        <v>2048</v>
      </c>
      <c r="AK218" s="179">
        <v>2049</v>
      </c>
      <c r="AL218" s="179">
        <v>2050</v>
      </c>
      <c r="AM218" s="179">
        <v>2051</v>
      </c>
      <c r="AN218" s="179">
        <v>2052</v>
      </c>
      <c r="AO218" s="179">
        <v>2053</v>
      </c>
      <c r="AP218" s="179">
        <v>2054</v>
      </c>
      <c r="AQ218" s="179">
        <v>2055</v>
      </c>
      <c r="AR218" s="179">
        <v>2056</v>
      </c>
      <c r="AS218" s="179">
        <v>2057</v>
      </c>
      <c r="AT218" s="179">
        <v>2058</v>
      </c>
      <c r="AU218" s="166"/>
      <c r="AV218" s="166"/>
      <c r="AW218" s="166"/>
      <c r="AX218" s="166"/>
      <c r="AY218" s="166"/>
      <c r="AZ218" s="166"/>
      <c r="BA218" s="166"/>
      <c r="BB218" s="166"/>
      <c r="BC218" s="166"/>
      <c r="BD218" s="166"/>
      <c r="BE218" s="166"/>
      <c r="BF218" s="166"/>
      <c r="BG218" s="166"/>
      <c r="BH218" s="166"/>
      <c r="BI218" s="166"/>
      <c r="BJ218" s="166"/>
      <c r="BK218" s="166"/>
      <c r="BL218" s="166"/>
      <c r="BM218" s="166"/>
      <c r="BN218" s="166"/>
    </row>
    <row r="219" spans="1:66" ht="14.4" x14ac:dyDescent="0.3">
      <c r="B219" s="813"/>
      <c r="C219" s="816" t="s">
        <v>134</v>
      </c>
      <c r="D219" s="816" t="s">
        <v>135</v>
      </c>
      <c r="E219" s="816" t="s">
        <v>136</v>
      </c>
      <c r="F219" s="816" t="s">
        <v>137</v>
      </c>
      <c r="G219" s="816" t="s">
        <v>138</v>
      </c>
      <c r="H219" s="816" t="s">
        <v>139</v>
      </c>
      <c r="I219" s="816" t="s">
        <v>140</v>
      </c>
      <c r="J219" s="816" t="s">
        <v>141</v>
      </c>
      <c r="K219" s="816" t="s">
        <v>142</v>
      </c>
      <c r="L219" s="816" t="s">
        <v>143</v>
      </c>
      <c r="M219" s="816" t="s">
        <v>144</v>
      </c>
      <c r="N219" s="816" t="s">
        <v>145</v>
      </c>
      <c r="O219" s="816" t="s">
        <v>146</v>
      </c>
      <c r="P219" s="816" t="s">
        <v>147</v>
      </c>
      <c r="Q219" s="816" t="s">
        <v>148</v>
      </c>
      <c r="R219" s="816" t="s">
        <v>149</v>
      </c>
      <c r="S219" s="816" t="s">
        <v>150</v>
      </c>
      <c r="T219" s="816" t="s">
        <v>151</v>
      </c>
      <c r="U219" s="816" t="s">
        <v>152</v>
      </c>
      <c r="V219" s="816" t="s">
        <v>153</v>
      </c>
      <c r="W219" s="816" t="s">
        <v>154</v>
      </c>
      <c r="X219" s="816" t="s">
        <v>155</v>
      </c>
      <c r="Y219" s="816" t="s">
        <v>156</v>
      </c>
      <c r="Z219" s="816" t="s">
        <v>157</v>
      </c>
      <c r="AA219" s="816" t="s">
        <v>158</v>
      </c>
      <c r="AB219" s="816" t="s">
        <v>159</v>
      </c>
      <c r="AC219" s="816" t="s">
        <v>160</v>
      </c>
      <c r="AD219" s="816" t="s">
        <v>161</v>
      </c>
      <c r="AE219" s="816" t="s">
        <v>162</v>
      </c>
      <c r="AF219" s="816" t="s">
        <v>163</v>
      </c>
      <c r="AG219" s="816" t="s">
        <v>164</v>
      </c>
      <c r="AH219" s="816" t="s">
        <v>165</v>
      </c>
      <c r="AI219" s="816" t="s">
        <v>166</v>
      </c>
      <c r="AJ219" s="816" t="s">
        <v>167</v>
      </c>
      <c r="AK219" s="816" t="s">
        <v>168</v>
      </c>
      <c r="AL219" s="816" t="s">
        <v>169</v>
      </c>
      <c r="AM219" s="816" t="s">
        <v>170</v>
      </c>
      <c r="AN219" s="816" t="s">
        <v>171</v>
      </c>
      <c r="AO219" s="816" t="s">
        <v>172</v>
      </c>
      <c r="AP219" s="816" t="s">
        <v>173</v>
      </c>
      <c r="AQ219" s="816" t="s">
        <v>174</v>
      </c>
      <c r="AR219" s="816" t="s">
        <v>224</v>
      </c>
      <c r="AS219" s="816" t="s">
        <v>225</v>
      </c>
      <c r="AT219" s="816" t="s">
        <v>226</v>
      </c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66"/>
      <c r="BI219" s="166"/>
      <c r="BJ219" s="166"/>
      <c r="BK219" s="166"/>
      <c r="BL219" s="166"/>
      <c r="BM219" s="166"/>
      <c r="BN219" s="166"/>
    </row>
    <row r="220" spans="1:66" ht="14.4" x14ac:dyDescent="0.3">
      <c r="B220" s="813"/>
      <c r="C220" s="816">
        <v>0</v>
      </c>
      <c r="D220" s="816">
        <v>1</v>
      </c>
      <c r="E220" s="816">
        <v>2</v>
      </c>
      <c r="F220" s="816">
        <v>3</v>
      </c>
      <c r="G220" s="816">
        <v>4</v>
      </c>
      <c r="H220" s="816">
        <v>5</v>
      </c>
      <c r="I220" s="816">
        <v>6</v>
      </c>
      <c r="J220" s="816">
        <v>7</v>
      </c>
      <c r="K220" s="816">
        <v>8</v>
      </c>
      <c r="L220" s="816">
        <v>9</v>
      </c>
      <c r="M220" s="816">
        <v>10</v>
      </c>
      <c r="N220" s="816">
        <v>11</v>
      </c>
      <c r="O220" s="816">
        <v>12</v>
      </c>
      <c r="P220" s="816">
        <v>13</v>
      </c>
      <c r="Q220" s="816">
        <v>14</v>
      </c>
      <c r="R220" s="816">
        <v>15</v>
      </c>
      <c r="S220" s="816">
        <v>16</v>
      </c>
      <c r="T220" s="816">
        <v>17</v>
      </c>
      <c r="U220" s="816">
        <v>18</v>
      </c>
      <c r="V220" s="816">
        <v>19</v>
      </c>
      <c r="W220" s="816">
        <v>20</v>
      </c>
      <c r="X220" s="816">
        <v>21</v>
      </c>
      <c r="Y220" s="816">
        <v>22</v>
      </c>
      <c r="Z220" s="816">
        <v>23</v>
      </c>
      <c r="AA220" s="816">
        <v>24</v>
      </c>
      <c r="AB220" s="816">
        <v>25</v>
      </c>
      <c r="AC220" s="816">
        <v>26</v>
      </c>
      <c r="AD220" s="816">
        <v>27</v>
      </c>
      <c r="AE220" s="816">
        <v>28</v>
      </c>
      <c r="AF220" s="816">
        <v>29</v>
      </c>
      <c r="AG220" s="816">
        <v>30</v>
      </c>
      <c r="AH220" s="816">
        <v>31</v>
      </c>
      <c r="AI220" s="816">
        <v>32</v>
      </c>
      <c r="AJ220" s="816">
        <v>33</v>
      </c>
      <c r="AK220" s="816">
        <v>34</v>
      </c>
      <c r="AL220" s="816">
        <v>35</v>
      </c>
      <c r="AM220" s="816">
        <v>36</v>
      </c>
      <c r="AN220" s="816">
        <v>37</v>
      </c>
      <c r="AO220" s="816">
        <v>38</v>
      </c>
      <c r="AP220" s="816">
        <v>39</v>
      </c>
      <c r="AQ220" s="816">
        <v>40</v>
      </c>
      <c r="AR220" s="816">
        <v>41</v>
      </c>
      <c r="AS220" s="816">
        <v>42</v>
      </c>
      <c r="AT220" s="816">
        <v>43</v>
      </c>
      <c r="AU220" s="166"/>
      <c r="AV220" s="166"/>
      <c r="AW220" s="166"/>
      <c r="AX220" s="166"/>
      <c r="AY220" s="166"/>
      <c r="AZ220" s="166"/>
      <c r="BA220" s="166"/>
      <c r="BB220" s="166"/>
      <c r="BC220" s="166"/>
      <c r="BD220" s="166"/>
      <c r="BE220" s="166"/>
      <c r="BF220" s="166"/>
      <c r="BG220" s="166"/>
      <c r="BH220" s="166"/>
      <c r="BI220" s="166"/>
      <c r="BJ220" s="166"/>
      <c r="BK220" s="166"/>
      <c r="BL220" s="166"/>
      <c r="BM220" s="166"/>
      <c r="BN220" s="166"/>
    </row>
    <row r="221" spans="1:66" ht="14.4" x14ac:dyDescent="0.3">
      <c r="B221" s="813"/>
      <c r="C221" s="816">
        <v>0</v>
      </c>
      <c r="D221" s="816">
        <v>0</v>
      </c>
      <c r="E221" s="816">
        <v>0</v>
      </c>
      <c r="F221" s="816">
        <v>0</v>
      </c>
      <c r="G221" s="816">
        <v>1</v>
      </c>
      <c r="H221" s="816">
        <v>2</v>
      </c>
      <c r="I221" s="816">
        <v>3</v>
      </c>
      <c r="J221" s="816">
        <v>4</v>
      </c>
      <c r="K221" s="816">
        <v>5</v>
      </c>
      <c r="L221" s="816">
        <v>6</v>
      </c>
      <c r="M221" s="816">
        <v>7</v>
      </c>
      <c r="N221" s="816">
        <v>8</v>
      </c>
      <c r="O221" s="816">
        <v>9</v>
      </c>
      <c r="P221" s="816">
        <v>10</v>
      </c>
      <c r="Q221" s="816">
        <v>11</v>
      </c>
      <c r="R221" s="816">
        <v>12</v>
      </c>
      <c r="S221" s="816">
        <v>13</v>
      </c>
      <c r="T221" s="816">
        <v>14</v>
      </c>
      <c r="U221" s="816">
        <v>15</v>
      </c>
      <c r="V221" s="816">
        <v>16</v>
      </c>
      <c r="W221" s="816">
        <v>17</v>
      </c>
      <c r="X221" s="816">
        <v>18</v>
      </c>
      <c r="Y221" s="816">
        <v>19</v>
      </c>
      <c r="Z221" s="816">
        <v>20</v>
      </c>
      <c r="AA221" s="816">
        <v>21</v>
      </c>
      <c r="AB221" s="816">
        <v>22</v>
      </c>
      <c r="AC221" s="816">
        <v>23</v>
      </c>
      <c r="AD221" s="816">
        <v>24</v>
      </c>
      <c r="AE221" s="816">
        <v>25</v>
      </c>
      <c r="AF221" s="816">
        <v>26</v>
      </c>
      <c r="AG221" s="816">
        <v>27</v>
      </c>
      <c r="AH221" s="816">
        <v>28</v>
      </c>
      <c r="AI221" s="816">
        <v>29</v>
      </c>
      <c r="AJ221" s="816">
        <v>30</v>
      </c>
      <c r="AK221" s="816">
        <v>31</v>
      </c>
      <c r="AL221" s="816">
        <v>32</v>
      </c>
      <c r="AM221" s="816">
        <v>33</v>
      </c>
      <c r="AN221" s="816">
        <v>34</v>
      </c>
      <c r="AO221" s="816">
        <v>35</v>
      </c>
      <c r="AP221" s="816">
        <v>36</v>
      </c>
      <c r="AQ221" s="816">
        <v>37</v>
      </c>
      <c r="AR221" s="816">
        <v>38</v>
      </c>
      <c r="AS221" s="816">
        <v>39</v>
      </c>
      <c r="AT221" s="816">
        <v>40</v>
      </c>
      <c r="AU221" s="166"/>
      <c r="AV221" s="166"/>
      <c r="AW221" s="166"/>
      <c r="AX221" s="166"/>
      <c r="AY221" s="166"/>
      <c r="AZ221" s="166"/>
      <c r="BA221" s="166"/>
      <c r="BB221" s="166"/>
      <c r="BC221" s="166"/>
      <c r="BD221" s="166"/>
      <c r="BE221" s="166"/>
      <c r="BF221" s="166"/>
      <c r="BG221" s="166"/>
      <c r="BH221" s="166"/>
      <c r="BI221" s="166"/>
      <c r="BJ221" s="166"/>
      <c r="BK221" s="166"/>
      <c r="BL221" s="166"/>
      <c r="BM221" s="166"/>
      <c r="BN221" s="166"/>
    </row>
    <row r="222" spans="1:66" ht="14.4" x14ac:dyDescent="0.3">
      <c r="B222" s="813"/>
      <c r="C222" s="798"/>
      <c r="D222" s="798"/>
      <c r="E222" s="798"/>
      <c r="F222" s="798"/>
      <c r="G222" s="798"/>
      <c r="H222" s="798"/>
      <c r="I222" s="798"/>
      <c r="J222" s="798"/>
      <c r="K222" s="798"/>
      <c r="L222" s="798"/>
      <c r="M222" s="798"/>
      <c r="N222" s="798"/>
      <c r="O222" s="798"/>
      <c r="P222" s="798"/>
      <c r="Q222" s="798"/>
      <c r="R222" s="798"/>
      <c r="S222" s="798"/>
      <c r="T222" s="798"/>
      <c r="U222" s="798"/>
      <c r="V222" s="798"/>
      <c r="W222" s="798"/>
      <c r="X222" s="798"/>
      <c r="Y222" s="798"/>
      <c r="Z222" s="798"/>
      <c r="AA222" s="798"/>
      <c r="AB222" s="798"/>
      <c r="AC222" s="798"/>
      <c r="AD222" s="798"/>
      <c r="AE222" s="798"/>
      <c r="AF222" s="798"/>
      <c r="AG222" s="798"/>
      <c r="AH222" s="798"/>
      <c r="AI222" s="798"/>
      <c r="AJ222" s="798"/>
      <c r="AK222" s="798"/>
      <c r="AL222" s="798"/>
      <c r="AM222" s="798"/>
      <c r="AN222" s="798"/>
      <c r="AO222" s="798"/>
      <c r="AP222" s="798"/>
      <c r="AQ222" s="798"/>
      <c r="AR222" s="798"/>
      <c r="AS222" s="798"/>
      <c r="AT222" s="798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  <c r="BJ222" s="166"/>
      <c r="BK222" s="166"/>
      <c r="BL222" s="166"/>
      <c r="BM222" s="166"/>
      <c r="BN222" s="166"/>
    </row>
    <row r="223" spans="1:66" ht="14.4" x14ac:dyDescent="0.25">
      <c r="B223" s="830" t="s">
        <v>434</v>
      </c>
      <c r="C223" s="807"/>
      <c r="D223" s="807"/>
      <c r="E223" s="807"/>
      <c r="F223" s="807"/>
      <c r="G223" s="807"/>
      <c r="H223" s="807"/>
      <c r="I223" s="807"/>
      <c r="J223" s="807"/>
      <c r="K223" s="807"/>
      <c r="L223" s="807"/>
      <c r="M223" s="807"/>
      <c r="N223" s="807"/>
      <c r="O223" s="807"/>
      <c r="P223" s="807"/>
      <c r="Q223" s="807"/>
      <c r="R223" s="807"/>
      <c r="S223" s="807"/>
      <c r="T223" s="807"/>
      <c r="U223" s="807"/>
      <c r="V223" s="807"/>
      <c r="W223" s="807"/>
      <c r="X223" s="807"/>
      <c r="Y223" s="807"/>
      <c r="Z223" s="807"/>
      <c r="AA223" s="807"/>
      <c r="AB223" s="807"/>
      <c r="AC223" s="807"/>
      <c r="AD223" s="807"/>
      <c r="AE223" s="807"/>
      <c r="AF223" s="807"/>
      <c r="AG223" s="807"/>
      <c r="AH223" s="807"/>
      <c r="AI223" s="807"/>
      <c r="AJ223" s="807"/>
      <c r="AK223" s="807"/>
      <c r="AL223" s="807"/>
      <c r="AM223" s="807"/>
      <c r="AN223" s="807"/>
      <c r="AO223" s="807"/>
      <c r="AP223" s="807"/>
      <c r="AQ223" s="807"/>
      <c r="AR223" s="807"/>
      <c r="AS223" s="807"/>
      <c r="AT223" s="807"/>
      <c r="AU223" s="166"/>
      <c r="AV223" s="166"/>
      <c r="AW223" s="166"/>
      <c r="AX223" s="166"/>
      <c r="AY223" s="166"/>
      <c r="AZ223" s="166"/>
      <c r="BA223" s="166"/>
      <c r="BB223" s="166"/>
      <c r="BC223" s="166"/>
      <c r="BD223" s="166"/>
      <c r="BE223" s="166"/>
      <c r="BF223" s="166"/>
      <c r="BG223" s="166"/>
      <c r="BH223" s="166"/>
      <c r="BI223" s="166"/>
      <c r="BJ223" s="166"/>
      <c r="BK223" s="166"/>
      <c r="BL223" s="166"/>
      <c r="BM223" s="166"/>
      <c r="BN223" s="166"/>
    </row>
    <row r="224" spans="1:66" x14ac:dyDescent="0.25">
      <c r="B224" s="831" t="s">
        <v>449</v>
      </c>
      <c r="C224" s="178">
        <v>0</v>
      </c>
      <c r="D224" s="178">
        <v>0</v>
      </c>
      <c r="E224" s="178">
        <v>0</v>
      </c>
      <c r="F224" s="178">
        <v>0</v>
      </c>
      <c r="G224" s="268">
        <f>G148</f>
        <v>4318236.9614306372</v>
      </c>
      <c r="H224" s="268">
        <f t="shared" ref="H224:AT224" si="126">H148</f>
        <v>4432937.8249451816</v>
      </c>
      <c r="I224" s="268">
        <f t="shared" si="126"/>
        <v>4536875.1815609755</v>
      </c>
      <c r="J224" s="268">
        <f t="shared" si="126"/>
        <v>4643311.9130354663</v>
      </c>
      <c r="K224" s="268">
        <f t="shared" si="126"/>
        <v>11617904.705841476</v>
      </c>
      <c r="L224" s="268">
        <f t="shared" si="126"/>
        <v>4863931.4676566217</v>
      </c>
      <c r="M224" s="268">
        <f t="shared" si="126"/>
        <v>4978242.2002252238</v>
      </c>
      <c r="N224" s="268">
        <f t="shared" si="126"/>
        <v>5095308.2077043382</v>
      </c>
      <c r="O224" s="268">
        <f t="shared" si="126"/>
        <v>5215197.5552692544</v>
      </c>
      <c r="P224" s="268">
        <f t="shared" si="126"/>
        <v>12881550.570299722</v>
      </c>
      <c r="Q224" s="268">
        <f t="shared" si="126"/>
        <v>5463727.1811422799</v>
      </c>
      <c r="R224" s="268">
        <f t="shared" si="126"/>
        <v>5592512.3741521444</v>
      </c>
      <c r="S224" s="268">
        <f t="shared" si="126"/>
        <v>5724410.8291271329</v>
      </c>
      <c r="T224" s="268">
        <f t="shared" si="126"/>
        <v>5859499.6730848122</v>
      </c>
      <c r="U224" s="268">
        <f t="shared" si="126"/>
        <v>14286356.439628357</v>
      </c>
      <c r="V224" s="268">
        <f t="shared" si="126"/>
        <v>6139566.8637729799</v>
      </c>
      <c r="W224" s="268">
        <f t="shared" si="126"/>
        <v>6284709.445565287</v>
      </c>
      <c r="X224" s="268">
        <f t="shared" si="126"/>
        <v>6433370.9918016</v>
      </c>
      <c r="Y224" s="268">
        <f t="shared" si="126"/>
        <v>6585638.926612027</v>
      </c>
      <c r="Z224" s="268">
        <f t="shared" si="126"/>
        <v>15848593.767328328</v>
      </c>
      <c r="AA224" s="268">
        <f t="shared" si="126"/>
        <v>6901354.8280941052</v>
      </c>
      <c r="AB224" s="268">
        <f t="shared" si="126"/>
        <v>7064988.9872727636</v>
      </c>
      <c r="AC224" s="268">
        <f t="shared" si="126"/>
        <v>7232602.0400624331</v>
      </c>
      <c r="AD224" s="268">
        <f t="shared" si="126"/>
        <v>7404293.1149919936</v>
      </c>
      <c r="AE224" s="268">
        <f t="shared" si="126"/>
        <v>17586476.742962986</v>
      </c>
      <c r="AF224" s="268">
        <f t="shared" si="126"/>
        <v>7760318.5440044012</v>
      </c>
      <c r="AG224" s="268">
        <f t="shared" si="126"/>
        <v>7944864.0527799763</v>
      </c>
      <c r="AH224" s="268">
        <f t="shared" si="126"/>
        <v>8133910.0298752068</v>
      </c>
      <c r="AI224" s="268">
        <f t="shared" si="126"/>
        <v>8327568.9119321909</v>
      </c>
      <c r="AJ224" s="268">
        <f t="shared" si="126"/>
        <v>19520403.065015338</v>
      </c>
      <c r="AK224" s="268">
        <f t="shared" si="126"/>
        <v>8729189.5788463596</v>
      </c>
      <c r="AL224" s="268">
        <f t="shared" si="126"/>
        <v>8937390.9052098654</v>
      </c>
      <c r="AM224" s="268">
        <f t="shared" si="126"/>
        <v>9150684.3755010031</v>
      </c>
      <c r="AN224" s="268">
        <f t="shared" si="126"/>
        <v>9369197.5625528172</v>
      </c>
      <c r="AO224" s="268">
        <f t="shared" si="126"/>
        <v>21673225.690419316</v>
      </c>
      <c r="AP224" s="268">
        <f t="shared" si="126"/>
        <v>9822409.8065093718</v>
      </c>
      <c r="AQ224" s="268">
        <f t="shared" si="126"/>
        <v>10057380.696025331</v>
      </c>
      <c r="AR224" s="268">
        <f t="shared" si="126"/>
        <v>10298115.14536953</v>
      </c>
      <c r="AS224" s="268">
        <f t="shared" si="126"/>
        <v>10544757.947980508</v>
      </c>
      <c r="AT224" s="268">
        <f t="shared" si="126"/>
        <v>24070559.689610455</v>
      </c>
      <c r="AU224" s="166"/>
      <c r="AV224" s="166"/>
      <c r="AW224" s="166"/>
      <c r="AX224" s="166"/>
      <c r="AY224" s="166"/>
      <c r="AZ224" s="166"/>
      <c r="BA224" s="166"/>
      <c r="BB224" s="166"/>
      <c r="BC224" s="166"/>
      <c r="BD224" s="166"/>
      <c r="BE224" s="166"/>
      <c r="BF224" s="166"/>
      <c r="BG224" s="166"/>
      <c r="BH224" s="166"/>
      <c r="BI224" s="166"/>
      <c r="BJ224" s="166"/>
      <c r="BK224" s="166"/>
      <c r="BL224" s="166"/>
      <c r="BM224" s="166"/>
      <c r="BN224" s="166"/>
    </row>
    <row r="225" spans="2:66" x14ac:dyDescent="0.25">
      <c r="B225" s="832" t="s">
        <v>379</v>
      </c>
      <c r="C225" s="178">
        <v>0</v>
      </c>
      <c r="D225" s="178">
        <v>0</v>
      </c>
      <c r="E225" s="178">
        <v>0</v>
      </c>
      <c r="F225" s="178">
        <v>0</v>
      </c>
      <c r="G225" s="758">
        <f>DEMANDA!C49*PARAMETROS!$C$61</f>
        <v>5390350</v>
      </c>
      <c r="H225" s="758">
        <f>DEMANDA!D49*PARAMETROS!$C$61</f>
        <v>7187133.333333333</v>
      </c>
      <c r="I225" s="758">
        <f>DEMANDA!E49*PARAMETROS!$C$61</f>
        <v>7263246.666666667</v>
      </c>
      <c r="J225" s="758">
        <f>DEMANDA!F49*PARAMETROS!$C$61</f>
        <v>7339360</v>
      </c>
      <c r="K225" s="758">
        <f>DEMANDA!G49*PARAMETROS!$C$61</f>
        <v>7415473.333333333</v>
      </c>
      <c r="L225" s="758">
        <f>DEMANDA!H49*PARAMETROS!$C$61</f>
        <v>7491586.666666667</v>
      </c>
      <c r="M225" s="758">
        <f>DEMANDA!I49*PARAMETROS!$C$61</f>
        <v>7567700.0000000009</v>
      </c>
      <c r="N225" s="758">
        <f>DEMANDA!J49*PARAMETROS!$C$61</f>
        <v>7605411.5440098047</v>
      </c>
      <c r="O225" s="758">
        <f>DEMANDA!K49*PARAMETROS!$C$61</f>
        <v>7643123.0880196085</v>
      </c>
      <c r="P225" s="758">
        <f>DEMANDA!L49*PARAMETROS!$C$61</f>
        <v>7680834.6320294123</v>
      </c>
      <c r="Q225" s="758">
        <f>DEMANDA!M49*PARAMETROS!$C$61</f>
        <v>7718546.1760392142</v>
      </c>
      <c r="R225" s="758">
        <f>DEMANDA!N49*PARAMETROS!$C$61</f>
        <v>7756257.7200490227</v>
      </c>
      <c r="S225" s="758">
        <f>DEMANDA!O49*PARAMETROS!$C$61</f>
        <v>7758275.265071379</v>
      </c>
      <c r="T225" s="758">
        <f>DEMANDA!P49*PARAMETROS!$C$61</f>
        <v>7760292.8100937363</v>
      </c>
      <c r="U225" s="758">
        <f>DEMANDA!Q49*PARAMETROS!$C$61</f>
        <v>7762310.3551160926</v>
      </c>
      <c r="V225" s="758">
        <f>DEMANDA!R49*PARAMETROS!$C$61</f>
        <v>7764327.9001384499</v>
      </c>
      <c r="W225" s="758">
        <f>DEMANDA!S49*PARAMETROS!$C$61</f>
        <v>7766345.4451608062</v>
      </c>
      <c r="X225" s="758">
        <f>DEMANDA!T49*PARAMETROS!$C$61</f>
        <v>7823962.12994124</v>
      </c>
      <c r="Y225" s="758">
        <f>DEMANDA!U49*PARAMETROS!$C$61</f>
        <v>7881578.8147216719</v>
      </c>
      <c r="Z225" s="758">
        <f>DEMANDA!V49*PARAMETROS!$C$61</f>
        <v>7939195.4995021047</v>
      </c>
      <c r="AA225" s="758">
        <f>DEMANDA!W49*PARAMETROS!$C$61</f>
        <v>7996812.1842825366</v>
      </c>
      <c r="AB225" s="758">
        <f>DEMANDA!X49*PARAMETROS!$C$61</f>
        <v>8054428.8690629685</v>
      </c>
      <c r="AC225" s="758">
        <f>DEMANDA!Y49*PARAMETROS!$C$61</f>
        <v>8054428.8690629685</v>
      </c>
      <c r="AD225" s="758">
        <f>DEMANDA!Z49*PARAMETROS!$C$61</f>
        <v>8054428.8690629685</v>
      </c>
      <c r="AE225" s="758">
        <f>DEMANDA!AA49*PARAMETROS!$C$61</f>
        <v>8054428.8690629685</v>
      </c>
      <c r="AF225" s="758">
        <f>DEMANDA!AB49*PARAMETROS!$C$61</f>
        <v>8054428.8690629685</v>
      </c>
      <c r="AG225" s="758">
        <f>DEMANDA!AC49*PARAMETROS!$C$61</f>
        <v>8054428.8690629685</v>
      </c>
      <c r="AH225" s="758">
        <f>DEMANDA!AD49*PARAMETROS!$C$61</f>
        <v>8054428.8690629685</v>
      </c>
      <c r="AI225" s="758">
        <f>DEMANDA!AE49*PARAMETROS!$C$61</f>
        <v>8054428.8690629685</v>
      </c>
      <c r="AJ225" s="758">
        <f>DEMANDA!AF49*PARAMETROS!$C$61</f>
        <v>8054428.8690629685</v>
      </c>
      <c r="AK225" s="758">
        <f>DEMANDA!AG49*PARAMETROS!$C$61</f>
        <v>8054428.8690629685</v>
      </c>
      <c r="AL225" s="758">
        <f>DEMANDA!AH49*PARAMETROS!$C$61</f>
        <v>8054428.8690629685</v>
      </c>
      <c r="AM225" s="758">
        <f>DEMANDA!AI49*PARAMETROS!$C$61</f>
        <v>8054428.8690629685</v>
      </c>
      <c r="AN225" s="758">
        <f>DEMANDA!AJ49*PARAMETROS!$C$61</f>
        <v>8054428.8690629685</v>
      </c>
      <c r="AO225" s="758">
        <f>DEMANDA!AK49*PARAMETROS!$C$61</f>
        <v>8054428.8690629685</v>
      </c>
      <c r="AP225" s="758">
        <f>DEMANDA!AL49*PARAMETROS!$C$61</f>
        <v>8054428.8690629685</v>
      </c>
      <c r="AQ225" s="758">
        <f>DEMANDA!AM49*PARAMETROS!$C$61</f>
        <v>8054428.8690629685</v>
      </c>
      <c r="AR225" s="758">
        <f>DEMANDA!AN49*PARAMETROS!$C$61</f>
        <v>8054428.8690629685</v>
      </c>
      <c r="AS225" s="758">
        <f>DEMANDA!AO49*PARAMETROS!$C$61</f>
        <v>8054428.8690629685</v>
      </c>
      <c r="AT225" s="758">
        <f>DEMANDA!AP49*PARAMETROS!$C$61</f>
        <v>8054428.8690629685</v>
      </c>
      <c r="AU225" s="166"/>
      <c r="AV225" s="166"/>
      <c r="AW225" s="166"/>
      <c r="AX225" s="166"/>
      <c r="AY225" s="166"/>
      <c r="AZ225" s="166"/>
      <c r="BA225" s="166"/>
      <c r="BB225" s="166"/>
      <c r="BC225" s="166"/>
      <c r="BD225" s="166"/>
      <c r="BE225" s="166"/>
      <c r="BF225" s="166"/>
      <c r="BG225" s="166"/>
      <c r="BH225" s="166"/>
      <c r="BI225" s="166"/>
      <c r="BJ225" s="166"/>
      <c r="BK225" s="166"/>
      <c r="BL225" s="166"/>
      <c r="BM225" s="166"/>
      <c r="BN225" s="166"/>
    </row>
    <row r="226" spans="2:66" x14ac:dyDescent="0.25">
      <c r="B226" s="832" t="s">
        <v>395</v>
      </c>
      <c r="C226" s="178">
        <v>0</v>
      </c>
      <c r="D226" s="178">
        <v>0</v>
      </c>
      <c r="E226" s="178">
        <v>0</v>
      </c>
      <c r="F226" s="178">
        <v>0</v>
      </c>
      <c r="G226" s="758">
        <f>'INGRESOS de pasajeros'!C57*PARAMETROS!$C$61</f>
        <v>4387744.9000000004</v>
      </c>
      <c r="H226" s="758">
        <f>'INGRESOS de pasajeros'!D57*PARAMETROS!$C$61</f>
        <v>5850326.5333333332</v>
      </c>
      <c r="I226" s="758">
        <f>'INGRESOS de pasajeros'!E57*PARAMETROS!$C$61</f>
        <v>6181291.6534599997</v>
      </c>
      <c r="J226" s="758">
        <f>'INGRESOS de pasajeros'!F57*PARAMETROS!$C$61</f>
        <v>6246066.9163199989</v>
      </c>
      <c r="K226" s="758">
        <f>'INGRESOS de pasajeros'!G57*PARAMETROS!$C$61</f>
        <v>6565800.2032188699</v>
      </c>
      <c r="L226" s="758">
        <f>'INGRESOS de pasajeros'!H57*PARAMETROS!$C$61</f>
        <v>6633192.3866984155</v>
      </c>
      <c r="M226" s="758">
        <f>'INGRESOS de pasajeros'!I57*PARAMETROS!$C$61</f>
        <v>6971288.1868131505</v>
      </c>
      <c r="N226" s="758">
        <f>'INGRESOS de pasajeros'!J57*PARAMETROS!$C$61</f>
        <v>7006027.6771816947</v>
      </c>
      <c r="O226" s="758">
        <f>'INGRESOS de pasajeros'!K57*PARAMETROS!$C$61</f>
        <v>7325214.1611192646</v>
      </c>
      <c r="P226" s="758">
        <f>'INGRESOS de pasajeros'!L57*PARAMETROS!$C$61</f>
        <v>7361357.1268986994</v>
      </c>
      <c r="Q226" s="758">
        <f>'INGRESOS de pasajeros'!M57*PARAMETROS!$C$61</f>
        <v>7696359.0964223258</v>
      </c>
      <c r="R226" s="758">
        <f>'INGRESOS de pasajeros'!N57*PARAMETROS!$C$61</f>
        <v>7733962.2380192541</v>
      </c>
      <c r="S226" s="758">
        <f>'INGRESOS de pasajeros'!O57*PARAMETROS!$C$61</f>
        <v>8048507.3325139601</v>
      </c>
      <c r="T226" s="758">
        <f>'INGRESOS de pasajeros'!P57*PARAMETROS!$C$61</f>
        <v>8050600.3525926908</v>
      </c>
      <c r="U226" s="758">
        <f>'INGRESOS de pasajeros'!Q57*PARAMETROS!$C$61</f>
        <v>8378022.1849273518</v>
      </c>
      <c r="V226" s="758">
        <f>'INGRESOS de pasajeros'!R57*PARAMETROS!$C$61</f>
        <v>8380199.7630172633</v>
      </c>
      <c r="W226" s="758">
        <f>'INGRESOS de pasajeros'!S57*PARAMETROS!$C$61</f>
        <v>8721025.3856879007</v>
      </c>
      <c r="X226" s="758">
        <f>'INGRESOS de pasajeros'!T57*PARAMETROS!$C$61</f>
        <v>8785724.6157385577</v>
      </c>
      <c r="Y226" s="758">
        <f>'INGRESOS de pasajeros'!U57*PARAMETROS!$C$61</f>
        <v>9207980.9691591021</v>
      </c>
      <c r="Z226" s="758">
        <f>'INGRESOS de pasajeros'!V57*PARAMETROS!$C$61</f>
        <v>9275294.0481038056</v>
      </c>
      <c r="AA226" s="758">
        <f>'INGRESOS de pasajeros'!W57*PARAMETROS!$C$61</f>
        <v>9720048.4549812675</v>
      </c>
      <c r="AB226" s="758">
        <f>'INGRESOS de pasajeros'!X57*PARAMETROS!$C$61</f>
        <v>9790080.9823153336</v>
      </c>
      <c r="AC226" s="758">
        <f>'INGRESOS de pasajeros'!Y57*PARAMETROS!$C$61</f>
        <v>10185600.254000872</v>
      </c>
      <c r="AD226" s="758">
        <f>'INGRESOS de pasajeros'!Z57*PARAMETROS!$C$61</f>
        <v>10185600.254000872</v>
      </c>
      <c r="AE226" s="758">
        <f>'INGRESOS de pasajeros'!AA57*PARAMETROS!$C$61</f>
        <v>10597098.504262507</v>
      </c>
      <c r="AF226" s="758">
        <f>'INGRESOS de pasajeros'!AB57*PARAMETROS!$C$61</f>
        <v>10597098.504262507</v>
      </c>
      <c r="AG226" s="758">
        <f>'INGRESOS de pasajeros'!AC57*PARAMETROS!$C$61</f>
        <v>11025221.283834713</v>
      </c>
      <c r="AH226" s="758">
        <f>'INGRESOS de pasajeros'!AD57*PARAMETROS!$C$61</f>
        <v>11025221.283834713</v>
      </c>
      <c r="AI226" s="758">
        <f>'INGRESOS de pasajeros'!AE57*PARAMETROS!$C$61</f>
        <v>11470640.223701635</v>
      </c>
      <c r="AJ226" s="758">
        <f>'INGRESOS de pasajeros'!AF57*PARAMETROS!$C$61</f>
        <v>11470640.223701635</v>
      </c>
      <c r="AK226" s="758">
        <f>'INGRESOS de pasajeros'!AG57*PARAMETROS!$C$61</f>
        <v>11934054.088739183</v>
      </c>
      <c r="AL226" s="758">
        <f>'INGRESOS de pasajeros'!AH57*PARAMETROS!$C$61</f>
        <v>11934054.088739183</v>
      </c>
      <c r="AM226" s="758">
        <f>'INGRESOS de pasajeros'!AI57*PARAMETROS!$C$61</f>
        <v>12416189.873924242</v>
      </c>
      <c r="AN226" s="758">
        <f>'INGRESOS de pasajeros'!AJ57*PARAMETROS!$C$61</f>
        <v>12416189.873924242</v>
      </c>
      <c r="AO226" s="758">
        <f>'INGRESOS de pasajeros'!AK57*PARAMETROS!$C$61</f>
        <v>12917803.944830785</v>
      </c>
      <c r="AP226" s="758">
        <f>'INGRESOS de pasajeros'!AL57*PARAMETROS!$C$61</f>
        <v>12917803.944830785</v>
      </c>
      <c r="AQ226" s="758">
        <f>'INGRESOS de pasajeros'!AM57*PARAMETROS!$C$61</f>
        <v>13439683.224201947</v>
      </c>
      <c r="AR226" s="758">
        <f>'INGRESOS de pasajeros'!AN57*PARAMETROS!$C$61</f>
        <v>13439683.224201947</v>
      </c>
      <c r="AS226" s="758">
        <f>'INGRESOS de pasajeros'!AO57*PARAMETROS!$C$61</f>
        <v>13982646.426459709</v>
      </c>
      <c r="AT226" s="758">
        <f>'INGRESOS de pasajeros'!AP57*PARAMETROS!$C$61</f>
        <v>13982646.426459709</v>
      </c>
      <c r="AU226" s="166"/>
      <c r="AV226" s="166"/>
      <c r="AW226" s="166"/>
      <c r="AX226" s="166"/>
      <c r="AY226" s="166"/>
      <c r="AZ226" s="166"/>
      <c r="BA226" s="166"/>
      <c r="BB226" s="166"/>
      <c r="BC226" s="166"/>
      <c r="BD226" s="166"/>
      <c r="BE226" s="166"/>
      <c r="BF226" s="166"/>
      <c r="BG226" s="166"/>
      <c r="BH226" s="166"/>
      <c r="BI226" s="166"/>
      <c r="BJ226" s="166"/>
      <c r="BK226" s="166"/>
      <c r="BL226" s="166"/>
      <c r="BM226" s="166"/>
      <c r="BN226" s="166"/>
    </row>
    <row r="227" spans="2:66" x14ac:dyDescent="0.25">
      <c r="B227" s="832" t="s">
        <v>396</v>
      </c>
      <c r="C227" s="178">
        <v>0</v>
      </c>
      <c r="D227" s="178">
        <v>0</v>
      </c>
      <c r="E227" s="178">
        <v>0</v>
      </c>
      <c r="F227" s="178">
        <v>0</v>
      </c>
      <c r="G227" s="178">
        <f>$C$14*$C$15*12</f>
        <v>420000</v>
      </c>
      <c r="H227" s="178">
        <f t="shared" ref="H227:AT227" si="127">$G$75*((1+$C$25)^G221)</f>
        <v>428400</v>
      </c>
      <c r="I227" s="178">
        <f t="shared" si="127"/>
        <v>436968</v>
      </c>
      <c r="J227" s="178">
        <f t="shared" si="127"/>
        <v>445707.36</v>
      </c>
      <c r="K227" s="178">
        <f t="shared" si="127"/>
        <v>454621.50719999999</v>
      </c>
      <c r="L227" s="178">
        <f t="shared" si="127"/>
        <v>463713.93734400003</v>
      </c>
      <c r="M227" s="178">
        <f t="shared" si="127"/>
        <v>472988.21609088004</v>
      </c>
      <c r="N227" s="178">
        <f t="shared" si="127"/>
        <v>482447.98041269754</v>
      </c>
      <c r="O227" s="178">
        <f t="shared" si="127"/>
        <v>492096.9400209515</v>
      </c>
      <c r="P227" s="178">
        <f t="shared" si="127"/>
        <v>501938.87882137054</v>
      </c>
      <c r="Q227" s="178">
        <f t="shared" si="127"/>
        <v>511977.65639779798</v>
      </c>
      <c r="R227" s="178">
        <f t="shared" si="127"/>
        <v>522217.20952575386</v>
      </c>
      <c r="S227" s="178">
        <f t="shared" si="127"/>
        <v>532661.55371626897</v>
      </c>
      <c r="T227" s="178">
        <f t="shared" si="127"/>
        <v>543314.78479059436</v>
      </c>
      <c r="U227" s="178">
        <f t="shared" si="127"/>
        <v>554181.08048640634</v>
      </c>
      <c r="V227" s="178">
        <f t="shared" si="127"/>
        <v>565264.70209613431</v>
      </c>
      <c r="W227" s="178">
        <f t="shared" si="127"/>
        <v>576569.99613805709</v>
      </c>
      <c r="X227" s="178">
        <f t="shared" si="127"/>
        <v>588101.39606081822</v>
      </c>
      <c r="Y227" s="178">
        <f t="shared" si="127"/>
        <v>599863.42398203455</v>
      </c>
      <c r="Z227" s="178">
        <f t="shared" si="127"/>
        <v>611860.69246167527</v>
      </c>
      <c r="AA227" s="178">
        <f t="shared" si="127"/>
        <v>624097.90631090873</v>
      </c>
      <c r="AB227" s="178">
        <f t="shared" si="127"/>
        <v>636579.8644371269</v>
      </c>
      <c r="AC227" s="178">
        <f t="shared" si="127"/>
        <v>649311.46172586945</v>
      </c>
      <c r="AD227" s="178">
        <f t="shared" si="127"/>
        <v>662297.69096038677</v>
      </c>
      <c r="AE227" s="178">
        <f t="shared" si="127"/>
        <v>675543.6447795945</v>
      </c>
      <c r="AF227" s="178">
        <f t="shared" si="127"/>
        <v>689054.51767518639</v>
      </c>
      <c r="AG227" s="178">
        <f t="shared" si="127"/>
        <v>702835.60802869021</v>
      </c>
      <c r="AH227" s="178">
        <f t="shared" si="127"/>
        <v>716892.3201892639</v>
      </c>
      <c r="AI227" s="178">
        <f t="shared" si="127"/>
        <v>731230.1665930493</v>
      </c>
      <c r="AJ227" s="178">
        <f t="shared" si="127"/>
        <v>745854.76992491016</v>
      </c>
      <c r="AK227" s="178">
        <f t="shared" si="127"/>
        <v>760771.86532340851</v>
      </c>
      <c r="AL227" s="178">
        <f t="shared" si="127"/>
        <v>775987.30262987642</v>
      </c>
      <c r="AM227" s="178">
        <f t="shared" si="127"/>
        <v>791507.04868247418</v>
      </c>
      <c r="AN227" s="178">
        <f t="shared" si="127"/>
        <v>807337.18965612364</v>
      </c>
      <c r="AO227" s="178">
        <f t="shared" si="127"/>
        <v>823483.93344924611</v>
      </c>
      <c r="AP227" s="178">
        <f t="shared" si="127"/>
        <v>839953.61211823102</v>
      </c>
      <c r="AQ227" s="178">
        <f t="shared" si="127"/>
        <v>856752.68436059554</v>
      </c>
      <c r="AR227" s="178">
        <f t="shared" si="127"/>
        <v>873887.73804780759</v>
      </c>
      <c r="AS227" s="178">
        <f t="shared" si="127"/>
        <v>891365.49280876387</v>
      </c>
      <c r="AT227" s="178">
        <f t="shared" si="127"/>
        <v>909192.80266493873</v>
      </c>
      <c r="AU227" s="166"/>
      <c r="AV227" s="166"/>
      <c r="AW227" s="166"/>
      <c r="AX227" s="166"/>
      <c r="AY227" s="166"/>
      <c r="AZ227" s="166"/>
      <c r="BA227" s="166"/>
      <c r="BB227" s="166"/>
      <c r="BC227" s="166"/>
      <c r="BD227" s="166"/>
      <c r="BE227" s="166"/>
      <c r="BF227" s="166"/>
      <c r="BG227" s="166"/>
      <c r="BH227" s="166"/>
      <c r="BI227" s="166"/>
      <c r="BJ227" s="166"/>
      <c r="BK227" s="166"/>
      <c r="BL227" s="166"/>
      <c r="BM227" s="166"/>
      <c r="BN227" s="166"/>
    </row>
    <row r="228" spans="2:66" x14ac:dyDescent="0.25">
      <c r="B228" s="832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6"/>
      <c r="BN228" s="166"/>
    </row>
    <row r="229" spans="2:66" x14ac:dyDescent="0.25">
      <c r="B229" s="831" t="str">
        <f>B77</f>
        <v>Activos iniciales - Depreciacion 50 años</v>
      </c>
      <c r="C229" s="965">
        <f t="shared" ref="C229:AT235" si="128">C77</f>
        <v>0</v>
      </c>
      <c r="D229" s="965">
        <f t="shared" si="128"/>
        <v>0</v>
      </c>
      <c r="E229" s="965">
        <f t="shared" si="128"/>
        <v>0</v>
      </c>
      <c r="F229" s="965">
        <f t="shared" si="128"/>
        <v>0</v>
      </c>
      <c r="G229" s="965">
        <f t="shared" si="128"/>
        <v>-839011.57800246822</v>
      </c>
      <c r="H229" s="965">
        <f t="shared" si="128"/>
        <v>-839011.57800246822</v>
      </c>
      <c r="I229" s="965">
        <f t="shared" si="128"/>
        <v>-839011.57800246822</v>
      </c>
      <c r="J229" s="965">
        <f t="shared" si="128"/>
        <v>-839011.57800246822</v>
      </c>
      <c r="K229" s="965">
        <f t="shared" si="128"/>
        <v>-839011.57800246822</v>
      </c>
      <c r="L229" s="965">
        <f t="shared" si="128"/>
        <v>-839011.57800246822</v>
      </c>
      <c r="M229" s="965">
        <f t="shared" si="128"/>
        <v>-839011.57800246822</v>
      </c>
      <c r="N229" s="965">
        <f t="shared" si="128"/>
        <v>-839011.57800246822</v>
      </c>
      <c r="O229" s="965">
        <f t="shared" si="128"/>
        <v>-839011.57800246822</v>
      </c>
      <c r="P229" s="965">
        <f t="shared" si="128"/>
        <v>-839011.57800246822</v>
      </c>
      <c r="Q229" s="965">
        <f t="shared" si="128"/>
        <v>-839011.57800246822</v>
      </c>
      <c r="R229" s="965">
        <f t="shared" si="128"/>
        <v>-839011.57800246822</v>
      </c>
      <c r="S229" s="965">
        <f t="shared" si="128"/>
        <v>-839011.57800246822</v>
      </c>
      <c r="T229" s="965">
        <f t="shared" si="128"/>
        <v>-839011.57800246822</v>
      </c>
      <c r="U229" s="965">
        <f t="shared" si="128"/>
        <v>-839011.57800246822</v>
      </c>
      <c r="V229" s="965">
        <f t="shared" si="128"/>
        <v>-839011.57800246822</v>
      </c>
      <c r="W229" s="965">
        <f t="shared" si="128"/>
        <v>-839011.57800246822</v>
      </c>
      <c r="X229" s="965">
        <f t="shared" si="128"/>
        <v>-839011.57800246822</v>
      </c>
      <c r="Y229" s="965">
        <f t="shared" si="128"/>
        <v>-839011.57800246822</v>
      </c>
      <c r="Z229" s="965">
        <f t="shared" si="128"/>
        <v>-839011.57800246822</v>
      </c>
      <c r="AA229" s="965">
        <f t="shared" si="128"/>
        <v>-839011.57800246822</v>
      </c>
      <c r="AB229" s="965">
        <f t="shared" si="128"/>
        <v>-839011.57800246822</v>
      </c>
      <c r="AC229" s="965">
        <f t="shared" si="128"/>
        <v>-839011.57800246822</v>
      </c>
      <c r="AD229" s="965">
        <f t="shared" si="128"/>
        <v>-839011.57800246822</v>
      </c>
      <c r="AE229" s="965">
        <f t="shared" si="128"/>
        <v>-839011.57800246822</v>
      </c>
      <c r="AF229" s="965">
        <f t="shared" si="128"/>
        <v>-839011.57800246822</v>
      </c>
      <c r="AG229" s="965">
        <f t="shared" si="128"/>
        <v>-839011.57800246822</v>
      </c>
      <c r="AH229" s="965">
        <f t="shared" si="128"/>
        <v>-839011.57800246822</v>
      </c>
      <c r="AI229" s="965">
        <f t="shared" si="128"/>
        <v>-839011.57800246822</v>
      </c>
      <c r="AJ229" s="965">
        <f t="shared" si="128"/>
        <v>-839011.57800246822</v>
      </c>
      <c r="AK229" s="965">
        <f t="shared" si="128"/>
        <v>-839011.57800246822</v>
      </c>
      <c r="AL229" s="965">
        <f t="shared" si="128"/>
        <v>-839011.57800246822</v>
      </c>
      <c r="AM229" s="965">
        <f t="shared" si="128"/>
        <v>-839011.57800246822</v>
      </c>
      <c r="AN229" s="965">
        <f t="shared" si="128"/>
        <v>-839011.57800246822</v>
      </c>
      <c r="AO229" s="965">
        <f t="shared" si="128"/>
        <v>-839011.57800246822</v>
      </c>
      <c r="AP229" s="965">
        <f t="shared" si="128"/>
        <v>-839011.57800246822</v>
      </c>
      <c r="AQ229" s="965">
        <f t="shared" si="128"/>
        <v>-839011.57800246822</v>
      </c>
      <c r="AR229" s="965">
        <f t="shared" si="128"/>
        <v>-839011.57800246822</v>
      </c>
      <c r="AS229" s="965">
        <f t="shared" si="128"/>
        <v>-839011.57800246822</v>
      </c>
      <c r="AT229" s="965">
        <f t="shared" si="128"/>
        <v>-839011.57800246822</v>
      </c>
      <c r="AU229" s="166"/>
      <c r="AV229" s="166"/>
      <c r="AW229" s="166"/>
      <c r="AX229" s="166"/>
      <c r="AY229" s="166"/>
      <c r="AZ229" s="166"/>
      <c r="BA229" s="166"/>
      <c r="BB229" s="166"/>
      <c r="BC229" s="166"/>
      <c r="BD229" s="166"/>
      <c r="BE229" s="166"/>
      <c r="BF229" s="166"/>
      <c r="BG229" s="166"/>
      <c r="BH229" s="166"/>
      <c r="BI229" s="166"/>
      <c r="BJ229" s="166"/>
      <c r="BK229" s="166"/>
      <c r="BL229" s="166"/>
      <c r="BM229" s="166"/>
      <c r="BN229" s="166"/>
    </row>
    <row r="230" spans="2:66" x14ac:dyDescent="0.25">
      <c r="B230" s="831" t="str">
        <f t="shared" ref="B230:Q242" si="129">B78</f>
        <v>Activos iniciales - Depreciacion 40 años</v>
      </c>
      <c r="C230" s="965">
        <f t="shared" si="129"/>
        <v>0</v>
      </c>
      <c r="D230" s="965">
        <f t="shared" si="129"/>
        <v>0</v>
      </c>
      <c r="E230" s="965">
        <f t="shared" si="129"/>
        <v>0</v>
      </c>
      <c r="F230" s="965">
        <f t="shared" si="129"/>
        <v>0</v>
      </c>
      <c r="G230" s="965">
        <f t="shared" si="129"/>
        <v>-1763216.5038117287</v>
      </c>
      <c r="H230" s="965">
        <f t="shared" si="129"/>
        <v>-1763216.5038117287</v>
      </c>
      <c r="I230" s="965">
        <f t="shared" si="129"/>
        <v>-1763216.5038117287</v>
      </c>
      <c r="J230" s="965">
        <f t="shared" si="129"/>
        <v>-1763216.5038117287</v>
      </c>
      <c r="K230" s="965">
        <f t="shared" si="129"/>
        <v>-1763216.5038117287</v>
      </c>
      <c r="L230" s="965">
        <f t="shared" si="129"/>
        <v>-1763216.5038117287</v>
      </c>
      <c r="M230" s="965">
        <f t="shared" si="129"/>
        <v>-1763216.5038117287</v>
      </c>
      <c r="N230" s="965">
        <f t="shared" si="129"/>
        <v>-1763216.5038117287</v>
      </c>
      <c r="O230" s="965">
        <f t="shared" si="129"/>
        <v>-1763216.5038117287</v>
      </c>
      <c r="P230" s="965">
        <f t="shared" si="129"/>
        <v>-1763216.5038117287</v>
      </c>
      <c r="Q230" s="965">
        <f t="shared" si="129"/>
        <v>-1763216.5038117287</v>
      </c>
      <c r="R230" s="965">
        <f t="shared" si="128"/>
        <v>-1763216.5038117287</v>
      </c>
      <c r="S230" s="965">
        <f t="shared" si="128"/>
        <v>-1763216.5038117287</v>
      </c>
      <c r="T230" s="965">
        <f t="shared" si="128"/>
        <v>-1763216.5038117287</v>
      </c>
      <c r="U230" s="965">
        <f t="shared" si="128"/>
        <v>-1763216.5038117287</v>
      </c>
      <c r="V230" s="965">
        <f t="shared" si="128"/>
        <v>-1763216.5038117287</v>
      </c>
      <c r="W230" s="965">
        <f t="shared" si="128"/>
        <v>-1763216.5038117287</v>
      </c>
      <c r="X230" s="965">
        <f t="shared" si="128"/>
        <v>-1763216.5038117287</v>
      </c>
      <c r="Y230" s="965">
        <f t="shared" si="128"/>
        <v>-1763216.5038117287</v>
      </c>
      <c r="Z230" s="965">
        <f t="shared" si="128"/>
        <v>-1763216.5038117287</v>
      </c>
      <c r="AA230" s="965">
        <f t="shared" si="128"/>
        <v>-1763216.5038117287</v>
      </c>
      <c r="AB230" s="965">
        <f t="shared" si="128"/>
        <v>-1763216.5038117287</v>
      </c>
      <c r="AC230" s="965">
        <f t="shared" si="128"/>
        <v>-1763216.5038117287</v>
      </c>
      <c r="AD230" s="965">
        <f t="shared" si="128"/>
        <v>-1763216.5038117287</v>
      </c>
      <c r="AE230" s="965">
        <f t="shared" si="128"/>
        <v>-1763216.5038117287</v>
      </c>
      <c r="AF230" s="965">
        <f t="shared" si="128"/>
        <v>-1763216.5038117287</v>
      </c>
      <c r="AG230" s="965">
        <f t="shared" si="128"/>
        <v>-1763216.5038117287</v>
      </c>
      <c r="AH230" s="965">
        <f t="shared" si="128"/>
        <v>-1763216.5038117287</v>
      </c>
      <c r="AI230" s="965">
        <f t="shared" si="128"/>
        <v>-1763216.5038117287</v>
      </c>
      <c r="AJ230" s="965">
        <f t="shared" si="128"/>
        <v>-1763216.5038117287</v>
      </c>
      <c r="AK230" s="965">
        <f t="shared" si="128"/>
        <v>-1763216.5038117287</v>
      </c>
      <c r="AL230" s="965">
        <f t="shared" si="128"/>
        <v>-1763216.5038117287</v>
      </c>
      <c r="AM230" s="965">
        <f t="shared" si="128"/>
        <v>-1763216.5038117287</v>
      </c>
      <c r="AN230" s="965">
        <f t="shared" si="128"/>
        <v>-1763216.5038117287</v>
      </c>
      <c r="AO230" s="965">
        <f t="shared" si="128"/>
        <v>-1763216.5038117287</v>
      </c>
      <c r="AP230" s="965">
        <f t="shared" si="128"/>
        <v>-1763216.5038117287</v>
      </c>
      <c r="AQ230" s="965">
        <f t="shared" si="128"/>
        <v>-1763216.5038117287</v>
      </c>
      <c r="AR230" s="965">
        <f t="shared" si="128"/>
        <v>-1763216.5038117287</v>
      </c>
      <c r="AS230" s="965">
        <f t="shared" si="128"/>
        <v>-1763216.5038117287</v>
      </c>
      <c r="AT230" s="965">
        <f t="shared" si="128"/>
        <v>-1763216.5038117287</v>
      </c>
      <c r="AU230" s="166"/>
      <c r="AV230" s="166"/>
      <c r="AW230" s="166"/>
      <c r="AX230" s="166"/>
      <c r="AY230" s="166"/>
      <c r="AZ230" s="166"/>
      <c r="BA230" s="166"/>
      <c r="BB230" s="166"/>
      <c r="BC230" s="166"/>
      <c r="BD230" s="166"/>
      <c r="BE230" s="166"/>
      <c r="BF230" s="166"/>
      <c r="BG230" s="166"/>
      <c r="BH230" s="166"/>
      <c r="BI230" s="166"/>
      <c r="BJ230" s="166"/>
      <c r="BK230" s="166"/>
      <c r="BL230" s="166"/>
      <c r="BM230" s="166"/>
      <c r="BN230" s="166"/>
    </row>
    <row r="231" spans="2:66" x14ac:dyDescent="0.25">
      <c r="B231" s="831" t="str">
        <f t="shared" si="129"/>
        <v>Activos iniciales - Depreciacion 15 años</v>
      </c>
      <c r="C231" s="965">
        <f t="shared" si="128"/>
        <v>0</v>
      </c>
      <c r="D231" s="965">
        <f t="shared" si="128"/>
        <v>0</v>
      </c>
      <c r="E231" s="965">
        <f t="shared" si="128"/>
        <v>0</v>
      </c>
      <c r="F231" s="965">
        <f t="shared" si="128"/>
        <v>0</v>
      </c>
      <c r="G231" s="965">
        <f t="shared" si="128"/>
        <v>-1033960.8285917911</v>
      </c>
      <c r="H231" s="965">
        <f t="shared" si="128"/>
        <v>-1033960.8285917911</v>
      </c>
      <c r="I231" s="965">
        <f t="shared" si="128"/>
        <v>-1033960.8285917911</v>
      </c>
      <c r="J231" s="965">
        <f t="shared" si="128"/>
        <v>-1033960.8285917911</v>
      </c>
      <c r="K231" s="965">
        <f t="shared" si="128"/>
        <v>-1033960.8285917911</v>
      </c>
      <c r="L231" s="965">
        <f t="shared" si="128"/>
        <v>-1033960.8285917911</v>
      </c>
      <c r="M231" s="965">
        <f t="shared" si="128"/>
        <v>-1033960.8285917911</v>
      </c>
      <c r="N231" s="965">
        <f t="shared" si="128"/>
        <v>-1033960.8285917911</v>
      </c>
      <c r="O231" s="965">
        <f t="shared" si="128"/>
        <v>-1033960.8285917911</v>
      </c>
      <c r="P231" s="965">
        <f t="shared" si="128"/>
        <v>-1033960.8285917911</v>
      </c>
      <c r="Q231" s="965">
        <f t="shared" si="128"/>
        <v>-1033960.8285917911</v>
      </c>
      <c r="R231" s="965">
        <f t="shared" si="128"/>
        <v>-1033960.8285917911</v>
      </c>
      <c r="S231" s="965">
        <f t="shared" si="128"/>
        <v>-1033960.8285917911</v>
      </c>
      <c r="T231" s="965">
        <f t="shared" si="128"/>
        <v>-1033960.8285917911</v>
      </c>
      <c r="U231" s="965">
        <f t="shared" si="128"/>
        <v>-1033960.8285917911</v>
      </c>
      <c r="V231" s="965">
        <f t="shared" si="128"/>
        <v>0</v>
      </c>
      <c r="W231" s="965">
        <f t="shared" si="128"/>
        <v>0</v>
      </c>
      <c r="X231" s="965">
        <f t="shared" si="128"/>
        <v>0</v>
      </c>
      <c r="Y231" s="965">
        <f t="shared" si="128"/>
        <v>0</v>
      </c>
      <c r="Z231" s="965">
        <f t="shared" si="128"/>
        <v>0</v>
      </c>
      <c r="AA231" s="965">
        <f t="shared" si="128"/>
        <v>0</v>
      </c>
      <c r="AB231" s="965">
        <f t="shared" si="128"/>
        <v>0</v>
      </c>
      <c r="AC231" s="965">
        <f t="shared" si="128"/>
        <v>0</v>
      </c>
      <c r="AD231" s="965">
        <f t="shared" si="128"/>
        <v>0</v>
      </c>
      <c r="AE231" s="965">
        <f t="shared" si="128"/>
        <v>0</v>
      </c>
      <c r="AF231" s="965">
        <f t="shared" si="128"/>
        <v>0</v>
      </c>
      <c r="AG231" s="965">
        <f t="shared" si="128"/>
        <v>0</v>
      </c>
      <c r="AH231" s="965">
        <f t="shared" si="128"/>
        <v>0</v>
      </c>
      <c r="AI231" s="965">
        <f t="shared" si="128"/>
        <v>0</v>
      </c>
      <c r="AJ231" s="965">
        <f t="shared" si="128"/>
        <v>0</v>
      </c>
      <c r="AK231" s="965">
        <f t="shared" si="128"/>
        <v>0</v>
      </c>
      <c r="AL231" s="965">
        <f t="shared" si="128"/>
        <v>0</v>
      </c>
      <c r="AM231" s="965">
        <f t="shared" si="128"/>
        <v>0</v>
      </c>
      <c r="AN231" s="965">
        <f t="shared" si="128"/>
        <v>0</v>
      </c>
      <c r="AO231" s="965">
        <f t="shared" si="128"/>
        <v>0</v>
      </c>
      <c r="AP231" s="965">
        <f t="shared" si="128"/>
        <v>0</v>
      </c>
      <c r="AQ231" s="965">
        <f t="shared" si="128"/>
        <v>0</v>
      </c>
      <c r="AR231" s="965">
        <f t="shared" si="128"/>
        <v>0</v>
      </c>
      <c r="AS231" s="965">
        <f t="shared" si="128"/>
        <v>0</v>
      </c>
      <c r="AT231" s="965">
        <f t="shared" si="128"/>
        <v>0</v>
      </c>
      <c r="AU231" s="166"/>
      <c r="AV231" s="166"/>
      <c r="AW231" s="166"/>
      <c r="AX231" s="166"/>
      <c r="AY231" s="166"/>
      <c r="AZ231" s="166"/>
      <c r="BA231" s="166"/>
      <c r="BB231" s="166"/>
      <c r="BC231" s="166"/>
      <c r="BD231" s="166"/>
      <c r="BE231" s="166"/>
      <c r="BF231" s="166"/>
      <c r="BG231" s="166"/>
      <c r="BH231" s="166"/>
      <c r="BI231" s="166"/>
      <c r="BJ231" s="166"/>
      <c r="BK231" s="166"/>
      <c r="BL231" s="166"/>
      <c r="BM231" s="166"/>
      <c r="BN231" s="166"/>
    </row>
    <row r="232" spans="2:66" x14ac:dyDescent="0.25">
      <c r="B232" s="831" t="str">
        <f t="shared" si="129"/>
        <v>Activos iniciales - Depreciacion 10 años</v>
      </c>
      <c r="C232" s="965">
        <f t="shared" si="128"/>
        <v>0</v>
      </c>
      <c r="D232" s="965">
        <f t="shared" si="128"/>
        <v>0</v>
      </c>
      <c r="E232" s="965">
        <f t="shared" si="128"/>
        <v>0</v>
      </c>
      <c r="F232" s="965">
        <f t="shared" si="128"/>
        <v>0</v>
      </c>
      <c r="G232" s="965">
        <f t="shared" si="128"/>
        <v>-590377.75688031956</v>
      </c>
      <c r="H232" s="965">
        <f t="shared" si="128"/>
        <v>-590377.75688031956</v>
      </c>
      <c r="I232" s="965">
        <f t="shared" si="128"/>
        <v>-590377.75688031956</v>
      </c>
      <c r="J232" s="965">
        <f t="shared" si="128"/>
        <v>-590377.75688031956</v>
      </c>
      <c r="K232" s="965">
        <f t="shared" si="128"/>
        <v>-590377.75688031956</v>
      </c>
      <c r="L232" s="965">
        <f t="shared" si="128"/>
        <v>-590377.75688031956</v>
      </c>
      <c r="M232" s="965">
        <f t="shared" si="128"/>
        <v>-590377.75688031956</v>
      </c>
      <c r="N232" s="965">
        <f t="shared" si="128"/>
        <v>-590377.75688031956</v>
      </c>
      <c r="O232" s="965">
        <f t="shared" si="128"/>
        <v>-590377.75688031956</v>
      </c>
      <c r="P232" s="965">
        <f t="shared" si="128"/>
        <v>-590377.75688031956</v>
      </c>
      <c r="Q232" s="965">
        <f t="shared" si="128"/>
        <v>0</v>
      </c>
      <c r="R232" s="965">
        <f t="shared" si="128"/>
        <v>0</v>
      </c>
      <c r="S232" s="965">
        <f t="shared" si="128"/>
        <v>0</v>
      </c>
      <c r="T232" s="965">
        <f t="shared" si="128"/>
        <v>0</v>
      </c>
      <c r="U232" s="965">
        <f t="shared" si="128"/>
        <v>0</v>
      </c>
      <c r="V232" s="965">
        <f t="shared" si="128"/>
        <v>0</v>
      </c>
      <c r="W232" s="965">
        <f t="shared" si="128"/>
        <v>0</v>
      </c>
      <c r="X232" s="965">
        <f t="shared" si="128"/>
        <v>0</v>
      </c>
      <c r="Y232" s="965">
        <f t="shared" si="128"/>
        <v>0</v>
      </c>
      <c r="Z232" s="965">
        <f t="shared" si="128"/>
        <v>0</v>
      </c>
      <c r="AA232" s="965">
        <f t="shared" si="128"/>
        <v>0</v>
      </c>
      <c r="AB232" s="965">
        <f t="shared" si="128"/>
        <v>0</v>
      </c>
      <c r="AC232" s="965">
        <f t="shared" si="128"/>
        <v>0</v>
      </c>
      <c r="AD232" s="965">
        <f t="shared" si="128"/>
        <v>0</v>
      </c>
      <c r="AE232" s="965">
        <f t="shared" si="128"/>
        <v>0</v>
      </c>
      <c r="AF232" s="965">
        <f t="shared" si="128"/>
        <v>0</v>
      </c>
      <c r="AG232" s="965">
        <f t="shared" si="128"/>
        <v>0</v>
      </c>
      <c r="AH232" s="965">
        <f t="shared" si="128"/>
        <v>0</v>
      </c>
      <c r="AI232" s="965">
        <f t="shared" si="128"/>
        <v>0</v>
      </c>
      <c r="AJ232" s="965">
        <f t="shared" si="128"/>
        <v>0</v>
      </c>
      <c r="AK232" s="965">
        <f t="shared" si="128"/>
        <v>0</v>
      </c>
      <c r="AL232" s="965">
        <f t="shared" si="128"/>
        <v>0</v>
      </c>
      <c r="AM232" s="965">
        <f t="shared" si="128"/>
        <v>0</v>
      </c>
      <c r="AN232" s="965">
        <f t="shared" si="128"/>
        <v>0</v>
      </c>
      <c r="AO232" s="965">
        <f t="shared" si="128"/>
        <v>0</v>
      </c>
      <c r="AP232" s="965">
        <f t="shared" si="128"/>
        <v>0</v>
      </c>
      <c r="AQ232" s="965">
        <f t="shared" si="128"/>
        <v>0</v>
      </c>
      <c r="AR232" s="965">
        <f t="shared" si="128"/>
        <v>0</v>
      </c>
      <c r="AS232" s="965">
        <f t="shared" si="128"/>
        <v>0</v>
      </c>
      <c r="AT232" s="965">
        <f t="shared" si="128"/>
        <v>0</v>
      </c>
      <c r="AU232" s="166"/>
      <c r="AV232" s="166"/>
      <c r="AW232" s="166"/>
      <c r="AX232" s="166"/>
      <c r="AY232" s="166"/>
      <c r="AZ232" s="166"/>
      <c r="BA232" s="166"/>
      <c r="BB232" s="166"/>
      <c r="BC232" s="166"/>
      <c r="BD232" s="166"/>
      <c r="BE232" s="166"/>
      <c r="BF232" s="166"/>
      <c r="BG232" s="166"/>
      <c r="BH232" s="166"/>
      <c r="BI232" s="166"/>
      <c r="BJ232" s="166"/>
      <c r="BK232" s="166"/>
      <c r="BL232" s="166"/>
      <c r="BM232" s="166"/>
      <c r="BN232" s="166"/>
    </row>
    <row r="233" spans="2:66" x14ac:dyDescent="0.25">
      <c r="B233" s="831" t="str">
        <f t="shared" si="129"/>
        <v>Activos iniciales - Depreciacion 5 años</v>
      </c>
      <c r="C233" s="965">
        <f t="shared" si="128"/>
        <v>0</v>
      </c>
      <c r="D233" s="965">
        <f t="shared" si="128"/>
        <v>0</v>
      </c>
      <c r="E233" s="965">
        <f t="shared" si="128"/>
        <v>0</v>
      </c>
      <c r="F233" s="965">
        <f t="shared" si="128"/>
        <v>0</v>
      </c>
      <c r="G233" s="965">
        <f t="shared" si="128"/>
        <v>-249751.95009344042</v>
      </c>
      <c r="H233" s="965">
        <f t="shared" si="128"/>
        <v>-249751.95009344042</v>
      </c>
      <c r="I233" s="965">
        <f t="shared" si="128"/>
        <v>-249751.95009344042</v>
      </c>
      <c r="J233" s="965">
        <f t="shared" si="128"/>
        <v>-249751.95009344042</v>
      </c>
      <c r="K233" s="965">
        <f t="shared" si="128"/>
        <v>-249751.95009344042</v>
      </c>
      <c r="L233" s="965">
        <f t="shared" si="128"/>
        <v>0</v>
      </c>
      <c r="M233" s="965">
        <f t="shared" si="128"/>
        <v>0</v>
      </c>
      <c r="N233" s="965">
        <f t="shared" si="128"/>
        <v>0</v>
      </c>
      <c r="O233" s="965">
        <f t="shared" si="128"/>
        <v>0</v>
      </c>
      <c r="P233" s="965">
        <f t="shared" si="128"/>
        <v>0</v>
      </c>
      <c r="Q233" s="965">
        <f t="shared" si="128"/>
        <v>0</v>
      </c>
      <c r="R233" s="965">
        <f t="shared" si="128"/>
        <v>0</v>
      </c>
      <c r="S233" s="965">
        <f t="shared" si="128"/>
        <v>0</v>
      </c>
      <c r="T233" s="965">
        <f t="shared" si="128"/>
        <v>0</v>
      </c>
      <c r="U233" s="965">
        <f t="shared" si="128"/>
        <v>0</v>
      </c>
      <c r="V233" s="965">
        <f t="shared" si="128"/>
        <v>0</v>
      </c>
      <c r="W233" s="965">
        <f t="shared" si="128"/>
        <v>0</v>
      </c>
      <c r="X233" s="965">
        <f t="shared" si="128"/>
        <v>0</v>
      </c>
      <c r="Y233" s="965">
        <f t="shared" si="128"/>
        <v>0</v>
      </c>
      <c r="Z233" s="965">
        <f t="shared" si="128"/>
        <v>0</v>
      </c>
      <c r="AA233" s="965">
        <f t="shared" si="128"/>
        <v>0</v>
      </c>
      <c r="AB233" s="965">
        <f t="shared" si="128"/>
        <v>0</v>
      </c>
      <c r="AC233" s="965">
        <f t="shared" si="128"/>
        <v>0</v>
      </c>
      <c r="AD233" s="965">
        <f t="shared" si="128"/>
        <v>0</v>
      </c>
      <c r="AE233" s="965">
        <f t="shared" si="128"/>
        <v>0</v>
      </c>
      <c r="AF233" s="965">
        <f t="shared" si="128"/>
        <v>0</v>
      </c>
      <c r="AG233" s="965">
        <f t="shared" si="128"/>
        <v>0</v>
      </c>
      <c r="AH233" s="965">
        <f t="shared" si="128"/>
        <v>0</v>
      </c>
      <c r="AI233" s="965">
        <f t="shared" si="128"/>
        <v>0</v>
      </c>
      <c r="AJ233" s="965">
        <f t="shared" si="128"/>
        <v>0</v>
      </c>
      <c r="AK233" s="965">
        <f t="shared" si="128"/>
        <v>0</v>
      </c>
      <c r="AL233" s="965">
        <f t="shared" si="128"/>
        <v>0</v>
      </c>
      <c r="AM233" s="965">
        <f t="shared" si="128"/>
        <v>0</v>
      </c>
      <c r="AN233" s="965">
        <f t="shared" si="128"/>
        <v>0</v>
      </c>
      <c r="AO233" s="965">
        <f t="shared" si="128"/>
        <v>0</v>
      </c>
      <c r="AP233" s="965">
        <f t="shared" si="128"/>
        <v>0</v>
      </c>
      <c r="AQ233" s="965">
        <f t="shared" si="128"/>
        <v>0</v>
      </c>
      <c r="AR233" s="965">
        <f t="shared" si="128"/>
        <v>0</v>
      </c>
      <c r="AS233" s="965">
        <f t="shared" si="128"/>
        <v>0</v>
      </c>
      <c r="AT233" s="965">
        <f t="shared" si="128"/>
        <v>0</v>
      </c>
      <c r="AU233" s="166"/>
      <c r="AV233" s="166"/>
      <c r="AW233" s="166"/>
      <c r="AX233" s="166"/>
      <c r="AY233" s="166"/>
      <c r="AZ233" s="166"/>
      <c r="BA233" s="166"/>
      <c r="BB233" s="166"/>
      <c r="BC233" s="166"/>
      <c r="BD233" s="166"/>
      <c r="BE233" s="166"/>
      <c r="BF233" s="166"/>
      <c r="BG233" s="166"/>
      <c r="BH233" s="166"/>
      <c r="BI233" s="166"/>
      <c r="BJ233" s="166"/>
      <c r="BK233" s="166"/>
      <c r="BL233" s="166"/>
      <c r="BM233" s="166"/>
      <c r="BN233" s="166"/>
    </row>
    <row r="234" spans="2:66" x14ac:dyDescent="0.25">
      <c r="B234" s="831" t="str">
        <f t="shared" si="129"/>
        <v>Activos iniciales - Valor residual</v>
      </c>
      <c r="C234" s="965">
        <f t="shared" si="128"/>
        <v>0</v>
      </c>
      <c r="D234" s="965">
        <f t="shared" si="128"/>
        <v>0</v>
      </c>
      <c r="E234" s="965">
        <f t="shared" si="128"/>
        <v>0</v>
      </c>
      <c r="F234" s="965">
        <f t="shared" si="128"/>
        <v>0</v>
      </c>
      <c r="G234" s="965">
        <f t="shared" si="128"/>
        <v>151074474.56595954</v>
      </c>
      <c r="H234" s="965">
        <f t="shared" si="128"/>
        <v>146598155.94857979</v>
      </c>
      <c r="I234" s="965">
        <f t="shared" si="128"/>
        <v>142121837.33120003</v>
      </c>
      <c r="J234" s="965">
        <f t="shared" si="128"/>
        <v>137645518.71382028</v>
      </c>
      <c r="K234" s="965">
        <f t="shared" si="128"/>
        <v>133169200.09644052</v>
      </c>
      <c r="L234" s="965">
        <f t="shared" si="128"/>
        <v>128942633.42915422</v>
      </c>
      <c r="M234" s="965">
        <f t="shared" si="128"/>
        <v>124716066.76186791</v>
      </c>
      <c r="N234" s="965">
        <f t="shared" si="128"/>
        <v>120489500.0945816</v>
      </c>
      <c r="O234" s="965">
        <f t="shared" si="128"/>
        <v>116262933.4272953</v>
      </c>
      <c r="P234" s="965">
        <f t="shared" si="128"/>
        <v>112036366.76000899</v>
      </c>
      <c r="Q234" s="965">
        <f t="shared" si="128"/>
        <v>108400177.849603</v>
      </c>
      <c r="R234" s="965">
        <f t="shared" si="128"/>
        <v>104763988.939197</v>
      </c>
      <c r="S234" s="965">
        <f t="shared" si="128"/>
        <v>101127800.02879101</v>
      </c>
      <c r="T234" s="965">
        <f t="shared" si="128"/>
        <v>97491611.118385017</v>
      </c>
      <c r="U234" s="965">
        <f t="shared" si="128"/>
        <v>93855422.207979023</v>
      </c>
      <c r="V234" s="965">
        <f t="shared" si="128"/>
        <v>91253194.126164824</v>
      </c>
      <c r="W234" s="965">
        <f t="shared" si="128"/>
        <v>88650966.044350624</v>
      </c>
      <c r="X234" s="965">
        <f t="shared" si="128"/>
        <v>86048737.962536424</v>
      </c>
      <c r="Y234" s="965">
        <f t="shared" si="128"/>
        <v>83446509.880722225</v>
      </c>
      <c r="Z234" s="965">
        <f t="shared" si="128"/>
        <v>80844281.798908025</v>
      </c>
      <c r="AA234" s="965">
        <f t="shared" si="128"/>
        <v>78242053.717093825</v>
      </c>
      <c r="AB234" s="965">
        <f t="shared" si="128"/>
        <v>75639825.635279626</v>
      </c>
      <c r="AC234" s="965">
        <f t="shared" si="128"/>
        <v>73037597.553465426</v>
      </c>
      <c r="AD234" s="965">
        <f t="shared" si="128"/>
        <v>70435369.471651226</v>
      </c>
      <c r="AE234" s="965">
        <f t="shared" si="128"/>
        <v>67833141.389837027</v>
      </c>
      <c r="AF234" s="965">
        <f t="shared" si="128"/>
        <v>65230913.308022827</v>
      </c>
      <c r="AG234" s="965">
        <f t="shared" si="128"/>
        <v>62628685.226208627</v>
      </c>
      <c r="AH234" s="965">
        <f t="shared" si="128"/>
        <v>60026457.144394428</v>
      </c>
      <c r="AI234" s="965">
        <f t="shared" si="128"/>
        <v>57424229.062580228</v>
      </c>
      <c r="AJ234" s="965">
        <f t="shared" si="128"/>
        <v>54822000.980766028</v>
      </c>
      <c r="AK234" s="965">
        <f t="shared" si="128"/>
        <v>52219772.898951828</v>
      </c>
      <c r="AL234" s="965">
        <f t="shared" si="128"/>
        <v>49617544.817137629</v>
      </c>
      <c r="AM234" s="965">
        <f t="shared" si="128"/>
        <v>47015316.735323429</v>
      </c>
      <c r="AN234" s="965">
        <f t="shared" si="128"/>
        <v>44413088.653509229</v>
      </c>
      <c r="AO234" s="965">
        <f t="shared" si="128"/>
        <v>41810860.57169503</v>
      </c>
      <c r="AP234" s="965">
        <f t="shared" si="128"/>
        <v>39208632.48988083</v>
      </c>
      <c r="AQ234" s="965">
        <f t="shared" si="128"/>
        <v>36606404.40806663</v>
      </c>
      <c r="AR234" s="965">
        <f t="shared" si="128"/>
        <v>34004176.326252431</v>
      </c>
      <c r="AS234" s="965">
        <f t="shared" si="128"/>
        <v>31401948.244438235</v>
      </c>
      <c r="AT234" s="965">
        <f t="shared" si="128"/>
        <v>28799720.162624039</v>
      </c>
      <c r="AU234" s="166"/>
      <c r="AV234" s="166"/>
      <c r="AW234" s="166"/>
      <c r="AX234" s="166"/>
      <c r="AY234" s="166"/>
      <c r="AZ234" s="166"/>
      <c r="BA234" s="166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66"/>
      <c r="BN234" s="166"/>
    </row>
    <row r="235" spans="2:66" x14ac:dyDescent="0.25">
      <c r="B235" s="831" t="str">
        <f t="shared" si="129"/>
        <v>Activos nuevos 1 - Depreciacion 10 años</v>
      </c>
      <c r="C235" s="965">
        <f t="shared" si="128"/>
        <v>0</v>
      </c>
      <c r="D235" s="965">
        <f t="shared" si="128"/>
        <v>0</v>
      </c>
      <c r="E235" s="965">
        <f t="shared" si="128"/>
        <v>0</v>
      </c>
      <c r="F235" s="965">
        <f t="shared" si="128"/>
        <v>0</v>
      </c>
      <c r="G235" s="965">
        <f t="shared" si="128"/>
        <v>0</v>
      </c>
      <c r="H235" s="965">
        <f t="shared" si="128"/>
        <v>0</v>
      </c>
      <c r="I235" s="965">
        <f t="shared" ref="C235:AT240" si="130">I83</f>
        <v>0</v>
      </c>
      <c r="J235" s="965">
        <f t="shared" si="130"/>
        <v>0</v>
      </c>
      <c r="K235" s="965">
        <f t="shared" si="130"/>
        <v>0</v>
      </c>
      <c r="L235" s="965">
        <f t="shared" si="130"/>
        <v>0</v>
      </c>
      <c r="M235" s="965">
        <f t="shared" si="130"/>
        <v>0</v>
      </c>
      <c r="N235" s="965">
        <f t="shared" si="130"/>
        <v>0</v>
      </c>
      <c r="O235" s="965">
        <f t="shared" si="130"/>
        <v>0</v>
      </c>
      <c r="P235" s="965">
        <f t="shared" si="130"/>
        <v>0</v>
      </c>
      <c r="Q235" s="965">
        <f t="shared" si="130"/>
        <v>0</v>
      </c>
      <c r="R235" s="965">
        <f t="shared" si="130"/>
        <v>-728389.33338023908</v>
      </c>
      <c r="S235" s="965">
        <f t="shared" si="130"/>
        <v>-728389.33338023908</v>
      </c>
      <c r="T235" s="965">
        <f t="shared" si="130"/>
        <v>-728389.33338023908</v>
      </c>
      <c r="U235" s="965">
        <f t="shared" si="130"/>
        <v>-728389.33338023908</v>
      </c>
      <c r="V235" s="965">
        <f t="shared" si="130"/>
        <v>-728389.33338023908</v>
      </c>
      <c r="W235" s="965">
        <f t="shared" si="130"/>
        <v>-728389.33338023908</v>
      </c>
      <c r="X235" s="965">
        <f t="shared" si="130"/>
        <v>-728389.33338023908</v>
      </c>
      <c r="Y235" s="965">
        <f t="shared" si="130"/>
        <v>-728389.33338023908</v>
      </c>
      <c r="Z235" s="965">
        <f t="shared" si="130"/>
        <v>-728389.33338023908</v>
      </c>
      <c r="AA235" s="965">
        <f t="shared" si="130"/>
        <v>-728389.33338023908</v>
      </c>
      <c r="AB235" s="965">
        <f t="shared" si="130"/>
        <v>-728389.33338023908</v>
      </c>
      <c r="AC235" s="965">
        <f t="shared" si="130"/>
        <v>0</v>
      </c>
      <c r="AD235" s="965">
        <f t="shared" si="130"/>
        <v>0</v>
      </c>
      <c r="AE235" s="965">
        <f t="shared" si="130"/>
        <v>0</v>
      </c>
      <c r="AF235" s="965">
        <f t="shared" si="130"/>
        <v>0</v>
      </c>
      <c r="AG235" s="965">
        <f t="shared" si="130"/>
        <v>0</v>
      </c>
      <c r="AH235" s="965">
        <f t="shared" si="130"/>
        <v>0</v>
      </c>
      <c r="AI235" s="965">
        <f t="shared" si="130"/>
        <v>0</v>
      </c>
      <c r="AJ235" s="965">
        <f t="shared" si="130"/>
        <v>0</v>
      </c>
      <c r="AK235" s="965">
        <f t="shared" si="130"/>
        <v>0</v>
      </c>
      <c r="AL235" s="965">
        <f t="shared" si="130"/>
        <v>0</v>
      </c>
      <c r="AM235" s="965">
        <f t="shared" si="130"/>
        <v>0</v>
      </c>
      <c r="AN235" s="965">
        <f t="shared" si="130"/>
        <v>0</v>
      </c>
      <c r="AO235" s="965">
        <f t="shared" si="130"/>
        <v>0</v>
      </c>
      <c r="AP235" s="965">
        <f t="shared" si="130"/>
        <v>0</v>
      </c>
      <c r="AQ235" s="965">
        <f t="shared" si="130"/>
        <v>0</v>
      </c>
      <c r="AR235" s="965">
        <f t="shared" si="130"/>
        <v>0</v>
      </c>
      <c r="AS235" s="965">
        <f t="shared" si="130"/>
        <v>0</v>
      </c>
      <c r="AT235" s="965">
        <f t="shared" si="130"/>
        <v>0</v>
      </c>
      <c r="AU235" s="166"/>
      <c r="AV235" s="166"/>
      <c r="AW235" s="166"/>
      <c r="AX235" s="166"/>
      <c r="AY235" s="166"/>
      <c r="AZ235" s="166"/>
      <c r="BA235" s="166"/>
      <c r="BB235" s="166"/>
      <c r="BC235" s="166"/>
      <c r="BD235" s="166"/>
      <c r="BE235" s="166"/>
      <c r="BF235" s="166"/>
      <c r="BG235" s="166"/>
      <c r="BH235" s="166"/>
      <c r="BI235" s="166"/>
      <c r="BJ235" s="166"/>
      <c r="BK235" s="166"/>
      <c r="BL235" s="166"/>
      <c r="BM235" s="166"/>
      <c r="BN235" s="166"/>
    </row>
    <row r="236" spans="2:66" x14ac:dyDescent="0.25">
      <c r="B236" s="831" t="str">
        <f t="shared" si="129"/>
        <v>Activos nuevos 1 - Valor residual</v>
      </c>
      <c r="C236" s="965">
        <f t="shared" si="130"/>
        <v>0</v>
      </c>
      <c r="D236" s="965">
        <f t="shared" si="130"/>
        <v>0</v>
      </c>
      <c r="E236" s="965">
        <f t="shared" si="130"/>
        <v>0</v>
      </c>
      <c r="F236" s="965">
        <f t="shared" si="130"/>
        <v>0</v>
      </c>
      <c r="G236" s="965">
        <f t="shared" si="130"/>
        <v>0</v>
      </c>
      <c r="H236" s="965">
        <f t="shared" si="130"/>
        <v>0</v>
      </c>
      <c r="I236" s="965">
        <f t="shared" si="130"/>
        <v>0</v>
      </c>
      <c r="J236" s="965">
        <f t="shared" si="130"/>
        <v>0</v>
      </c>
      <c r="K236" s="965">
        <f t="shared" si="130"/>
        <v>0</v>
      </c>
      <c r="L236" s="965">
        <f t="shared" si="130"/>
        <v>0</v>
      </c>
      <c r="M236" s="965">
        <f t="shared" si="130"/>
        <v>0</v>
      </c>
      <c r="N236" s="965">
        <f t="shared" si="130"/>
        <v>0</v>
      </c>
      <c r="O236" s="965">
        <f t="shared" si="130"/>
        <v>0</v>
      </c>
      <c r="P236" s="965">
        <f t="shared" si="130"/>
        <v>0</v>
      </c>
      <c r="Q236" s="965">
        <f t="shared" si="130"/>
        <v>0</v>
      </c>
      <c r="R236" s="965">
        <f t="shared" si="130"/>
        <v>7283893.3338023908</v>
      </c>
      <c r="S236" s="965">
        <f t="shared" si="130"/>
        <v>6555504.0004221518</v>
      </c>
      <c r="T236" s="965">
        <f t="shared" si="130"/>
        <v>5827114.6670419127</v>
      </c>
      <c r="U236" s="965">
        <f t="shared" si="130"/>
        <v>5098725.3336616736</v>
      </c>
      <c r="V236" s="965">
        <f t="shared" si="130"/>
        <v>4370336.0002814345</v>
      </c>
      <c r="W236" s="965">
        <f t="shared" si="130"/>
        <v>3641946.6669011954</v>
      </c>
      <c r="X236" s="965">
        <f t="shared" si="130"/>
        <v>2913557.3335209563</v>
      </c>
      <c r="Y236" s="965">
        <f t="shared" si="130"/>
        <v>2185168.0001407173</v>
      </c>
      <c r="Z236" s="965">
        <f t="shared" si="130"/>
        <v>1456778.6667604782</v>
      </c>
      <c r="AA236" s="965">
        <f t="shared" si="130"/>
        <v>728389.33338023908</v>
      </c>
      <c r="AB236" s="965">
        <f t="shared" si="130"/>
        <v>0</v>
      </c>
      <c r="AC236" s="965">
        <f t="shared" si="130"/>
        <v>0</v>
      </c>
      <c r="AD236" s="965">
        <f t="shared" si="130"/>
        <v>0</v>
      </c>
      <c r="AE236" s="965">
        <f t="shared" si="130"/>
        <v>0</v>
      </c>
      <c r="AF236" s="965">
        <f t="shared" si="130"/>
        <v>0</v>
      </c>
      <c r="AG236" s="965">
        <f t="shared" si="130"/>
        <v>0</v>
      </c>
      <c r="AH236" s="965">
        <f t="shared" si="130"/>
        <v>0</v>
      </c>
      <c r="AI236" s="965">
        <f t="shared" si="130"/>
        <v>0</v>
      </c>
      <c r="AJ236" s="965">
        <f t="shared" si="130"/>
        <v>0</v>
      </c>
      <c r="AK236" s="965">
        <f t="shared" si="130"/>
        <v>0</v>
      </c>
      <c r="AL236" s="965">
        <f t="shared" si="130"/>
        <v>0</v>
      </c>
      <c r="AM236" s="965">
        <f t="shared" si="130"/>
        <v>0</v>
      </c>
      <c r="AN236" s="965">
        <f t="shared" si="130"/>
        <v>0</v>
      </c>
      <c r="AO236" s="965">
        <f t="shared" si="130"/>
        <v>0</v>
      </c>
      <c r="AP236" s="965">
        <f t="shared" si="130"/>
        <v>0</v>
      </c>
      <c r="AQ236" s="965">
        <f t="shared" si="130"/>
        <v>0</v>
      </c>
      <c r="AR236" s="965">
        <f t="shared" si="130"/>
        <v>0</v>
      </c>
      <c r="AS236" s="965">
        <f t="shared" si="130"/>
        <v>0</v>
      </c>
      <c r="AT236" s="965">
        <f t="shared" si="130"/>
        <v>0</v>
      </c>
      <c r="AU236" s="166"/>
      <c r="AV236" s="166"/>
      <c r="AW236" s="166"/>
      <c r="AX236" s="166"/>
      <c r="AY236" s="166"/>
      <c r="AZ236" s="166"/>
      <c r="BA236" s="166"/>
      <c r="BB236" s="166"/>
      <c r="BC236" s="166"/>
      <c r="BD236" s="166"/>
      <c r="BE236" s="166"/>
      <c r="BF236" s="166"/>
      <c r="BG236" s="166"/>
      <c r="BH236" s="166"/>
      <c r="BI236" s="166"/>
      <c r="BJ236" s="166"/>
      <c r="BK236" s="166"/>
      <c r="BL236" s="166"/>
      <c r="BM236" s="166"/>
      <c r="BN236" s="166"/>
    </row>
    <row r="237" spans="2:66" x14ac:dyDescent="0.25">
      <c r="B237" s="831" t="str">
        <f t="shared" si="129"/>
        <v>Activos nuevos 2 - Depreciacion 15 años</v>
      </c>
      <c r="C237" s="965">
        <f t="shared" si="130"/>
        <v>0</v>
      </c>
      <c r="D237" s="965">
        <f t="shared" si="130"/>
        <v>0</v>
      </c>
      <c r="E237" s="965">
        <f t="shared" si="130"/>
        <v>0</v>
      </c>
      <c r="F237" s="965">
        <f t="shared" si="130"/>
        <v>0</v>
      </c>
      <c r="G237" s="965">
        <f t="shared" si="130"/>
        <v>0</v>
      </c>
      <c r="H237" s="965">
        <f t="shared" si="130"/>
        <v>0</v>
      </c>
      <c r="I237" s="965">
        <f t="shared" si="130"/>
        <v>0</v>
      </c>
      <c r="J237" s="965">
        <f t="shared" si="130"/>
        <v>0</v>
      </c>
      <c r="K237" s="965">
        <f t="shared" si="130"/>
        <v>0</v>
      </c>
      <c r="L237" s="965">
        <f t="shared" si="130"/>
        <v>0</v>
      </c>
      <c r="M237" s="965">
        <f t="shared" si="130"/>
        <v>0</v>
      </c>
      <c r="N237" s="965">
        <f t="shared" si="130"/>
        <v>0</v>
      </c>
      <c r="O237" s="965">
        <f t="shared" si="130"/>
        <v>0</v>
      </c>
      <c r="P237" s="965">
        <f t="shared" si="130"/>
        <v>0</v>
      </c>
      <c r="Q237" s="965">
        <f t="shared" si="130"/>
        <v>0</v>
      </c>
      <c r="R237" s="965">
        <f t="shared" si="130"/>
        <v>0</v>
      </c>
      <c r="S237" s="965">
        <f t="shared" si="130"/>
        <v>0</v>
      </c>
      <c r="T237" s="965">
        <f t="shared" si="130"/>
        <v>0</v>
      </c>
      <c r="U237" s="965">
        <f t="shared" si="130"/>
        <v>0</v>
      </c>
      <c r="V237" s="965">
        <f t="shared" si="130"/>
        <v>0</v>
      </c>
      <c r="W237" s="965">
        <f t="shared" si="130"/>
        <v>0</v>
      </c>
      <c r="X237" s="965">
        <f t="shared" si="130"/>
        <v>-1453440.5611895286</v>
      </c>
      <c r="Y237" s="965">
        <f t="shared" si="130"/>
        <v>-1453440.5611895286</v>
      </c>
      <c r="Z237" s="965">
        <f t="shared" si="130"/>
        <v>-1453440.5611895286</v>
      </c>
      <c r="AA237" s="965">
        <f t="shared" si="130"/>
        <v>-1453440.5611895286</v>
      </c>
      <c r="AB237" s="965">
        <f t="shared" si="130"/>
        <v>-1453440.5611895286</v>
      </c>
      <c r="AC237" s="965">
        <f t="shared" si="130"/>
        <v>-1453440.5611895286</v>
      </c>
      <c r="AD237" s="965">
        <f t="shared" si="130"/>
        <v>-1453440.5611895286</v>
      </c>
      <c r="AE237" s="965">
        <f t="shared" si="130"/>
        <v>-1453440.5611895286</v>
      </c>
      <c r="AF237" s="965">
        <f t="shared" si="130"/>
        <v>-1453440.5611895286</v>
      </c>
      <c r="AG237" s="965">
        <f t="shared" si="130"/>
        <v>-1453440.5611895286</v>
      </c>
      <c r="AH237" s="965">
        <f t="shared" si="130"/>
        <v>-1453440.5611895286</v>
      </c>
      <c r="AI237" s="965">
        <f t="shared" si="130"/>
        <v>-1453440.5611895286</v>
      </c>
      <c r="AJ237" s="965">
        <f t="shared" si="130"/>
        <v>-1453440.5611895286</v>
      </c>
      <c r="AK237" s="965">
        <f t="shared" si="130"/>
        <v>-1453440.5611895286</v>
      </c>
      <c r="AL237" s="965">
        <f t="shared" si="130"/>
        <v>-1453440.5611895286</v>
      </c>
      <c r="AM237" s="965">
        <f t="shared" si="130"/>
        <v>0</v>
      </c>
      <c r="AN237" s="965">
        <f t="shared" si="130"/>
        <v>0</v>
      </c>
      <c r="AO237" s="965">
        <f t="shared" si="130"/>
        <v>0</v>
      </c>
      <c r="AP237" s="965">
        <f t="shared" si="130"/>
        <v>0</v>
      </c>
      <c r="AQ237" s="965">
        <f t="shared" si="130"/>
        <v>0</v>
      </c>
      <c r="AR237" s="965">
        <f t="shared" si="130"/>
        <v>0</v>
      </c>
      <c r="AS237" s="965">
        <f t="shared" si="130"/>
        <v>0</v>
      </c>
      <c r="AT237" s="965">
        <f t="shared" si="130"/>
        <v>0</v>
      </c>
      <c r="AU237" s="166"/>
      <c r="AV237" s="166"/>
      <c r="AW237" s="166"/>
      <c r="AX237" s="166"/>
      <c r="AY237" s="166"/>
      <c r="AZ237" s="166"/>
      <c r="BA237" s="166"/>
      <c r="BB237" s="166"/>
      <c r="BC237" s="166"/>
      <c r="BD237" s="166"/>
      <c r="BE237" s="166"/>
      <c r="BF237" s="166"/>
      <c r="BG237" s="166"/>
      <c r="BH237" s="166"/>
      <c r="BI237" s="166"/>
      <c r="BJ237" s="166"/>
      <c r="BK237" s="166"/>
      <c r="BL237" s="166"/>
      <c r="BM237" s="166"/>
      <c r="BN237" s="166"/>
    </row>
    <row r="238" spans="2:66" x14ac:dyDescent="0.25">
      <c r="B238" s="831" t="str">
        <f t="shared" si="129"/>
        <v>Activos nuevos 2 - Valor residual</v>
      </c>
      <c r="C238" s="965">
        <f t="shared" si="130"/>
        <v>0</v>
      </c>
      <c r="D238" s="965">
        <f t="shared" si="130"/>
        <v>0</v>
      </c>
      <c r="E238" s="965">
        <f t="shared" si="130"/>
        <v>0</v>
      </c>
      <c r="F238" s="965">
        <f t="shared" si="130"/>
        <v>0</v>
      </c>
      <c r="G238" s="965">
        <f t="shared" si="130"/>
        <v>0</v>
      </c>
      <c r="H238" s="965">
        <f t="shared" si="130"/>
        <v>0</v>
      </c>
      <c r="I238" s="965">
        <f t="shared" si="130"/>
        <v>0</v>
      </c>
      <c r="J238" s="965">
        <f t="shared" si="130"/>
        <v>0</v>
      </c>
      <c r="K238" s="965">
        <f t="shared" si="130"/>
        <v>0</v>
      </c>
      <c r="L238" s="965">
        <f t="shared" si="130"/>
        <v>0</v>
      </c>
      <c r="M238" s="965">
        <f t="shared" si="130"/>
        <v>0</v>
      </c>
      <c r="N238" s="965">
        <f t="shared" si="130"/>
        <v>0</v>
      </c>
      <c r="O238" s="965">
        <f t="shared" si="130"/>
        <v>0</v>
      </c>
      <c r="P238" s="965">
        <f t="shared" si="130"/>
        <v>0</v>
      </c>
      <c r="Q238" s="965">
        <f t="shared" si="130"/>
        <v>0</v>
      </c>
      <c r="R238" s="965">
        <f t="shared" si="130"/>
        <v>0</v>
      </c>
      <c r="S238" s="965">
        <f t="shared" si="130"/>
        <v>0</v>
      </c>
      <c r="T238" s="965">
        <f t="shared" si="130"/>
        <v>0</v>
      </c>
      <c r="U238" s="965">
        <f t="shared" si="130"/>
        <v>0</v>
      </c>
      <c r="V238" s="965">
        <f t="shared" si="130"/>
        <v>0</v>
      </c>
      <c r="W238" s="965">
        <f t="shared" si="130"/>
        <v>0</v>
      </c>
      <c r="X238" s="965">
        <f t="shared" si="130"/>
        <v>20348167.8566534</v>
      </c>
      <c r="Y238" s="965">
        <f t="shared" si="130"/>
        <v>18894727.295463871</v>
      </c>
      <c r="Z238" s="965">
        <f t="shared" si="130"/>
        <v>17441286.734274343</v>
      </c>
      <c r="AA238" s="965">
        <f t="shared" si="130"/>
        <v>15987846.173084814</v>
      </c>
      <c r="AB238" s="965">
        <f t="shared" si="130"/>
        <v>14534405.611895286</v>
      </c>
      <c r="AC238" s="965">
        <f t="shared" si="130"/>
        <v>13080965.050705757</v>
      </c>
      <c r="AD238" s="965">
        <f t="shared" si="130"/>
        <v>11627524.489516228</v>
      </c>
      <c r="AE238" s="965">
        <f t="shared" si="130"/>
        <v>10174083.9283267</v>
      </c>
      <c r="AF238" s="965">
        <f t="shared" si="130"/>
        <v>8720643.3671371713</v>
      </c>
      <c r="AG238" s="965">
        <f t="shared" si="130"/>
        <v>7267202.8059476428</v>
      </c>
      <c r="AH238" s="965">
        <f t="shared" si="130"/>
        <v>5813762.2447581142</v>
      </c>
      <c r="AI238" s="965">
        <f t="shared" si="130"/>
        <v>4360321.6835685857</v>
      </c>
      <c r="AJ238" s="965">
        <f t="shared" si="130"/>
        <v>2906881.1223790571</v>
      </c>
      <c r="AK238" s="965">
        <f t="shared" si="130"/>
        <v>1453440.5611895286</v>
      </c>
      <c r="AL238" s="965">
        <f t="shared" si="130"/>
        <v>0</v>
      </c>
      <c r="AM238" s="965">
        <f t="shared" si="130"/>
        <v>0</v>
      </c>
      <c r="AN238" s="965">
        <f t="shared" si="130"/>
        <v>0</v>
      </c>
      <c r="AO238" s="965">
        <f t="shared" si="130"/>
        <v>0</v>
      </c>
      <c r="AP238" s="965">
        <f t="shared" si="130"/>
        <v>0</v>
      </c>
      <c r="AQ238" s="965">
        <f t="shared" si="130"/>
        <v>0</v>
      </c>
      <c r="AR238" s="965">
        <f t="shared" si="130"/>
        <v>0</v>
      </c>
      <c r="AS238" s="965">
        <f t="shared" si="130"/>
        <v>0</v>
      </c>
      <c r="AT238" s="965">
        <f t="shared" si="130"/>
        <v>0</v>
      </c>
      <c r="AU238" s="166"/>
      <c r="AV238" s="166"/>
      <c r="AW238" s="166"/>
      <c r="AX238" s="166"/>
      <c r="AY238" s="166"/>
      <c r="AZ238" s="166"/>
      <c r="BA238" s="166"/>
      <c r="BB238" s="166"/>
      <c r="BC238" s="166"/>
      <c r="BD238" s="166"/>
      <c r="BE238" s="166"/>
      <c r="BF238" s="166"/>
      <c r="BG238" s="166"/>
      <c r="BH238" s="166"/>
      <c r="BI238" s="166"/>
      <c r="BJ238" s="166"/>
      <c r="BK238" s="166"/>
      <c r="BL238" s="166"/>
      <c r="BM238" s="166"/>
      <c r="BN238" s="166"/>
    </row>
    <row r="239" spans="2:66" x14ac:dyDescent="0.25">
      <c r="B239" s="831" t="str">
        <f t="shared" si="129"/>
        <v>Activos nuevos 3 - Depreciacion 10 años</v>
      </c>
      <c r="C239" s="965">
        <f t="shared" si="130"/>
        <v>0</v>
      </c>
      <c r="D239" s="965">
        <f t="shared" si="130"/>
        <v>0</v>
      </c>
      <c r="E239" s="965">
        <f t="shared" si="130"/>
        <v>0</v>
      </c>
      <c r="F239" s="965">
        <f t="shared" si="130"/>
        <v>0</v>
      </c>
      <c r="G239" s="965">
        <f t="shared" si="130"/>
        <v>0</v>
      </c>
      <c r="H239" s="965">
        <f t="shared" si="130"/>
        <v>0</v>
      </c>
      <c r="I239" s="965">
        <f t="shared" si="130"/>
        <v>0</v>
      </c>
      <c r="J239" s="965">
        <f t="shared" si="130"/>
        <v>0</v>
      </c>
      <c r="K239" s="965">
        <f t="shared" si="130"/>
        <v>0</v>
      </c>
      <c r="L239" s="965">
        <f t="shared" si="130"/>
        <v>0</v>
      </c>
      <c r="M239" s="965">
        <f t="shared" si="130"/>
        <v>0</v>
      </c>
      <c r="N239" s="965">
        <f t="shared" si="130"/>
        <v>0</v>
      </c>
      <c r="O239" s="965">
        <f t="shared" si="130"/>
        <v>0</v>
      </c>
      <c r="P239" s="965">
        <f t="shared" si="130"/>
        <v>0</v>
      </c>
      <c r="Q239" s="965">
        <f t="shared" si="130"/>
        <v>0</v>
      </c>
      <c r="R239" s="965">
        <f t="shared" si="130"/>
        <v>0</v>
      </c>
      <c r="S239" s="965">
        <f t="shared" si="130"/>
        <v>0</v>
      </c>
      <c r="T239" s="965">
        <f t="shared" si="130"/>
        <v>0</v>
      </c>
      <c r="U239" s="965">
        <f t="shared" si="130"/>
        <v>0</v>
      </c>
      <c r="V239" s="965">
        <f t="shared" si="130"/>
        <v>0</v>
      </c>
      <c r="W239" s="965">
        <f t="shared" si="130"/>
        <v>0</v>
      </c>
      <c r="X239" s="965">
        <f t="shared" si="130"/>
        <v>0</v>
      </c>
      <c r="Y239" s="965">
        <f t="shared" si="130"/>
        <v>0</v>
      </c>
      <c r="Z239" s="965">
        <f t="shared" si="130"/>
        <v>0</v>
      </c>
      <c r="AA239" s="965">
        <f t="shared" si="130"/>
        <v>0</v>
      </c>
      <c r="AB239" s="965">
        <f t="shared" si="130"/>
        <v>0</v>
      </c>
      <c r="AC239" s="965">
        <f t="shared" si="130"/>
        <v>-903839.85404605814</v>
      </c>
      <c r="AD239" s="965">
        <f t="shared" si="130"/>
        <v>-903839.85404605814</v>
      </c>
      <c r="AE239" s="965">
        <f t="shared" si="130"/>
        <v>-903839.85404605814</v>
      </c>
      <c r="AF239" s="965">
        <f t="shared" si="130"/>
        <v>-903839.85404605814</v>
      </c>
      <c r="AG239" s="965">
        <f t="shared" si="130"/>
        <v>-903839.85404605814</v>
      </c>
      <c r="AH239" s="965">
        <f t="shared" si="130"/>
        <v>-903839.85404605814</v>
      </c>
      <c r="AI239" s="965">
        <f t="shared" si="130"/>
        <v>-903839.85404605814</v>
      </c>
      <c r="AJ239" s="965">
        <f t="shared" si="130"/>
        <v>-903839.85404605814</v>
      </c>
      <c r="AK239" s="965">
        <f t="shared" si="130"/>
        <v>-903839.85404605814</v>
      </c>
      <c r="AL239" s="965">
        <f t="shared" si="130"/>
        <v>-903839.85404605814</v>
      </c>
      <c r="AM239" s="965">
        <f t="shared" si="130"/>
        <v>-903839.85404605814</v>
      </c>
      <c r="AN239" s="965">
        <f t="shared" si="130"/>
        <v>0</v>
      </c>
      <c r="AO239" s="965">
        <f t="shared" si="130"/>
        <v>0</v>
      </c>
      <c r="AP239" s="965">
        <f t="shared" si="130"/>
        <v>0</v>
      </c>
      <c r="AQ239" s="965">
        <f t="shared" si="130"/>
        <v>0</v>
      </c>
      <c r="AR239" s="965">
        <f t="shared" si="130"/>
        <v>0</v>
      </c>
      <c r="AS239" s="965">
        <f t="shared" si="130"/>
        <v>0</v>
      </c>
      <c r="AT239" s="965">
        <f t="shared" si="130"/>
        <v>0</v>
      </c>
      <c r="AU239" s="166"/>
      <c r="AV239" s="166"/>
      <c r="AW239" s="166"/>
      <c r="AX239" s="166"/>
      <c r="AY239" s="166"/>
      <c r="AZ239" s="166"/>
      <c r="BA239" s="166"/>
      <c r="BB239" s="166"/>
      <c r="BC239" s="166"/>
      <c r="BD239" s="166"/>
      <c r="BE239" s="166"/>
      <c r="BF239" s="166"/>
      <c r="BG239" s="166"/>
      <c r="BH239" s="166"/>
      <c r="BI239" s="166"/>
      <c r="BJ239" s="166"/>
      <c r="BK239" s="166"/>
      <c r="BL239" s="166"/>
      <c r="BM239" s="166"/>
      <c r="BN239" s="166"/>
    </row>
    <row r="240" spans="2:66" x14ac:dyDescent="0.25">
      <c r="B240" s="831" t="str">
        <f t="shared" si="129"/>
        <v>Activos nuevos 3 - Valor residual</v>
      </c>
      <c r="C240" s="965">
        <f t="shared" si="130"/>
        <v>0</v>
      </c>
      <c r="D240" s="965">
        <f t="shared" si="130"/>
        <v>0</v>
      </c>
      <c r="E240" s="965">
        <f t="shared" si="130"/>
        <v>0</v>
      </c>
      <c r="F240" s="965">
        <f t="shared" si="130"/>
        <v>0</v>
      </c>
      <c r="G240" s="965">
        <f t="shared" si="130"/>
        <v>0</v>
      </c>
      <c r="H240" s="965">
        <f t="shared" si="130"/>
        <v>0</v>
      </c>
      <c r="I240" s="965">
        <f t="shared" si="130"/>
        <v>0</v>
      </c>
      <c r="J240" s="965">
        <f t="shared" si="130"/>
        <v>0</v>
      </c>
      <c r="K240" s="965">
        <f t="shared" si="130"/>
        <v>0</v>
      </c>
      <c r="L240" s="965">
        <f t="shared" si="130"/>
        <v>0</v>
      </c>
      <c r="M240" s="965">
        <f t="shared" si="130"/>
        <v>0</v>
      </c>
      <c r="N240" s="965">
        <f t="shared" si="130"/>
        <v>0</v>
      </c>
      <c r="O240" s="965">
        <f t="shared" si="130"/>
        <v>0</v>
      </c>
      <c r="P240" s="965">
        <f t="shared" si="130"/>
        <v>0</v>
      </c>
      <c r="Q240" s="965">
        <f t="shared" si="130"/>
        <v>0</v>
      </c>
      <c r="R240" s="965">
        <f t="shared" si="130"/>
        <v>0</v>
      </c>
      <c r="S240" s="965">
        <f t="shared" si="130"/>
        <v>0</v>
      </c>
      <c r="T240" s="965">
        <f t="shared" si="130"/>
        <v>0</v>
      </c>
      <c r="U240" s="965">
        <f t="shared" si="130"/>
        <v>0</v>
      </c>
      <c r="V240" s="965">
        <f t="shared" si="130"/>
        <v>0</v>
      </c>
      <c r="W240" s="965">
        <f t="shared" si="130"/>
        <v>0</v>
      </c>
      <c r="X240" s="965">
        <f t="shared" si="130"/>
        <v>0</v>
      </c>
      <c r="Y240" s="965">
        <f t="shared" si="130"/>
        <v>0</v>
      </c>
      <c r="Z240" s="965">
        <f t="shared" si="130"/>
        <v>0</v>
      </c>
      <c r="AA240" s="965">
        <f t="shared" si="130"/>
        <v>0</v>
      </c>
      <c r="AB240" s="965">
        <f t="shared" si="130"/>
        <v>0</v>
      </c>
      <c r="AC240" s="965">
        <f t="shared" si="130"/>
        <v>9038398.540460581</v>
      </c>
      <c r="AD240" s="965">
        <f t="shared" si="130"/>
        <v>8134558.6864145231</v>
      </c>
      <c r="AE240" s="965">
        <f t="shared" si="130"/>
        <v>7230718.8323684651</v>
      </c>
      <c r="AF240" s="965">
        <f t="shared" si="130"/>
        <v>6326878.9783224072</v>
      </c>
      <c r="AG240" s="965">
        <f t="shared" si="130"/>
        <v>5423039.1242763493</v>
      </c>
      <c r="AH240" s="965">
        <f t="shared" si="130"/>
        <v>4519199.2702302914</v>
      </c>
      <c r="AI240" s="965">
        <f t="shared" si="130"/>
        <v>3615359.4161842335</v>
      </c>
      <c r="AJ240" s="965">
        <f t="shared" si="130"/>
        <v>2711519.5621381756</v>
      </c>
      <c r="AK240" s="965">
        <f t="shared" si="130"/>
        <v>1807679.7080921174</v>
      </c>
      <c r="AL240" s="965">
        <f t="shared" si="130"/>
        <v>903839.85404605931</v>
      </c>
      <c r="AM240" s="965">
        <f t="shared" si="130"/>
        <v>1.1641532182693481E-9</v>
      </c>
      <c r="AN240" s="965">
        <f t="shared" si="130"/>
        <v>0</v>
      </c>
      <c r="AO240" s="965">
        <f t="shared" si="130"/>
        <v>0</v>
      </c>
      <c r="AP240" s="965">
        <f t="shared" si="130"/>
        <v>0</v>
      </c>
      <c r="AQ240" s="965">
        <f t="shared" si="130"/>
        <v>0</v>
      </c>
      <c r="AR240" s="965">
        <f t="shared" ref="C240:AT242" si="131">AR88</f>
        <v>0</v>
      </c>
      <c r="AS240" s="965">
        <f t="shared" si="131"/>
        <v>0</v>
      </c>
      <c r="AT240" s="965">
        <f t="shared" si="131"/>
        <v>0</v>
      </c>
      <c r="AU240" s="166"/>
      <c r="AV240" s="166"/>
      <c r="AW240" s="166"/>
      <c r="AX240" s="166"/>
      <c r="AY240" s="166"/>
      <c r="AZ240" s="166"/>
      <c r="BA240" s="166"/>
      <c r="BB240" s="166"/>
      <c r="BC240" s="166"/>
      <c r="BD240" s="166"/>
      <c r="BE240" s="166"/>
      <c r="BF240" s="166"/>
      <c r="BG240" s="166"/>
      <c r="BH240" s="166"/>
      <c r="BI240" s="166"/>
      <c r="BJ240" s="166"/>
      <c r="BK240" s="166"/>
      <c r="BL240" s="166"/>
      <c r="BM240" s="166"/>
      <c r="BN240" s="166"/>
    </row>
    <row r="241" spans="2:66" x14ac:dyDescent="0.25">
      <c r="B241" s="831" t="str">
        <f t="shared" si="129"/>
        <v>Activos nuevos 4 - Depreciacion 15 años</v>
      </c>
      <c r="C241" s="965">
        <f t="shared" si="131"/>
        <v>0</v>
      </c>
      <c r="D241" s="965">
        <f t="shared" si="131"/>
        <v>0</v>
      </c>
      <c r="E241" s="965">
        <f t="shared" si="131"/>
        <v>0</v>
      </c>
      <c r="F241" s="965">
        <f t="shared" si="131"/>
        <v>0</v>
      </c>
      <c r="G241" s="965">
        <f t="shared" si="131"/>
        <v>0</v>
      </c>
      <c r="H241" s="965">
        <f t="shared" si="131"/>
        <v>0</v>
      </c>
      <c r="I241" s="965">
        <f t="shared" si="131"/>
        <v>0</v>
      </c>
      <c r="J241" s="965">
        <f t="shared" si="131"/>
        <v>0</v>
      </c>
      <c r="K241" s="965">
        <f t="shared" si="131"/>
        <v>0</v>
      </c>
      <c r="L241" s="965">
        <f t="shared" si="131"/>
        <v>0</v>
      </c>
      <c r="M241" s="965">
        <f t="shared" si="131"/>
        <v>0</v>
      </c>
      <c r="N241" s="965">
        <f t="shared" si="131"/>
        <v>0</v>
      </c>
      <c r="O241" s="965">
        <f t="shared" si="131"/>
        <v>0</v>
      </c>
      <c r="P241" s="965">
        <f t="shared" si="131"/>
        <v>0</v>
      </c>
      <c r="Q241" s="965">
        <f t="shared" si="131"/>
        <v>0</v>
      </c>
      <c r="R241" s="965">
        <f t="shared" si="131"/>
        <v>0</v>
      </c>
      <c r="S241" s="965">
        <f t="shared" si="131"/>
        <v>0</v>
      </c>
      <c r="T241" s="965">
        <f t="shared" si="131"/>
        <v>0</v>
      </c>
      <c r="U241" s="965">
        <f t="shared" si="131"/>
        <v>0</v>
      </c>
      <c r="V241" s="965">
        <f t="shared" si="131"/>
        <v>0</v>
      </c>
      <c r="W241" s="965">
        <f t="shared" si="131"/>
        <v>0</v>
      </c>
      <c r="X241" s="965">
        <f t="shared" si="131"/>
        <v>0</v>
      </c>
      <c r="Y241" s="965">
        <f t="shared" si="131"/>
        <v>0</v>
      </c>
      <c r="Z241" s="965">
        <f t="shared" si="131"/>
        <v>0</v>
      </c>
      <c r="AA241" s="965">
        <f t="shared" si="131"/>
        <v>0</v>
      </c>
      <c r="AB241" s="965">
        <f t="shared" si="131"/>
        <v>0</v>
      </c>
      <c r="AC241" s="965">
        <f t="shared" si="131"/>
        <v>0</v>
      </c>
      <c r="AD241" s="965">
        <f t="shared" si="131"/>
        <v>0</v>
      </c>
      <c r="AE241" s="965">
        <f t="shared" si="131"/>
        <v>0</v>
      </c>
      <c r="AF241" s="965">
        <f t="shared" si="131"/>
        <v>0</v>
      </c>
      <c r="AG241" s="965">
        <f t="shared" si="131"/>
        <v>0</v>
      </c>
      <c r="AH241" s="965">
        <f t="shared" si="131"/>
        <v>0</v>
      </c>
      <c r="AI241" s="965">
        <f t="shared" si="131"/>
        <v>0</v>
      </c>
      <c r="AJ241" s="965">
        <f t="shared" si="131"/>
        <v>0</v>
      </c>
      <c r="AK241" s="965">
        <f t="shared" si="131"/>
        <v>0</v>
      </c>
      <c r="AL241" s="965">
        <f t="shared" si="131"/>
        <v>0</v>
      </c>
      <c r="AM241" s="965">
        <f t="shared" si="131"/>
        <v>0</v>
      </c>
      <c r="AN241" s="965">
        <f t="shared" si="131"/>
        <v>0</v>
      </c>
      <c r="AO241" s="965">
        <f t="shared" si="131"/>
        <v>-2934984.6362588019</v>
      </c>
      <c r="AP241" s="965">
        <f t="shared" si="131"/>
        <v>-2934984.6362588019</v>
      </c>
      <c r="AQ241" s="965">
        <f t="shared" si="131"/>
        <v>-2934984.6362588019</v>
      </c>
      <c r="AR241" s="965">
        <f t="shared" si="131"/>
        <v>-2934984.6362588019</v>
      </c>
      <c r="AS241" s="965">
        <f t="shared" si="131"/>
        <v>-2934984.6362588019</v>
      </c>
      <c r="AT241" s="965">
        <f t="shared" si="131"/>
        <v>-2934984.6362588019</v>
      </c>
      <c r="AU241" s="166"/>
      <c r="AV241" s="166"/>
      <c r="AW241" s="166"/>
      <c r="AX241" s="166"/>
      <c r="AY241" s="166"/>
      <c r="AZ241" s="166"/>
      <c r="BA241" s="166"/>
      <c r="BB241" s="166"/>
      <c r="BC241" s="166"/>
      <c r="BD241" s="166"/>
      <c r="BE241" s="166"/>
      <c r="BF241" s="166"/>
      <c r="BG241" s="166"/>
      <c r="BH241" s="166"/>
      <c r="BI241" s="166"/>
      <c r="BJ241" s="166"/>
      <c r="BK241" s="166"/>
      <c r="BL241" s="166"/>
      <c r="BM241" s="166"/>
      <c r="BN241" s="166"/>
    </row>
    <row r="242" spans="2:66" x14ac:dyDescent="0.25">
      <c r="B242" s="846" t="str">
        <f t="shared" si="129"/>
        <v>Activos nuevos 4 - Valor residual</v>
      </c>
      <c r="C242" s="968">
        <f t="shared" si="131"/>
        <v>0</v>
      </c>
      <c r="D242" s="968">
        <f t="shared" si="131"/>
        <v>0</v>
      </c>
      <c r="E242" s="968">
        <f t="shared" si="131"/>
        <v>0</v>
      </c>
      <c r="F242" s="968">
        <f t="shared" si="131"/>
        <v>0</v>
      </c>
      <c r="G242" s="968">
        <f t="shared" si="131"/>
        <v>0</v>
      </c>
      <c r="H242" s="968">
        <f t="shared" si="131"/>
        <v>0</v>
      </c>
      <c r="I242" s="968">
        <f t="shared" si="131"/>
        <v>0</v>
      </c>
      <c r="J242" s="968">
        <f t="shared" si="131"/>
        <v>0</v>
      </c>
      <c r="K242" s="968">
        <f t="shared" si="131"/>
        <v>0</v>
      </c>
      <c r="L242" s="968">
        <f t="shared" si="131"/>
        <v>0</v>
      </c>
      <c r="M242" s="968">
        <f t="shared" si="131"/>
        <v>0</v>
      </c>
      <c r="N242" s="968">
        <f t="shared" si="131"/>
        <v>0</v>
      </c>
      <c r="O242" s="968">
        <f t="shared" si="131"/>
        <v>0</v>
      </c>
      <c r="P242" s="968">
        <f t="shared" si="131"/>
        <v>0</v>
      </c>
      <c r="Q242" s="968">
        <f t="shared" si="131"/>
        <v>0</v>
      </c>
      <c r="R242" s="968">
        <f t="shared" si="131"/>
        <v>0</v>
      </c>
      <c r="S242" s="968">
        <f t="shared" si="131"/>
        <v>0</v>
      </c>
      <c r="T242" s="968">
        <f t="shared" si="131"/>
        <v>0</v>
      </c>
      <c r="U242" s="968">
        <f t="shared" si="131"/>
        <v>0</v>
      </c>
      <c r="V242" s="968">
        <f t="shared" si="131"/>
        <v>0</v>
      </c>
      <c r="W242" s="968">
        <f t="shared" si="131"/>
        <v>0</v>
      </c>
      <c r="X242" s="968">
        <f t="shared" si="131"/>
        <v>0</v>
      </c>
      <c r="Y242" s="968">
        <f t="shared" si="131"/>
        <v>0</v>
      </c>
      <c r="Z242" s="968">
        <f t="shared" si="131"/>
        <v>0</v>
      </c>
      <c r="AA242" s="968">
        <f t="shared" si="131"/>
        <v>0</v>
      </c>
      <c r="AB242" s="968">
        <f t="shared" si="131"/>
        <v>0</v>
      </c>
      <c r="AC242" s="968">
        <f t="shared" si="131"/>
        <v>0</v>
      </c>
      <c r="AD242" s="968">
        <f t="shared" si="131"/>
        <v>0</v>
      </c>
      <c r="AE242" s="968">
        <f t="shared" si="131"/>
        <v>0</v>
      </c>
      <c r="AF242" s="968">
        <f t="shared" si="131"/>
        <v>0</v>
      </c>
      <c r="AG242" s="968">
        <f t="shared" si="131"/>
        <v>0</v>
      </c>
      <c r="AH242" s="968">
        <f t="shared" si="131"/>
        <v>0</v>
      </c>
      <c r="AI242" s="968">
        <f t="shared" si="131"/>
        <v>0</v>
      </c>
      <c r="AJ242" s="968">
        <f t="shared" si="131"/>
        <v>0</v>
      </c>
      <c r="AK242" s="968">
        <f t="shared" si="131"/>
        <v>0</v>
      </c>
      <c r="AL242" s="968">
        <f t="shared" si="131"/>
        <v>0</v>
      </c>
      <c r="AM242" s="968">
        <f t="shared" si="131"/>
        <v>0</v>
      </c>
      <c r="AN242" s="968">
        <f t="shared" si="131"/>
        <v>0</v>
      </c>
      <c r="AO242" s="968">
        <f t="shared" si="131"/>
        <v>44024769.543882027</v>
      </c>
      <c r="AP242" s="968">
        <f t="shared" si="131"/>
        <v>41089784.907623224</v>
      </c>
      <c r="AQ242" s="968">
        <f t="shared" si="131"/>
        <v>38154800.271364421</v>
      </c>
      <c r="AR242" s="968">
        <f t="shared" si="131"/>
        <v>35219815.635105617</v>
      </c>
      <c r="AS242" s="968">
        <f t="shared" si="131"/>
        <v>32284830.998846814</v>
      </c>
      <c r="AT242" s="968">
        <f t="shared" si="131"/>
        <v>29349846.362588011</v>
      </c>
      <c r="AU242" s="166"/>
      <c r="AV242" s="166"/>
      <c r="AW242" s="166"/>
      <c r="AX242" s="166"/>
      <c r="AY242" s="166"/>
      <c r="AZ242" s="166"/>
      <c r="BA242" s="166"/>
      <c r="BB242" s="166"/>
      <c r="BC242" s="166"/>
      <c r="BD242" s="166"/>
      <c r="BE242" s="166"/>
      <c r="BF242" s="166"/>
      <c r="BG242" s="166"/>
      <c r="BH242" s="166"/>
      <c r="BI242" s="166"/>
      <c r="BJ242" s="166"/>
      <c r="BK242" s="166"/>
      <c r="BL242" s="166"/>
      <c r="BM242" s="166"/>
      <c r="BN242" s="166"/>
    </row>
    <row r="243" spans="2:66" x14ac:dyDescent="0.25">
      <c r="B243" s="845" t="s">
        <v>441</v>
      </c>
      <c r="C243" s="824">
        <v>0</v>
      </c>
      <c r="D243" s="824">
        <v>0</v>
      </c>
      <c r="E243" s="824">
        <v>0</v>
      </c>
      <c r="F243" s="824">
        <v>0</v>
      </c>
      <c r="G243" s="824">
        <f>SUM(G229:G233)+G235+G237+G239+G241</f>
        <v>-4476318.6173797483</v>
      </c>
      <c r="H243" s="824">
        <f t="shared" ref="H243:AT243" si="132">SUM(H229:H233)+H235+H237+H239+H241</f>
        <v>-4476318.6173797483</v>
      </c>
      <c r="I243" s="824">
        <f t="shared" si="132"/>
        <v>-4476318.6173797483</v>
      </c>
      <c r="J243" s="824">
        <f t="shared" si="132"/>
        <v>-4476318.6173797483</v>
      </c>
      <c r="K243" s="824">
        <f t="shared" si="132"/>
        <v>-4476318.6173797483</v>
      </c>
      <c r="L243" s="824">
        <f t="shared" si="132"/>
        <v>-4226566.6672863076</v>
      </c>
      <c r="M243" s="824">
        <f t="shared" si="132"/>
        <v>-4226566.6672863076</v>
      </c>
      <c r="N243" s="824">
        <f t="shared" si="132"/>
        <v>-4226566.6672863076</v>
      </c>
      <c r="O243" s="824">
        <f t="shared" si="132"/>
        <v>-4226566.6672863076</v>
      </c>
      <c r="P243" s="824">
        <f t="shared" si="132"/>
        <v>-4226566.6672863076</v>
      </c>
      <c r="Q243" s="824">
        <f t="shared" si="132"/>
        <v>-3636188.9104059879</v>
      </c>
      <c r="R243" s="824">
        <f t="shared" si="132"/>
        <v>-4364578.243786227</v>
      </c>
      <c r="S243" s="824">
        <f t="shared" si="132"/>
        <v>-4364578.243786227</v>
      </c>
      <c r="T243" s="824">
        <f t="shared" si="132"/>
        <v>-4364578.243786227</v>
      </c>
      <c r="U243" s="824">
        <f t="shared" si="132"/>
        <v>-4364578.243786227</v>
      </c>
      <c r="V243" s="824">
        <f t="shared" si="132"/>
        <v>-3330617.415194436</v>
      </c>
      <c r="W243" s="824">
        <f t="shared" si="132"/>
        <v>-3330617.415194436</v>
      </c>
      <c r="X243" s="824">
        <f t="shared" si="132"/>
        <v>-4784057.9763839645</v>
      </c>
      <c r="Y243" s="824">
        <f t="shared" si="132"/>
        <v>-4784057.9763839645</v>
      </c>
      <c r="Z243" s="824">
        <f t="shared" si="132"/>
        <v>-4784057.9763839645</v>
      </c>
      <c r="AA243" s="824">
        <f t="shared" si="132"/>
        <v>-4784057.9763839645</v>
      </c>
      <c r="AB243" s="824">
        <f t="shared" si="132"/>
        <v>-4784057.9763839645</v>
      </c>
      <c r="AC243" s="824">
        <f t="shared" si="132"/>
        <v>-4959508.4970497834</v>
      </c>
      <c r="AD243" s="824">
        <f t="shared" si="132"/>
        <v>-4959508.4970497834</v>
      </c>
      <c r="AE243" s="824">
        <f t="shared" si="132"/>
        <v>-4959508.4970497834</v>
      </c>
      <c r="AF243" s="824">
        <f t="shared" si="132"/>
        <v>-4959508.4970497834</v>
      </c>
      <c r="AG243" s="824">
        <f t="shared" si="132"/>
        <v>-4959508.4970497834</v>
      </c>
      <c r="AH243" s="824">
        <f t="shared" si="132"/>
        <v>-4959508.4970497834</v>
      </c>
      <c r="AI243" s="824">
        <f t="shared" si="132"/>
        <v>-4959508.4970497834</v>
      </c>
      <c r="AJ243" s="824">
        <f t="shared" si="132"/>
        <v>-4959508.4970497834</v>
      </c>
      <c r="AK243" s="824">
        <f t="shared" si="132"/>
        <v>-4959508.4970497834</v>
      </c>
      <c r="AL243" s="824">
        <f t="shared" si="132"/>
        <v>-4959508.4970497834</v>
      </c>
      <c r="AM243" s="824">
        <f t="shared" si="132"/>
        <v>-3506067.9358602548</v>
      </c>
      <c r="AN243" s="824">
        <f t="shared" si="132"/>
        <v>-2602228.0818141969</v>
      </c>
      <c r="AO243" s="824">
        <f t="shared" si="132"/>
        <v>-5537212.7180729993</v>
      </c>
      <c r="AP243" s="824">
        <f t="shared" si="132"/>
        <v>-5537212.7180729993</v>
      </c>
      <c r="AQ243" s="824">
        <f t="shared" si="132"/>
        <v>-5537212.7180729993</v>
      </c>
      <c r="AR243" s="824">
        <f t="shared" si="132"/>
        <v>-5537212.7180729993</v>
      </c>
      <c r="AS243" s="824">
        <f t="shared" si="132"/>
        <v>-5537212.7180729993</v>
      </c>
      <c r="AT243" s="824">
        <f t="shared" si="132"/>
        <v>-5537212.7180729993</v>
      </c>
      <c r="AU243" s="166"/>
      <c r="AV243" s="166"/>
      <c r="AW243" s="166"/>
      <c r="AX243" s="166"/>
      <c r="AY243" s="166"/>
      <c r="AZ243" s="166"/>
      <c r="BA243" s="166"/>
      <c r="BB243" s="166"/>
      <c r="BC243" s="166"/>
      <c r="BD243" s="166"/>
      <c r="BE243" s="166"/>
      <c r="BF243" s="166"/>
      <c r="BG243" s="166"/>
      <c r="BH243" s="166"/>
      <c r="BI243" s="166"/>
      <c r="BJ243" s="166"/>
      <c r="BK243" s="166"/>
      <c r="BL243" s="166"/>
      <c r="BM243" s="166"/>
      <c r="BN243" s="166"/>
    </row>
    <row r="244" spans="2:66" x14ac:dyDescent="0.25">
      <c r="B244" s="833" t="s">
        <v>435</v>
      </c>
      <c r="C244" s="824">
        <f>C234+C238+C242</f>
        <v>0</v>
      </c>
      <c r="D244" s="824">
        <f t="shared" ref="D244:F244" si="133">D234+D238+D242</f>
        <v>0</v>
      </c>
      <c r="E244" s="824">
        <f t="shared" si="133"/>
        <v>0</v>
      </c>
      <c r="F244" s="824">
        <f t="shared" si="133"/>
        <v>0</v>
      </c>
      <c r="G244" s="824">
        <f>G234+G236+G238+G240+G242</f>
        <v>151074474.56595954</v>
      </c>
      <c r="H244" s="824">
        <f t="shared" ref="H244:AT244" si="134">H234+H236+H238+H240+H242</f>
        <v>146598155.94857979</v>
      </c>
      <c r="I244" s="824">
        <f t="shared" si="134"/>
        <v>142121837.33120003</v>
      </c>
      <c r="J244" s="824">
        <f t="shared" si="134"/>
        <v>137645518.71382028</v>
      </c>
      <c r="K244" s="824">
        <f t="shared" si="134"/>
        <v>133169200.09644052</v>
      </c>
      <c r="L244" s="824">
        <f t="shared" si="134"/>
        <v>128942633.42915422</v>
      </c>
      <c r="M244" s="824">
        <f t="shared" si="134"/>
        <v>124716066.76186791</v>
      </c>
      <c r="N244" s="824">
        <f t="shared" si="134"/>
        <v>120489500.0945816</v>
      </c>
      <c r="O244" s="824">
        <f t="shared" si="134"/>
        <v>116262933.4272953</v>
      </c>
      <c r="P244" s="824">
        <f t="shared" si="134"/>
        <v>112036366.76000899</v>
      </c>
      <c r="Q244" s="824">
        <f t="shared" si="134"/>
        <v>108400177.849603</v>
      </c>
      <c r="R244" s="824">
        <f t="shared" si="134"/>
        <v>112047882.27299939</v>
      </c>
      <c r="S244" s="824">
        <f t="shared" si="134"/>
        <v>107683304.02921316</v>
      </c>
      <c r="T244" s="824">
        <f t="shared" si="134"/>
        <v>103318725.78542693</v>
      </c>
      <c r="U244" s="824">
        <f t="shared" si="134"/>
        <v>98954147.541640699</v>
      </c>
      <c r="V244" s="824">
        <f t="shared" si="134"/>
        <v>95623530.126446262</v>
      </c>
      <c r="W244" s="824">
        <f t="shared" si="134"/>
        <v>92292912.711251825</v>
      </c>
      <c r="X244" s="824">
        <f t="shared" si="134"/>
        <v>109310463.15271077</v>
      </c>
      <c r="Y244" s="824">
        <f t="shared" si="134"/>
        <v>104526405.17632681</v>
      </c>
      <c r="Z244" s="824">
        <f t="shared" si="134"/>
        <v>99742347.199942842</v>
      </c>
      <c r="AA244" s="824">
        <f t="shared" si="134"/>
        <v>94958289.223558873</v>
      </c>
      <c r="AB244" s="824">
        <f t="shared" si="134"/>
        <v>90174231.247174919</v>
      </c>
      <c r="AC244" s="824">
        <f t="shared" si="134"/>
        <v>95156961.144631773</v>
      </c>
      <c r="AD244" s="824">
        <f t="shared" si="134"/>
        <v>90197452.64758198</v>
      </c>
      <c r="AE244" s="824">
        <f t="shared" si="134"/>
        <v>85237944.150532186</v>
      </c>
      <c r="AF244" s="824">
        <f t="shared" si="134"/>
        <v>80278435.653482392</v>
      </c>
      <c r="AG244" s="824">
        <f t="shared" si="134"/>
        <v>75318927.156432629</v>
      </c>
      <c r="AH244" s="824">
        <f t="shared" si="134"/>
        <v>70359418.659382835</v>
      </c>
      <c r="AI244" s="824">
        <f t="shared" si="134"/>
        <v>65399910.162333041</v>
      </c>
      <c r="AJ244" s="824">
        <f t="shared" si="134"/>
        <v>60440401.665283263</v>
      </c>
      <c r="AK244" s="824">
        <f t="shared" si="134"/>
        <v>55480893.168233477</v>
      </c>
      <c r="AL244" s="824">
        <f t="shared" si="134"/>
        <v>50521384.67118369</v>
      </c>
      <c r="AM244" s="824">
        <f t="shared" si="134"/>
        <v>47015316.735323429</v>
      </c>
      <c r="AN244" s="824">
        <f t="shared" si="134"/>
        <v>44413088.653509229</v>
      </c>
      <c r="AO244" s="824">
        <f t="shared" si="134"/>
        <v>85835630.115577057</v>
      </c>
      <c r="AP244" s="824">
        <f t="shared" si="134"/>
        <v>80298417.397504061</v>
      </c>
      <c r="AQ244" s="824">
        <f t="shared" si="134"/>
        <v>74761204.679431051</v>
      </c>
      <c r="AR244" s="824">
        <f t="shared" si="134"/>
        <v>69223991.961358041</v>
      </c>
      <c r="AS244" s="824">
        <f t="shared" si="134"/>
        <v>63686779.243285045</v>
      </c>
      <c r="AT244" s="824">
        <f t="shared" si="134"/>
        <v>58149566.525212049</v>
      </c>
      <c r="AU244" s="166"/>
      <c r="AV244" s="166"/>
      <c r="AW244" s="166"/>
      <c r="AX244" s="166"/>
      <c r="AY244" s="166"/>
      <c r="AZ244" s="166"/>
      <c r="BA244" s="166"/>
      <c r="BB244" s="166"/>
      <c r="BC244" s="166"/>
      <c r="BD244" s="166"/>
      <c r="BE244" s="166"/>
      <c r="BF244" s="166"/>
      <c r="BG244" s="166"/>
      <c r="BH244" s="166"/>
      <c r="BI244" s="166"/>
      <c r="BJ244" s="166"/>
      <c r="BK244" s="166"/>
      <c r="BL244" s="166"/>
      <c r="BM244" s="166"/>
      <c r="BN244" s="166"/>
    </row>
    <row r="245" spans="2:66" x14ac:dyDescent="0.25">
      <c r="B245" s="481"/>
      <c r="C245" s="382"/>
      <c r="D245" s="382"/>
      <c r="E245" s="382"/>
      <c r="F245" s="382"/>
      <c r="G245" s="382"/>
      <c r="H245" s="382"/>
      <c r="I245" s="382"/>
      <c r="J245" s="382"/>
      <c r="K245" s="382"/>
      <c r="L245" s="382"/>
      <c r="M245" s="382"/>
      <c r="N245" s="382"/>
      <c r="O245" s="382"/>
      <c r="P245" s="382"/>
      <c r="Q245" s="382"/>
      <c r="R245" s="382"/>
      <c r="S245" s="382"/>
      <c r="T245" s="382"/>
      <c r="U245" s="382"/>
      <c r="V245" s="382"/>
      <c r="W245" s="382"/>
      <c r="X245" s="382"/>
      <c r="Y245" s="382"/>
      <c r="Z245" s="382"/>
      <c r="AA245" s="382"/>
      <c r="AB245" s="382"/>
      <c r="AC245" s="382"/>
      <c r="AD245" s="382"/>
      <c r="AE245" s="382"/>
      <c r="AF245" s="382"/>
      <c r="AG245" s="382"/>
      <c r="AH245" s="382"/>
      <c r="AI245" s="382"/>
      <c r="AJ245" s="382"/>
      <c r="AK245" s="382"/>
      <c r="AL245" s="382"/>
      <c r="AM245" s="382"/>
      <c r="AN245" s="382"/>
      <c r="AO245" s="382"/>
      <c r="AP245" s="382"/>
      <c r="AQ245" s="382"/>
      <c r="AR245" s="382"/>
      <c r="AS245" s="382"/>
      <c r="AT245" s="382"/>
      <c r="AU245" s="166"/>
      <c r="AV245" s="166"/>
      <c r="AW245" s="166"/>
      <c r="AX245" s="166"/>
      <c r="AY245" s="166"/>
      <c r="AZ245" s="166"/>
      <c r="BA245" s="166"/>
      <c r="BB245" s="166"/>
      <c r="BC245" s="166"/>
      <c r="BD245" s="166"/>
      <c r="BE245" s="166"/>
      <c r="BF245" s="166"/>
      <c r="BG245" s="166"/>
      <c r="BH245" s="166"/>
      <c r="BI245" s="166"/>
      <c r="BJ245" s="166"/>
      <c r="BK245" s="166"/>
      <c r="BL245" s="166"/>
      <c r="BM245" s="166"/>
      <c r="BN245" s="166"/>
    </row>
    <row r="246" spans="2:66" ht="13.8" thickBot="1" x14ac:dyDescent="0.3">
      <c r="B246" s="834"/>
      <c r="C246" s="178"/>
      <c r="D246" s="178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78"/>
      <c r="V246" s="178"/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66"/>
      <c r="AV246" s="166"/>
      <c r="AW246" s="166"/>
      <c r="AX246" s="166"/>
      <c r="AY246" s="166"/>
      <c r="AZ246" s="166"/>
      <c r="BA246" s="166"/>
      <c r="BB246" s="166"/>
      <c r="BC246" s="166"/>
      <c r="BD246" s="166"/>
      <c r="BE246" s="166"/>
      <c r="BF246" s="166"/>
      <c r="BG246" s="166"/>
      <c r="BH246" s="166"/>
      <c r="BI246" s="166"/>
      <c r="BJ246" s="166"/>
      <c r="BK246" s="166"/>
      <c r="BL246" s="166"/>
      <c r="BM246" s="166"/>
      <c r="BN246" s="166"/>
    </row>
    <row r="247" spans="2:66" ht="14.4" x14ac:dyDescent="0.25">
      <c r="B247" s="835" t="s">
        <v>390</v>
      </c>
      <c r="C247" s="818"/>
      <c r="D247" s="818"/>
      <c r="E247" s="818"/>
      <c r="F247" s="818"/>
      <c r="G247" s="818"/>
      <c r="H247" s="818"/>
      <c r="I247" s="818"/>
      <c r="J247" s="818"/>
      <c r="K247" s="818"/>
      <c r="L247" s="818"/>
      <c r="M247" s="818"/>
      <c r="N247" s="818"/>
      <c r="O247" s="818"/>
      <c r="P247" s="818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  <c r="AA247" s="818"/>
      <c r="AB247" s="818"/>
      <c r="AC247" s="818"/>
      <c r="AD247" s="818"/>
      <c r="AE247" s="818"/>
      <c r="AF247" s="818"/>
      <c r="AG247" s="818"/>
      <c r="AH247" s="818"/>
      <c r="AI247" s="818"/>
      <c r="AJ247" s="818"/>
      <c r="AK247" s="818"/>
      <c r="AL247" s="818"/>
      <c r="AM247" s="818"/>
      <c r="AN247" s="818"/>
      <c r="AO247" s="818"/>
      <c r="AP247" s="818"/>
      <c r="AQ247" s="818"/>
      <c r="AR247" s="818"/>
      <c r="AS247" s="818"/>
      <c r="AT247" s="819"/>
      <c r="AU247" s="166"/>
      <c r="AV247" s="166"/>
      <c r="AW247" s="166"/>
      <c r="AX247" s="166"/>
      <c r="AY247" s="166"/>
      <c r="AZ247" s="166"/>
      <c r="BA247" s="166"/>
      <c r="BB247" s="166"/>
      <c r="BC247" s="166"/>
      <c r="BD247" s="166"/>
      <c r="BE247" s="166"/>
      <c r="BF247" s="166"/>
      <c r="BG247" s="166"/>
      <c r="BH247" s="166"/>
      <c r="BI247" s="166"/>
      <c r="BJ247" s="166"/>
      <c r="BK247" s="166"/>
      <c r="BL247" s="166"/>
      <c r="BM247" s="166"/>
      <c r="BN247" s="166"/>
    </row>
    <row r="248" spans="2:66" x14ac:dyDescent="0.25">
      <c r="B248" s="836" t="s">
        <v>391</v>
      </c>
      <c r="C248" s="268">
        <v>0</v>
      </c>
      <c r="D248" s="268">
        <v>0</v>
      </c>
      <c r="E248" s="268">
        <v>0</v>
      </c>
      <c r="F248" s="268">
        <v>0</v>
      </c>
      <c r="G248" s="268">
        <f>-G224</f>
        <v>-4318236.9614306372</v>
      </c>
      <c r="H248" s="268">
        <f t="shared" ref="H248:AT248" si="135">-H224</f>
        <v>-4432937.8249451816</v>
      </c>
      <c r="I248" s="268">
        <f t="shared" si="135"/>
        <v>-4536875.1815609755</v>
      </c>
      <c r="J248" s="268">
        <f t="shared" si="135"/>
        <v>-4643311.9130354663</v>
      </c>
      <c r="K248" s="268">
        <f t="shared" si="135"/>
        <v>-11617904.705841476</v>
      </c>
      <c r="L248" s="268">
        <f t="shared" si="135"/>
        <v>-4863931.4676566217</v>
      </c>
      <c r="M248" s="268">
        <f t="shared" si="135"/>
        <v>-4978242.2002252238</v>
      </c>
      <c r="N248" s="268">
        <f t="shared" si="135"/>
        <v>-5095308.2077043382</v>
      </c>
      <c r="O248" s="268">
        <f t="shared" si="135"/>
        <v>-5215197.5552692544</v>
      </c>
      <c r="P248" s="268">
        <f t="shared" si="135"/>
        <v>-12881550.570299722</v>
      </c>
      <c r="Q248" s="268">
        <f t="shared" si="135"/>
        <v>-5463727.1811422799</v>
      </c>
      <c r="R248" s="268">
        <f t="shared" si="135"/>
        <v>-5592512.3741521444</v>
      </c>
      <c r="S248" s="268">
        <f t="shared" si="135"/>
        <v>-5724410.8291271329</v>
      </c>
      <c r="T248" s="268">
        <f t="shared" si="135"/>
        <v>-5859499.6730848122</v>
      </c>
      <c r="U248" s="268">
        <f t="shared" si="135"/>
        <v>-14286356.439628357</v>
      </c>
      <c r="V248" s="268">
        <f t="shared" si="135"/>
        <v>-6139566.8637729799</v>
      </c>
      <c r="W248" s="268">
        <f t="shared" si="135"/>
        <v>-6284709.445565287</v>
      </c>
      <c r="X248" s="268">
        <f t="shared" si="135"/>
        <v>-6433370.9918016</v>
      </c>
      <c r="Y248" s="268">
        <f t="shared" si="135"/>
        <v>-6585638.926612027</v>
      </c>
      <c r="Z248" s="268">
        <f t="shared" si="135"/>
        <v>-15848593.767328328</v>
      </c>
      <c r="AA248" s="268">
        <f t="shared" si="135"/>
        <v>-6901354.8280941052</v>
      </c>
      <c r="AB248" s="268">
        <f t="shared" si="135"/>
        <v>-7064988.9872727636</v>
      </c>
      <c r="AC248" s="268">
        <f t="shared" si="135"/>
        <v>-7232602.0400624331</v>
      </c>
      <c r="AD248" s="268">
        <f t="shared" si="135"/>
        <v>-7404293.1149919936</v>
      </c>
      <c r="AE248" s="268">
        <f t="shared" si="135"/>
        <v>-17586476.742962986</v>
      </c>
      <c r="AF248" s="268">
        <f t="shared" si="135"/>
        <v>-7760318.5440044012</v>
      </c>
      <c r="AG248" s="268">
        <f t="shared" si="135"/>
        <v>-7944864.0527799763</v>
      </c>
      <c r="AH248" s="268">
        <f t="shared" si="135"/>
        <v>-8133910.0298752068</v>
      </c>
      <c r="AI248" s="268">
        <f t="shared" si="135"/>
        <v>-8327568.9119321909</v>
      </c>
      <c r="AJ248" s="268">
        <f t="shared" si="135"/>
        <v>-19520403.065015338</v>
      </c>
      <c r="AK248" s="268">
        <f t="shared" si="135"/>
        <v>-8729189.5788463596</v>
      </c>
      <c r="AL248" s="268">
        <f t="shared" si="135"/>
        <v>-8937390.9052098654</v>
      </c>
      <c r="AM248" s="268">
        <f t="shared" si="135"/>
        <v>-9150684.3755010031</v>
      </c>
      <c r="AN248" s="268">
        <f t="shared" si="135"/>
        <v>-9369197.5625528172</v>
      </c>
      <c r="AO248" s="268">
        <f t="shared" si="135"/>
        <v>-21673225.690419316</v>
      </c>
      <c r="AP248" s="268">
        <f t="shared" si="135"/>
        <v>-9822409.8065093718</v>
      </c>
      <c r="AQ248" s="268">
        <f t="shared" si="135"/>
        <v>-10057380.696025331</v>
      </c>
      <c r="AR248" s="268">
        <f t="shared" si="135"/>
        <v>-10298115.14536953</v>
      </c>
      <c r="AS248" s="268">
        <f t="shared" si="135"/>
        <v>-10544757.947980508</v>
      </c>
      <c r="AT248" s="799">
        <f t="shared" si="135"/>
        <v>-24070559.689610455</v>
      </c>
      <c r="AU248" s="166"/>
      <c r="AV248" s="166"/>
      <c r="AW248" s="166"/>
      <c r="AX248" s="166"/>
      <c r="AY248" s="166"/>
      <c r="AZ248" s="166"/>
      <c r="BA248" s="166"/>
      <c r="BB248" s="166"/>
      <c r="BC248" s="166"/>
      <c r="BD248" s="166"/>
      <c r="BE248" s="166"/>
      <c r="BF248" s="166"/>
      <c r="BG248" s="166"/>
      <c r="BH248" s="166"/>
      <c r="BI248" s="166"/>
      <c r="BJ248" s="166"/>
      <c r="BK248" s="166"/>
      <c r="BL248" s="166"/>
      <c r="BM248" s="166"/>
      <c r="BN248" s="166"/>
    </row>
    <row r="249" spans="2:66" ht="15" thickBot="1" x14ac:dyDescent="0.3">
      <c r="B249" s="842" t="s">
        <v>389</v>
      </c>
      <c r="C249" s="820"/>
      <c r="D249" s="820"/>
      <c r="E249" s="820"/>
      <c r="F249" s="820"/>
      <c r="G249" s="820">
        <f>G248</f>
        <v>-4318236.9614306372</v>
      </c>
      <c r="H249" s="820">
        <f t="shared" ref="H249:AT249" si="136">H248</f>
        <v>-4432937.8249451816</v>
      </c>
      <c r="I249" s="820">
        <f t="shared" si="136"/>
        <v>-4536875.1815609755</v>
      </c>
      <c r="J249" s="820">
        <f t="shared" si="136"/>
        <v>-4643311.9130354663</v>
      </c>
      <c r="K249" s="820">
        <f t="shared" si="136"/>
        <v>-11617904.705841476</v>
      </c>
      <c r="L249" s="820">
        <f t="shared" si="136"/>
        <v>-4863931.4676566217</v>
      </c>
      <c r="M249" s="820">
        <f t="shared" si="136"/>
        <v>-4978242.2002252238</v>
      </c>
      <c r="N249" s="820">
        <f t="shared" si="136"/>
        <v>-5095308.2077043382</v>
      </c>
      <c r="O249" s="820">
        <f t="shared" si="136"/>
        <v>-5215197.5552692544</v>
      </c>
      <c r="P249" s="820">
        <f t="shared" si="136"/>
        <v>-12881550.570299722</v>
      </c>
      <c r="Q249" s="820">
        <f t="shared" si="136"/>
        <v>-5463727.1811422799</v>
      </c>
      <c r="R249" s="820">
        <f t="shared" si="136"/>
        <v>-5592512.3741521444</v>
      </c>
      <c r="S249" s="820">
        <f t="shared" si="136"/>
        <v>-5724410.8291271329</v>
      </c>
      <c r="T249" s="820">
        <f t="shared" si="136"/>
        <v>-5859499.6730848122</v>
      </c>
      <c r="U249" s="820">
        <f t="shared" si="136"/>
        <v>-14286356.439628357</v>
      </c>
      <c r="V249" s="820">
        <f t="shared" si="136"/>
        <v>-6139566.8637729799</v>
      </c>
      <c r="W249" s="820">
        <f t="shared" si="136"/>
        <v>-6284709.445565287</v>
      </c>
      <c r="X249" s="820">
        <f t="shared" si="136"/>
        <v>-6433370.9918016</v>
      </c>
      <c r="Y249" s="820">
        <f t="shared" si="136"/>
        <v>-6585638.926612027</v>
      </c>
      <c r="Z249" s="820">
        <f t="shared" si="136"/>
        <v>-15848593.767328328</v>
      </c>
      <c r="AA249" s="820">
        <f t="shared" si="136"/>
        <v>-6901354.8280941052</v>
      </c>
      <c r="AB249" s="820">
        <f t="shared" si="136"/>
        <v>-7064988.9872727636</v>
      </c>
      <c r="AC249" s="820">
        <f t="shared" si="136"/>
        <v>-7232602.0400624331</v>
      </c>
      <c r="AD249" s="820">
        <f t="shared" si="136"/>
        <v>-7404293.1149919936</v>
      </c>
      <c r="AE249" s="820">
        <f t="shared" si="136"/>
        <v>-17586476.742962986</v>
      </c>
      <c r="AF249" s="820">
        <f t="shared" si="136"/>
        <v>-7760318.5440044012</v>
      </c>
      <c r="AG249" s="820">
        <f t="shared" si="136"/>
        <v>-7944864.0527799763</v>
      </c>
      <c r="AH249" s="820">
        <f t="shared" si="136"/>
        <v>-8133910.0298752068</v>
      </c>
      <c r="AI249" s="820">
        <f t="shared" si="136"/>
        <v>-8327568.9119321909</v>
      </c>
      <c r="AJ249" s="820">
        <f t="shared" si="136"/>
        <v>-19520403.065015338</v>
      </c>
      <c r="AK249" s="820">
        <f t="shared" si="136"/>
        <v>-8729189.5788463596</v>
      </c>
      <c r="AL249" s="820">
        <f t="shared" si="136"/>
        <v>-8937390.9052098654</v>
      </c>
      <c r="AM249" s="820">
        <f t="shared" si="136"/>
        <v>-9150684.3755010031</v>
      </c>
      <c r="AN249" s="820">
        <f t="shared" si="136"/>
        <v>-9369197.5625528172</v>
      </c>
      <c r="AO249" s="820">
        <f t="shared" si="136"/>
        <v>-21673225.690419316</v>
      </c>
      <c r="AP249" s="820">
        <f t="shared" si="136"/>
        <v>-9822409.8065093718</v>
      </c>
      <c r="AQ249" s="820">
        <f t="shared" si="136"/>
        <v>-10057380.696025331</v>
      </c>
      <c r="AR249" s="820">
        <f t="shared" si="136"/>
        <v>-10298115.14536953</v>
      </c>
      <c r="AS249" s="820">
        <f t="shared" si="136"/>
        <v>-10544757.947980508</v>
      </c>
      <c r="AT249" s="821">
        <f t="shared" si="136"/>
        <v>-24070559.689610455</v>
      </c>
      <c r="AU249" s="166"/>
      <c r="AV249" s="166"/>
      <c r="AW249" s="166"/>
      <c r="AX249" s="166"/>
      <c r="AY249" s="166"/>
      <c r="AZ249" s="166"/>
      <c r="BA249" s="166"/>
      <c r="BB249" s="166"/>
      <c r="BC249" s="166"/>
      <c r="BD249" s="166"/>
      <c r="BE249" s="166"/>
      <c r="BF249" s="166"/>
      <c r="BG249" s="166"/>
      <c r="BH249" s="166"/>
      <c r="BI249" s="166"/>
      <c r="BJ249" s="166"/>
      <c r="BK249" s="166"/>
      <c r="BL249" s="166"/>
      <c r="BM249" s="166"/>
      <c r="BN249" s="166"/>
    </row>
    <row r="250" spans="2:66" ht="15" thickBot="1" x14ac:dyDescent="0.3">
      <c r="B250" s="837"/>
      <c r="C250" s="824"/>
      <c r="D250" s="824"/>
      <c r="E250" s="824"/>
      <c r="F250" s="824"/>
      <c r="G250" s="824"/>
      <c r="H250" s="824"/>
      <c r="I250" s="824"/>
      <c r="J250" s="824"/>
      <c r="K250" s="824"/>
      <c r="L250" s="824"/>
      <c r="M250" s="824"/>
      <c r="N250" s="824"/>
      <c r="O250" s="824"/>
      <c r="P250" s="824"/>
      <c r="Q250" s="824"/>
      <c r="R250" s="824"/>
      <c r="S250" s="824"/>
      <c r="T250" s="824"/>
      <c r="U250" s="824"/>
      <c r="V250" s="824"/>
      <c r="W250" s="824"/>
      <c r="X250" s="824"/>
      <c r="Y250" s="824"/>
      <c r="Z250" s="824"/>
      <c r="AA250" s="824"/>
      <c r="AB250" s="824"/>
      <c r="AC250" s="824"/>
      <c r="AD250" s="824"/>
      <c r="AE250" s="824"/>
      <c r="AF250" s="824"/>
      <c r="AG250" s="824"/>
      <c r="AH250" s="824"/>
      <c r="AI250" s="824"/>
      <c r="AJ250" s="824"/>
      <c r="AK250" s="824"/>
      <c r="AL250" s="824"/>
      <c r="AM250" s="824"/>
      <c r="AN250" s="824"/>
      <c r="AO250" s="824"/>
      <c r="AP250" s="824"/>
      <c r="AQ250" s="824"/>
      <c r="AR250" s="824"/>
      <c r="AS250" s="824"/>
      <c r="AT250" s="824"/>
      <c r="AU250" s="166"/>
      <c r="AV250" s="166"/>
      <c r="AW250" s="166"/>
      <c r="AX250" s="166"/>
      <c r="AY250" s="166"/>
      <c r="AZ250" s="166"/>
      <c r="BA250" s="166"/>
      <c r="BB250" s="166"/>
      <c r="BC250" s="166"/>
      <c r="BD250" s="166"/>
      <c r="BE250" s="166"/>
      <c r="BF250" s="166"/>
      <c r="BG250" s="166"/>
      <c r="BH250" s="166"/>
      <c r="BI250" s="166"/>
      <c r="BJ250" s="166"/>
      <c r="BK250" s="166"/>
      <c r="BL250" s="166"/>
      <c r="BM250" s="166"/>
      <c r="BN250" s="166"/>
    </row>
    <row r="251" spans="2:66" ht="14.4" x14ac:dyDescent="0.25">
      <c r="B251" s="835" t="s">
        <v>392</v>
      </c>
      <c r="C251" s="818"/>
      <c r="D251" s="818"/>
      <c r="E251" s="818"/>
      <c r="F251" s="818"/>
      <c r="G251" s="818"/>
      <c r="H251" s="818"/>
      <c r="I251" s="818"/>
      <c r="J251" s="818"/>
      <c r="K251" s="818"/>
      <c r="L251" s="818"/>
      <c r="M251" s="818"/>
      <c r="N251" s="818"/>
      <c r="O251" s="818"/>
      <c r="P251" s="818"/>
      <c r="Q251" s="818"/>
      <c r="R251" s="818"/>
      <c r="S251" s="818"/>
      <c r="T251" s="818"/>
      <c r="U251" s="818"/>
      <c r="V251" s="818"/>
      <c r="W251" s="818"/>
      <c r="X251" s="818"/>
      <c r="Y251" s="818"/>
      <c r="Z251" s="818"/>
      <c r="AA251" s="818"/>
      <c r="AB251" s="818"/>
      <c r="AC251" s="818"/>
      <c r="AD251" s="818"/>
      <c r="AE251" s="818"/>
      <c r="AF251" s="818"/>
      <c r="AG251" s="818"/>
      <c r="AH251" s="818"/>
      <c r="AI251" s="818"/>
      <c r="AJ251" s="818"/>
      <c r="AK251" s="818"/>
      <c r="AL251" s="818"/>
      <c r="AM251" s="818"/>
      <c r="AN251" s="818"/>
      <c r="AO251" s="818"/>
      <c r="AP251" s="818"/>
      <c r="AQ251" s="818"/>
      <c r="AR251" s="818"/>
      <c r="AS251" s="818"/>
      <c r="AT251" s="819"/>
      <c r="AU251" s="166"/>
      <c r="AV251" s="166"/>
      <c r="AW251" s="166"/>
      <c r="AX251" s="166"/>
      <c r="AY251" s="166"/>
      <c r="AZ251" s="166"/>
      <c r="BA251" s="166"/>
      <c r="BB251" s="166"/>
      <c r="BC251" s="166"/>
      <c r="BD251" s="166"/>
      <c r="BE251" s="166"/>
      <c r="BF251" s="166"/>
      <c r="BG251" s="166"/>
      <c r="BH251" s="166"/>
      <c r="BI251" s="166"/>
      <c r="BJ251" s="166"/>
      <c r="BK251" s="166"/>
      <c r="BL251" s="166"/>
      <c r="BM251" s="166"/>
      <c r="BN251" s="166"/>
    </row>
    <row r="252" spans="2:66" x14ac:dyDescent="0.25">
      <c r="B252" s="836" t="s">
        <v>393</v>
      </c>
      <c r="C252" s="268">
        <v>0</v>
      </c>
      <c r="D252" s="268">
        <v>0</v>
      </c>
      <c r="E252" s="268">
        <v>0</v>
      </c>
      <c r="F252" s="268">
        <v>0</v>
      </c>
      <c r="G252" s="178">
        <f t="shared" ref="G252:AT252" si="137">G226</f>
        <v>4387744.9000000004</v>
      </c>
      <c r="H252" s="178">
        <f t="shared" si="137"/>
        <v>5850326.5333333332</v>
      </c>
      <c r="I252" s="178">
        <f t="shared" si="137"/>
        <v>6181291.6534599997</v>
      </c>
      <c r="J252" s="178">
        <f t="shared" si="137"/>
        <v>6246066.9163199989</v>
      </c>
      <c r="K252" s="178">
        <f t="shared" si="137"/>
        <v>6565800.2032188699</v>
      </c>
      <c r="L252" s="178">
        <f t="shared" si="137"/>
        <v>6633192.3866984155</v>
      </c>
      <c r="M252" s="178">
        <f t="shared" si="137"/>
        <v>6971288.1868131505</v>
      </c>
      <c r="N252" s="178">
        <f t="shared" si="137"/>
        <v>7006027.6771816947</v>
      </c>
      <c r="O252" s="178">
        <f t="shared" si="137"/>
        <v>7325214.1611192646</v>
      </c>
      <c r="P252" s="178">
        <f t="shared" si="137"/>
        <v>7361357.1268986994</v>
      </c>
      <c r="Q252" s="178">
        <f t="shared" si="137"/>
        <v>7696359.0964223258</v>
      </c>
      <c r="R252" s="178">
        <f t="shared" si="137"/>
        <v>7733962.2380192541</v>
      </c>
      <c r="S252" s="178">
        <f t="shared" si="137"/>
        <v>8048507.3325139601</v>
      </c>
      <c r="T252" s="178">
        <f t="shared" si="137"/>
        <v>8050600.3525926908</v>
      </c>
      <c r="U252" s="178">
        <f t="shared" si="137"/>
        <v>8378022.1849273518</v>
      </c>
      <c r="V252" s="178">
        <f t="shared" si="137"/>
        <v>8380199.7630172633</v>
      </c>
      <c r="W252" s="178">
        <f t="shared" si="137"/>
        <v>8721025.3856879007</v>
      </c>
      <c r="X252" s="178">
        <f t="shared" si="137"/>
        <v>8785724.6157385577</v>
      </c>
      <c r="Y252" s="178">
        <f t="shared" si="137"/>
        <v>9207980.9691591021</v>
      </c>
      <c r="Z252" s="178">
        <f t="shared" si="137"/>
        <v>9275294.0481038056</v>
      </c>
      <c r="AA252" s="178">
        <f t="shared" si="137"/>
        <v>9720048.4549812675</v>
      </c>
      <c r="AB252" s="178">
        <f t="shared" si="137"/>
        <v>9790080.9823153336</v>
      </c>
      <c r="AC252" s="178">
        <f t="shared" si="137"/>
        <v>10185600.254000872</v>
      </c>
      <c r="AD252" s="178">
        <f t="shared" si="137"/>
        <v>10185600.254000872</v>
      </c>
      <c r="AE252" s="178">
        <f t="shared" si="137"/>
        <v>10597098.504262507</v>
      </c>
      <c r="AF252" s="178">
        <f t="shared" si="137"/>
        <v>10597098.504262507</v>
      </c>
      <c r="AG252" s="178">
        <f t="shared" si="137"/>
        <v>11025221.283834713</v>
      </c>
      <c r="AH252" s="178">
        <f t="shared" si="137"/>
        <v>11025221.283834713</v>
      </c>
      <c r="AI252" s="178">
        <f t="shared" si="137"/>
        <v>11470640.223701635</v>
      </c>
      <c r="AJ252" s="178">
        <f t="shared" si="137"/>
        <v>11470640.223701635</v>
      </c>
      <c r="AK252" s="178">
        <f t="shared" si="137"/>
        <v>11934054.088739183</v>
      </c>
      <c r="AL252" s="178">
        <f t="shared" si="137"/>
        <v>11934054.088739183</v>
      </c>
      <c r="AM252" s="178">
        <f t="shared" si="137"/>
        <v>12416189.873924242</v>
      </c>
      <c r="AN252" s="178">
        <f t="shared" si="137"/>
        <v>12416189.873924242</v>
      </c>
      <c r="AO252" s="178">
        <f t="shared" si="137"/>
        <v>12917803.944830785</v>
      </c>
      <c r="AP252" s="178">
        <f t="shared" si="137"/>
        <v>12917803.944830785</v>
      </c>
      <c r="AQ252" s="178">
        <f t="shared" si="137"/>
        <v>13439683.224201947</v>
      </c>
      <c r="AR252" s="178">
        <f t="shared" si="137"/>
        <v>13439683.224201947</v>
      </c>
      <c r="AS252" s="178">
        <f t="shared" si="137"/>
        <v>13982646.426459709</v>
      </c>
      <c r="AT252" s="265">
        <f t="shared" si="137"/>
        <v>13982646.426459709</v>
      </c>
      <c r="AU252" s="166"/>
      <c r="AV252" s="166"/>
      <c r="AW252" s="166"/>
      <c r="AX252" s="166"/>
      <c r="AY252" s="166"/>
      <c r="AZ252" s="166"/>
      <c r="BA252" s="166"/>
      <c r="BB252" s="166"/>
      <c r="BC252" s="166"/>
      <c r="BD252" s="166"/>
      <c r="BE252" s="166"/>
      <c r="BF252" s="166"/>
      <c r="BG252" s="166"/>
      <c r="BH252" s="166"/>
      <c r="BI252" s="166"/>
      <c r="BJ252" s="166"/>
      <c r="BK252" s="166"/>
      <c r="BL252" s="166"/>
      <c r="BM252" s="166"/>
      <c r="BN252" s="166"/>
    </row>
    <row r="253" spans="2:66" x14ac:dyDescent="0.25">
      <c r="B253" s="836" t="s">
        <v>394</v>
      </c>
      <c r="C253" s="268">
        <v>0</v>
      </c>
      <c r="D253" s="268">
        <v>0</v>
      </c>
      <c r="E253" s="268">
        <v>0</v>
      </c>
      <c r="F253" s="268">
        <v>0</v>
      </c>
      <c r="G253" s="178">
        <f t="shared" ref="G253:AT253" si="138">G227</f>
        <v>420000</v>
      </c>
      <c r="H253" s="178">
        <f t="shared" si="138"/>
        <v>428400</v>
      </c>
      <c r="I253" s="178">
        <f t="shared" si="138"/>
        <v>436968</v>
      </c>
      <c r="J253" s="178">
        <f t="shared" si="138"/>
        <v>445707.36</v>
      </c>
      <c r="K253" s="178">
        <f t="shared" si="138"/>
        <v>454621.50719999999</v>
      </c>
      <c r="L253" s="178">
        <f t="shared" si="138"/>
        <v>463713.93734400003</v>
      </c>
      <c r="M253" s="178">
        <f t="shared" si="138"/>
        <v>472988.21609088004</v>
      </c>
      <c r="N253" s="178">
        <f t="shared" si="138"/>
        <v>482447.98041269754</v>
      </c>
      <c r="O253" s="178">
        <f t="shared" si="138"/>
        <v>492096.9400209515</v>
      </c>
      <c r="P253" s="178">
        <f t="shared" si="138"/>
        <v>501938.87882137054</v>
      </c>
      <c r="Q253" s="178">
        <f t="shared" si="138"/>
        <v>511977.65639779798</v>
      </c>
      <c r="R253" s="178">
        <f t="shared" si="138"/>
        <v>522217.20952575386</v>
      </c>
      <c r="S253" s="178">
        <f t="shared" si="138"/>
        <v>532661.55371626897</v>
      </c>
      <c r="T253" s="178">
        <f t="shared" si="138"/>
        <v>543314.78479059436</v>
      </c>
      <c r="U253" s="178">
        <f t="shared" si="138"/>
        <v>554181.08048640634</v>
      </c>
      <c r="V253" s="178">
        <f t="shared" si="138"/>
        <v>565264.70209613431</v>
      </c>
      <c r="W253" s="178">
        <f t="shared" si="138"/>
        <v>576569.99613805709</v>
      </c>
      <c r="X253" s="178">
        <f t="shared" si="138"/>
        <v>588101.39606081822</v>
      </c>
      <c r="Y253" s="178">
        <f t="shared" si="138"/>
        <v>599863.42398203455</v>
      </c>
      <c r="Z253" s="178">
        <f t="shared" si="138"/>
        <v>611860.69246167527</v>
      </c>
      <c r="AA253" s="178">
        <f t="shared" si="138"/>
        <v>624097.90631090873</v>
      </c>
      <c r="AB253" s="178">
        <f t="shared" si="138"/>
        <v>636579.8644371269</v>
      </c>
      <c r="AC253" s="178">
        <f t="shared" si="138"/>
        <v>649311.46172586945</v>
      </c>
      <c r="AD253" s="178">
        <f t="shared" si="138"/>
        <v>662297.69096038677</v>
      </c>
      <c r="AE253" s="178">
        <f t="shared" si="138"/>
        <v>675543.6447795945</v>
      </c>
      <c r="AF253" s="178">
        <f t="shared" si="138"/>
        <v>689054.51767518639</v>
      </c>
      <c r="AG253" s="178">
        <f t="shared" si="138"/>
        <v>702835.60802869021</v>
      </c>
      <c r="AH253" s="178">
        <f t="shared" si="138"/>
        <v>716892.3201892639</v>
      </c>
      <c r="AI253" s="178">
        <f t="shared" si="138"/>
        <v>731230.1665930493</v>
      </c>
      <c r="AJ253" s="178">
        <f t="shared" si="138"/>
        <v>745854.76992491016</v>
      </c>
      <c r="AK253" s="178">
        <f t="shared" si="138"/>
        <v>760771.86532340851</v>
      </c>
      <c r="AL253" s="178">
        <f t="shared" si="138"/>
        <v>775987.30262987642</v>
      </c>
      <c r="AM253" s="178">
        <f t="shared" si="138"/>
        <v>791507.04868247418</v>
      </c>
      <c r="AN253" s="178">
        <f t="shared" si="138"/>
        <v>807337.18965612364</v>
      </c>
      <c r="AO253" s="178">
        <f t="shared" si="138"/>
        <v>823483.93344924611</v>
      </c>
      <c r="AP253" s="178">
        <f t="shared" si="138"/>
        <v>839953.61211823102</v>
      </c>
      <c r="AQ253" s="178">
        <f t="shared" si="138"/>
        <v>856752.68436059554</v>
      </c>
      <c r="AR253" s="178">
        <f t="shared" si="138"/>
        <v>873887.73804780759</v>
      </c>
      <c r="AS253" s="178">
        <f t="shared" si="138"/>
        <v>891365.49280876387</v>
      </c>
      <c r="AT253" s="265">
        <f t="shared" si="138"/>
        <v>909192.80266493873</v>
      </c>
      <c r="AU253" s="166"/>
      <c r="AV253" s="166"/>
      <c r="AW253" s="166"/>
      <c r="AX253" s="166"/>
      <c r="AY253" s="166"/>
      <c r="AZ253" s="166"/>
      <c r="BA253" s="166"/>
      <c r="BB253" s="166"/>
      <c r="BC253" s="166"/>
      <c r="BD253" s="166"/>
      <c r="BE253" s="166"/>
      <c r="BF253" s="166"/>
      <c r="BG253" s="166"/>
      <c r="BH253" s="166"/>
      <c r="BI253" s="166"/>
      <c r="BJ253" s="166"/>
      <c r="BK253" s="166"/>
      <c r="BL253" s="166"/>
      <c r="BM253" s="166"/>
      <c r="BN253" s="166"/>
    </row>
    <row r="254" spans="2:66" ht="15" thickBot="1" x14ac:dyDescent="0.3">
      <c r="B254" s="842" t="s">
        <v>388</v>
      </c>
      <c r="C254" s="822">
        <v>0</v>
      </c>
      <c r="D254" s="822">
        <v>0</v>
      </c>
      <c r="E254" s="822">
        <v>0</v>
      </c>
      <c r="F254" s="822">
        <v>0</v>
      </c>
      <c r="G254" s="822">
        <f>G252+G253</f>
        <v>4807744.9000000004</v>
      </c>
      <c r="H254" s="822">
        <f t="shared" ref="H254:AT254" si="139">H252+H253</f>
        <v>6278726.5333333332</v>
      </c>
      <c r="I254" s="822">
        <f t="shared" si="139"/>
        <v>6618259.6534599997</v>
      </c>
      <c r="J254" s="822">
        <f t="shared" si="139"/>
        <v>6691774.2763199992</v>
      </c>
      <c r="K254" s="822">
        <f t="shared" si="139"/>
        <v>7020421.7104188697</v>
      </c>
      <c r="L254" s="822">
        <f t="shared" si="139"/>
        <v>7096906.3240424152</v>
      </c>
      <c r="M254" s="822">
        <f t="shared" si="139"/>
        <v>7444276.4029040309</v>
      </c>
      <c r="N254" s="822">
        <f t="shared" si="139"/>
        <v>7488475.6575943921</v>
      </c>
      <c r="O254" s="822">
        <f t="shared" si="139"/>
        <v>7817311.101140216</v>
      </c>
      <c r="P254" s="822">
        <f t="shared" si="139"/>
        <v>7863296.0057200696</v>
      </c>
      <c r="Q254" s="822">
        <f t="shared" si="139"/>
        <v>8208336.7528201239</v>
      </c>
      <c r="R254" s="822">
        <f t="shared" si="139"/>
        <v>8256179.4475450078</v>
      </c>
      <c r="S254" s="822">
        <f t="shared" si="139"/>
        <v>8581168.8862302285</v>
      </c>
      <c r="T254" s="822">
        <f t="shared" si="139"/>
        <v>8593915.1373832859</v>
      </c>
      <c r="U254" s="822">
        <f t="shared" si="139"/>
        <v>8932203.2654137574</v>
      </c>
      <c r="V254" s="822">
        <f t="shared" si="139"/>
        <v>8945464.4651133977</v>
      </c>
      <c r="W254" s="822">
        <f t="shared" si="139"/>
        <v>9297595.3818259574</v>
      </c>
      <c r="X254" s="822">
        <f t="shared" si="139"/>
        <v>9373826.0117993765</v>
      </c>
      <c r="Y254" s="822">
        <f t="shared" si="139"/>
        <v>9807844.3931411374</v>
      </c>
      <c r="Z254" s="822">
        <f t="shared" si="139"/>
        <v>9887154.7405654807</v>
      </c>
      <c r="AA254" s="822">
        <f t="shared" si="139"/>
        <v>10344146.361292176</v>
      </c>
      <c r="AB254" s="822">
        <f t="shared" si="139"/>
        <v>10426660.846752461</v>
      </c>
      <c r="AC254" s="822">
        <f t="shared" si="139"/>
        <v>10834911.715726743</v>
      </c>
      <c r="AD254" s="822">
        <f t="shared" si="139"/>
        <v>10847897.944961259</v>
      </c>
      <c r="AE254" s="822">
        <f t="shared" si="139"/>
        <v>11272642.149042102</v>
      </c>
      <c r="AF254" s="822">
        <f t="shared" si="139"/>
        <v>11286153.021937693</v>
      </c>
      <c r="AG254" s="822">
        <f t="shared" si="139"/>
        <v>11728056.891863402</v>
      </c>
      <c r="AH254" s="822">
        <f t="shared" si="139"/>
        <v>11742113.604023976</v>
      </c>
      <c r="AI254" s="822">
        <f t="shared" si="139"/>
        <v>12201870.390294684</v>
      </c>
      <c r="AJ254" s="822">
        <f t="shared" si="139"/>
        <v>12216494.993626546</v>
      </c>
      <c r="AK254" s="822">
        <f t="shared" si="139"/>
        <v>12694825.954062592</v>
      </c>
      <c r="AL254" s="822">
        <f t="shared" si="139"/>
        <v>12710041.39136906</v>
      </c>
      <c r="AM254" s="822">
        <f t="shared" si="139"/>
        <v>13207696.922606716</v>
      </c>
      <c r="AN254" s="822">
        <f t="shared" si="139"/>
        <v>13223527.063580366</v>
      </c>
      <c r="AO254" s="822">
        <f t="shared" si="139"/>
        <v>13741287.878280031</v>
      </c>
      <c r="AP254" s="822">
        <f t="shared" si="139"/>
        <v>13757757.556949016</v>
      </c>
      <c r="AQ254" s="822">
        <f t="shared" si="139"/>
        <v>14296435.908562543</v>
      </c>
      <c r="AR254" s="822">
        <f t="shared" si="139"/>
        <v>14313570.962249756</v>
      </c>
      <c r="AS254" s="822">
        <f t="shared" si="139"/>
        <v>14874011.919268474</v>
      </c>
      <c r="AT254" s="823">
        <f t="shared" si="139"/>
        <v>14891839.229124648</v>
      </c>
      <c r="AU254" s="166"/>
      <c r="AV254" s="166"/>
      <c r="AW254" s="166"/>
      <c r="AX254" s="166"/>
      <c r="AY254" s="166"/>
      <c r="AZ254" s="166"/>
      <c r="BA254" s="166"/>
      <c r="BB254" s="166"/>
      <c r="BC254" s="166"/>
      <c r="BD254" s="166"/>
      <c r="BE254" s="166"/>
      <c r="BF254" s="166"/>
      <c r="BG254" s="166"/>
      <c r="BH254" s="166"/>
      <c r="BI254" s="166"/>
      <c r="BJ254" s="166"/>
      <c r="BK254" s="166"/>
      <c r="BL254" s="166"/>
      <c r="BM254" s="166"/>
      <c r="BN254" s="166"/>
    </row>
    <row r="255" spans="2:66" ht="15" thickBot="1" x14ac:dyDescent="0.3">
      <c r="B255" s="838"/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78"/>
      <c r="V255" s="178"/>
      <c r="W255" s="178"/>
      <c r="X255" s="178"/>
      <c r="Y255" s="178"/>
      <c r="Z255" s="178"/>
      <c r="AA255" s="178"/>
      <c r="AB255" s="178"/>
      <c r="AC255" s="178"/>
      <c r="AD255" s="178"/>
      <c r="AE255" s="178"/>
      <c r="AF255" s="178"/>
      <c r="AG255" s="178"/>
      <c r="AH255" s="178"/>
      <c r="AI255" s="178"/>
      <c r="AJ255" s="178"/>
      <c r="AK255" s="178"/>
      <c r="AL255" s="178"/>
      <c r="AM255" s="178"/>
      <c r="AN255" s="178"/>
      <c r="AO255" s="178"/>
      <c r="AP255" s="178"/>
      <c r="AQ255" s="178"/>
      <c r="AR255" s="178"/>
      <c r="AS255" s="178"/>
      <c r="AT255" s="178"/>
      <c r="AU255" s="166"/>
      <c r="AV255" s="166"/>
      <c r="AW255" s="166"/>
      <c r="AX255" s="166"/>
      <c r="AY255" s="166"/>
      <c r="AZ255" s="166"/>
      <c r="BA255" s="166"/>
      <c r="BB255" s="166"/>
      <c r="BC255" s="166"/>
      <c r="BD255" s="166"/>
      <c r="BE255" s="166"/>
      <c r="BF255" s="166"/>
      <c r="BG255" s="166"/>
      <c r="BH255" s="166"/>
      <c r="BI255" s="166"/>
      <c r="BJ255" s="166"/>
      <c r="BK255" s="166"/>
      <c r="BL255" s="166"/>
      <c r="BM255" s="166"/>
      <c r="BN255" s="166"/>
    </row>
    <row r="256" spans="2:66" ht="15" thickBot="1" x14ac:dyDescent="0.3">
      <c r="B256" s="843" t="s">
        <v>387</v>
      </c>
      <c r="C256" s="825"/>
      <c r="D256" s="825"/>
      <c r="E256" s="825"/>
      <c r="F256" s="825"/>
      <c r="G256" s="826">
        <f>G254+G249</f>
        <v>489507.93856936321</v>
      </c>
      <c r="H256" s="826">
        <f t="shared" ref="H256:AT256" si="140">H254+H249</f>
        <v>1845788.7083881516</v>
      </c>
      <c r="I256" s="826">
        <f t="shared" si="140"/>
        <v>2081384.4718990242</v>
      </c>
      <c r="J256" s="826">
        <f t="shared" si="140"/>
        <v>2048462.3632845329</v>
      </c>
      <c r="K256" s="826">
        <f t="shared" si="140"/>
        <v>-4597482.9954226064</v>
      </c>
      <c r="L256" s="826">
        <f t="shared" si="140"/>
        <v>2232974.8563857935</v>
      </c>
      <c r="M256" s="826">
        <f t="shared" si="140"/>
        <v>2466034.2026788071</v>
      </c>
      <c r="N256" s="826">
        <f t="shared" si="140"/>
        <v>2393167.4498900538</v>
      </c>
      <c r="O256" s="826">
        <f t="shared" si="140"/>
        <v>2602113.5458709616</v>
      </c>
      <c r="P256" s="826">
        <f t="shared" si="140"/>
        <v>-5018254.5645796526</v>
      </c>
      <c r="Q256" s="826">
        <f t="shared" si="140"/>
        <v>2744609.571677844</v>
      </c>
      <c r="R256" s="826">
        <f t="shared" si="140"/>
        <v>2663667.0733928634</v>
      </c>
      <c r="S256" s="826">
        <f t="shared" si="140"/>
        <v>2856758.0571030956</v>
      </c>
      <c r="T256" s="826">
        <f t="shared" si="140"/>
        <v>2734415.4642984737</v>
      </c>
      <c r="U256" s="826">
        <f t="shared" si="140"/>
        <v>-5354153.1742145997</v>
      </c>
      <c r="V256" s="826">
        <f t="shared" si="140"/>
        <v>2805897.6013404178</v>
      </c>
      <c r="W256" s="826">
        <f t="shared" si="140"/>
        <v>3012885.9362606704</v>
      </c>
      <c r="X256" s="826">
        <f t="shared" si="140"/>
        <v>2940455.0199977765</v>
      </c>
      <c r="Y256" s="826">
        <f t="shared" si="140"/>
        <v>3222205.4665291104</v>
      </c>
      <c r="Z256" s="826">
        <f t="shared" si="140"/>
        <v>-5961439.0267628469</v>
      </c>
      <c r="AA256" s="826">
        <f t="shared" si="140"/>
        <v>3442791.5331980707</v>
      </c>
      <c r="AB256" s="826">
        <f t="shared" si="140"/>
        <v>3361671.8594796974</v>
      </c>
      <c r="AC256" s="826">
        <f t="shared" si="140"/>
        <v>3602309.6756643094</v>
      </c>
      <c r="AD256" s="826">
        <f t="shared" si="140"/>
        <v>3443604.8299692655</v>
      </c>
      <c r="AE256" s="826">
        <f t="shared" si="140"/>
        <v>-6313834.5939208847</v>
      </c>
      <c r="AF256" s="826">
        <f t="shared" si="140"/>
        <v>3525834.4779332913</v>
      </c>
      <c r="AG256" s="826">
        <f t="shared" si="140"/>
        <v>3783192.8390834257</v>
      </c>
      <c r="AH256" s="826">
        <f t="shared" si="140"/>
        <v>3608203.5741487695</v>
      </c>
      <c r="AI256" s="826">
        <f t="shared" si="140"/>
        <v>3874301.4783624932</v>
      </c>
      <c r="AJ256" s="826">
        <f t="shared" si="140"/>
        <v>-7303908.0713887922</v>
      </c>
      <c r="AK256" s="826">
        <f t="shared" si="140"/>
        <v>3965636.3752162326</v>
      </c>
      <c r="AL256" s="826">
        <f t="shared" si="140"/>
        <v>3772650.4861591943</v>
      </c>
      <c r="AM256" s="826">
        <f t="shared" si="140"/>
        <v>4057012.5471057128</v>
      </c>
      <c r="AN256" s="826">
        <f t="shared" si="140"/>
        <v>3854329.5010275487</v>
      </c>
      <c r="AO256" s="826">
        <f t="shared" si="140"/>
        <v>-7931937.8121392857</v>
      </c>
      <c r="AP256" s="826">
        <f t="shared" si="140"/>
        <v>3935347.7504396439</v>
      </c>
      <c r="AQ256" s="826">
        <f t="shared" si="140"/>
        <v>4239055.2125372123</v>
      </c>
      <c r="AR256" s="826">
        <f t="shared" si="140"/>
        <v>4015455.8168802261</v>
      </c>
      <c r="AS256" s="826">
        <f t="shared" si="140"/>
        <v>4329253.9712879658</v>
      </c>
      <c r="AT256" s="827">
        <f t="shared" si="140"/>
        <v>-9178720.4604858067</v>
      </c>
      <c r="AU256" s="166"/>
      <c r="AV256" s="166"/>
      <c r="AW256" s="166"/>
      <c r="AX256" s="166"/>
      <c r="AY256" s="166"/>
      <c r="AZ256" s="166"/>
      <c r="BA256" s="166"/>
      <c r="BB256" s="166"/>
      <c r="BC256" s="166"/>
      <c r="BD256" s="166"/>
      <c r="BE256" s="166"/>
      <c r="BF256" s="166"/>
      <c r="BG256" s="166"/>
      <c r="BH256" s="166"/>
      <c r="BI256" s="166"/>
      <c r="BJ256" s="166"/>
      <c r="BK256" s="166"/>
      <c r="BL256" s="166"/>
      <c r="BM256" s="166"/>
      <c r="BN256" s="166"/>
    </row>
    <row r="257" spans="2:66" ht="15" thickBot="1" x14ac:dyDescent="0.3">
      <c r="B257" s="839"/>
      <c r="C257" s="801"/>
      <c r="D257" s="801"/>
      <c r="E257" s="801"/>
      <c r="F257" s="801"/>
      <c r="G257" s="824"/>
      <c r="H257" s="824"/>
      <c r="I257" s="824"/>
      <c r="J257" s="824"/>
      <c r="K257" s="824"/>
      <c r="L257" s="824"/>
      <c r="M257" s="824"/>
      <c r="N257" s="824"/>
      <c r="O257" s="824"/>
      <c r="P257" s="824"/>
      <c r="Q257" s="824"/>
      <c r="R257" s="824"/>
      <c r="S257" s="824"/>
      <c r="T257" s="824"/>
      <c r="U257" s="824"/>
      <c r="V257" s="824"/>
      <c r="W257" s="824"/>
      <c r="X257" s="824"/>
      <c r="Y257" s="824"/>
      <c r="Z257" s="824"/>
      <c r="AA257" s="824"/>
      <c r="AB257" s="824"/>
      <c r="AC257" s="824"/>
      <c r="AD257" s="824"/>
      <c r="AE257" s="824"/>
      <c r="AF257" s="824"/>
      <c r="AG257" s="824"/>
      <c r="AH257" s="824"/>
      <c r="AI257" s="824"/>
      <c r="AJ257" s="824"/>
      <c r="AK257" s="824"/>
      <c r="AL257" s="824"/>
      <c r="AM257" s="824"/>
      <c r="AN257" s="824"/>
      <c r="AO257" s="824"/>
      <c r="AP257" s="824"/>
      <c r="AQ257" s="824"/>
      <c r="AR257" s="824"/>
      <c r="AS257" s="824"/>
      <c r="AT257" s="824"/>
      <c r="AU257" s="166"/>
      <c r="AV257" s="166"/>
      <c r="AW257" s="166"/>
      <c r="AX257" s="166"/>
      <c r="AY257" s="166"/>
      <c r="AZ257" s="166"/>
      <c r="BA257" s="166"/>
      <c r="BB257" s="166"/>
      <c r="BC257" s="166"/>
      <c r="BD257" s="166"/>
      <c r="BE257" s="166"/>
      <c r="BF257" s="166"/>
      <c r="BG257" s="166"/>
      <c r="BH257" s="166"/>
      <c r="BI257" s="166"/>
      <c r="BJ257" s="166"/>
      <c r="BK257" s="166"/>
      <c r="BL257" s="166"/>
      <c r="BM257" s="166"/>
      <c r="BN257" s="166"/>
    </row>
    <row r="258" spans="2:66" ht="14.4" x14ac:dyDescent="0.25">
      <c r="B258" s="835" t="s">
        <v>397</v>
      </c>
      <c r="C258" s="818"/>
      <c r="D258" s="818"/>
      <c r="E258" s="818"/>
      <c r="F258" s="818"/>
      <c r="G258" s="818"/>
      <c r="H258" s="818"/>
      <c r="I258" s="818"/>
      <c r="J258" s="818"/>
      <c r="K258" s="818"/>
      <c r="L258" s="818"/>
      <c r="M258" s="818"/>
      <c r="N258" s="818"/>
      <c r="O258" s="818"/>
      <c r="P258" s="818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  <c r="AA258" s="818"/>
      <c r="AB258" s="818"/>
      <c r="AC258" s="818"/>
      <c r="AD258" s="818"/>
      <c r="AE258" s="818"/>
      <c r="AF258" s="818"/>
      <c r="AG258" s="818"/>
      <c r="AH258" s="818"/>
      <c r="AI258" s="818"/>
      <c r="AJ258" s="818"/>
      <c r="AK258" s="818"/>
      <c r="AL258" s="818"/>
      <c r="AM258" s="818"/>
      <c r="AN258" s="818"/>
      <c r="AO258" s="818"/>
      <c r="AP258" s="818"/>
      <c r="AQ258" s="818"/>
      <c r="AR258" s="818"/>
      <c r="AS258" s="818"/>
      <c r="AT258" s="819"/>
      <c r="AU258" s="166"/>
      <c r="AV258" s="166"/>
      <c r="AW258" s="166"/>
      <c r="AX258" s="166"/>
      <c r="AY258" s="166"/>
      <c r="AZ258" s="166"/>
      <c r="BA258" s="166"/>
      <c r="BB258" s="166"/>
      <c r="BC258" s="166"/>
      <c r="BD258" s="166"/>
      <c r="BE258" s="166"/>
      <c r="BF258" s="166"/>
      <c r="BG258" s="166"/>
      <c r="BH258" s="166"/>
      <c r="BI258" s="166"/>
      <c r="BJ258" s="166"/>
      <c r="BK258" s="166"/>
      <c r="BL258" s="166"/>
      <c r="BM258" s="166"/>
      <c r="BN258" s="166"/>
    </row>
    <row r="259" spans="2:66" x14ac:dyDescent="0.25">
      <c r="B259" s="836" t="s">
        <v>442</v>
      </c>
      <c r="C259" s="268">
        <v>0</v>
      </c>
      <c r="D259" s="268">
        <v>0</v>
      </c>
      <c r="E259" s="268">
        <v>0</v>
      </c>
      <c r="F259" s="268">
        <v>0</v>
      </c>
      <c r="G259" s="178">
        <f>G256</f>
        <v>489507.93856936321</v>
      </c>
      <c r="H259" s="178">
        <f t="shared" ref="H259:AT259" si="141">H256</f>
        <v>1845788.7083881516</v>
      </c>
      <c r="I259" s="178">
        <f t="shared" si="141"/>
        <v>2081384.4718990242</v>
      </c>
      <c r="J259" s="178">
        <f t="shared" si="141"/>
        <v>2048462.3632845329</v>
      </c>
      <c r="K259" s="178">
        <f t="shared" si="141"/>
        <v>-4597482.9954226064</v>
      </c>
      <c r="L259" s="178">
        <f t="shared" si="141"/>
        <v>2232974.8563857935</v>
      </c>
      <c r="M259" s="178">
        <f t="shared" si="141"/>
        <v>2466034.2026788071</v>
      </c>
      <c r="N259" s="178">
        <f t="shared" si="141"/>
        <v>2393167.4498900538</v>
      </c>
      <c r="O259" s="178">
        <f t="shared" si="141"/>
        <v>2602113.5458709616</v>
      </c>
      <c r="P259" s="178">
        <f t="shared" si="141"/>
        <v>-5018254.5645796526</v>
      </c>
      <c r="Q259" s="178">
        <f t="shared" si="141"/>
        <v>2744609.571677844</v>
      </c>
      <c r="R259" s="178">
        <f t="shared" si="141"/>
        <v>2663667.0733928634</v>
      </c>
      <c r="S259" s="178">
        <f t="shared" si="141"/>
        <v>2856758.0571030956</v>
      </c>
      <c r="T259" s="178">
        <f t="shared" si="141"/>
        <v>2734415.4642984737</v>
      </c>
      <c r="U259" s="178">
        <f t="shared" si="141"/>
        <v>-5354153.1742145997</v>
      </c>
      <c r="V259" s="178">
        <f t="shared" si="141"/>
        <v>2805897.6013404178</v>
      </c>
      <c r="W259" s="178">
        <f t="shared" si="141"/>
        <v>3012885.9362606704</v>
      </c>
      <c r="X259" s="178">
        <f t="shared" si="141"/>
        <v>2940455.0199977765</v>
      </c>
      <c r="Y259" s="178">
        <f t="shared" si="141"/>
        <v>3222205.4665291104</v>
      </c>
      <c r="Z259" s="178">
        <f t="shared" si="141"/>
        <v>-5961439.0267628469</v>
      </c>
      <c r="AA259" s="178">
        <f t="shared" si="141"/>
        <v>3442791.5331980707</v>
      </c>
      <c r="AB259" s="178">
        <f t="shared" si="141"/>
        <v>3361671.8594796974</v>
      </c>
      <c r="AC259" s="178">
        <f t="shared" si="141"/>
        <v>3602309.6756643094</v>
      </c>
      <c r="AD259" s="178">
        <f t="shared" si="141"/>
        <v>3443604.8299692655</v>
      </c>
      <c r="AE259" s="178">
        <f t="shared" si="141"/>
        <v>-6313834.5939208847</v>
      </c>
      <c r="AF259" s="178">
        <f t="shared" si="141"/>
        <v>3525834.4779332913</v>
      </c>
      <c r="AG259" s="178">
        <f t="shared" si="141"/>
        <v>3783192.8390834257</v>
      </c>
      <c r="AH259" s="178">
        <f t="shared" si="141"/>
        <v>3608203.5741487695</v>
      </c>
      <c r="AI259" s="178">
        <f t="shared" si="141"/>
        <v>3874301.4783624932</v>
      </c>
      <c r="AJ259" s="178">
        <f t="shared" si="141"/>
        <v>-7303908.0713887922</v>
      </c>
      <c r="AK259" s="178">
        <f t="shared" si="141"/>
        <v>3965636.3752162326</v>
      </c>
      <c r="AL259" s="178">
        <f t="shared" si="141"/>
        <v>3772650.4861591943</v>
      </c>
      <c r="AM259" s="178">
        <f t="shared" si="141"/>
        <v>4057012.5471057128</v>
      </c>
      <c r="AN259" s="178">
        <f t="shared" si="141"/>
        <v>3854329.5010275487</v>
      </c>
      <c r="AO259" s="178">
        <f t="shared" si="141"/>
        <v>-7931937.8121392857</v>
      </c>
      <c r="AP259" s="178">
        <f t="shared" si="141"/>
        <v>3935347.7504396439</v>
      </c>
      <c r="AQ259" s="178">
        <f t="shared" si="141"/>
        <v>4239055.2125372123</v>
      </c>
      <c r="AR259" s="178">
        <f t="shared" si="141"/>
        <v>4015455.8168802261</v>
      </c>
      <c r="AS259" s="178">
        <f t="shared" si="141"/>
        <v>4329253.9712879658</v>
      </c>
      <c r="AT259" s="265">
        <f t="shared" si="141"/>
        <v>-9178720.4604858067</v>
      </c>
      <c r="AU259" s="166"/>
      <c r="AV259" s="166"/>
      <c r="AW259" s="166"/>
      <c r="AX259" s="166"/>
      <c r="AY259" s="166"/>
      <c r="AZ259" s="166"/>
      <c r="BA259" s="166"/>
      <c r="BB259" s="166"/>
      <c r="BC259" s="166"/>
      <c r="BD259" s="166"/>
      <c r="BE259" s="166"/>
      <c r="BF259" s="166"/>
      <c r="BG259" s="166"/>
      <c r="BH259" s="166"/>
      <c r="BI259" s="166"/>
      <c r="BJ259" s="166"/>
      <c r="BK259" s="166"/>
      <c r="BL259" s="166"/>
      <c r="BM259" s="166"/>
      <c r="BN259" s="166"/>
    </row>
    <row r="260" spans="2:66" x14ac:dyDescent="0.25">
      <c r="B260" s="836" t="s">
        <v>440</v>
      </c>
      <c r="C260" s="268">
        <v>0</v>
      </c>
      <c r="D260" s="268">
        <v>0</v>
      </c>
      <c r="E260" s="268">
        <v>0</v>
      </c>
      <c r="F260" s="268">
        <v>0</v>
      </c>
      <c r="G260" s="178">
        <f>IF(G259&gt;0,-$C$23*G259,0)</f>
        <v>0</v>
      </c>
      <c r="H260" s="178">
        <f t="shared" ref="H260:AT260" si="142">IF(H259&gt;0,-$C$23*H259,0)</f>
        <v>0</v>
      </c>
      <c r="I260" s="178">
        <f t="shared" si="142"/>
        <v>0</v>
      </c>
      <c r="J260" s="178">
        <f t="shared" si="142"/>
        <v>0</v>
      </c>
      <c r="K260" s="178">
        <f t="shared" si="142"/>
        <v>0</v>
      </c>
      <c r="L260" s="178">
        <f t="shared" si="142"/>
        <v>0</v>
      </c>
      <c r="M260" s="178">
        <f t="shared" si="142"/>
        <v>0</v>
      </c>
      <c r="N260" s="178">
        <f t="shared" si="142"/>
        <v>0</v>
      </c>
      <c r="O260" s="178">
        <f t="shared" si="142"/>
        <v>0</v>
      </c>
      <c r="P260" s="178">
        <f t="shared" si="142"/>
        <v>0</v>
      </c>
      <c r="Q260" s="178">
        <f t="shared" si="142"/>
        <v>0</v>
      </c>
      <c r="R260" s="178">
        <f t="shared" si="142"/>
        <v>0</v>
      </c>
      <c r="S260" s="178">
        <f t="shared" si="142"/>
        <v>0</v>
      </c>
      <c r="T260" s="178">
        <f t="shared" si="142"/>
        <v>0</v>
      </c>
      <c r="U260" s="178">
        <f t="shared" si="142"/>
        <v>0</v>
      </c>
      <c r="V260" s="178">
        <f t="shared" si="142"/>
        <v>0</v>
      </c>
      <c r="W260" s="178">
        <f t="shared" si="142"/>
        <v>0</v>
      </c>
      <c r="X260" s="178">
        <f t="shared" si="142"/>
        <v>0</v>
      </c>
      <c r="Y260" s="178">
        <f t="shared" si="142"/>
        <v>0</v>
      </c>
      <c r="Z260" s="178">
        <f t="shared" si="142"/>
        <v>0</v>
      </c>
      <c r="AA260" s="178">
        <f t="shared" si="142"/>
        <v>0</v>
      </c>
      <c r="AB260" s="178">
        <f t="shared" si="142"/>
        <v>0</v>
      </c>
      <c r="AC260" s="178">
        <f t="shared" si="142"/>
        <v>0</v>
      </c>
      <c r="AD260" s="178">
        <f t="shared" si="142"/>
        <v>0</v>
      </c>
      <c r="AE260" s="178">
        <f t="shared" si="142"/>
        <v>0</v>
      </c>
      <c r="AF260" s="178">
        <f t="shared" si="142"/>
        <v>0</v>
      </c>
      <c r="AG260" s="178">
        <f t="shared" si="142"/>
        <v>0</v>
      </c>
      <c r="AH260" s="178">
        <f t="shared" si="142"/>
        <v>0</v>
      </c>
      <c r="AI260" s="178">
        <f t="shared" si="142"/>
        <v>0</v>
      </c>
      <c r="AJ260" s="178">
        <f t="shared" si="142"/>
        <v>0</v>
      </c>
      <c r="AK260" s="178">
        <f t="shared" si="142"/>
        <v>0</v>
      </c>
      <c r="AL260" s="178">
        <f t="shared" si="142"/>
        <v>0</v>
      </c>
      <c r="AM260" s="178">
        <f t="shared" si="142"/>
        <v>0</v>
      </c>
      <c r="AN260" s="178">
        <f t="shared" si="142"/>
        <v>0</v>
      </c>
      <c r="AO260" s="178">
        <f t="shared" si="142"/>
        <v>0</v>
      </c>
      <c r="AP260" s="178">
        <f t="shared" si="142"/>
        <v>0</v>
      </c>
      <c r="AQ260" s="178">
        <f t="shared" si="142"/>
        <v>0</v>
      </c>
      <c r="AR260" s="178">
        <f t="shared" si="142"/>
        <v>0</v>
      </c>
      <c r="AS260" s="178">
        <f t="shared" si="142"/>
        <v>0</v>
      </c>
      <c r="AT260" s="265">
        <f t="shared" si="142"/>
        <v>0</v>
      </c>
      <c r="AU260" s="166"/>
      <c r="AV260" s="166"/>
      <c r="AW260" s="166"/>
      <c r="AX260" s="166"/>
      <c r="AY260" s="166"/>
      <c r="AZ260" s="166"/>
      <c r="BA260" s="166"/>
      <c r="BB260" s="166"/>
      <c r="BC260" s="166"/>
      <c r="BD260" s="166"/>
      <c r="BE260" s="166"/>
      <c r="BF260" s="166"/>
      <c r="BG260" s="166"/>
      <c r="BH260" s="166"/>
      <c r="BI260" s="166"/>
      <c r="BJ260" s="166"/>
      <c r="BK260" s="166"/>
      <c r="BL260" s="166"/>
      <c r="BM260" s="166"/>
      <c r="BN260" s="166"/>
    </row>
    <row r="261" spans="2:66" ht="14.4" x14ac:dyDescent="0.25">
      <c r="B261" s="840" t="s">
        <v>175</v>
      </c>
      <c r="C261" s="800">
        <v>0</v>
      </c>
      <c r="D261" s="800">
        <v>0</v>
      </c>
      <c r="E261" s="800">
        <v>0</v>
      </c>
      <c r="F261" s="800">
        <v>0</v>
      </c>
      <c r="G261" s="261">
        <f>G243</f>
        <v>-4476318.6173797483</v>
      </c>
      <c r="H261" s="261">
        <f t="shared" ref="H261:AT261" si="143">H243</f>
        <v>-4476318.6173797483</v>
      </c>
      <c r="I261" s="261">
        <f t="shared" si="143"/>
        <v>-4476318.6173797483</v>
      </c>
      <c r="J261" s="261">
        <f t="shared" si="143"/>
        <v>-4476318.6173797483</v>
      </c>
      <c r="K261" s="261">
        <f t="shared" si="143"/>
        <v>-4476318.6173797483</v>
      </c>
      <c r="L261" s="261">
        <f t="shared" si="143"/>
        <v>-4226566.6672863076</v>
      </c>
      <c r="M261" s="261">
        <f t="shared" si="143"/>
        <v>-4226566.6672863076</v>
      </c>
      <c r="N261" s="261">
        <f t="shared" si="143"/>
        <v>-4226566.6672863076</v>
      </c>
      <c r="O261" s="261">
        <f t="shared" si="143"/>
        <v>-4226566.6672863076</v>
      </c>
      <c r="P261" s="261">
        <f t="shared" si="143"/>
        <v>-4226566.6672863076</v>
      </c>
      <c r="Q261" s="261">
        <f t="shared" si="143"/>
        <v>-3636188.9104059879</v>
      </c>
      <c r="R261" s="261">
        <f t="shared" si="143"/>
        <v>-4364578.243786227</v>
      </c>
      <c r="S261" s="261">
        <f t="shared" si="143"/>
        <v>-4364578.243786227</v>
      </c>
      <c r="T261" s="261">
        <f t="shared" si="143"/>
        <v>-4364578.243786227</v>
      </c>
      <c r="U261" s="261">
        <f t="shared" si="143"/>
        <v>-4364578.243786227</v>
      </c>
      <c r="V261" s="261">
        <f t="shared" si="143"/>
        <v>-3330617.415194436</v>
      </c>
      <c r="W261" s="261">
        <f t="shared" si="143"/>
        <v>-3330617.415194436</v>
      </c>
      <c r="X261" s="261">
        <f t="shared" si="143"/>
        <v>-4784057.9763839645</v>
      </c>
      <c r="Y261" s="261">
        <f t="shared" si="143"/>
        <v>-4784057.9763839645</v>
      </c>
      <c r="Z261" s="261">
        <f t="shared" si="143"/>
        <v>-4784057.9763839645</v>
      </c>
      <c r="AA261" s="261">
        <f t="shared" si="143"/>
        <v>-4784057.9763839645</v>
      </c>
      <c r="AB261" s="261">
        <f t="shared" si="143"/>
        <v>-4784057.9763839645</v>
      </c>
      <c r="AC261" s="261">
        <f t="shared" si="143"/>
        <v>-4959508.4970497834</v>
      </c>
      <c r="AD261" s="261">
        <f t="shared" si="143"/>
        <v>-4959508.4970497834</v>
      </c>
      <c r="AE261" s="261">
        <f t="shared" si="143"/>
        <v>-4959508.4970497834</v>
      </c>
      <c r="AF261" s="261">
        <f t="shared" si="143"/>
        <v>-4959508.4970497834</v>
      </c>
      <c r="AG261" s="261">
        <f t="shared" si="143"/>
        <v>-4959508.4970497834</v>
      </c>
      <c r="AH261" s="261">
        <f t="shared" si="143"/>
        <v>-4959508.4970497834</v>
      </c>
      <c r="AI261" s="261">
        <f t="shared" si="143"/>
        <v>-4959508.4970497834</v>
      </c>
      <c r="AJ261" s="261">
        <f t="shared" si="143"/>
        <v>-4959508.4970497834</v>
      </c>
      <c r="AK261" s="261">
        <f t="shared" si="143"/>
        <v>-4959508.4970497834</v>
      </c>
      <c r="AL261" s="261">
        <f t="shared" si="143"/>
        <v>-4959508.4970497834</v>
      </c>
      <c r="AM261" s="261">
        <f t="shared" si="143"/>
        <v>-3506067.9358602548</v>
      </c>
      <c r="AN261" s="261">
        <f t="shared" si="143"/>
        <v>-2602228.0818141969</v>
      </c>
      <c r="AO261" s="261">
        <f t="shared" si="143"/>
        <v>-5537212.7180729993</v>
      </c>
      <c r="AP261" s="261">
        <f t="shared" si="143"/>
        <v>-5537212.7180729993</v>
      </c>
      <c r="AQ261" s="261">
        <f t="shared" si="143"/>
        <v>-5537212.7180729993</v>
      </c>
      <c r="AR261" s="261">
        <f t="shared" si="143"/>
        <v>-5537212.7180729993</v>
      </c>
      <c r="AS261" s="261">
        <f t="shared" si="143"/>
        <v>-5537212.7180729993</v>
      </c>
      <c r="AT261" s="266">
        <f t="shared" si="143"/>
        <v>-5537212.7180729993</v>
      </c>
      <c r="AU261" s="166"/>
      <c r="AV261" s="166"/>
      <c r="AW261" s="166"/>
      <c r="AX261" s="166"/>
      <c r="AY261" s="166"/>
      <c r="AZ261" s="166"/>
      <c r="BA261" s="166"/>
      <c r="BB261" s="166"/>
      <c r="BC261" s="166"/>
      <c r="BD261" s="166"/>
      <c r="BE261" s="166"/>
      <c r="BF261" s="166"/>
      <c r="BG261" s="166"/>
      <c r="BH261" s="166"/>
      <c r="BI261" s="166"/>
      <c r="BJ261" s="166"/>
      <c r="BK261" s="166"/>
      <c r="BL261" s="166"/>
      <c r="BM261" s="166"/>
      <c r="BN261" s="166"/>
    </row>
    <row r="262" spans="2:66" x14ac:dyDescent="0.25">
      <c r="B262" s="836" t="s">
        <v>444</v>
      </c>
      <c r="C262" s="268">
        <v>0</v>
      </c>
      <c r="D262" s="268">
        <v>0</v>
      </c>
      <c r="E262" s="268">
        <v>0</v>
      </c>
      <c r="F262" s="268">
        <v>0</v>
      </c>
      <c r="G262" s="178">
        <f t="shared" ref="G262:AT262" si="144">G259+G260+G261</f>
        <v>-3986810.6788103851</v>
      </c>
      <c r="H262" s="178">
        <f t="shared" si="144"/>
        <v>-2630529.9089915967</v>
      </c>
      <c r="I262" s="178">
        <f t="shared" si="144"/>
        <v>-2394934.1454807241</v>
      </c>
      <c r="J262" s="178">
        <f t="shared" si="144"/>
        <v>-2427856.2540952154</v>
      </c>
      <c r="K262" s="178">
        <f t="shared" si="144"/>
        <v>-9073801.6128023546</v>
      </c>
      <c r="L262" s="178">
        <f t="shared" si="144"/>
        <v>-1993591.810900514</v>
      </c>
      <c r="M262" s="178">
        <f t="shared" si="144"/>
        <v>-1760532.4646075005</v>
      </c>
      <c r="N262" s="178">
        <f t="shared" si="144"/>
        <v>-1833399.2173962537</v>
      </c>
      <c r="O262" s="178">
        <f t="shared" si="144"/>
        <v>-1624453.1214153459</v>
      </c>
      <c r="P262" s="178">
        <f t="shared" si="144"/>
        <v>-9244821.2318659611</v>
      </c>
      <c r="Q262" s="178">
        <f t="shared" si="144"/>
        <v>-891579.33872814383</v>
      </c>
      <c r="R262" s="178">
        <f t="shared" si="144"/>
        <v>-1700911.1703933636</v>
      </c>
      <c r="S262" s="178">
        <f t="shared" si="144"/>
        <v>-1507820.1866831314</v>
      </c>
      <c r="T262" s="178">
        <f t="shared" si="144"/>
        <v>-1630162.7794877533</v>
      </c>
      <c r="U262" s="178">
        <f t="shared" si="144"/>
        <v>-9718731.4180008266</v>
      </c>
      <c r="V262" s="178">
        <f t="shared" si="144"/>
        <v>-524719.81385401823</v>
      </c>
      <c r="W262" s="178">
        <f t="shared" si="144"/>
        <v>-317731.47893376555</v>
      </c>
      <c r="X262" s="178">
        <f t="shared" si="144"/>
        <v>-1843602.956386188</v>
      </c>
      <c r="Y262" s="178">
        <f t="shared" si="144"/>
        <v>-1561852.5098548541</v>
      </c>
      <c r="Z262" s="178">
        <f t="shared" si="144"/>
        <v>-10745497.003146812</v>
      </c>
      <c r="AA262" s="178">
        <f t="shared" si="144"/>
        <v>-1341266.4431858938</v>
      </c>
      <c r="AB262" s="178">
        <f t="shared" si="144"/>
        <v>-1422386.1169042671</v>
      </c>
      <c r="AC262" s="178">
        <f t="shared" si="144"/>
        <v>-1357198.8213854739</v>
      </c>
      <c r="AD262" s="178">
        <f t="shared" si="144"/>
        <v>-1515903.6670805179</v>
      </c>
      <c r="AE262" s="178">
        <f t="shared" si="144"/>
        <v>-11273343.090970669</v>
      </c>
      <c r="AF262" s="178">
        <f t="shared" si="144"/>
        <v>-1433674.019116492</v>
      </c>
      <c r="AG262" s="178">
        <f t="shared" si="144"/>
        <v>-1176315.6579663577</v>
      </c>
      <c r="AH262" s="178">
        <f t="shared" si="144"/>
        <v>-1351304.9229010139</v>
      </c>
      <c r="AI262" s="178">
        <f t="shared" si="144"/>
        <v>-1085207.0186872901</v>
      </c>
      <c r="AJ262" s="178">
        <f t="shared" si="144"/>
        <v>-12263416.568438575</v>
      </c>
      <c r="AK262" s="178">
        <f t="shared" si="144"/>
        <v>-993872.12183355074</v>
      </c>
      <c r="AL262" s="178">
        <f t="shared" si="144"/>
        <v>-1186858.0108905891</v>
      </c>
      <c r="AM262" s="178">
        <f t="shared" si="144"/>
        <v>550944.61124545801</v>
      </c>
      <c r="AN262" s="178">
        <f t="shared" si="144"/>
        <v>1252101.4192133518</v>
      </c>
      <c r="AO262" s="178">
        <f t="shared" si="144"/>
        <v>-13469150.530212285</v>
      </c>
      <c r="AP262" s="178">
        <f t="shared" si="144"/>
        <v>-1601864.9676333554</v>
      </c>
      <c r="AQ262" s="178">
        <f t="shared" si="144"/>
        <v>-1298157.505535787</v>
      </c>
      <c r="AR262" s="178">
        <f t="shared" si="144"/>
        <v>-1521756.9011927731</v>
      </c>
      <c r="AS262" s="178">
        <f t="shared" si="144"/>
        <v>-1207958.7467850335</v>
      </c>
      <c r="AT262" s="265">
        <f t="shared" si="144"/>
        <v>-14715933.178558806</v>
      </c>
      <c r="AU262" s="166"/>
      <c r="AV262" s="166"/>
      <c r="AW262" s="166"/>
      <c r="AX262" s="166"/>
      <c r="AY262" s="166"/>
      <c r="AZ262" s="166"/>
      <c r="BA262" s="166"/>
      <c r="BB262" s="166"/>
      <c r="BC262" s="166"/>
      <c r="BD262" s="166"/>
      <c r="BE262" s="166"/>
      <c r="BF262" s="166"/>
      <c r="BG262" s="166"/>
      <c r="BH262" s="166"/>
      <c r="BI262" s="166"/>
      <c r="BJ262" s="166"/>
      <c r="BK262" s="166"/>
      <c r="BL262" s="166"/>
      <c r="BM262" s="166"/>
      <c r="BN262" s="166"/>
    </row>
    <row r="263" spans="2:66" x14ac:dyDescent="0.25">
      <c r="B263" s="836" t="s">
        <v>443</v>
      </c>
      <c r="C263" s="268">
        <v>0</v>
      </c>
      <c r="D263" s="268">
        <v>0</v>
      </c>
      <c r="E263" s="268">
        <v>0</v>
      </c>
      <c r="F263" s="268">
        <v>0</v>
      </c>
      <c r="G263" s="178">
        <f>IF(G262&gt;0,-$C$24*G262,0)</f>
        <v>0</v>
      </c>
      <c r="H263" s="178">
        <f t="shared" ref="H263:AT263" si="145">IF(H262&gt;0,-$C$24*H262,0)</f>
        <v>0</v>
      </c>
      <c r="I263" s="178">
        <f t="shared" si="145"/>
        <v>0</v>
      </c>
      <c r="J263" s="178">
        <f t="shared" si="145"/>
        <v>0</v>
      </c>
      <c r="K263" s="178">
        <f t="shared" si="145"/>
        <v>0</v>
      </c>
      <c r="L263" s="178">
        <f t="shared" si="145"/>
        <v>0</v>
      </c>
      <c r="M263" s="178">
        <f t="shared" si="145"/>
        <v>0</v>
      </c>
      <c r="N263" s="178">
        <f t="shared" si="145"/>
        <v>0</v>
      </c>
      <c r="O263" s="178">
        <f t="shared" si="145"/>
        <v>0</v>
      </c>
      <c r="P263" s="178">
        <f t="shared" si="145"/>
        <v>0</v>
      </c>
      <c r="Q263" s="178">
        <f t="shared" si="145"/>
        <v>0</v>
      </c>
      <c r="R263" s="178">
        <f t="shared" si="145"/>
        <v>0</v>
      </c>
      <c r="S263" s="178">
        <f t="shared" si="145"/>
        <v>0</v>
      </c>
      <c r="T263" s="178">
        <f t="shared" si="145"/>
        <v>0</v>
      </c>
      <c r="U263" s="178">
        <f t="shared" si="145"/>
        <v>0</v>
      </c>
      <c r="V263" s="178">
        <f t="shared" si="145"/>
        <v>0</v>
      </c>
      <c r="W263" s="178">
        <f t="shared" si="145"/>
        <v>0</v>
      </c>
      <c r="X263" s="178">
        <f t="shared" si="145"/>
        <v>0</v>
      </c>
      <c r="Y263" s="178">
        <f t="shared" si="145"/>
        <v>0</v>
      </c>
      <c r="Z263" s="178">
        <f t="shared" si="145"/>
        <v>0</v>
      </c>
      <c r="AA263" s="178">
        <f t="shared" si="145"/>
        <v>0</v>
      </c>
      <c r="AB263" s="178">
        <f t="shared" si="145"/>
        <v>0</v>
      </c>
      <c r="AC263" s="178">
        <f t="shared" si="145"/>
        <v>0</v>
      </c>
      <c r="AD263" s="178">
        <f t="shared" si="145"/>
        <v>0</v>
      </c>
      <c r="AE263" s="178">
        <f t="shared" si="145"/>
        <v>0</v>
      </c>
      <c r="AF263" s="178">
        <f t="shared" si="145"/>
        <v>0</v>
      </c>
      <c r="AG263" s="178">
        <f t="shared" si="145"/>
        <v>0</v>
      </c>
      <c r="AH263" s="178">
        <f t="shared" si="145"/>
        <v>0</v>
      </c>
      <c r="AI263" s="178">
        <f t="shared" si="145"/>
        <v>0</v>
      </c>
      <c r="AJ263" s="178">
        <f t="shared" si="145"/>
        <v>0</v>
      </c>
      <c r="AK263" s="178">
        <f t="shared" si="145"/>
        <v>0</v>
      </c>
      <c r="AL263" s="178">
        <f t="shared" si="145"/>
        <v>0</v>
      </c>
      <c r="AM263" s="178">
        <f t="shared" si="145"/>
        <v>-192830.61393591028</v>
      </c>
      <c r="AN263" s="178">
        <f t="shared" si="145"/>
        <v>-438235.49672467308</v>
      </c>
      <c r="AO263" s="178">
        <f t="shared" si="145"/>
        <v>0</v>
      </c>
      <c r="AP263" s="178">
        <f t="shared" si="145"/>
        <v>0</v>
      </c>
      <c r="AQ263" s="178">
        <f t="shared" si="145"/>
        <v>0</v>
      </c>
      <c r="AR263" s="178">
        <f t="shared" si="145"/>
        <v>0</v>
      </c>
      <c r="AS263" s="178">
        <f t="shared" si="145"/>
        <v>0</v>
      </c>
      <c r="AT263" s="265">
        <f t="shared" si="145"/>
        <v>0</v>
      </c>
      <c r="AU263" s="166"/>
      <c r="AV263" s="166"/>
      <c r="AW263" s="166"/>
      <c r="AX263" s="166"/>
      <c r="AY263" s="166"/>
      <c r="AZ263" s="166"/>
      <c r="BA263" s="166"/>
      <c r="BB263" s="166"/>
      <c r="BC263" s="166"/>
      <c r="BD263" s="166"/>
      <c r="BE263" s="166"/>
      <c r="BF263" s="166"/>
      <c r="BG263" s="166"/>
      <c r="BH263" s="166"/>
      <c r="BI263" s="166"/>
      <c r="BJ263" s="166"/>
      <c r="BK263" s="166"/>
      <c r="BL263" s="166"/>
      <c r="BM263" s="166"/>
      <c r="BN263" s="166"/>
    </row>
    <row r="264" spans="2:66" ht="14.4" x14ac:dyDescent="0.25">
      <c r="B264" s="841" t="s">
        <v>445</v>
      </c>
      <c r="C264" s="801">
        <v>0</v>
      </c>
      <c r="D264" s="801">
        <v>0</v>
      </c>
      <c r="E264" s="801">
        <v>0</v>
      </c>
      <c r="F264" s="801">
        <v>0</v>
      </c>
      <c r="G264" s="262">
        <f>G262+G263</f>
        <v>-3986810.6788103851</v>
      </c>
      <c r="H264" s="262">
        <f t="shared" ref="H264:AT264" si="146">H262+H263</f>
        <v>-2630529.9089915967</v>
      </c>
      <c r="I264" s="262">
        <f t="shared" si="146"/>
        <v>-2394934.1454807241</v>
      </c>
      <c r="J264" s="262">
        <f t="shared" si="146"/>
        <v>-2427856.2540952154</v>
      </c>
      <c r="K264" s="262">
        <f t="shared" si="146"/>
        <v>-9073801.6128023546</v>
      </c>
      <c r="L264" s="262">
        <f t="shared" si="146"/>
        <v>-1993591.810900514</v>
      </c>
      <c r="M264" s="262">
        <f t="shared" si="146"/>
        <v>-1760532.4646075005</v>
      </c>
      <c r="N264" s="262">
        <f t="shared" si="146"/>
        <v>-1833399.2173962537</v>
      </c>
      <c r="O264" s="262">
        <f t="shared" si="146"/>
        <v>-1624453.1214153459</v>
      </c>
      <c r="P264" s="262">
        <f t="shared" si="146"/>
        <v>-9244821.2318659611</v>
      </c>
      <c r="Q264" s="262">
        <f t="shared" si="146"/>
        <v>-891579.33872814383</v>
      </c>
      <c r="R264" s="262">
        <f t="shared" si="146"/>
        <v>-1700911.1703933636</v>
      </c>
      <c r="S264" s="262">
        <f t="shared" si="146"/>
        <v>-1507820.1866831314</v>
      </c>
      <c r="T264" s="262">
        <f t="shared" si="146"/>
        <v>-1630162.7794877533</v>
      </c>
      <c r="U264" s="262">
        <f t="shared" si="146"/>
        <v>-9718731.4180008266</v>
      </c>
      <c r="V264" s="262">
        <f t="shared" si="146"/>
        <v>-524719.81385401823</v>
      </c>
      <c r="W264" s="262">
        <f t="shared" si="146"/>
        <v>-317731.47893376555</v>
      </c>
      <c r="X264" s="262">
        <f t="shared" si="146"/>
        <v>-1843602.956386188</v>
      </c>
      <c r="Y264" s="262">
        <f t="shared" si="146"/>
        <v>-1561852.5098548541</v>
      </c>
      <c r="Z264" s="262">
        <f t="shared" si="146"/>
        <v>-10745497.003146812</v>
      </c>
      <c r="AA264" s="262">
        <f t="shared" si="146"/>
        <v>-1341266.4431858938</v>
      </c>
      <c r="AB264" s="262">
        <f t="shared" si="146"/>
        <v>-1422386.1169042671</v>
      </c>
      <c r="AC264" s="262">
        <f t="shared" si="146"/>
        <v>-1357198.8213854739</v>
      </c>
      <c r="AD264" s="262">
        <f t="shared" si="146"/>
        <v>-1515903.6670805179</v>
      </c>
      <c r="AE264" s="262">
        <f t="shared" si="146"/>
        <v>-11273343.090970669</v>
      </c>
      <c r="AF264" s="262">
        <f t="shared" si="146"/>
        <v>-1433674.019116492</v>
      </c>
      <c r="AG264" s="262">
        <f t="shared" si="146"/>
        <v>-1176315.6579663577</v>
      </c>
      <c r="AH264" s="262">
        <f t="shared" si="146"/>
        <v>-1351304.9229010139</v>
      </c>
      <c r="AI264" s="262">
        <f t="shared" si="146"/>
        <v>-1085207.0186872901</v>
      </c>
      <c r="AJ264" s="262">
        <f t="shared" si="146"/>
        <v>-12263416.568438575</v>
      </c>
      <c r="AK264" s="262">
        <f t="shared" si="146"/>
        <v>-993872.12183355074</v>
      </c>
      <c r="AL264" s="262">
        <f t="shared" si="146"/>
        <v>-1186858.0108905891</v>
      </c>
      <c r="AM264" s="262">
        <f t="shared" si="146"/>
        <v>358113.99730954773</v>
      </c>
      <c r="AN264" s="262">
        <f t="shared" si="146"/>
        <v>813865.92248867871</v>
      </c>
      <c r="AO264" s="262">
        <f t="shared" si="146"/>
        <v>-13469150.530212285</v>
      </c>
      <c r="AP264" s="262">
        <f t="shared" si="146"/>
        <v>-1601864.9676333554</v>
      </c>
      <c r="AQ264" s="262">
        <f t="shared" si="146"/>
        <v>-1298157.505535787</v>
      </c>
      <c r="AR264" s="262">
        <f t="shared" si="146"/>
        <v>-1521756.9011927731</v>
      </c>
      <c r="AS264" s="262">
        <f t="shared" si="146"/>
        <v>-1207958.7467850335</v>
      </c>
      <c r="AT264" s="267">
        <f t="shared" si="146"/>
        <v>-14715933.178558806</v>
      </c>
      <c r="AU264" s="166"/>
      <c r="AV264" s="166"/>
      <c r="AW264" s="166"/>
      <c r="AX264" s="166"/>
      <c r="AY264" s="166"/>
      <c r="AZ264" s="166"/>
      <c r="BA264" s="166"/>
      <c r="BB264" s="166"/>
      <c r="BC264" s="166"/>
      <c r="BD264" s="166"/>
      <c r="BE264" s="166"/>
      <c r="BF264" s="166"/>
      <c r="BG264" s="166"/>
      <c r="BH264" s="166"/>
      <c r="BI264" s="166"/>
      <c r="BJ264" s="166"/>
      <c r="BK264" s="166"/>
      <c r="BL264" s="166"/>
      <c r="BM264" s="166"/>
      <c r="BN264" s="166"/>
    </row>
    <row r="265" spans="2:66" x14ac:dyDescent="0.25">
      <c r="B265" s="836" t="s">
        <v>446</v>
      </c>
      <c r="C265" s="268">
        <v>0</v>
      </c>
      <c r="D265" s="268">
        <v>0</v>
      </c>
      <c r="E265" s="268">
        <v>0</v>
      </c>
      <c r="F265" s="268">
        <v>0</v>
      </c>
      <c r="G265" s="178">
        <f>-G261</f>
        <v>4476318.6173797483</v>
      </c>
      <c r="H265" s="178">
        <f t="shared" ref="H265:AT265" si="147">-H261</f>
        <v>4476318.6173797483</v>
      </c>
      <c r="I265" s="178">
        <f t="shared" si="147"/>
        <v>4476318.6173797483</v>
      </c>
      <c r="J265" s="178">
        <f t="shared" si="147"/>
        <v>4476318.6173797483</v>
      </c>
      <c r="K265" s="178">
        <f t="shared" si="147"/>
        <v>4476318.6173797483</v>
      </c>
      <c r="L265" s="178">
        <f t="shared" si="147"/>
        <v>4226566.6672863076</v>
      </c>
      <c r="M265" s="178">
        <f t="shared" si="147"/>
        <v>4226566.6672863076</v>
      </c>
      <c r="N265" s="178">
        <f t="shared" si="147"/>
        <v>4226566.6672863076</v>
      </c>
      <c r="O265" s="178">
        <f t="shared" si="147"/>
        <v>4226566.6672863076</v>
      </c>
      <c r="P265" s="178">
        <f t="shared" si="147"/>
        <v>4226566.6672863076</v>
      </c>
      <c r="Q265" s="178">
        <f t="shared" si="147"/>
        <v>3636188.9104059879</v>
      </c>
      <c r="R265" s="178">
        <f t="shared" si="147"/>
        <v>4364578.243786227</v>
      </c>
      <c r="S265" s="178">
        <f t="shared" si="147"/>
        <v>4364578.243786227</v>
      </c>
      <c r="T265" s="178">
        <f t="shared" si="147"/>
        <v>4364578.243786227</v>
      </c>
      <c r="U265" s="178">
        <f t="shared" si="147"/>
        <v>4364578.243786227</v>
      </c>
      <c r="V265" s="178">
        <f t="shared" si="147"/>
        <v>3330617.415194436</v>
      </c>
      <c r="W265" s="178">
        <f t="shared" si="147"/>
        <v>3330617.415194436</v>
      </c>
      <c r="X265" s="178">
        <f t="shared" si="147"/>
        <v>4784057.9763839645</v>
      </c>
      <c r="Y265" s="178">
        <f t="shared" si="147"/>
        <v>4784057.9763839645</v>
      </c>
      <c r="Z265" s="178">
        <f t="shared" si="147"/>
        <v>4784057.9763839645</v>
      </c>
      <c r="AA265" s="178">
        <f t="shared" si="147"/>
        <v>4784057.9763839645</v>
      </c>
      <c r="AB265" s="178">
        <f t="shared" si="147"/>
        <v>4784057.9763839645</v>
      </c>
      <c r="AC265" s="178">
        <f t="shared" si="147"/>
        <v>4959508.4970497834</v>
      </c>
      <c r="AD265" s="178">
        <f t="shared" si="147"/>
        <v>4959508.4970497834</v>
      </c>
      <c r="AE265" s="178">
        <f t="shared" si="147"/>
        <v>4959508.4970497834</v>
      </c>
      <c r="AF265" s="178">
        <f t="shared" si="147"/>
        <v>4959508.4970497834</v>
      </c>
      <c r="AG265" s="178">
        <f t="shared" si="147"/>
        <v>4959508.4970497834</v>
      </c>
      <c r="AH265" s="178">
        <f t="shared" si="147"/>
        <v>4959508.4970497834</v>
      </c>
      <c r="AI265" s="178">
        <f t="shared" si="147"/>
        <v>4959508.4970497834</v>
      </c>
      <c r="AJ265" s="178">
        <f t="shared" si="147"/>
        <v>4959508.4970497834</v>
      </c>
      <c r="AK265" s="178">
        <f t="shared" si="147"/>
        <v>4959508.4970497834</v>
      </c>
      <c r="AL265" s="178">
        <f t="shared" si="147"/>
        <v>4959508.4970497834</v>
      </c>
      <c r="AM265" s="178">
        <f t="shared" si="147"/>
        <v>3506067.9358602548</v>
      </c>
      <c r="AN265" s="178">
        <f t="shared" si="147"/>
        <v>2602228.0818141969</v>
      </c>
      <c r="AO265" s="178">
        <f t="shared" si="147"/>
        <v>5537212.7180729993</v>
      </c>
      <c r="AP265" s="178">
        <f t="shared" si="147"/>
        <v>5537212.7180729993</v>
      </c>
      <c r="AQ265" s="178">
        <f t="shared" si="147"/>
        <v>5537212.7180729993</v>
      </c>
      <c r="AR265" s="178">
        <f t="shared" si="147"/>
        <v>5537212.7180729993</v>
      </c>
      <c r="AS265" s="178">
        <f t="shared" si="147"/>
        <v>5537212.7180729993</v>
      </c>
      <c r="AT265" s="265">
        <f t="shared" si="147"/>
        <v>5537212.7180729993</v>
      </c>
      <c r="AU265" s="166"/>
      <c r="AV265" s="166"/>
      <c r="AW265" s="166"/>
      <c r="AX265" s="166"/>
      <c r="AY265" s="166"/>
      <c r="AZ265" s="166"/>
      <c r="BA265" s="166"/>
      <c r="BB265" s="166"/>
      <c r="BC265" s="166"/>
      <c r="BD265" s="166"/>
      <c r="BE265" s="166"/>
      <c r="BF265" s="166"/>
      <c r="BG265" s="166"/>
      <c r="BH265" s="166"/>
      <c r="BI265" s="166"/>
      <c r="BJ265" s="166"/>
      <c r="BK265" s="166"/>
      <c r="BL265" s="166"/>
      <c r="BM265" s="166"/>
      <c r="BN265" s="166"/>
    </row>
    <row r="266" spans="2:66" ht="15" thickBot="1" x14ac:dyDescent="0.3">
      <c r="B266" s="842" t="s">
        <v>386</v>
      </c>
      <c r="C266" s="828"/>
      <c r="D266" s="828"/>
      <c r="E266" s="828"/>
      <c r="F266" s="828"/>
      <c r="G266" s="828">
        <f>G264+G265</f>
        <v>489507.93856936321</v>
      </c>
      <c r="H266" s="828">
        <f t="shared" ref="H266:AT266" si="148">H264+H265</f>
        <v>1845788.7083881516</v>
      </c>
      <c r="I266" s="828">
        <f t="shared" si="148"/>
        <v>2081384.4718990242</v>
      </c>
      <c r="J266" s="828">
        <f t="shared" si="148"/>
        <v>2048462.3632845329</v>
      </c>
      <c r="K266" s="828">
        <f t="shared" si="148"/>
        <v>-4597482.9954226064</v>
      </c>
      <c r="L266" s="828">
        <f t="shared" si="148"/>
        <v>2232974.8563857935</v>
      </c>
      <c r="M266" s="828">
        <f t="shared" si="148"/>
        <v>2466034.2026788071</v>
      </c>
      <c r="N266" s="828">
        <f t="shared" si="148"/>
        <v>2393167.4498900538</v>
      </c>
      <c r="O266" s="828">
        <f t="shared" si="148"/>
        <v>2602113.5458709616</v>
      </c>
      <c r="P266" s="828">
        <f t="shared" si="148"/>
        <v>-5018254.5645796536</v>
      </c>
      <c r="Q266" s="828">
        <f t="shared" si="148"/>
        <v>2744609.571677844</v>
      </c>
      <c r="R266" s="828">
        <f t="shared" si="148"/>
        <v>2663667.0733928634</v>
      </c>
      <c r="S266" s="828">
        <f t="shared" si="148"/>
        <v>2856758.0571030956</v>
      </c>
      <c r="T266" s="828">
        <f t="shared" si="148"/>
        <v>2734415.4642984737</v>
      </c>
      <c r="U266" s="828">
        <f t="shared" si="148"/>
        <v>-5354153.1742145997</v>
      </c>
      <c r="V266" s="828">
        <f t="shared" si="148"/>
        <v>2805897.6013404178</v>
      </c>
      <c r="W266" s="828">
        <f t="shared" si="148"/>
        <v>3012885.9362606704</v>
      </c>
      <c r="X266" s="828">
        <f t="shared" si="148"/>
        <v>2940455.0199977765</v>
      </c>
      <c r="Y266" s="828">
        <f t="shared" si="148"/>
        <v>3222205.4665291104</v>
      </c>
      <c r="Z266" s="828">
        <f t="shared" si="148"/>
        <v>-5961439.0267628478</v>
      </c>
      <c r="AA266" s="828">
        <f t="shared" si="148"/>
        <v>3442791.5331980707</v>
      </c>
      <c r="AB266" s="828">
        <f t="shared" si="148"/>
        <v>3361671.8594796974</v>
      </c>
      <c r="AC266" s="828">
        <f t="shared" si="148"/>
        <v>3602309.6756643094</v>
      </c>
      <c r="AD266" s="828">
        <f t="shared" si="148"/>
        <v>3443604.8299692655</v>
      </c>
      <c r="AE266" s="828">
        <f t="shared" si="148"/>
        <v>-6313834.5939208856</v>
      </c>
      <c r="AF266" s="828">
        <f t="shared" si="148"/>
        <v>3525834.4779332913</v>
      </c>
      <c r="AG266" s="828">
        <f t="shared" si="148"/>
        <v>3783192.8390834257</v>
      </c>
      <c r="AH266" s="828">
        <f t="shared" si="148"/>
        <v>3608203.5741487695</v>
      </c>
      <c r="AI266" s="828">
        <f t="shared" si="148"/>
        <v>3874301.4783624932</v>
      </c>
      <c r="AJ266" s="828">
        <f t="shared" si="148"/>
        <v>-7303908.0713887913</v>
      </c>
      <c r="AK266" s="828">
        <f t="shared" si="148"/>
        <v>3965636.3752162326</v>
      </c>
      <c r="AL266" s="828">
        <f t="shared" si="148"/>
        <v>3772650.4861591943</v>
      </c>
      <c r="AM266" s="828">
        <f t="shared" si="148"/>
        <v>3864181.9331698027</v>
      </c>
      <c r="AN266" s="828">
        <f t="shared" si="148"/>
        <v>3416094.0043028756</v>
      </c>
      <c r="AO266" s="828">
        <f t="shared" si="148"/>
        <v>-7931937.8121392857</v>
      </c>
      <c r="AP266" s="828">
        <f t="shared" si="148"/>
        <v>3935347.7504396439</v>
      </c>
      <c r="AQ266" s="828">
        <f t="shared" si="148"/>
        <v>4239055.2125372123</v>
      </c>
      <c r="AR266" s="828">
        <f t="shared" si="148"/>
        <v>4015455.8168802261</v>
      </c>
      <c r="AS266" s="828">
        <f t="shared" si="148"/>
        <v>4329253.9712879658</v>
      </c>
      <c r="AT266" s="829">
        <f t="shared" si="148"/>
        <v>-9178720.4604858067</v>
      </c>
      <c r="AU266" s="166"/>
      <c r="AV266" s="166"/>
      <c r="AW266" s="166"/>
      <c r="AX266" s="166"/>
      <c r="AY266" s="166"/>
      <c r="AZ266" s="166"/>
      <c r="BA266" s="166"/>
      <c r="BB266" s="166"/>
      <c r="BC266" s="166"/>
      <c r="BD266" s="166"/>
      <c r="BE266" s="166"/>
      <c r="BF266" s="166"/>
      <c r="BG266" s="166"/>
      <c r="BH266" s="166"/>
      <c r="BI266" s="166"/>
      <c r="BJ266" s="166"/>
      <c r="BK266" s="166"/>
      <c r="BL266" s="166"/>
      <c r="BM266" s="166"/>
      <c r="BN266" s="166"/>
    </row>
    <row r="267" spans="2:66" ht="15" thickBot="1" x14ac:dyDescent="0.3">
      <c r="B267" s="839"/>
      <c r="C267" s="811"/>
      <c r="D267" s="811"/>
      <c r="E267" s="811"/>
      <c r="F267" s="811"/>
      <c r="G267" s="811"/>
      <c r="H267" s="811"/>
      <c r="I267" s="811"/>
      <c r="J267" s="811"/>
      <c r="K267" s="811"/>
      <c r="L267" s="811"/>
      <c r="M267" s="811"/>
      <c r="N267" s="811"/>
      <c r="O267" s="811"/>
      <c r="P267" s="811"/>
      <c r="Q267" s="811"/>
      <c r="R267" s="811"/>
      <c r="S267" s="811"/>
      <c r="T267" s="811"/>
      <c r="U267" s="811"/>
      <c r="V267" s="811"/>
      <c r="W267" s="811"/>
      <c r="X267" s="811"/>
      <c r="Y267" s="811"/>
      <c r="Z267" s="811"/>
      <c r="AA267" s="811"/>
      <c r="AB267" s="811"/>
      <c r="AC267" s="811"/>
      <c r="AD267" s="811"/>
      <c r="AE267" s="811"/>
      <c r="AF267" s="811"/>
      <c r="AG267" s="811"/>
      <c r="AH267" s="811"/>
      <c r="AI267" s="811"/>
      <c r="AJ267" s="811"/>
      <c r="AK267" s="811"/>
      <c r="AL267" s="811"/>
      <c r="AM267" s="811"/>
      <c r="AN267" s="811"/>
      <c r="AO267" s="811"/>
      <c r="AP267" s="811"/>
      <c r="AQ267" s="811"/>
      <c r="AR267" s="811"/>
      <c r="AS267" s="811"/>
      <c r="AT267" s="811"/>
      <c r="AU267" s="166"/>
      <c r="AV267" s="166"/>
      <c r="AW267" s="166"/>
      <c r="AX267" s="166"/>
      <c r="AY267" s="166"/>
      <c r="AZ267" s="166"/>
      <c r="BA267" s="166"/>
      <c r="BB267" s="166"/>
      <c r="BC267" s="166"/>
      <c r="BD267" s="166"/>
      <c r="BE267" s="166"/>
      <c r="BF267" s="166"/>
      <c r="BG267" s="166"/>
      <c r="BH267" s="166"/>
      <c r="BI267" s="166"/>
      <c r="BJ267" s="166"/>
      <c r="BK267" s="166"/>
      <c r="BL267" s="166"/>
      <c r="BM267" s="166"/>
      <c r="BN267" s="166"/>
    </row>
    <row r="268" spans="2:66" ht="14.4" x14ac:dyDescent="0.25">
      <c r="B268" s="835" t="s">
        <v>447</v>
      </c>
      <c r="C268" s="818"/>
      <c r="D268" s="818"/>
      <c r="E268" s="818"/>
      <c r="F268" s="818"/>
      <c r="G268" s="818"/>
      <c r="H268" s="818"/>
      <c r="I268" s="818"/>
      <c r="J268" s="818"/>
      <c r="K268" s="818"/>
      <c r="L268" s="818"/>
      <c r="M268" s="818"/>
      <c r="N268" s="818"/>
      <c r="O268" s="818"/>
      <c r="P268" s="818"/>
      <c r="Q268" s="818"/>
      <c r="R268" s="818"/>
      <c r="S268" s="818"/>
      <c r="T268" s="818"/>
      <c r="U268" s="818"/>
      <c r="V268" s="818"/>
      <c r="W268" s="818"/>
      <c r="X268" s="818"/>
      <c r="Y268" s="818"/>
      <c r="Z268" s="818"/>
      <c r="AA268" s="818"/>
      <c r="AB268" s="818"/>
      <c r="AC268" s="818"/>
      <c r="AD268" s="818"/>
      <c r="AE268" s="818"/>
      <c r="AF268" s="818"/>
      <c r="AG268" s="818"/>
      <c r="AH268" s="818"/>
      <c r="AI268" s="818"/>
      <c r="AJ268" s="818"/>
      <c r="AK268" s="818"/>
      <c r="AL268" s="818"/>
      <c r="AM268" s="818"/>
      <c r="AN268" s="818"/>
      <c r="AO268" s="818"/>
      <c r="AP268" s="818"/>
      <c r="AQ268" s="818"/>
      <c r="AR268" s="818"/>
      <c r="AS268" s="818"/>
      <c r="AT268" s="819"/>
      <c r="AU268" s="166"/>
      <c r="AV268" s="166"/>
      <c r="AW268" s="166"/>
      <c r="AX268" s="166"/>
      <c r="AY268" s="166"/>
      <c r="AZ268" s="166"/>
      <c r="BA268" s="166"/>
      <c r="BB268" s="166"/>
      <c r="BC268" s="166"/>
      <c r="BD268" s="166"/>
      <c r="BE268" s="166"/>
      <c r="BF268" s="166"/>
      <c r="BG268" s="166"/>
      <c r="BH268" s="166"/>
      <c r="BI268" s="166"/>
      <c r="BJ268" s="166"/>
      <c r="BK268" s="166"/>
      <c r="BL268" s="166"/>
      <c r="BM268" s="166"/>
      <c r="BN268" s="166"/>
    </row>
    <row r="269" spans="2:66" x14ac:dyDescent="0.25">
      <c r="B269" s="836" t="s">
        <v>448</v>
      </c>
      <c r="C269" s="268">
        <f>C193</f>
        <v>-7968994.6529367194</v>
      </c>
      <c r="D269" s="268">
        <f t="shared" ref="D269:F269" si="149">D193</f>
        <v>-31237973.050517157</v>
      </c>
      <c r="E269" s="268">
        <f t="shared" si="149"/>
        <v>-82610243.589414939</v>
      </c>
      <c r="F269" s="268">
        <f t="shared" si="149"/>
        <v>-33733581.890470475</v>
      </c>
      <c r="G269" s="178"/>
      <c r="H269" s="178"/>
      <c r="I269" s="178"/>
      <c r="J269" s="178"/>
      <c r="K269" s="178"/>
      <c r="L269" s="178"/>
      <c r="M269" s="178"/>
      <c r="N269" s="178"/>
      <c r="O269" s="178"/>
      <c r="P269" s="178"/>
      <c r="Q269" s="178"/>
      <c r="R269" s="178"/>
      <c r="S269" s="178"/>
      <c r="T269" s="178"/>
      <c r="U269" s="178"/>
      <c r="V269" s="178"/>
      <c r="W269" s="178"/>
      <c r="X269" s="178"/>
      <c r="Y269" s="178"/>
      <c r="Z269" s="178"/>
      <c r="AA269" s="178"/>
      <c r="AB269" s="178"/>
      <c r="AC269" s="178"/>
      <c r="AD269" s="178"/>
      <c r="AE269" s="178"/>
      <c r="AF269" s="178"/>
      <c r="AG269" s="178"/>
      <c r="AH269" s="178"/>
      <c r="AI269" s="178"/>
      <c r="AJ269" s="178"/>
      <c r="AK269" s="178"/>
      <c r="AL269" s="178"/>
      <c r="AM269" s="178"/>
      <c r="AN269" s="178"/>
      <c r="AO269" s="178"/>
      <c r="AP269" s="178"/>
      <c r="AQ269" s="178"/>
      <c r="AR269" s="178"/>
      <c r="AS269" s="178"/>
      <c r="AT269" s="265"/>
      <c r="AU269" s="166"/>
      <c r="AV269" s="166"/>
      <c r="AW269" s="166"/>
      <c r="AX269" s="166"/>
      <c r="AY269" s="166"/>
      <c r="AZ269" s="166"/>
      <c r="BA269" s="166"/>
      <c r="BB269" s="166"/>
      <c r="BC269" s="166"/>
      <c r="BD269" s="166"/>
      <c r="BE269" s="166"/>
      <c r="BF269" s="166"/>
      <c r="BG269" s="166"/>
      <c r="BH269" s="166"/>
      <c r="BI269" s="166"/>
      <c r="BJ269" s="166"/>
      <c r="BK269" s="166"/>
      <c r="BL269" s="166"/>
      <c r="BM269" s="166"/>
      <c r="BN269" s="166"/>
    </row>
    <row r="270" spans="2:66" x14ac:dyDescent="0.25">
      <c r="B270" s="836" t="s">
        <v>383</v>
      </c>
      <c r="C270" s="178"/>
      <c r="D270" s="178"/>
      <c r="E270" s="178"/>
      <c r="F270" s="178"/>
      <c r="G270" s="268">
        <f t="shared" ref="G270:AT270" si="150">G194</f>
        <v>0</v>
      </c>
      <c r="H270" s="268">
        <f t="shared" si="150"/>
        <v>0</v>
      </c>
      <c r="I270" s="268">
        <f t="shared" si="150"/>
        <v>0</v>
      </c>
      <c r="J270" s="268">
        <f t="shared" si="150"/>
        <v>0</v>
      </c>
      <c r="K270" s="268">
        <f t="shared" si="150"/>
        <v>0</v>
      </c>
      <c r="L270" s="268">
        <f t="shared" si="150"/>
        <v>0</v>
      </c>
      <c r="M270" s="268">
        <f t="shared" si="150"/>
        <v>0</v>
      </c>
      <c r="N270" s="268">
        <f t="shared" si="150"/>
        <v>0</v>
      </c>
      <c r="O270" s="268">
        <f t="shared" si="150"/>
        <v>0</v>
      </c>
      <c r="P270" s="268">
        <f t="shared" si="150"/>
        <v>-3207183.885592333</v>
      </c>
      <c r="Q270" s="268">
        <f t="shared" si="150"/>
        <v>-4076709.4482100578</v>
      </c>
      <c r="R270" s="268">
        <f t="shared" si="150"/>
        <v>0</v>
      </c>
      <c r="S270" s="268">
        <f t="shared" si="150"/>
        <v>0</v>
      </c>
      <c r="T270" s="268">
        <f t="shared" si="150"/>
        <v>0</v>
      </c>
      <c r="U270" s="268">
        <f t="shared" si="150"/>
        <v>-4045775.9888849272</v>
      </c>
      <c r="V270" s="268">
        <f t="shared" si="150"/>
        <v>-12077947.469822951</v>
      </c>
      <c r="W270" s="268">
        <f t="shared" si="150"/>
        <v>-5677884.95913505</v>
      </c>
      <c r="X270" s="268">
        <f t="shared" si="150"/>
        <v>0</v>
      </c>
      <c r="Y270" s="268">
        <f t="shared" si="150"/>
        <v>0</v>
      </c>
      <c r="Z270" s="268">
        <f t="shared" si="150"/>
        <v>0</v>
      </c>
      <c r="AA270" s="268">
        <f t="shared" si="150"/>
        <v>-3979709.5823840685</v>
      </c>
      <c r="AB270" s="268">
        <f t="shared" si="150"/>
        <v>-5058688.9580765124</v>
      </c>
      <c r="AC270" s="268">
        <f t="shared" si="150"/>
        <v>0</v>
      </c>
      <c r="AD270" s="268">
        <f t="shared" si="150"/>
        <v>0</v>
      </c>
      <c r="AE270" s="268">
        <f t="shared" si="150"/>
        <v>0</v>
      </c>
      <c r="AF270" s="268">
        <f t="shared" si="150"/>
        <v>0</v>
      </c>
      <c r="AG270" s="268">
        <f t="shared" si="150"/>
        <v>0</v>
      </c>
      <c r="AH270" s="268">
        <f t="shared" si="150"/>
        <v>0</v>
      </c>
      <c r="AI270" s="268">
        <f t="shared" si="150"/>
        <v>0</v>
      </c>
      <c r="AJ270" s="268">
        <f t="shared" si="150"/>
        <v>0</v>
      </c>
      <c r="AK270" s="268">
        <f t="shared" si="150"/>
        <v>0</v>
      </c>
      <c r="AL270" s="268">
        <f t="shared" si="150"/>
        <v>-10528158.00957758</v>
      </c>
      <c r="AM270" s="268">
        <f t="shared" si="150"/>
        <v>-22774109.143506903</v>
      </c>
      <c r="AN270" s="268">
        <f t="shared" si="150"/>
        <v>-7787517.7545387391</v>
      </c>
      <c r="AO270" s="268">
        <f t="shared" si="150"/>
        <v>0</v>
      </c>
      <c r="AP270" s="268">
        <f t="shared" si="150"/>
        <v>0</v>
      </c>
      <c r="AQ270" s="268">
        <f t="shared" si="150"/>
        <v>0</v>
      </c>
      <c r="AR270" s="268">
        <f t="shared" si="150"/>
        <v>0</v>
      </c>
      <c r="AS270" s="268">
        <f t="shared" si="150"/>
        <v>0</v>
      </c>
      <c r="AT270" s="799">
        <f t="shared" si="150"/>
        <v>0</v>
      </c>
      <c r="AU270" s="166"/>
      <c r="AV270" s="166"/>
      <c r="AW270" s="166"/>
      <c r="AX270" s="166"/>
      <c r="AY270" s="166"/>
      <c r="AZ270" s="166"/>
      <c r="BA270" s="166"/>
      <c r="BB270" s="166"/>
      <c r="BC270" s="166"/>
      <c r="BD270" s="166"/>
      <c r="BE270" s="166"/>
      <c r="BF270" s="166"/>
      <c r="BG270" s="166"/>
      <c r="BH270" s="166"/>
      <c r="BI270" s="166"/>
      <c r="BJ270" s="166"/>
      <c r="BK270" s="166"/>
      <c r="BL270" s="166"/>
      <c r="BM270" s="166"/>
      <c r="BN270" s="166"/>
    </row>
    <row r="271" spans="2:66" x14ac:dyDescent="0.25">
      <c r="B271" s="836" t="s">
        <v>384</v>
      </c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  <c r="Y271" s="178"/>
      <c r="Z271" s="178"/>
      <c r="AA271" s="178"/>
      <c r="AB271" s="178"/>
      <c r="AC271" s="178"/>
      <c r="AD271" s="178"/>
      <c r="AE271" s="178"/>
      <c r="AF271" s="178"/>
      <c r="AG271" s="178"/>
      <c r="AH271" s="178"/>
      <c r="AI271" s="178"/>
      <c r="AJ271" s="758">
        <f>AJ244</f>
        <v>60440401.665283263</v>
      </c>
      <c r="AK271" s="178"/>
      <c r="AL271" s="178"/>
      <c r="AM271" s="178"/>
      <c r="AN271" s="178"/>
      <c r="AO271" s="178"/>
      <c r="AP271" s="178"/>
      <c r="AQ271" s="178"/>
      <c r="AR271" s="178"/>
      <c r="AS271" s="178"/>
      <c r="AT271" s="847">
        <f>AT244</f>
        <v>58149566.525212049</v>
      </c>
      <c r="AU271" s="166"/>
      <c r="AV271" s="166"/>
      <c r="AW271" s="166"/>
      <c r="AX271" s="166"/>
      <c r="AY271" s="166"/>
      <c r="AZ271" s="166"/>
      <c r="BA271" s="166"/>
      <c r="BB271" s="166"/>
      <c r="BC271" s="166"/>
      <c r="BD271" s="166"/>
      <c r="BE271" s="166"/>
      <c r="BF271" s="166"/>
      <c r="BG271" s="166"/>
      <c r="BH271" s="166"/>
      <c r="BI271" s="166"/>
      <c r="BJ271" s="166"/>
      <c r="BK271" s="166"/>
      <c r="BL271" s="166"/>
      <c r="BM271" s="166"/>
      <c r="BN271" s="166"/>
    </row>
    <row r="272" spans="2:66" ht="15" thickBot="1" x14ac:dyDescent="0.3">
      <c r="B272" s="842" t="s">
        <v>385</v>
      </c>
      <c r="C272" s="822">
        <f t="shared" ref="C272:AT272" si="151">C269+C270+C271</f>
        <v>-7968994.6529367194</v>
      </c>
      <c r="D272" s="822">
        <f t="shared" si="151"/>
        <v>-31237973.050517157</v>
      </c>
      <c r="E272" s="822">
        <f t="shared" si="151"/>
        <v>-82610243.589414939</v>
      </c>
      <c r="F272" s="822">
        <f t="shared" si="151"/>
        <v>-33733581.890470475</v>
      </c>
      <c r="G272" s="822">
        <f t="shared" si="151"/>
        <v>0</v>
      </c>
      <c r="H272" s="822">
        <f t="shared" si="151"/>
        <v>0</v>
      </c>
      <c r="I272" s="822">
        <f t="shared" si="151"/>
        <v>0</v>
      </c>
      <c r="J272" s="822">
        <f t="shared" si="151"/>
        <v>0</v>
      </c>
      <c r="K272" s="822">
        <f t="shared" si="151"/>
        <v>0</v>
      </c>
      <c r="L272" s="822">
        <f t="shared" si="151"/>
        <v>0</v>
      </c>
      <c r="M272" s="822">
        <f t="shared" si="151"/>
        <v>0</v>
      </c>
      <c r="N272" s="822">
        <f t="shared" si="151"/>
        <v>0</v>
      </c>
      <c r="O272" s="822">
        <f t="shared" si="151"/>
        <v>0</v>
      </c>
      <c r="P272" s="822">
        <f t="shared" si="151"/>
        <v>-3207183.885592333</v>
      </c>
      <c r="Q272" s="822">
        <f t="shared" si="151"/>
        <v>-4076709.4482100578</v>
      </c>
      <c r="R272" s="822">
        <f t="shared" si="151"/>
        <v>0</v>
      </c>
      <c r="S272" s="822">
        <f t="shared" si="151"/>
        <v>0</v>
      </c>
      <c r="T272" s="822">
        <f t="shared" si="151"/>
        <v>0</v>
      </c>
      <c r="U272" s="822">
        <f t="shared" si="151"/>
        <v>-4045775.9888849272</v>
      </c>
      <c r="V272" s="822">
        <f t="shared" si="151"/>
        <v>-12077947.469822951</v>
      </c>
      <c r="W272" s="822">
        <f t="shared" si="151"/>
        <v>-5677884.95913505</v>
      </c>
      <c r="X272" s="822">
        <f t="shared" si="151"/>
        <v>0</v>
      </c>
      <c r="Y272" s="822">
        <f t="shared" si="151"/>
        <v>0</v>
      </c>
      <c r="Z272" s="822">
        <f t="shared" si="151"/>
        <v>0</v>
      </c>
      <c r="AA272" s="822">
        <f t="shared" si="151"/>
        <v>-3979709.5823840685</v>
      </c>
      <c r="AB272" s="822">
        <f t="shared" si="151"/>
        <v>-5058688.9580765124</v>
      </c>
      <c r="AC272" s="822">
        <f t="shared" si="151"/>
        <v>0</v>
      </c>
      <c r="AD272" s="822">
        <f t="shared" si="151"/>
        <v>0</v>
      </c>
      <c r="AE272" s="822">
        <f t="shared" si="151"/>
        <v>0</v>
      </c>
      <c r="AF272" s="822">
        <f t="shared" si="151"/>
        <v>0</v>
      </c>
      <c r="AG272" s="822">
        <f t="shared" si="151"/>
        <v>0</v>
      </c>
      <c r="AH272" s="822">
        <f t="shared" si="151"/>
        <v>0</v>
      </c>
      <c r="AI272" s="822">
        <f t="shared" si="151"/>
        <v>0</v>
      </c>
      <c r="AJ272" s="822">
        <f t="shared" si="151"/>
        <v>60440401.665283263</v>
      </c>
      <c r="AK272" s="822">
        <f t="shared" si="151"/>
        <v>0</v>
      </c>
      <c r="AL272" s="822">
        <f t="shared" si="151"/>
        <v>-10528158.00957758</v>
      </c>
      <c r="AM272" s="822">
        <f t="shared" si="151"/>
        <v>-22774109.143506903</v>
      </c>
      <c r="AN272" s="822">
        <f t="shared" si="151"/>
        <v>-7787517.7545387391</v>
      </c>
      <c r="AO272" s="822">
        <f t="shared" si="151"/>
        <v>0</v>
      </c>
      <c r="AP272" s="822">
        <f t="shared" si="151"/>
        <v>0</v>
      </c>
      <c r="AQ272" s="822">
        <f t="shared" si="151"/>
        <v>0</v>
      </c>
      <c r="AR272" s="822">
        <f t="shared" si="151"/>
        <v>0</v>
      </c>
      <c r="AS272" s="822">
        <f t="shared" si="151"/>
        <v>0</v>
      </c>
      <c r="AT272" s="823">
        <f t="shared" si="151"/>
        <v>58149566.525212049</v>
      </c>
      <c r="AU272" s="166"/>
      <c r="AV272" s="166"/>
      <c r="AW272" s="166"/>
      <c r="AX272" s="166"/>
      <c r="AY272" s="166"/>
      <c r="AZ272" s="166"/>
      <c r="BA272" s="166"/>
      <c r="BB272" s="166"/>
      <c r="BC272" s="166"/>
      <c r="BD272" s="166"/>
      <c r="BE272" s="166"/>
      <c r="BF272" s="166"/>
      <c r="BG272" s="166"/>
      <c r="BH272" s="166"/>
      <c r="BI272" s="166"/>
      <c r="BJ272" s="166"/>
      <c r="BK272" s="166"/>
      <c r="BL272" s="166"/>
      <c r="BM272" s="166"/>
      <c r="BN272" s="166"/>
    </row>
    <row r="273" spans="2:66" ht="14.4" x14ac:dyDescent="0.25">
      <c r="B273" s="838"/>
      <c r="C273" s="178"/>
      <c r="D273" s="178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8"/>
      <c r="AB273" s="178"/>
      <c r="AC273" s="178"/>
      <c r="AD273" s="178"/>
      <c r="AE273" s="178"/>
      <c r="AF273" s="178"/>
      <c r="AG273" s="178"/>
      <c r="AH273" s="178"/>
      <c r="AI273" s="178"/>
      <c r="AJ273" s="178"/>
      <c r="AK273" s="178"/>
      <c r="AL273" s="178"/>
      <c r="AM273" s="178"/>
      <c r="AN273" s="178"/>
      <c r="AO273" s="178"/>
      <c r="AP273" s="178"/>
      <c r="AQ273" s="178"/>
      <c r="AR273" s="178"/>
      <c r="AS273" s="178"/>
      <c r="AT273" s="178"/>
      <c r="AU273" s="166"/>
      <c r="AV273" s="166"/>
      <c r="AW273" s="166"/>
      <c r="AX273" s="166"/>
      <c r="AY273" s="166"/>
      <c r="AZ273" s="166"/>
      <c r="BA273" s="166"/>
      <c r="BB273" s="166"/>
      <c r="BC273" s="166"/>
      <c r="BD273" s="166"/>
      <c r="BE273" s="166"/>
      <c r="BF273" s="166"/>
      <c r="BG273" s="166"/>
      <c r="BH273" s="166"/>
      <c r="BI273" s="166"/>
      <c r="BJ273" s="166"/>
      <c r="BK273" s="166"/>
      <c r="BL273" s="166"/>
      <c r="BM273" s="166"/>
      <c r="BN273" s="166"/>
    </row>
    <row r="274" spans="2:66" ht="14.4" x14ac:dyDescent="0.25">
      <c r="B274" s="838"/>
      <c r="C274" s="178"/>
      <c r="D274" s="178"/>
      <c r="E274" s="884" t="s">
        <v>473</v>
      </c>
      <c r="F274" s="178">
        <f>C272+D272+E272+F272</f>
        <v>-155550793.1833393</v>
      </c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78"/>
      <c r="V274" s="178"/>
      <c r="W274" s="178"/>
      <c r="X274" s="178"/>
      <c r="Y274" s="178"/>
      <c r="Z274" s="178"/>
      <c r="AA274" s="178"/>
      <c r="AB274" s="178"/>
      <c r="AC274" s="178"/>
      <c r="AD274" s="178"/>
      <c r="AE274" s="178"/>
      <c r="AF274" s="178"/>
      <c r="AG274" s="178"/>
      <c r="AH274" s="178"/>
      <c r="AI274" s="178"/>
      <c r="AJ274" s="178"/>
      <c r="AK274" s="178"/>
      <c r="AL274" s="178"/>
      <c r="AM274" s="178"/>
      <c r="AN274" s="178"/>
      <c r="AO274" s="178"/>
      <c r="AP274" s="178"/>
      <c r="AQ274" s="178"/>
      <c r="AR274" s="178"/>
      <c r="AS274" s="178"/>
      <c r="AT274" s="178"/>
      <c r="AU274" s="166"/>
      <c r="AV274" s="166"/>
      <c r="AW274" s="166"/>
      <c r="AX274" s="166"/>
      <c r="AY274" s="166"/>
      <c r="AZ274" s="166"/>
      <c r="BA274" s="166"/>
      <c r="BB274" s="166"/>
      <c r="BC274" s="166"/>
      <c r="BD274" s="166"/>
      <c r="BE274" s="166"/>
      <c r="BF274" s="166"/>
      <c r="BG274" s="166"/>
      <c r="BH274" s="166"/>
      <c r="BI274" s="166"/>
      <c r="BJ274" s="166"/>
      <c r="BK274" s="166"/>
      <c r="BL274" s="166"/>
      <c r="BM274" s="166"/>
      <c r="BN274" s="166"/>
    </row>
    <row r="275" spans="2:66" ht="14.4" x14ac:dyDescent="0.25">
      <c r="B275" s="838"/>
      <c r="C275" s="178"/>
      <c r="D275" s="178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8"/>
      <c r="AC275" s="178"/>
      <c r="AD275" s="178"/>
      <c r="AE275" s="178"/>
      <c r="AF275" s="178"/>
      <c r="AG275" s="178"/>
      <c r="AH275" s="178"/>
      <c r="AI275" s="178"/>
      <c r="AJ275" s="178"/>
      <c r="AK275" s="178"/>
      <c r="AL275" s="178"/>
      <c r="AM275" s="178"/>
      <c r="AN275" s="178"/>
      <c r="AO275" s="178"/>
      <c r="AP275" s="178"/>
      <c r="AQ275" s="178"/>
      <c r="AR275" s="178"/>
      <c r="AS275" s="178"/>
      <c r="AT275" s="178"/>
      <c r="AU275" s="166"/>
      <c r="AV275" s="166"/>
      <c r="AW275" s="166"/>
      <c r="AX275" s="166"/>
      <c r="AY275" s="166"/>
      <c r="AZ275" s="166"/>
      <c r="BA275" s="166"/>
      <c r="BB275" s="166"/>
      <c r="BC275" s="166"/>
      <c r="BD275" s="166"/>
      <c r="BE275" s="166"/>
      <c r="BF275" s="166"/>
      <c r="BG275" s="166"/>
      <c r="BH275" s="166"/>
      <c r="BI275" s="166"/>
      <c r="BJ275" s="166"/>
      <c r="BK275" s="166"/>
      <c r="BL275" s="166"/>
      <c r="BM275" s="166"/>
      <c r="BN275" s="166"/>
    </row>
    <row r="276" spans="2:66" ht="14.4" x14ac:dyDescent="0.25">
      <c r="B276" s="844" t="s">
        <v>436</v>
      </c>
      <c r="C276" s="178">
        <f t="shared" ref="C276:AJ276" si="152">C266+C272</f>
        <v>-7968994.6529367194</v>
      </c>
      <c r="D276" s="178">
        <f t="shared" si="152"/>
        <v>-31237973.050517157</v>
      </c>
      <c r="E276" s="178">
        <f t="shared" si="152"/>
        <v>-82610243.589414939</v>
      </c>
      <c r="F276" s="178">
        <f t="shared" si="152"/>
        <v>-33733581.890470475</v>
      </c>
      <c r="G276" s="178">
        <f t="shared" si="152"/>
        <v>489507.93856936321</v>
      </c>
      <c r="H276" s="178">
        <f t="shared" si="152"/>
        <v>1845788.7083881516</v>
      </c>
      <c r="I276" s="178">
        <f t="shared" si="152"/>
        <v>2081384.4718990242</v>
      </c>
      <c r="J276" s="178">
        <f t="shared" si="152"/>
        <v>2048462.3632845329</v>
      </c>
      <c r="K276" s="178">
        <f t="shared" si="152"/>
        <v>-4597482.9954226064</v>
      </c>
      <c r="L276" s="178">
        <f t="shared" si="152"/>
        <v>2232974.8563857935</v>
      </c>
      <c r="M276" s="178">
        <f t="shared" si="152"/>
        <v>2466034.2026788071</v>
      </c>
      <c r="N276" s="178">
        <f t="shared" si="152"/>
        <v>2393167.4498900538</v>
      </c>
      <c r="O276" s="178">
        <f t="shared" si="152"/>
        <v>2602113.5458709616</v>
      </c>
      <c r="P276" s="178">
        <f t="shared" si="152"/>
        <v>-8225438.4501719866</v>
      </c>
      <c r="Q276" s="178">
        <f t="shared" si="152"/>
        <v>-1332099.8765322138</v>
      </c>
      <c r="R276" s="178">
        <f t="shared" si="152"/>
        <v>2663667.0733928634</v>
      </c>
      <c r="S276" s="178">
        <f t="shared" si="152"/>
        <v>2856758.0571030956</v>
      </c>
      <c r="T276" s="178">
        <f t="shared" si="152"/>
        <v>2734415.4642984737</v>
      </c>
      <c r="U276" s="178">
        <f t="shared" si="152"/>
        <v>-9399929.1630995274</v>
      </c>
      <c r="V276" s="178">
        <f t="shared" si="152"/>
        <v>-9272049.8684825338</v>
      </c>
      <c r="W276" s="178">
        <f t="shared" si="152"/>
        <v>-2664999.0228743795</v>
      </c>
      <c r="X276" s="178">
        <f t="shared" si="152"/>
        <v>2940455.0199977765</v>
      </c>
      <c r="Y276" s="178">
        <f t="shared" si="152"/>
        <v>3222205.4665291104</v>
      </c>
      <c r="Z276" s="178">
        <f t="shared" si="152"/>
        <v>-5961439.0267628478</v>
      </c>
      <c r="AA276" s="178">
        <f t="shared" si="152"/>
        <v>-536918.04918599781</v>
      </c>
      <c r="AB276" s="178">
        <f t="shared" si="152"/>
        <v>-1697017.098596815</v>
      </c>
      <c r="AC276" s="178">
        <f t="shared" si="152"/>
        <v>3602309.6756643094</v>
      </c>
      <c r="AD276" s="178">
        <f t="shared" si="152"/>
        <v>3443604.8299692655</v>
      </c>
      <c r="AE276" s="178">
        <f t="shared" si="152"/>
        <v>-6313834.5939208856</v>
      </c>
      <c r="AF276" s="178">
        <f t="shared" si="152"/>
        <v>3525834.4779332913</v>
      </c>
      <c r="AG276" s="178">
        <f t="shared" si="152"/>
        <v>3783192.8390834257</v>
      </c>
      <c r="AH276" s="178">
        <f t="shared" si="152"/>
        <v>3608203.5741487695</v>
      </c>
      <c r="AI276" s="178">
        <f t="shared" si="152"/>
        <v>3874301.4783624932</v>
      </c>
      <c r="AJ276" s="178">
        <f t="shared" si="152"/>
        <v>53136493.593894474</v>
      </c>
      <c r="AK276" s="178"/>
      <c r="AL276" s="178"/>
      <c r="AM276" s="178"/>
      <c r="AN276" s="178"/>
      <c r="AO276" s="178"/>
      <c r="AP276" s="178"/>
      <c r="AQ276" s="178"/>
      <c r="AR276" s="178"/>
      <c r="AS276" s="178"/>
      <c r="AT276" s="178"/>
      <c r="AU276" s="166"/>
      <c r="AV276" s="166"/>
      <c r="AW276" s="166"/>
      <c r="AX276" s="166"/>
      <c r="AY276" s="166"/>
      <c r="AZ276" s="166"/>
      <c r="BA276" s="166"/>
      <c r="BB276" s="166"/>
      <c r="BC276" s="166"/>
      <c r="BD276" s="166"/>
      <c r="BE276" s="166"/>
      <c r="BF276" s="166"/>
      <c r="BG276" s="166"/>
      <c r="BH276" s="166"/>
      <c r="BI276" s="166"/>
      <c r="BJ276" s="166"/>
      <c r="BK276" s="166"/>
      <c r="BL276" s="166"/>
      <c r="BM276" s="166"/>
      <c r="BN276" s="166"/>
    </row>
    <row r="277" spans="2:66" ht="14.4" x14ac:dyDescent="0.25">
      <c r="B277" s="844" t="s">
        <v>438</v>
      </c>
      <c r="C277" s="178"/>
      <c r="D277" s="178"/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78"/>
      <c r="V277" s="178"/>
      <c r="W277" s="178"/>
      <c r="X277" s="178"/>
      <c r="Y277" s="178"/>
      <c r="Z277" s="178"/>
      <c r="AA277" s="178"/>
      <c r="AB277" s="178"/>
      <c r="AC277" s="178"/>
      <c r="AD277" s="178"/>
      <c r="AE277" s="178"/>
      <c r="AF277" s="178"/>
      <c r="AG277" s="178"/>
      <c r="AH277" s="178"/>
      <c r="AI277" s="178"/>
      <c r="AJ277" s="848">
        <f>IRR(C276:AJ276)</f>
        <v>-3.1785822541309239E-2</v>
      </c>
      <c r="AK277" s="178"/>
      <c r="AL277" s="178"/>
      <c r="AM277" s="178"/>
      <c r="AN277" s="178"/>
      <c r="AO277" s="178"/>
      <c r="AP277" s="178"/>
      <c r="AQ277" s="178"/>
      <c r="AR277" s="178"/>
      <c r="AS277" s="178"/>
      <c r="AT277" s="178"/>
      <c r="AU277" s="166"/>
      <c r="AV277" s="166"/>
      <c r="AW277" s="166"/>
      <c r="AX277" s="166"/>
      <c r="AY277" s="166"/>
      <c r="AZ277" s="166"/>
      <c r="BA277" s="166"/>
      <c r="BB277" s="166"/>
      <c r="BC277" s="166"/>
      <c r="BD277" s="166"/>
      <c r="BE277" s="166"/>
      <c r="BF277" s="166"/>
      <c r="BG277" s="166"/>
      <c r="BH277" s="166"/>
      <c r="BI277" s="166"/>
      <c r="BJ277" s="166"/>
      <c r="BK277" s="166"/>
      <c r="BL277" s="166"/>
      <c r="BM277" s="166"/>
      <c r="BN277" s="166"/>
    </row>
    <row r="278" spans="2:66" ht="14.4" x14ac:dyDescent="0.25">
      <c r="B278" s="844"/>
      <c r="C278" s="178"/>
      <c r="D278" s="178"/>
      <c r="E278" s="178"/>
      <c r="F278" s="178"/>
      <c r="G278" s="178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  <c r="Y278" s="178"/>
      <c r="Z278" s="178"/>
      <c r="AA278" s="178"/>
      <c r="AB278" s="178"/>
      <c r="AC278" s="178"/>
      <c r="AD278" s="178"/>
      <c r="AE278" s="178"/>
      <c r="AF278" s="178"/>
      <c r="AG278" s="178"/>
      <c r="AH278" s="178"/>
      <c r="AI278" s="178"/>
      <c r="AJ278" s="178"/>
      <c r="AK278" s="178"/>
      <c r="AL278" s="178"/>
      <c r="AM278" s="178"/>
      <c r="AN278" s="178"/>
      <c r="AO278" s="178"/>
      <c r="AP278" s="178"/>
      <c r="AQ278" s="178"/>
      <c r="AR278" s="178"/>
      <c r="AS278" s="178"/>
      <c r="AT278" s="178"/>
      <c r="AU278" s="166"/>
      <c r="AV278" s="166"/>
      <c r="AW278" s="166"/>
      <c r="AX278" s="166"/>
      <c r="AY278" s="166"/>
      <c r="AZ278" s="166"/>
      <c r="BA278" s="166"/>
      <c r="BB278" s="166"/>
      <c r="BC278" s="166"/>
      <c r="BD278" s="166"/>
      <c r="BE278" s="166"/>
      <c r="BF278" s="166"/>
      <c r="BG278" s="166"/>
      <c r="BH278" s="166"/>
      <c r="BI278" s="166"/>
      <c r="BJ278" s="166"/>
      <c r="BK278" s="166"/>
      <c r="BL278" s="166"/>
      <c r="BM278" s="166"/>
      <c r="BN278" s="166"/>
    </row>
    <row r="279" spans="2:66" ht="14.4" x14ac:dyDescent="0.25">
      <c r="B279" s="844" t="s">
        <v>437</v>
      </c>
      <c r="C279" s="178">
        <f>C266+C272</f>
        <v>-7968994.6529367194</v>
      </c>
      <c r="D279" s="178">
        <f t="shared" ref="D279:AI279" si="153">D266+D272</f>
        <v>-31237973.050517157</v>
      </c>
      <c r="E279" s="178">
        <f t="shared" si="153"/>
        <v>-82610243.589414939</v>
      </c>
      <c r="F279" s="178">
        <f t="shared" si="153"/>
        <v>-33733581.890470475</v>
      </c>
      <c r="G279" s="178">
        <f t="shared" si="153"/>
        <v>489507.93856936321</v>
      </c>
      <c r="H279" s="178">
        <f t="shared" si="153"/>
        <v>1845788.7083881516</v>
      </c>
      <c r="I279" s="178">
        <f t="shared" si="153"/>
        <v>2081384.4718990242</v>
      </c>
      <c r="J279" s="178">
        <f t="shared" si="153"/>
        <v>2048462.3632845329</v>
      </c>
      <c r="K279" s="178">
        <f t="shared" si="153"/>
        <v>-4597482.9954226064</v>
      </c>
      <c r="L279" s="178">
        <f t="shared" si="153"/>
        <v>2232974.8563857935</v>
      </c>
      <c r="M279" s="178">
        <f t="shared" si="153"/>
        <v>2466034.2026788071</v>
      </c>
      <c r="N279" s="178">
        <f t="shared" si="153"/>
        <v>2393167.4498900538</v>
      </c>
      <c r="O279" s="178">
        <f t="shared" si="153"/>
        <v>2602113.5458709616</v>
      </c>
      <c r="P279" s="178">
        <f t="shared" si="153"/>
        <v>-8225438.4501719866</v>
      </c>
      <c r="Q279" s="178">
        <f t="shared" si="153"/>
        <v>-1332099.8765322138</v>
      </c>
      <c r="R279" s="178">
        <f t="shared" si="153"/>
        <v>2663667.0733928634</v>
      </c>
      <c r="S279" s="178">
        <f t="shared" si="153"/>
        <v>2856758.0571030956</v>
      </c>
      <c r="T279" s="178">
        <f t="shared" si="153"/>
        <v>2734415.4642984737</v>
      </c>
      <c r="U279" s="178">
        <f t="shared" si="153"/>
        <v>-9399929.1630995274</v>
      </c>
      <c r="V279" s="178">
        <f t="shared" si="153"/>
        <v>-9272049.8684825338</v>
      </c>
      <c r="W279" s="178">
        <f t="shared" si="153"/>
        <v>-2664999.0228743795</v>
      </c>
      <c r="X279" s="178">
        <f t="shared" si="153"/>
        <v>2940455.0199977765</v>
      </c>
      <c r="Y279" s="178">
        <f t="shared" si="153"/>
        <v>3222205.4665291104</v>
      </c>
      <c r="Z279" s="178">
        <f t="shared" si="153"/>
        <v>-5961439.0267628478</v>
      </c>
      <c r="AA279" s="178">
        <f t="shared" si="153"/>
        <v>-536918.04918599781</v>
      </c>
      <c r="AB279" s="178">
        <f t="shared" si="153"/>
        <v>-1697017.098596815</v>
      </c>
      <c r="AC279" s="178">
        <f t="shared" si="153"/>
        <v>3602309.6756643094</v>
      </c>
      <c r="AD279" s="178">
        <f t="shared" si="153"/>
        <v>3443604.8299692655</v>
      </c>
      <c r="AE279" s="178">
        <f t="shared" si="153"/>
        <v>-6313834.5939208856</v>
      </c>
      <c r="AF279" s="178">
        <f t="shared" si="153"/>
        <v>3525834.4779332913</v>
      </c>
      <c r="AG279" s="178">
        <f t="shared" si="153"/>
        <v>3783192.8390834257</v>
      </c>
      <c r="AH279" s="178">
        <f t="shared" si="153"/>
        <v>3608203.5741487695</v>
      </c>
      <c r="AI279" s="178">
        <f t="shared" si="153"/>
        <v>3874301.4783624932</v>
      </c>
      <c r="AJ279" s="178">
        <f>AJ266+AJ270</f>
        <v>-7303908.0713887913</v>
      </c>
      <c r="AK279" s="178">
        <f t="shared" ref="AK279:AT279" si="154">AK266+AK272</f>
        <v>3965636.3752162326</v>
      </c>
      <c r="AL279" s="178">
        <f t="shared" si="154"/>
        <v>-6755507.5234183855</v>
      </c>
      <c r="AM279" s="178">
        <f t="shared" si="154"/>
        <v>-18909927.210337102</v>
      </c>
      <c r="AN279" s="178">
        <f t="shared" si="154"/>
        <v>-4371423.750235863</v>
      </c>
      <c r="AO279" s="178">
        <f t="shared" si="154"/>
        <v>-7931937.8121392857</v>
      </c>
      <c r="AP279" s="178">
        <f t="shared" si="154"/>
        <v>3935347.7504396439</v>
      </c>
      <c r="AQ279" s="178">
        <f t="shared" si="154"/>
        <v>4239055.2125372123</v>
      </c>
      <c r="AR279" s="178">
        <f t="shared" si="154"/>
        <v>4015455.8168802261</v>
      </c>
      <c r="AS279" s="178">
        <f t="shared" si="154"/>
        <v>4329253.9712879658</v>
      </c>
      <c r="AT279" s="178">
        <f t="shared" si="154"/>
        <v>48970846.064726241</v>
      </c>
      <c r="AU279" s="166"/>
      <c r="AV279" s="166"/>
      <c r="AW279" s="166"/>
      <c r="AX279" s="166"/>
      <c r="AY279" s="166"/>
      <c r="AZ279" s="166"/>
      <c r="BA279" s="166"/>
      <c r="BB279" s="166"/>
      <c r="BC279" s="166"/>
      <c r="BD279" s="166"/>
      <c r="BE279" s="166"/>
      <c r="BF279" s="166"/>
      <c r="BG279" s="166"/>
      <c r="BH279" s="166"/>
      <c r="BI279" s="166"/>
      <c r="BJ279" s="166"/>
      <c r="BK279" s="166"/>
      <c r="BL279" s="166"/>
      <c r="BM279" s="166"/>
      <c r="BN279" s="166"/>
    </row>
    <row r="280" spans="2:66" ht="14.4" x14ac:dyDescent="0.25">
      <c r="B280" s="844" t="s">
        <v>439</v>
      </c>
      <c r="C280" s="178"/>
      <c r="D280" s="178"/>
      <c r="E280" s="178"/>
      <c r="F280" s="178"/>
      <c r="G280" s="178"/>
      <c r="H280" s="178"/>
      <c r="I280" s="178"/>
      <c r="J280" s="178"/>
      <c r="K280" s="178"/>
      <c r="L280" s="178"/>
      <c r="M280" s="178"/>
      <c r="N280" s="178"/>
      <c r="O280" s="178"/>
      <c r="P280" s="178"/>
      <c r="Q280" s="178"/>
      <c r="R280" s="178"/>
      <c r="S280" s="178"/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849">
        <f>IRR(C279:AT279)</f>
        <v>-3.5755475507953216E-2</v>
      </c>
      <c r="AU280" s="166"/>
      <c r="AV280" s="166"/>
      <c r="AW280" s="166"/>
      <c r="AX280" s="166"/>
      <c r="AY280" s="166"/>
      <c r="AZ280" s="166"/>
      <c r="BA280" s="166"/>
      <c r="BB280" s="166"/>
      <c r="BC280" s="166"/>
      <c r="BD280" s="166"/>
      <c r="BE280" s="166"/>
      <c r="BF280" s="166"/>
      <c r="BG280" s="166"/>
      <c r="BH280" s="166"/>
      <c r="BI280" s="166"/>
      <c r="BJ280" s="166"/>
      <c r="BK280" s="166"/>
      <c r="BL280" s="166"/>
      <c r="BM280" s="166"/>
      <c r="BN280" s="166"/>
    </row>
    <row r="281" spans="2:66" ht="14.4" x14ac:dyDescent="0.25">
      <c r="B281" s="844"/>
      <c r="C281" s="178"/>
      <c r="D281" s="178"/>
      <c r="E281" s="178"/>
      <c r="F281" s="178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  <c r="AU281" s="166"/>
      <c r="AV281" s="166"/>
      <c r="AW281" s="166"/>
      <c r="AX281" s="166"/>
      <c r="AY281" s="166"/>
      <c r="AZ281" s="166"/>
      <c r="BA281" s="166"/>
      <c r="BB281" s="166"/>
      <c r="BC281" s="166"/>
      <c r="BD281" s="166"/>
      <c r="BE281" s="166"/>
      <c r="BF281" s="166"/>
      <c r="BG281" s="166"/>
      <c r="BH281" s="166"/>
      <c r="BI281" s="166"/>
      <c r="BJ281" s="166"/>
      <c r="BK281" s="166"/>
      <c r="BL281" s="166"/>
      <c r="BM281" s="166"/>
      <c r="BN281" s="166"/>
    </row>
    <row r="282" spans="2:66" ht="14.4" x14ac:dyDescent="0.25">
      <c r="B282" s="844" t="s">
        <v>450</v>
      </c>
      <c r="C282" s="178">
        <f>C256</f>
        <v>0</v>
      </c>
      <c r="D282" s="178">
        <f t="shared" ref="D282:AT282" si="155">D256</f>
        <v>0</v>
      </c>
      <c r="E282" s="178">
        <f t="shared" si="155"/>
        <v>0</v>
      </c>
      <c r="F282" s="178">
        <f t="shared" si="155"/>
        <v>0</v>
      </c>
      <c r="G282" s="178">
        <f t="shared" si="155"/>
        <v>489507.93856936321</v>
      </c>
      <c r="H282" s="178">
        <f t="shared" si="155"/>
        <v>1845788.7083881516</v>
      </c>
      <c r="I282" s="178">
        <f t="shared" si="155"/>
        <v>2081384.4718990242</v>
      </c>
      <c r="J282" s="178">
        <f t="shared" si="155"/>
        <v>2048462.3632845329</v>
      </c>
      <c r="K282" s="178">
        <f t="shared" si="155"/>
        <v>-4597482.9954226064</v>
      </c>
      <c r="L282" s="178">
        <f t="shared" si="155"/>
        <v>2232974.8563857935</v>
      </c>
      <c r="M282" s="178">
        <f t="shared" si="155"/>
        <v>2466034.2026788071</v>
      </c>
      <c r="N282" s="178">
        <f t="shared" si="155"/>
        <v>2393167.4498900538</v>
      </c>
      <c r="O282" s="178">
        <f t="shared" si="155"/>
        <v>2602113.5458709616</v>
      </c>
      <c r="P282" s="178">
        <f t="shared" si="155"/>
        <v>-5018254.5645796526</v>
      </c>
      <c r="Q282" s="178">
        <f t="shared" si="155"/>
        <v>2744609.571677844</v>
      </c>
      <c r="R282" s="178">
        <f t="shared" si="155"/>
        <v>2663667.0733928634</v>
      </c>
      <c r="S282" s="178">
        <f t="shared" si="155"/>
        <v>2856758.0571030956</v>
      </c>
      <c r="T282" s="178">
        <f t="shared" si="155"/>
        <v>2734415.4642984737</v>
      </c>
      <c r="U282" s="178">
        <f t="shared" si="155"/>
        <v>-5354153.1742145997</v>
      </c>
      <c r="V282" s="178">
        <f t="shared" si="155"/>
        <v>2805897.6013404178</v>
      </c>
      <c r="W282" s="178">
        <f t="shared" si="155"/>
        <v>3012885.9362606704</v>
      </c>
      <c r="X282" s="178">
        <f t="shared" si="155"/>
        <v>2940455.0199977765</v>
      </c>
      <c r="Y282" s="178">
        <f t="shared" si="155"/>
        <v>3222205.4665291104</v>
      </c>
      <c r="Z282" s="178">
        <f t="shared" si="155"/>
        <v>-5961439.0267628469</v>
      </c>
      <c r="AA282" s="178">
        <f t="shared" si="155"/>
        <v>3442791.5331980707</v>
      </c>
      <c r="AB282" s="178">
        <f t="shared" si="155"/>
        <v>3361671.8594796974</v>
      </c>
      <c r="AC282" s="178">
        <f t="shared" si="155"/>
        <v>3602309.6756643094</v>
      </c>
      <c r="AD282" s="178">
        <f t="shared" si="155"/>
        <v>3443604.8299692655</v>
      </c>
      <c r="AE282" s="178">
        <f t="shared" si="155"/>
        <v>-6313834.5939208847</v>
      </c>
      <c r="AF282" s="178">
        <f t="shared" si="155"/>
        <v>3525834.4779332913</v>
      </c>
      <c r="AG282" s="178">
        <f t="shared" si="155"/>
        <v>3783192.8390834257</v>
      </c>
      <c r="AH282" s="178">
        <f t="shared" si="155"/>
        <v>3608203.5741487695</v>
      </c>
      <c r="AI282" s="178">
        <f t="shared" si="155"/>
        <v>3874301.4783624932</v>
      </c>
      <c r="AJ282" s="178">
        <f t="shared" si="155"/>
        <v>-7303908.0713887922</v>
      </c>
      <c r="AK282" s="178">
        <f t="shared" si="155"/>
        <v>3965636.3752162326</v>
      </c>
      <c r="AL282" s="178">
        <f t="shared" si="155"/>
        <v>3772650.4861591943</v>
      </c>
      <c r="AM282" s="178">
        <f t="shared" si="155"/>
        <v>4057012.5471057128</v>
      </c>
      <c r="AN282" s="178">
        <f t="shared" si="155"/>
        <v>3854329.5010275487</v>
      </c>
      <c r="AO282" s="178">
        <f t="shared" si="155"/>
        <v>-7931937.8121392857</v>
      </c>
      <c r="AP282" s="178">
        <f t="shared" si="155"/>
        <v>3935347.7504396439</v>
      </c>
      <c r="AQ282" s="178">
        <f t="shared" si="155"/>
        <v>4239055.2125372123</v>
      </c>
      <c r="AR282" s="178">
        <f t="shared" si="155"/>
        <v>4015455.8168802261</v>
      </c>
      <c r="AS282" s="178">
        <f t="shared" si="155"/>
        <v>4329253.9712879658</v>
      </c>
      <c r="AT282" s="178">
        <f t="shared" si="155"/>
        <v>-9178720.4604858067</v>
      </c>
      <c r="AU282" s="166"/>
      <c r="AV282" s="166"/>
      <c r="AW282" s="166"/>
      <c r="AX282" s="166"/>
      <c r="AY282" s="166"/>
      <c r="AZ282" s="166"/>
      <c r="BA282" s="166"/>
      <c r="BB282" s="166"/>
      <c r="BC282" s="166"/>
      <c r="BD282" s="166"/>
      <c r="BE282" s="166"/>
      <c r="BF282" s="166"/>
      <c r="BG282" s="166"/>
      <c r="BH282" s="166"/>
      <c r="BI282" s="166"/>
      <c r="BJ282" s="166"/>
      <c r="BK282" s="166"/>
      <c r="BL282" s="166"/>
      <c r="BM282" s="166"/>
      <c r="BN282" s="166"/>
    </row>
    <row r="283" spans="2:66" ht="14.4" x14ac:dyDescent="0.25">
      <c r="B283" s="844" t="s">
        <v>451</v>
      </c>
      <c r="C283" s="178">
        <f>C282+C243</f>
        <v>0</v>
      </c>
      <c r="D283" s="178">
        <f t="shared" ref="D283:AT283" si="156">D282+D243</f>
        <v>0</v>
      </c>
      <c r="E283" s="178">
        <f t="shared" si="156"/>
        <v>0</v>
      </c>
      <c r="F283" s="178">
        <f t="shared" si="156"/>
        <v>0</v>
      </c>
      <c r="G283" s="178">
        <f t="shared" si="156"/>
        <v>-3986810.6788103851</v>
      </c>
      <c r="H283" s="178">
        <f t="shared" si="156"/>
        <v>-2630529.9089915967</v>
      </c>
      <c r="I283" s="178">
        <f t="shared" si="156"/>
        <v>-2394934.1454807241</v>
      </c>
      <c r="J283" s="178">
        <f t="shared" si="156"/>
        <v>-2427856.2540952154</v>
      </c>
      <c r="K283" s="178">
        <f t="shared" si="156"/>
        <v>-9073801.6128023546</v>
      </c>
      <c r="L283" s="178">
        <f t="shared" si="156"/>
        <v>-1993591.810900514</v>
      </c>
      <c r="M283" s="178">
        <f t="shared" si="156"/>
        <v>-1760532.4646075005</v>
      </c>
      <c r="N283" s="178">
        <f t="shared" si="156"/>
        <v>-1833399.2173962537</v>
      </c>
      <c r="O283" s="178">
        <f t="shared" si="156"/>
        <v>-1624453.1214153459</v>
      </c>
      <c r="P283" s="178">
        <f t="shared" si="156"/>
        <v>-9244821.2318659611</v>
      </c>
      <c r="Q283" s="178">
        <f t="shared" si="156"/>
        <v>-891579.33872814383</v>
      </c>
      <c r="R283" s="178">
        <f t="shared" si="156"/>
        <v>-1700911.1703933636</v>
      </c>
      <c r="S283" s="178">
        <f t="shared" si="156"/>
        <v>-1507820.1866831314</v>
      </c>
      <c r="T283" s="178">
        <f t="shared" si="156"/>
        <v>-1630162.7794877533</v>
      </c>
      <c r="U283" s="178">
        <f t="shared" si="156"/>
        <v>-9718731.4180008266</v>
      </c>
      <c r="V283" s="178">
        <f t="shared" si="156"/>
        <v>-524719.81385401823</v>
      </c>
      <c r="W283" s="178">
        <f t="shared" si="156"/>
        <v>-317731.47893376555</v>
      </c>
      <c r="X283" s="178">
        <f t="shared" si="156"/>
        <v>-1843602.956386188</v>
      </c>
      <c r="Y283" s="178">
        <f t="shared" si="156"/>
        <v>-1561852.5098548541</v>
      </c>
      <c r="Z283" s="178">
        <f t="shared" si="156"/>
        <v>-10745497.003146812</v>
      </c>
      <c r="AA283" s="178">
        <f t="shared" si="156"/>
        <v>-1341266.4431858938</v>
      </c>
      <c r="AB283" s="178">
        <f t="shared" si="156"/>
        <v>-1422386.1169042671</v>
      </c>
      <c r="AC283" s="178">
        <f t="shared" si="156"/>
        <v>-1357198.8213854739</v>
      </c>
      <c r="AD283" s="178">
        <f t="shared" si="156"/>
        <v>-1515903.6670805179</v>
      </c>
      <c r="AE283" s="178">
        <f t="shared" si="156"/>
        <v>-11273343.090970669</v>
      </c>
      <c r="AF283" s="178">
        <f t="shared" si="156"/>
        <v>-1433674.019116492</v>
      </c>
      <c r="AG283" s="178">
        <f t="shared" si="156"/>
        <v>-1176315.6579663577</v>
      </c>
      <c r="AH283" s="178">
        <f t="shared" si="156"/>
        <v>-1351304.9229010139</v>
      </c>
      <c r="AI283" s="178">
        <f t="shared" si="156"/>
        <v>-1085207.0186872901</v>
      </c>
      <c r="AJ283" s="178">
        <f t="shared" si="156"/>
        <v>-12263416.568438575</v>
      </c>
      <c r="AK283" s="178">
        <f t="shared" si="156"/>
        <v>-993872.12183355074</v>
      </c>
      <c r="AL283" s="178">
        <f t="shared" si="156"/>
        <v>-1186858.0108905891</v>
      </c>
      <c r="AM283" s="178">
        <f t="shared" si="156"/>
        <v>550944.61124545801</v>
      </c>
      <c r="AN283" s="178">
        <f t="shared" si="156"/>
        <v>1252101.4192133518</v>
      </c>
      <c r="AO283" s="178">
        <f t="shared" si="156"/>
        <v>-13469150.530212285</v>
      </c>
      <c r="AP283" s="178">
        <f t="shared" si="156"/>
        <v>-1601864.9676333554</v>
      </c>
      <c r="AQ283" s="178">
        <f t="shared" si="156"/>
        <v>-1298157.505535787</v>
      </c>
      <c r="AR283" s="178">
        <f t="shared" si="156"/>
        <v>-1521756.9011927731</v>
      </c>
      <c r="AS283" s="178">
        <f t="shared" si="156"/>
        <v>-1207958.7467850335</v>
      </c>
      <c r="AT283" s="178">
        <f t="shared" si="156"/>
        <v>-14715933.178558806</v>
      </c>
      <c r="AU283" s="166"/>
      <c r="AV283" s="166"/>
      <c r="AW283" s="166"/>
      <c r="AX283" s="166"/>
      <c r="AY283" s="166"/>
      <c r="AZ283" s="166"/>
      <c r="BA283" s="166"/>
      <c r="BB283" s="166"/>
      <c r="BC283" s="166"/>
      <c r="BD283" s="166"/>
      <c r="BE283" s="166"/>
      <c r="BF283" s="166"/>
      <c r="BG283" s="166"/>
      <c r="BH283" s="166"/>
      <c r="BI283" s="166"/>
      <c r="BJ283" s="166"/>
      <c r="BK283" s="166"/>
      <c r="BL283" s="166"/>
      <c r="BM283" s="166"/>
      <c r="BN283" s="166"/>
    </row>
    <row r="284" spans="2:66" ht="14.4" x14ac:dyDescent="0.25">
      <c r="B284" s="844"/>
      <c r="C284" s="178"/>
      <c r="D284" s="178"/>
      <c r="E284" s="178"/>
      <c r="F284" s="178"/>
      <c r="G284" s="178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/>
      <c r="AS284" s="178"/>
      <c r="AT284" s="178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</row>
    <row r="285" spans="2:66" ht="14.4" x14ac:dyDescent="0.25">
      <c r="B285" s="844" t="s">
        <v>489</v>
      </c>
      <c r="C285" s="908"/>
      <c r="D285" s="908"/>
      <c r="E285" s="908"/>
      <c r="F285" s="908"/>
      <c r="G285" s="909">
        <f>ABS(G254)/ABS(G249)</f>
        <v>1.1133582855553135</v>
      </c>
      <c r="H285" s="909">
        <f t="shared" ref="H285:AT285" si="157">ABS(H254)/ABS(H249)</f>
        <v>1.4163804639896966</v>
      </c>
      <c r="I285" s="909">
        <f t="shared" si="157"/>
        <v>1.4587704948018638</v>
      </c>
      <c r="J285" s="909">
        <f t="shared" si="157"/>
        <v>1.4411640660050757</v>
      </c>
      <c r="K285" s="909">
        <f t="shared" si="157"/>
        <v>0.60427606252347776</v>
      </c>
      <c r="L285" s="909">
        <f t="shared" si="157"/>
        <v>1.4590884701468896</v>
      </c>
      <c r="M285" s="909">
        <f t="shared" si="157"/>
        <v>1.4953624398923862</v>
      </c>
      <c r="N285" s="909">
        <f t="shared" si="157"/>
        <v>1.4696806066159993</v>
      </c>
      <c r="O285" s="909">
        <f t="shared" si="157"/>
        <v>1.4989482216722312</v>
      </c>
      <c r="P285" s="909">
        <f t="shared" si="157"/>
        <v>0.6104308610059751</v>
      </c>
      <c r="Q285" s="909">
        <f t="shared" si="157"/>
        <v>1.5023328363009587</v>
      </c>
      <c r="R285" s="909">
        <f t="shared" si="157"/>
        <v>1.4762916727201145</v>
      </c>
      <c r="S285" s="909">
        <f t="shared" si="157"/>
        <v>1.4990483985823042</v>
      </c>
      <c r="T285" s="909">
        <f t="shared" si="157"/>
        <v>1.4666636431193627</v>
      </c>
      <c r="U285" s="909">
        <f t="shared" si="157"/>
        <v>0.62522612418076551</v>
      </c>
      <c r="V285" s="909">
        <f t="shared" si="157"/>
        <v>1.4570188196657403</v>
      </c>
      <c r="W285" s="909">
        <f t="shared" si="157"/>
        <v>1.479399399822162</v>
      </c>
      <c r="X285" s="909">
        <f t="shared" si="157"/>
        <v>1.4570628716647867</v>
      </c>
      <c r="Y285" s="909">
        <f t="shared" si="157"/>
        <v>1.4892775784454932</v>
      </c>
      <c r="Z285" s="909">
        <f t="shared" si="157"/>
        <v>0.62385060060960884</v>
      </c>
      <c r="AA285" s="909">
        <f t="shared" si="157"/>
        <v>1.4988573430803935</v>
      </c>
      <c r="AB285" s="909">
        <f t="shared" si="157"/>
        <v>1.4758212455158228</v>
      </c>
      <c r="AC285" s="909">
        <f t="shared" si="157"/>
        <v>1.498065517183248</v>
      </c>
      <c r="AD285" s="909">
        <f t="shared" si="157"/>
        <v>1.4650821863057739</v>
      </c>
      <c r="AE285" s="909">
        <f t="shared" si="157"/>
        <v>0.64098354171779814</v>
      </c>
      <c r="AF285" s="909">
        <f t="shared" si="157"/>
        <v>1.4543414626526305</v>
      </c>
      <c r="AG285" s="909">
        <f t="shared" si="157"/>
        <v>1.4761809407877349</v>
      </c>
      <c r="AH285" s="909">
        <f t="shared" si="157"/>
        <v>1.4436001333794108</v>
      </c>
      <c r="AI285" s="909">
        <f t="shared" si="157"/>
        <v>1.4652379967473081</v>
      </c>
      <c r="AJ285" s="909">
        <f t="shared" si="157"/>
        <v>0.62583210771508457</v>
      </c>
      <c r="AK285" s="909">
        <f t="shared" si="157"/>
        <v>1.4542960534190079</v>
      </c>
      <c r="AL285" s="909">
        <f t="shared" si="157"/>
        <v>1.4221198922786298</v>
      </c>
      <c r="AM285" s="909">
        <f t="shared" si="157"/>
        <v>1.4433561885237234</v>
      </c>
      <c r="AN285" s="909">
        <f t="shared" si="157"/>
        <v>1.4113830960756646</v>
      </c>
      <c r="AO285" s="909">
        <f t="shared" si="157"/>
        <v>0.63402135309993979</v>
      </c>
      <c r="AP285" s="909">
        <f t="shared" si="157"/>
        <v>1.4006499248108815</v>
      </c>
      <c r="AQ285" s="909">
        <f t="shared" si="157"/>
        <v>1.4214869995139474</v>
      </c>
      <c r="AR285" s="909">
        <f t="shared" si="157"/>
        <v>1.3899214332135086</v>
      </c>
      <c r="AS285" s="909">
        <f t="shared" si="157"/>
        <v>1.4105598243833646</v>
      </c>
      <c r="AT285" s="909">
        <f t="shared" si="157"/>
        <v>0.61867440645978811</v>
      </c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</row>
    <row r="286" spans="2:66" ht="14.4" x14ac:dyDescent="0.25">
      <c r="B286" s="844" t="s">
        <v>490</v>
      </c>
      <c r="C286" s="908"/>
      <c r="D286" s="908"/>
      <c r="E286" s="908"/>
      <c r="F286" s="908"/>
      <c r="G286" s="909">
        <f>G285-1</f>
        <v>0.11335828555531346</v>
      </c>
      <c r="H286" s="909">
        <f t="shared" ref="H286" si="158">H285-1</f>
        <v>0.41638046398969664</v>
      </c>
      <c r="I286" s="909">
        <f t="shared" ref="I286" si="159">I285-1</f>
        <v>0.45877049480186383</v>
      </c>
      <c r="J286" s="909">
        <f t="shared" ref="J286" si="160">J285-1</f>
        <v>0.44116406600507574</v>
      </c>
      <c r="K286" s="909">
        <f t="shared" ref="K286" si="161">K285-1</f>
        <v>-0.39572393747652224</v>
      </c>
      <c r="L286" s="909">
        <f t="shared" ref="L286" si="162">L285-1</f>
        <v>0.45908847014688958</v>
      </c>
      <c r="M286" s="909">
        <f t="shared" ref="M286" si="163">M285-1</f>
        <v>0.49536243989238615</v>
      </c>
      <c r="N286" s="909">
        <f t="shared" ref="N286" si="164">N285-1</f>
        <v>0.46968060661599931</v>
      </c>
      <c r="O286" s="909">
        <f t="shared" ref="O286" si="165">O285-1</f>
        <v>0.49894822167223118</v>
      </c>
      <c r="P286" s="909">
        <f t="shared" ref="P286" si="166">P285-1</f>
        <v>-0.3895691389940249</v>
      </c>
      <c r="Q286" s="909">
        <f t="shared" ref="Q286" si="167">Q285-1</f>
        <v>0.50233283630095871</v>
      </c>
      <c r="R286" s="909">
        <f t="shared" ref="R286" si="168">R285-1</f>
        <v>0.47629167272011452</v>
      </c>
      <c r="S286" s="909">
        <f t="shared" ref="S286" si="169">S285-1</f>
        <v>0.49904839858230421</v>
      </c>
      <c r="T286" s="909">
        <f t="shared" ref="T286" si="170">T285-1</f>
        <v>0.4666636431193627</v>
      </c>
      <c r="U286" s="909">
        <f t="shared" ref="U286" si="171">U285-1</f>
        <v>-0.37477387581923449</v>
      </c>
      <c r="V286" s="909">
        <f t="shared" ref="V286" si="172">V285-1</f>
        <v>0.45701881966574032</v>
      </c>
      <c r="W286" s="909">
        <f t="shared" ref="W286" si="173">W285-1</f>
        <v>0.47939939982216195</v>
      </c>
      <c r="X286" s="909">
        <f t="shared" ref="X286" si="174">X285-1</f>
        <v>0.45706287166478665</v>
      </c>
      <c r="Y286" s="909">
        <f t="shared" ref="Y286" si="175">Y285-1</f>
        <v>0.48927757844549324</v>
      </c>
      <c r="Z286" s="909">
        <f t="shared" ref="Z286" si="176">Z285-1</f>
        <v>-0.37614939939039116</v>
      </c>
      <c r="AA286" s="909">
        <f t="shared" ref="AA286" si="177">AA285-1</f>
        <v>0.49885734308039353</v>
      </c>
      <c r="AB286" s="909">
        <f t="shared" ref="AB286" si="178">AB285-1</f>
        <v>0.47582124551582283</v>
      </c>
      <c r="AC286" s="909">
        <f t="shared" ref="AC286" si="179">AC285-1</f>
        <v>0.49806551718324799</v>
      </c>
      <c r="AD286" s="909">
        <f t="shared" ref="AD286" si="180">AD285-1</f>
        <v>0.46508218630577391</v>
      </c>
      <c r="AE286" s="909">
        <f t="shared" ref="AE286" si="181">AE285-1</f>
        <v>-0.35901645828220186</v>
      </c>
      <c r="AF286" s="909">
        <f t="shared" ref="AF286" si="182">AF285-1</f>
        <v>0.45434146265263053</v>
      </c>
      <c r="AG286" s="909">
        <f t="shared" ref="AG286" si="183">AG285-1</f>
        <v>0.47618094078773487</v>
      </c>
      <c r="AH286" s="909">
        <f t="shared" ref="AH286" si="184">AH285-1</f>
        <v>0.44360013337941084</v>
      </c>
      <c r="AI286" s="909">
        <f t="shared" ref="AI286" si="185">AI285-1</f>
        <v>0.46523799674730815</v>
      </c>
      <c r="AJ286" s="909">
        <f t="shared" ref="AJ286" si="186">AJ285-1</f>
        <v>-0.37416789228491543</v>
      </c>
      <c r="AK286" s="909">
        <f t="shared" ref="AK286" si="187">AK285-1</f>
        <v>0.45429605341900792</v>
      </c>
      <c r="AL286" s="909">
        <f t="shared" ref="AL286" si="188">AL285-1</f>
        <v>0.42211989227862978</v>
      </c>
      <c r="AM286" s="909">
        <f t="shared" ref="AM286" si="189">AM285-1</f>
        <v>0.44335618852372338</v>
      </c>
      <c r="AN286" s="909">
        <f t="shared" ref="AN286" si="190">AN285-1</f>
        <v>0.41138309607566459</v>
      </c>
      <c r="AO286" s="909">
        <f t="shared" ref="AO286" si="191">AO285-1</f>
        <v>-0.36597864690006021</v>
      </c>
      <c r="AP286" s="909">
        <f t="shared" ref="AP286" si="192">AP285-1</f>
        <v>0.40064992481088146</v>
      </c>
      <c r="AQ286" s="909">
        <f t="shared" ref="AQ286" si="193">AQ285-1</f>
        <v>0.42148699951394741</v>
      </c>
      <c r="AR286" s="909">
        <f t="shared" ref="AR286" si="194">AR285-1</f>
        <v>0.38992143321350858</v>
      </c>
      <c r="AS286" s="909">
        <f t="shared" ref="AS286" si="195">AS285-1</f>
        <v>0.41055982438336458</v>
      </c>
      <c r="AT286" s="909">
        <f t="shared" ref="AT286" si="196">AT285-1</f>
        <v>-0.38132559354021189</v>
      </c>
      <c r="AU286" s="166"/>
      <c r="AV286" s="166"/>
      <c r="AW286" s="166"/>
      <c r="AX286" s="166"/>
      <c r="AY286" s="166"/>
      <c r="AZ286" s="166"/>
      <c r="BA286" s="166"/>
      <c r="BB286" s="166"/>
      <c r="BC286" s="166"/>
      <c r="BD286" s="166"/>
      <c r="BE286" s="166"/>
      <c r="BF286" s="166"/>
      <c r="BG286" s="166"/>
      <c r="BH286" s="166"/>
      <c r="BI286" s="166"/>
      <c r="BJ286" s="166"/>
      <c r="BK286" s="166"/>
      <c r="BL286" s="166"/>
      <c r="BM286" s="166"/>
      <c r="BN286" s="166"/>
    </row>
    <row r="287" spans="2:66" ht="14.4" x14ac:dyDescent="0.25">
      <c r="B287" s="844"/>
      <c r="C287" s="178"/>
      <c r="D287" s="178"/>
      <c r="E287" s="178"/>
      <c r="F287" s="178"/>
      <c r="G287" s="178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66"/>
      <c r="AV287" s="166"/>
      <c r="AW287" s="166"/>
      <c r="AX287" s="166"/>
      <c r="AY287" s="166"/>
      <c r="AZ287" s="166"/>
      <c r="BA287" s="166"/>
      <c r="BB287" s="166"/>
      <c r="BC287" s="166"/>
      <c r="BD287" s="166"/>
      <c r="BE287" s="166"/>
      <c r="BF287" s="166"/>
      <c r="BG287" s="166"/>
      <c r="BH287" s="166"/>
      <c r="BI287" s="166"/>
      <c r="BJ287" s="166"/>
      <c r="BK287" s="166"/>
      <c r="BL287" s="166"/>
      <c r="BM287" s="166"/>
      <c r="BN287" s="166"/>
    </row>
    <row r="288" spans="2:66" ht="14.4" x14ac:dyDescent="0.25">
      <c r="B288" s="907" t="s">
        <v>404</v>
      </c>
      <c r="C288" s="268">
        <f>C279/((1+$C$26)^C220)</f>
        <v>-7968994.6529367194</v>
      </c>
      <c r="D288" s="268">
        <f>D279/((1+$C$26)^D220)</f>
        <v>-27644223.938510761</v>
      </c>
      <c r="E288" s="268">
        <f t="shared" ref="E288:AT288" si="197">E279/((1+$C$26)^E220)</f>
        <v>-64695938.279751711</v>
      </c>
      <c r="F288" s="268">
        <f t="shared" si="197"/>
        <v>-23379064.403398503</v>
      </c>
      <c r="G288" s="268">
        <f t="shared" si="197"/>
        <v>300224.38607231638</v>
      </c>
      <c r="H288" s="268">
        <f t="shared" si="197"/>
        <v>1001820.1612332581</v>
      </c>
      <c r="I288" s="268">
        <f t="shared" si="197"/>
        <v>999727.52456474397</v>
      </c>
      <c r="J288" s="268">
        <f t="shared" si="197"/>
        <v>870720.73082746693</v>
      </c>
      <c r="K288" s="268">
        <f t="shared" si="197"/>
        <v>-1729388.5678285614</v>
      </c>
      <c r="L288" s="268">
        <f t="shared" si="197"/>
        <v>743323.46301534539</v>
      </c>
      <c r="M288" s="268">
        <f t="shared" si="197"/>
        <v>726464.9421896768</v>
      </c>
      <c r="N288" s="268">
        <f t="shared" si="197"/>
        <v>623893.13792241004</v>
      </c>
      <c r="O288" s="268">
        <f t="shared" si="197"/>
        <v>600322.91574496194</v>
      </c>
      <c r="P288" s="268">
        <f t="shared" si="197"/>
        <v>-1679342.5488092941</v>
      </c>
      <c r="Q288" s="268">
        <f t="shared" si="197"/>
        <v>-240679.21109538278</v>
      </c>
      <c r="R288" s="268">
        <f t="shared" si="197"/>
        <v>425895.73403981695</v>
      </c>
      <c r="S288" s="268">
        <f t="shared" si="197"/>
        <v>404220.52815748006</v>
      </c>
      <c r="T288" s="268">
        <f t="shared" si="197"/>
        <v>342397.79742618301</v>
      </c>
      <c r="U288" s="268">
        <f t="shared" si="197"/>
        <v>-1041627.8859826901</v>
      </c>
      <c r="V288" s="268">
        <f t="shared" si="197"/>
        <v>-909254.23508972209</v>
      </c>
      <c r="W288" s="268">
        <f t="shared" si="197"/>
        <v>-231274.73098252169</v>
      </c>
      <c r="X288" s="268">
        <f t="shared" si="197"/>
        <v>225822.50844561742</v>
      </c>
      <c r="Y288" s="268">
        <f t="shared" si="197"/>
        <v>218991.60848071289</v>
      </c>
      <c r="Z288" s="268">
        <f t="shared" si="197"/>
        <v>-358547.67135896871</v>
      </c>
      <c r="AA288" s="268">
        <f t="shared" si="197"/>
        <v>-28577.574129303288</v>
      </c>
      <c r="AB288" s="268">
        <f t="shared" si="197"/>
        <v>-79932.819278192022</v>
      </c>
      <c r="AC288" s="268">
        <f t="shared" si="197"/>
        <v>150155.59319700932</v>
      </c>
      <c r="AD288" s="268">
        <f t="shared" si="197"/>
        <v>127026.79314090966</v>
      </c>
      <c r="AE288" s="268">
        <f t="shared" si="197"/>
        <v>-206108.91770322784</v>
      </c>
      <c r="AF288" s="268">
        <f t="shared" si="197"/>
        <v>101856.10373586814</v>
      </c>
      <c r="AG288" s="268">
        <f t="shared" si="197"/>
        <v>96717.525012700484</v>
      </c>
      <c r="AH288" s="268">
        <f t="shared" si="197"/>
        <v>81631.783362829548</v>
      </c>
      <c r="AI288" s="268">
        <f t="shared" si="197"/>
        <v>77568.111985533687</v>
      </c>
      <c r="AJ288" s="268">
        <f t="shared" si="197"/>
        <v>-129409.65025672637</v>
      </c>
      <c r="AK288" s="268">
        <f t="shared" si="197"/>
        <v>62179.29750044713</v>
      </c>
      <c r="AL288" s="268">
        <f t="shared" si="197"/>
        <v>-93737.304332193526</v>
      </c>
      <c r="AM288" s="268">
        <f t="shared" si="197"/>
        <v>-232201.96559062388</v>
      </c>
      <c r="AN288" s="268">
        <f t="shared" si="197"/>
        <v>-47502.941013621356</v>
      </c>
      <c r="AO288" s="268">
        <f t="shared" si="197"/>
        <v>-76277.85085894457</v>
      </c>
      <c r="AP288" s="268">
        <f t="shared" si="197"/>
        <v>33490.668720836766</v>
      </c>
      <c r="AQ288" s="268">
        <f t="shared" si="197"/>
        <v>31925.031454950873</v>
      </c>
      <c r="AR288" s="268">
        <f t="shared" si="197"/>
        <v>26762.006311770456</v>
      </c>
      <c r="AS288" s="268">
        <f t="shared" si="197"/>
        <v>25533.975521349344</v>
      </c>
      <c r="AT288" s="268">
        <f t="shared" si="197"/>
        <v>255602.17059150236</v>
      </c>
      <c r="AU288" s="166"/>
      <c r="AV288" s="166"/>
      <c r="AW288" s="166"/>
      <c r="AX288" s="166"/>
      <c r="AY288" s="166"/>
      <c r="AZ288" s="166"/>
      <c r="BA288" s="166"/>
      <c r="BB288" s="166"/>
      <c r="BC288" s="166"/>
      <c r="BD288" s="166"/>
      <c r="BE288" s="166"/>
      <c r="BF288" s="166"/>
      <c r="BG288" s="166"/>
      <c r="BH288" s="166"/>
      <c r="BI288" s="166"/>
      <c r="BJ288" s="166"/>
      <c r="BK288" s="166"/>
      <c r="BL288" s="166"/>
      <c r="BM288" s="166"/>
      <c r="BN288" s="166"/>
    </row>
    <row r="289" spans="2:66" ht="14.4" x14ac:dyDescent="0.25">
      <c r="B289" s="907" t="s">
        <v>403</v>
      </c>
      <c r="C289" s="824">
        <f>SUM(C288)</f>
        <v>-7968994.6529367194</v>
      </c>
      <c r="D289" s="824">
        <f>SUM(C288:D288)</f>
        <v>-35613218.59144748</v>
      </c>
      <c r="E289" s="824">
        <f>SUM(C288:E288)</f>
        <v>-100309156.87119919</v>
      </c>
      <c r="F289" s="824">
        <f>SUM(C288:F288)</f>
        <v>-123688221.27459769</v>
      </c>
      <c r="G289" s="824">
        <f>SUM(C288:G288)</f>
        <v>-123387996.88852537</v>
      </c>
      <c r="H289" s="824">
        <f>SUM(C288:H288)</f>
        <v>-122386176.72729211</v>
      </c>
      <c r="I289" s="824">
        <f>SUM(C288:I288)</f>
        <v>-121386449.20272736</v>
      </c>
      <c r="J289" s="824">
        <f>SUM(C288:J288)</f>
        <v>-120515728.4718999</v>
      </c>
      <c r="K289" s="824">
        <f>SUM(C288:K288)</f>
        <v>-122245117.03972846</v>
      </c>
      <c r="L289" s="824">
        <f>SUM(C288:L288)</f>
        <v>-121501793.57671311</v>
      </c>
      <c r="M289" s="824">
        <f>SUM(C288:M288)</f>
        <v>-120775328.63452344</v>
      </c>
      <c r="N289" s="824">
        <f>SUM(C288:N288)</f>
        <v>-120151435.49660103</v>
      </c>
      <c r="O289" s="824">
        <f>SUM(C288:O288)</f>
        <v>-119551112.58085607</v>
      </c>
      <c r="P289" s="824">
        <f>SUM(C288:P288)</f>
        <v>-121230455.12966536</v>
      </c>
      <c r="Q289" s="824">
        <f>SUM(C288:Q288)</f>
        <v>-121471134.34076074</v>
      </c>
      <c r="R289" s="824">
        <f>SUM(C288:R288)</f>
        <v>-121045238.60672092</v>
      </c>
      <c r="S289" s="824">
        <f>SUM(C288:S288)</f>
        <v>-120641018.07856345</v>
      </c>
      <c r="T289" s="824">
        <f>SUM(C288:T288)</f>
        <v>-120298620.28113727</v>
      </c>
      <c r="U289" s="824">
        <f>SUM(C288:U288)</f>
        <v>-121340248.16711996</v>
      </c>
      <c r="V289" s="824">
        <f>SUM(C288:V288)</f>
        <v>-122249502.40220968</v>
      </c>
      <c r="W289" s="824">
        <f>SUM(C288:W288)</f>
        <v>-122480777.13319221</v>
      </c>
      <c r="X289" s="824">
        <f>SUM(C288:X288)</f>
        <v>-122254954.62474659</v>
      </c>
      <c r="Y289" s="824">
        <f>SUM(C288:Y288)</f>
        <v>-122035963.01626588</v>
      </c>
      <c r="Z289" s="824">
        <f>SUM(C288:Z288)</f>
        <v>-122394510.68762486</v>
      </c>
      <c r="AA289" s="824">
        <f>SUM(C288:AA288)</f>
        <v>-122423088.26175416</v>
      </c>
      <c r="AB289" s="824">
        <f>SUM(C288:AB288)</f>
        <v>-122503021.08103235</v>
      </c>
      <c r="AC289" s="824">
        <f>SUM(C288:AC288)</f>
        <v>-122352865.48783535</v>
      </c>
      <c r="AD289" s="824">
        <f>SUM(C288:AD288)</f>
        <v>-122225838.69469444</v>
      </c>
      <c r="AE289" s="824">
        <f>SUM(C288:AE288)</f>
        <v>-122431947.61239767</v>
      </c>
      <c r="AF289" s="824">
        <f>SUM(C288:AF288)</f>
        <v>-122330091.50866181</v>
      </c>
      <c r="AG289" s="824">
        <f>SUM(C288:AG288)</f>
        <v>-122233373.9836491</v>
      </c>
      <c r="AH289" s="824">
        <f>SUM(C288:AH288)</f>
        <v>-122151742.20028627</v>
      </c>
      <c r="AI289" s="824">
        <f>SUM(C288:AI288)</f>
        <v>-122074174.08830073</v>
      </c>
      <c r="AJ289" s="824">
        <f>SUM(C288:AJ288)</f>
        <v>-122203583.73855746</v>
      </c>
      <c r="AK289" s="824">
        <f>SUM(C288:AK288)</f>
        <v>-122141404.44105701</v>
      </c>
      <c r="AL289" s="824">
        <f>SUM(C288:AL288)</f>
        <v>-122235141.74538921</v>
      </c>
      <c r="AM289" s="824">
        <f>SUM(C288:AM288)</f>
        <v>-122467343.71097983</v>
      </c>
      <c r="AN289" s="824">
        <f>SUM(C288:AN288)</f>
        <v>-122514846.65199345</v>
      </c>
      <c r="AO289" s="824">
        <f>SUM(C288:AO288)</f>
        <v>-122591124.5028524</v>
      </c>
      <c r="AP289" s="824">
        <f>SUM(C288:AP288)</f>
        <v>-122557633.83413155</v>
      </c>
      <c r="AQ289" s="824">
        <f>SUM(C288:AQ288)</f>
        <v>-122525708.8026766</v>
      </c>
      <c r="AR289" s="824">
        <f>SUM(C288:AR288)</f>
        <v>-122498946.79636483</v>
      </c>
      <c r="AS289" s="824">
        <f>SUM(C288:AS288)</f>
        <v>-122473412.82084347</v>
      </c>
      <c r="AT289" s="824">
        <f>SUM(C288:AT288)</f>
        <v>-122217810.65025197</v>
      </c>
      <c r="AU289" s="166"/>
      <c r="AV289" s="166"/>
      <c r="AW289" s="166"/>
      <c r="AX289" s="166"/>
      <c r="AY289" s="166"/>
      <c r="AZ289" s="166"/>
      <c r="BA289" s="166"/>
      <c r="BB289" s="166"/>
      <c r="BC289" s="166"/>
      <c r="BD289" s="166"/>
      <c r="BE289" s="166"/>
      <c r="BF289" s="166"/>
      <c r="BG289" s="166"/>
      <c r="BH289" s="166"/>
      <c r="BI289" s="166"/>
      <c r="BJ289" s="166"/>
      <c r="BK289" s="166"/>
      <c r="BL289" s="166"/>
      <c r="BM289" s="166"/>
      <c r="BN289" s="166"/>
    </row>
    <row r="290" spans="2:66" x14ac:dyDescent="0.25"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</row>
    <row r="291" spans="2:66" x14ac:dyDescent="0.25"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</row>
    <row r="292" spans="2:66" s="306" customFormat="1" ht="14.4" x14ac:dyDescent="0.3">
      <c r="B292" s="759" t="s">
        <v>532</v>
      </c>
      <c r="C292" s="759"/>
      <c r="D292" s="759"/>
      <c r="E292" s="759"/>
      <c r="F292" s="759"/>
      <c r="G292" s="759"/>
      <c r="H292" s="759"/>
      <c r="I292" s="759"/>
      <c r="J292" s="759"/>
      <c r="K292" s="759"/>
      <c r="L292" s="759"/>
      <c r="M292" s="759"/>
      <c r="N292" s="759"/>
      <c r="O292" s="759"/>
      <c r="P292" s="759"/>
      <c r="Q292" s="759"/>
      <c r="R292" s="759"/>
      <c r="S292" s="759"/>
      <c r="T292" s="759"/>
      <c r="U292" s="759"/>
      <c r="V292" s="759"/>
      <c r="W292" s="759"/>
      <c r="X292" s="759"/>
      <c r="Y292" s="759"/>
      <c r="Z292" s="759"/>
      <c r="AA292" s="759"/>
      <c r="AB292" s="759"/>
      <c r="AC292" s="759"/>
      <c r="AD292" s="759"/>
      <c r="AE292" s="759"/>
      <c r="AF292" s="759"/>
      <c r="AG292" s="759"/>
      <c r="AH292" s="759"/>
      <c r="AI292" s="759"/>
      <c r="AJ292" s="759"/>
      <c r="AK292" s="759"/>
      <c r="AL292" s="759"/>
      <c r="AM292" s="759"/>
      <c r="AN292" s="759"/>
      <c r="AO292" s="759"/>
      <c r="AP292" s="759"/>
      <c r="AQ292" s="759"/>
      <c r="AR292" s="759"/>
      <c r="AS292" s="759"/>
      <c r="AT292" s="814"/>
    </row>
    <row r="293" spans="2:66" x14ac:dyDescent="0.25"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7"/>
      <c r="AI293" s="177"/>
      <c r="AJ293" s="13"/>
      <c r="AK293" s="38"/>
      <c r="AL293" s="38"/>
      <c r="AM293" s="38"/>
      <c r="AN293" s="38"/>
      <c r="AO293" s="38"/>
      <c r="AP293" s="38"/>
      <c r="AQ293" s="38"/>
      <c r="AR293" s="38"/>
      <c r="AS293" s="38"/>
      <c r="AT293" s="13"/>
      <c r="AU293" s="166"/>
      <c r="AV293" s="166"/>
      <c r="AW293" s="166"/>
      <c r="AX293" s="166"/>
      <c r="AY293" s="166"/>
      <c r="AZ293" s="166"/>
      <c r="BA293" s="166"/>
      <c r="BB293" s="166"/>
      <c r="BC293" s="166"/>
      <c r="BD293" s="166"/>
      <c r="BE293" s="166"/>
      <c r="BF293" s="166"/>
      <c r="BG293" s="166"/>
      <c r="BH293" s="166"/>
      <c r="BI293" s="166"/>
      <c r="BJ293" s="166"/>
      <c r="BK293" s="166"/>
      <c r="BL293" s="166"/>
      <c r="BM293" s="166"/>
      <c r="BN293" s="166"/>
    </row>
    <row r="294" spans="2:66" ht="14.4" x14ac:dyDescent="0.3">
      <c r="B294" s="813" t="s">
        <v>378</v>
      </c>
      <c r="C294" s="179">
        <v>2015</v>
      </c>
      <c r="D294" s="179">
        <v>2016</v>
      </c>
      <c r="E294" s="179">
        <v>2017</v>
      </c>
      <c r="F294" s="179">
        <v>2018</v>
      </c>
      <c r="G294" s="179">
        <v>2019</v>
      </c>
      <c r="H294" s="179">
        <v>2020</v>
      </c>
      <c r="I294" s="179">
        <v>2021</v>
      </c>
      <c r="J294" s="179">
        <v>2022</v>
      </c>
      <c r="K294" s="179">
        <v>2023</v>
      </c>
      <c r="L294" s="179">
        <v>2024</v>
      </c>
      <c r="M294" s="179">
        <v>2025</v>
      </c>
      <c r="N294" s="179">
        <v>2026</v>
      </c>
      <c r="O294" s="179">
        <v>2027</v>
      </c>
      <c r="P294" s="179">
        <v>2028</v>
      </c>
      <c r="Q294" s="179">
        <v>2029</v>
      </c>
      <c r="R294" s="179">
        <v>2030</v>
      </c>
      <c r="S294" s="179">
        <v>2031</v>
      </c>
      <c r="T294" s="179">
        <v>2032</v>
      </c>
      <c r="U294" s="179">
        <v>2033</v>
      </c>
      <c r="V294" s="179">
        <v>2034</v>
      </c>
      <c r="W294" s="179">
        <v>2035</v>
      </c>
      <c r="X294" s="179">
        <v>2036</v>
      </c>
      <c r="Y294" s="179">
        <v>2037</v>
      </c>
      <c r="Z294" s="179">
        <v>2038</v>
      </c>
      <c r="AA294" s="179">
        <v>2039</v>
      </c>
      <c r="AB294" s="179">
        <v>2040</v>
      </c>
      <c r="AC294" s="179">
        <v>2041</v>
      </c>
      <c r="AD294" s="179">
        <v>2042</v>
      </c>
      <c r="AE294" s="179">
        <v>2043</v>
      </c>
      <c r="AF294" s="179">
        <v>2044</v>
      </c>
      <c r="AG294" s="179">
        <v>2045</v>
      </c>
      <c r="AH294" s="179">
        <v>2046</v>
      </c>
      <c r="AI294" s="179">
        <v>2047</v>
      </c>
      <c r="AJ294" s="179">
        <v>2048</v>
      </c>
      <c r="AK294" s="179">
        <v>2049</v>
      </c>
      <c r="AL294" s="179">
        <v>2050</v>
      </c>
      <c r="AM294" s="179">
        <v>2051</v>
      </c>
      <c r="AN294" s="179">
        <v>2052</v>
      </c>
      <c r="AO294" s="179">
        <v>2053</v>
      </c>
      <c r="AP294" s="179">
        <v>2054</v>
      </c>
      <c r="AQ294" s="179">
        <v>2055</v>
      </c>
      <c r="AR294" s="179">
        <v>2056</v>
      </c>
      <c r="AS294" s="179">
        <v>2057</v>
      </c>
      <c r="AT294" s="179">
        <v>2058</v>
      </c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</row>
    <row r="295" spans="2:66" ht="14.4" x14ac:dyDescent="0.3">
      <c r="B295" s="813"/>
      <c r="C295" s="816" t="s">
        <v>134</v>
      </c>
      <c r="D295" s="816" t="s">
        <v>135</v>
      </c>
      <c r="E295" s="816" t="s">
        <v>136</v>
      </c>
      <c r="F295" s="816" t="s">
        <v>137</v>
      </c>
      <c r="G295" s="816" t="s">
        <v>138</v>
      </c>
      <c r="H295" s="816" t="s">
        <v>139</v>
      </c>
      <c r="I295" s="816" t="s">
        <v>140</v>
      </c>
      <c r="J295" s="816" t="s">
        <v>141</v>
      </c>
      <c r="K295" s="816" t="s">
        <v>142</v>
      </c>
      <c r="L295" s="816" t="s">
        <v>143</v>
      </c>
      <c r="M295" s="816" t="s">
        <v>144</v>
      </c>
      <c r="N295" s="816" t="s">
        <v>145</v>
      </c>
      <c r="O295" s="816" t="s">
        <v>146</v>
      </c>
      <c r="P295" s="816" t="s">
        <v>147</v>
      </c>
      <c r="Q295" s="816" t="s">
        <v>148</v>
      </c>
      <c r="R295" s="816" t="s">
        <v>149</v>
      </c>
      <c r="S295" s="816" t="s">
        <v>150</v>
      </c>
      <c r="T295" s="816" t="s">
        <v>151</v>
      </c>
      <c r="U295" s="816" t="s">
        <v>152</v>
      </c>
      <c r="V295" s="816" t="s">
        <v>153</v>
      </c>
      <c r="W295" s="816" t="s">
        <v>154</v>
      </c>
      <c r="X295" s="816" t="s">
        <v>155</v>
      </c>
      <c r="Y295" s="816" t="s">
        <v>156</v>
      </c>
      <c r="Z295" s="816" t="s">
        <v>157</v>
      </c>
      <c r="AA295" s="816" t="s">
        <v>158</v>
      </c>
      <c r="AB295" s="816" t="s">
        <v>159</v>
      </c>
      <c r="AC295" s="816" t="s">
        <v>160</v>
      </c>
      <c r="AD295" s="816" t="s">
        <v>161</v>
      </c>
      <c r="AE295" s="816" t="s">
        <v>162</v>
      </c>
      <c r="AF295" s="816" t="s">
        <v>163</v>
      </c>
      <c r="AG295" s="816" t="s">
        <v>164</v>
      </c>
      <c r="AH295" s="816" t="s">
        <v>165</v>
      </c>
      <c r="AI295" s="816" t="s">
        <v>166</v>
      </c>
      <c r="AJ295" s="816" t="s">
        <v>167</v>
      </c>
      <c r="AK295" s="816" t="s">
        <v>168</v>
      </c>
      <c r="AL295" s="816" t="s">
        <v>169</v>
      </c>
      <c r="AM295" s="816" t="s">
        <v>170</v>
      </c>
      <c r="AN295" s="816" t="s">
        <v>171</v>
      </c>
      <c r="AO295" s="816" t="s">
        <v>172</v>
      </c>
      <c r="AP295" s="816" t="s">
        <v>173</v>
      </c>
      <c r="AQ295" s="816" t="s">
        <v>174</v>
      </c>
      <c r="AR295" s="816" t="s">
        <v>224</v>
      </c>
      <c r="AS295" s="816" t="s">
        <v>225</v>
      </c>
      <c r="AT295" s="816" t="s">
        <v>226</v>
      </c>
      <c r="AU295" s="166"/>
      <c r="AV295" s="166"/>
      <c r="AW295" s="166"/>
      <c r="AX295" s="166"/>
      <c r="AY295" s="166"/>
      <c r="AZ295" s="166"/>
      <c r="BA295" s="166"/>
      <c r="BB295" s="166"/>
      <c r="BC295" s="166"/>
      <c r="BD295" s="166"/>
      <c r="BE295" s="166"/>
      <c r="BF295" s="166"/>
      <c r="BG295" s="166"/>
      <c r="BH295" s="166"/>
      <c r="BI295" s="166"/>
      <c r="BJ295" s="166"/>
      <c r="BK295" s="166"/>
      <c r="BL295" s="166"/>
      <c r="BM295" s="166"/>
      <c r="BN295" s="166"/>
    </row>
    <row r="296" spans="2:66" ht="14.4" x14ac:dyDescent="0.3">
      <c r="B296" s="813"/>
      <c r="C296" s="816">
        <v>0</v>
      </c>
      <c r="D296" s="816">
        <v>1</v>
      </c>
      <c r="E296" s="816">
        <v>2</v>
      </c>
      <c r="F296" s="816">
        <v>3</v>
      </c>
      <c r="G296" s="816">
        <v>4</v>
      </c>
      <c r="H296" s="816">
        <v>5</v>
      </c>
      <c r="I296" s="816">
        <v>6</v>
      </c>
      <c r="J296" s="816">
        <v>7</v>
      </c>
      <c r="K296" s="816">
        <v>8</v>
      </c>
      <c r="L296" s="816">
        <v>9</v>
      </c>
      <c r="M296" s="816">
        <v>10</v>
      </c>
      <c r="N296" s="816">
        <v>11</v>
      </c>
      <c r="O296" s="816">
        <v>12</v>
      </c>
      <c r="P296" s="816">
        <v>13</v>
      </c>
      <c r="Q296" s="816">
        <v>14</v>
      </c>
      <c r="R296" s="816">
        <v>15</v>
      </c>
      <c r="S296" s="816">
        <v>16</v>
      </c>
      <c r="T296" s="816">
        <v>17</v>
      </c>
      <c r="U296" s="816">
        <v>18</v>
      </c>
      <c r="V296" s="816">
        <v>19</v>
      </c>
      <c r="W296" s="816">
        <v>20</v>
      </c>
      <c r="X296" s="816">
        <v>21</v>
      </c>
      <c r="Y296" s="816">
        <v>22</v>
      </c>
      <c r="Z296" s="816">
        <v>23</v>
      </c>
      <c r="AA296" s="816">
        <v>24</v>
      </c>
      <c r="AB296" s="816">
        <v>25</v>
      </c>
      <c r="AC296" s="816">
        <v>26</v>
      </c>
      <c r="AD296" s="816">
        <v>27</v>
      </c>
      <c r="AE296" s="816">
        <v>28</v>
      </c>
      <c r="AF296" s="816">
        <v>29</v>
      </c>
      <c r="AG296" s="816">
        <v>30</v>
      </c>
      <c r="AH296" s="816">
        <v>31</v>
      </c>
      <c r="AI296" s="816">
        <v>32</v>
      </c>
      <c r="AJ296" s="816">
        <v>33</v>
      </c>
      <c r="AK296" s="816">
        <v>34</v>
      </c>
      <c r="AL296" s="816">
        <v>35</v>
      </c>
      <c r="AM296" s="816">
        <v>36</v>
      </c>
      <c r="AN296" s="816">
        <v>37</v>
      </c>
      <c r="AO296" s="816">
        <v>38</v>
      </c>
      <c r="AP296" s="816">
        <v>39</v>
      </c>
      <c r="AQ296" s="816">
        <v>40</v>
      </c>
      <c r="AR296" s="816">
        <v>41</v>
      </c>
      <c r="AS296" s="816">
        <v>42</v>
      </c>
      <c r="AT296" s="816">
        <v>43</v>
      </c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</row>
    <row r="297" spans="2:66" ht="14.4" x14ac:dyDescent="0.3">
      <c r="B297" s="813"/>
      <c r="C297" s="816">
        <v>0</v>
      </c>
      <c r="D297" s="816">
        <v>0</v>
      </c>
      <c r="E297" s="816">
        <v>0</v>
      </c>
      <c r="F297" s="816">
        <v>0</v>
      </c>
      <c r="G297" s="816">
        <v>1</v>
      </c>
      <c r="H297" s="816">
        <v>2</v>
      </c>
      <c r="I297" s="816">
        <v>3</v>
      </c>
      <c r="J297" s="816">
        <v>4</v>
      </c>
      <c r="K297" s="816">
        <v>5</v>
      </c>
      <c r="L297" s="816">
        <v>6</v>
      </c>
      <c r="M297" s="816">
        <v>7</v>
      </c>
      <c r="N297" s="816">
        <v>8</v>
      </c>
      <c r="O297" s="816">
        <v>9</v>
      </c>
      <c r="P297" s="816">
        <v>10</v>
      </c>
      <c r="Q297" s="816">
        <v>11</v>
      </c>
      <c r="R297" s="816">
        <v>12</v>
      </c>
      <c r="S297" s="816">
        <v>13</v>
      </c>
      <c r="T297" s="816">
        <v>14</v>
      </c>
      <c r="U297" s="816">
        <v>15</v>
      </c>
      <c r="V297" s="816">
        <v>16</v>
      </c>
      <c r="W297" s="816">
        <v>17</v>
      </c>
      <c r="X297" s="816">
        <v>18</v>
      </c>
      <c r="Y297" s="816">
        <v>19</v>
      </c>
      <c r="Z297" s="816">
        <v>20</v>
      </c>
      <c r="AA297" s="816">
        <v>21</v>
      </c>
      <c r="AB297" s="816">
        <v>22</v>
      </c>
      <c r="AC297" s="816">
        <v>23</v>
      </c>
      <c r="AD297" s="816">
        <v>24</v>
      </c>
      <c r="AE297" s="816">
        <v>25</v>
      </c>
      <c r="AF297" s="816">
        <v>26</v>
      </c>
      <c r="AG297" s="816">
        <v>27</v>
      </c>
      <c r="AH297" s="816">
        <v>28</v>
      </c>
      <c r="AI297" s="816">
        <v>29</v>
      </c>
      <c r="AJ297" s="816">
        <v>30</v>
      </c>
      <c r="AK297" s="816">
        <v>31</v>
      </c>
      <c r="AL297" s="816">
        <v>32</v>
      </c>
      <c r="AM297" s="816">
        <v>33</v>
      </c>
      <c r="AN297" s="816">
        <v>34</v>
      </c>
      <c r="AO297" s="816">
        <v>35</v>
      </c>
      <c r="AP297" s="816">
        <v>36</v>
      </c>
      <c r="AQ297" s="816">
        <v>37</v>
      </c>
      <c r="AR297" s="816">
        <v>38</v>
      </c>
      <c r="AS297" s="816">
        <v>39</v>
      </c>
      <c r="AT297" s="816">
        <v>40</v>
      </c>
      <c r="AU297" s="166"/>
      <c r="AV297" s="166"/>
      <c r="AW297" s="166"/>
      <c r="AX297" s="166"/>
      <c r="AY297" s="166"/>
      <c r="AZ297" s="166"/>
      <c r="BA297" s="166"/>
      <c r="BB297" s="166"/>
      <c r="BC297" s="166"/>
      <c r="BD297" s="166"/>
      <c r="BE297" s="166"/>
      <c r="BF297" s="166"/>
      <c r="BG297" s="166"/>
      <c r="BH297" s="166"/>
      <c r="BI297" s="166"/>
      <c r="BJ297" s="166"/>
      <c r="BK297" s="166"/>
      <c r="BL297" s="166"/>
      <c r="BM297" s="166"/>
      <c r="BN297" s="166"/>
    </row>
    <row r="298" spans="2:66" ht="14.4" x14ac:dyDescent="0.3">
      <c r="B298" s="813"/>
      <c r="C298" s="798"/>
      <c r="D298" s="798"/>
      <c r="E298" s="798"/>
      <c r="F298" s="798"/>
      <c r="G298" s="798"/>
      <c r="H298" s="798"/>
      <c r="I298" s="798"/>
      <c r="J298" s="798"/>
      <c r="K298" s="798"/>
      <c r="L298" s="798"/>
      <c r="M298" s="798"/>
      <c r="N298" s="798"/>
      <c r="O298" s="798"/>
      <c r="P298" s="798"/>
      <c r="Q298" s="798"/>
      <c r="R298" s="798"/>
      <c r="S298" s="798"/>
      <c r="T298" s="798"/>
      <c r="U298" s="798"/>
      <c r="V298" s="798"/>
      <c r="W298" s="798"/>
      <c r="X298" s="798"/>
      <c r="Y298" s="798"/>
      <c r="Z298" s="798"/>
      <c r="AA298" s="798"/>
      <c r="AB298" s="798"/>
      <c r="AC298" s="798"/>
      <c r="AD298" s="798"/>
      <c r="AE298" s="798"/>
      <c r="AF298" s="798"/>
      <c r="AG298" s="798"/>
      <c r="AH298" s="798"/>
      <c r="AI298" s="798"/>
      <c r="AJ298" s="798"/>
      <c r="AK298" s="798"/>
      <c r="AL298" s="798"/>
      <c r="AM298" s="798"/>
      <c r="AN298" s="798"/>
      <c r="AO298" s="798"/>
      <c r="AP298" s="798"/>
      <c r="AQ298" s="798"/>
      <c r="AR298" s="798"/>
      <c r="AS298" s="798"/>
      <c r="AT298" s="798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</row>
    <row r="299" spans="2:66" ht="14.4" x14ac:dyDescent="0.25">
      <c r="B299" s="830" t="s">
        <v>434</v>
      </c>
      <c r="C299" s="807"/>
      <c r="D299" s="807"/>
      <c r="E299" s="807"/>
      <c r="F299" s="807"/>
      <c r="G299" s="807"/>
      <c r="H299" s="807"/>
      <c r="I299" s="807"/>
      <c r="J299" s="807"/>
      <c r="K299" s="807"/>
      <c r="L299" s="807"/>
      <c r="M299" s="807"/>
      <c r="N299" s="807"/>
      <c r="O299" s="807"/>
      <c r="P299" s="807"/>
      <c r="Q299" s="807"/>
      <c r="R299" s="807"/>
      <c r="S299" s="807"/>
      <c r="T299" s="807"/>
      <c r="U299" s="807"/>
      <c r="V299" s="807"/>
      <c r="W299" s="807"/>
      <c r="X299" s="807"/>
      <c r="Y299" s="807"/>
      <c r="Z299" s="807"/>
      <c r="AA299" s="807"/>
      <c r="AB299" s="807"/>
      <c r="AC299" s="807"/>
      <c r="AD299" s="807"/>
      <c r="AE299" s="807"/>
      <c r="AF299" s="807"/>
      <c r="AG299" s="807"/>
      <c r="AH299" s="807"/>
      <c r="AI299" s="807"/>
      <c r="AJ299" s="807"/>
      <c r="AK299" s="807"/>
      <c r="AL299" s="807"/>
      <c r="AM299" s="807"/>
      <c r="AN299" s="807"/>
      <c r="AO299" s="807"/>
      <c r="AP299" s="807"/>
      <c r="AQ299" s="807"/>
      <c r="AR299" s="807"/>
      <c r="AS299" s="807"/>
      <c r="AT299" s="807"/>
      <c r="AU299" s="166"/>
      <c r="AV299" s="166"/>
      <c r="AW299" s="166"/>
      <c r="AX299" s="166"/>
      <c r="AY299" s="166"/>
      <c r="AZ299" s="166"/>
      <c r="BA299" s="166"/>
      <c r="BB299" s="166"/>
      <c r="BC299" s="166"/>
      <c r="BD299" s="166"/>
      <c r="BE299" s="166"/>
      <c r="BF299" s="166"/>
      <c r="BG299" s="166"/>
      <c r="BH299" s="166"/>
      <c r="BI299" s="166"/>
      <c r="BJ299" s="166"/>
      <c r="BK299" s="166"/>
      <c r="BL299" s="166"/>
      <c r="BM299" s="166"/>
      <c r="BN299" s="166"/>
    </row>
    <row r="300" spans="2:66" x14ac:dyDescent="0.25">
      <c r="B300" s="831" t="s">
        <v>449</v>
      </c>
      <c r="C300" s="178">
        <v>0</v>
      </c>
      <c r="D300" s="178">
        <v>0</v>
      </c>
      <c r="E300" s="178">
        <v>0</v>
      </c>
      <c r="F300" s="178">
        <v>0</v>
      </c>
      <c r="G300" s="268">
        <f>G224</f>
        <v>4318236.9614306372</v>
      </c>
      <c r="H300" s="268">
        <f t="shared" ref="H300:AT300" si="198">H224</f>
        <v>4432937.8249451816</v>
      </c>
      <c r="I300" s="268">
        <f t="shared" si="198"/>
        <v>4536875.1815609755</v>
      </c>
      <c r="J300" s="268">
        <f t="shared" si="198"/>
        <v>4643311.9130354663</v>
      </c>
      <c r="K300" s="268">
        <f t="shared" si="198"/>
        <v>11617904.705841476</v>
      </c>
      <c r="L300" s="268">
        <f t="shared" si="198"/>
        <v>4863931.4676566217</v>
      </c>
      <c r="M300" s="268">
        <f t="shared" si="198"/>
        <v>4978242.2002252238</v>
      </c>
      <c r="N300" s="268">
        <f t="shared" si="198"/>
        <v>5095308.2077043382</v>
      </c>
      <c r="O300" s="268">
        <f t="shared" si="198"/>
        <v>5215197.5552692544</v>
      </c>
      <c r="P300" s="268">
        <f t="shared" si="198"/>
        <v>12881550.570299722</v>
      </c>
      <c r="Q300" s="268">
        <f t="shared" si="198"/>
        <v>5463727.1811422799</v>
      </c>
      <c r="R300" s="268">
        <f t="shared" si="198"/>
        <v>5592512.3741521444</v>
      </c>
      <c r="S300" s="268">
        <f t="shared" si="198"/>
        <v>5724410.8291271329</v>
      </c>
      <c r="T300" s="268">
        <f t="shared" si="198"/>
        <v>5859499.6730848122</v>
      </c>
      <c r="U300" s="268">
        <f t="shared" si="198"/>
        <v>14286356.439628357</v>
      </c>
      <c r="V300" s="268">
        <f t="shared" si="198"/>
        <v>6139566.8637729799</v>
      </c>
      <c r="W300" s="268">
        <f t="shared" si="198"/>
        <v>6284709.445565287</v>
      </c>
      <c r="X300" s="268">
        <f t="shared" si="198"/>
        <v>6433370.9918016</v>
      </c>
      <c r="Y300" s="268">
        <f t="shared" si="198"/>
        <v>6585638.926612027</v>
      </c>
      <c r="Z300" s="268">
        <f t="shared" si="198"/>
        <v>15848593.767328328</v>
      </c>
      <c r="AA300" s="268">
        <f t="shared" si="198"/>
        <v>6901354.8280941052</v>
      </c>
      <c r="AB300" s="268">
        <f t="shared" si="198"/>
        <v>7064988.9872727636</v>
      </c>
      <c r="AC300" s="268">
        <f t="shared" si="198"/>
        <v>7232602.0400624331</v>
      </c>
      <c r="AD300" s="268">
        <f t="shared" si="198"/>
        <v>7404293.1149919936</v>
      </c>
      <c r="AE300" s="268">
        <f t="shared" si="198"/>
        <v>17586476.742962986</v>
      </c>
      <c r="AF300" s="268">
        <f t="shared" si="198"/>
        <v>7760318.5440044012</v>
      </c>
      <c r="AG300" s="268">
        <f t="shared" si="198"/>
        <v>7944864.0527799763</v>
      </c>
      <c r="AH300" s="268">
        <f t="shared" si="198"/>
        <v>8133910.0298752068</v>
      </c>
      <c r="AI300" s="268">
        <f t="shared" si="198"/>
        <v>8327568.9119321909</v>
      </c>
      <c r="AJ300" s="268">
        <f t="shared" si="198"/>
        <v>19520403.065015338</v>
      </c>
      <c r="AK300" s="268">
        <f t="shared" si="198"/>
        <v>8729189.5788463596</v>
      </c>
      <c r="AL300" s="268">
        <f t="shared" si="198"/>
        <v>8937390.9052098654</v>
      </c>
      <c r="AM300" s="268">
        <f t="shared" si="198"/>
        <v>9150684.3755010031</v>
      </c>
      <c r="AN300" s="268">
        <f t="shared" si="198"/>
        <v>9369197.5625528172</v>
      </c>
      <c r="AO300" s="268">
        <f t="shared" si="198"/>
        <v>21673225.690419316</v>
      </c>
      <c r="AP300" s="268">
        <f t="shared" si="198"/>
        <v>9822409.8065093718</v>
      </c>
      <c r="AQ300" s="268">
        <f t="shared" si="198"/>
        <v>10057380.696025331</v>
      </c>
      <c r="AR300" s="268">
        <f t="shared" si="198"/>
        <v>10298115.14536953</v>
      </c>
      <c r="AS300" s="268">
        <f t="shared" si="198"/>
        <v>10544757.947980508</v>
      </c>
      <c r="AT300" s="268">
        <f t="shared" si="198"/>
        <v>24070559.689610455</v>
      </c>
      <c r="AU300" s="166"/>
      <c r="AV300" s="166"/>
      <c r="AW300" s="166"/>
      <c r="AX300" s="166"/>
      <c r="AY300" s="166"/>
      <c r="AZ300" s="166"/>
      <c r="BA300" s="166"/>
      <c r="BB300" s="166"/>
      <c r="BC300" s="166"/>
      <c r="BD300" s="166"/>
      <c r="BE300" s="166"/>
      <c r="BF300" s="166"/>
      <c r="BG300" s="166"/>
      <c r="BH300" s="166"/>
      <c r="BI300" s="166"/>
      <c r="BJ300" s="166"/>
      <c r="BK300" s="166"/>
      <c r="BL300" s="166"/>
      <c r="BM300" s="166"/>
      <c r="BN300" s="166"/>
    </row>
    <row r="301" spans="2:66" x14ac:dyDescent="0.25">
      <c r="B301" s="832" t="s">
        <v>379</v>
      </c>
      <c r="C301" s="178">
        <v>0</v>
      </c>
      <c r="D301" s="178">
        <v>0</v>
      </c>
      <c r="E301" s="178">
        <v>0</v>
      </c>
      <c r="F301" s="178">
        <v>0</v>
      </c>
      <c r="G301" s="758">
        <f>DEMANDA!C50*PARAMETROS!$C$61</f>
        <v>5305474.9999999991</v>
      </c>
      <c r="H301" s="758">
        <f>DEMANDA!D50*PARAMETROS!$C$61</f>
        <v>7073966.666666666</v>
      </c>
      <c r="I301" s="758">
        <f>DEMANDA!E50*PARAMETROS!$C$61</f>
        <v>7151246.666666666</v>
      </c>
      <c r="J301" s="758">
        <f>DEMANDA!F50*PARAMETROS!$C$61</f>
        <v>7228526.666666666</v>
      </c>
      <c r="K301" s="758">
        <f>DEMANDA!G50*PARAMETROS!$C$61</f>
        <v>7305806.666666666</v>
      </c>
      <c r="L301" s="758">
        <f>DEMANDA!H50*PARAMETROS!$C$61</f>
        <v>7383086.666666666</v>
      </c>
      <c r="M301" s="758">
        <f>DEMANDA!I50*PARAMETROS!$C$61</f>
        <v>7460366.666666667</v>
      </c>
      <c r="N301" s="758">
        <f>DEMANDA!J50*PARAMETROS!$C$61</f>
        <v>7498209.3588893581</v>
      </c>
      <c r="O301" s="758">
        <f>DEMANDA!K50*PARAMETROS!$C$61</f>
        <v>7536052.0511120483</v>
      </c>
      <c r="P301" s="758">
        <f>DEMANDA!L50*PARAMETROS!$C$61</f>
        <v>7573894.7433347376</v>
      </c>
      <c r="Q301" s="758">
        <f>DEMANDA!M50*PARAMETROS!$C$61</f>
        <v>7611737.4355574287</v>
      </c>
      <c r="R301" s="758">
        <f>DEMANDA!N50*PARAMETROS!$C$61</f>
        <v>7649580.1277801218</v>
      </c>
      <c r="S301" s="758">
        <f>DEMANDA!O50*PARAMETROS!$C$61</f>
        <v>7653166.8682554243</v>
      </c>
      <c r="T301" s="758">
        <f>DEMANDA!P50*PARAMETROS!$C$61</f>
        <v>7656753.6087307259</v>
      </c>
      <c r="U301" s="758">
        <f>DEMANDA!Q50*PARAMETROS!$C$61</f>
        <v>7660340.3492060285</v>
      </c>
      <c r="V301" s="758">
        <f>DEMANDA!R50*PARAMETROS!$C$61</f>
        <v>7663927.0896813311</v>
      </c>
      <c r="W301" s="758">
        <f>DEMANDA!S50*PARAMETROS!$C$61</f>
        <v>7667513.8301566299</v>
      </c>
      <c r="X301" s="758">
        <f>DEMANDA!T50*PARAMETROS!$C$61</f>
        <v>7715052.9956055433</v>
      </c>
      <c r="Y301" s="758">
        <f>DEMANDA!U50*PARAMETROS!$C$61</f>
        <v>7762592.1610544566</v>
      </c>
      <c r="Z301" s="758">
        <f>DEMANDA!V50*PARAMETROS!$C$61</f>
        <v>7810131.3265033718</v>
      </c>
      <c r="AA301" s="758">
        <f>DEMANDA!W50*PARAMETROS!$C$61</f>
        <v>7857670.4919522852</v>
      </c>
      <c r="AB301" s="758">
        <f>DEMANDA!X50*PARAMETROS!$C$61</f>
        <v>7905209.6574012013</v>
      </c>
      <c r="AC301" s="758">
        <f>DEMANDA!Y50*PARAMETROS!$C$61</f>
        <v>7905209.6574012013</v>
      </c>
      <c r="AD301" s="758">
        <f>DEMANDA!Z50*PARAMETROS!$C$61</f>
        <v>7905209.6574012013</v>
      </c>
      <c r="AE301" s="758">
        <f>DEMANDA!AA50*PARAMETROS!$C$61</f>
        <v>7905209.6574012013</v>
      </c>
      <c r="AF301" s="758">
        <f>DEMANDA!AB50*PARAMETROS!$C$61</f>
        <v>7905209.6574012013</v>
      </c>
      <c r="AG301" s="758">
        <f>DEMANDA!AC50*PARAMETROS!$C$61</f>
        <v>7905209.6574012013</v>
      </c>
      <c r="AH301" s="758">
        <f>DEMANDA!AD50*PARAMETROS!$C$61</f>
        <v>7905209.6574012013</v>
      </c>
      <c r="AI301" s="758">
        <f>DEMANDA!AE50*PARAMETROS!$C$61</f>
        <v>7905209.6574012013</v>
      </c>
      <c r="AJ301" s="758">
        <f>DEMANDA!AF50*PARAMETROS!$C$61</f>
        <v>7905209.6574012013</v>
      </c>
      <c r="AK301" s="758">
        <f>DEMANDA!AG50*PARAMETROS!$C$61</f>
        <v>7905209.6574012013</v>
      </c>
      <c r="AL301" s="758">
        <f>DEMANDA!AH50*PARAMETROS!$C$61</f>
        <v>7905209.6574012013</v>
      </c>
      <c r="AM301" s="758">
        <f>DEMANDA!AI50*PARAMETROS!$C$61</f>
        <v>7905209.6574012013</v>
      </c>
      <c r="AN301" s="758">
        <f>DEMANDA!AJ50*PARAMETROS!$C$61</f>
        <v>7905209.6574012013</v>
      </c>
      <c r="AO301" s="758">
        <f>DEMANDA!AK50*PARAMETROS!$C$61</f>
        <v>7905209.6574012013</v>
      </c>
      <c r="AP301" s="758">
        <f>DEMANDA!AL50*PARAMETROS!$C$61</f>
        <v>7905209.6574012013</v>
      </c>
      <c r="AQ301" s="758">
        <f>DEMANDA!AM50*PARAMETROS!$C$61</f>
        <v>7905209.6574012013</v>
      </c>
      <c r="AR301" s="758">
        <f>DEMANDA!AN50*PARAMETROS!$C$61</f>
        <v>7905209.6574012013</v>
      </c>
      <c r="AS301" s="758">
        <f>DEMANDA!AO50*PARAMETROS!$C$61</f>
        <v>7905209.6574012013</v>
      </c>
      <c r="AT301" s="758">
        <f>DEMANDA!AP50*PARAMETROS!$C$61</f>
        <v>7905209.6574012013</v>
      </c>
      <c r="AU301" s="166"/>
      <c r="AV301" s="166"/>
      <c r="AW301" s="166"/>
      <c r="AX301" s="166"/>
      <c r="AY301" s="166"/>
      <c r="AZ301" s="166"/>
      <c r="BA301" s="166"/>
      <c r="BB301" s="166"/>
      <c r="BC301" s="166"/>
      <c r="BD301" s="166"/>
      <c r="BE301" s="166"/>
      <c r="BF301" s="166"/>
      <c r="BG301" s="166"/>
      <c r="BH301" s="166"/>
      <c r="BI301" s="166"/>
      <c r="BJ301" s="166"/>
      <c r="BK301" s="166"/>
      <c r="BL301" s="166"/>
      <c r="BM301" s="166"/>
      <c r="BN301" s="166"/>
    </row>
    <row r="302" spans="2:66" x14ac:dyDescent="0.25">
      <c r="B302" s="832" t="s">
        <v>395</v>
      </c>
      <c r="C302" s="178">
        <v>0</v>
      </c>
      <c r="D302" s="178">
        <v>0</v>
      </c>
      <c r="E302" s="178">
        <v>0</v>
      </c>
      <c r="F302" s="178">
        <v>0</v>
      </c>
      <c r="G302" s="758">
        <f>'INGRESOS de pasajeros'!C58*PARAMETROS!$C$61</f>
        <v>5484681.125</v>
      </c>
      <c r="H302" s="758">
        <f>'INGRESOS de pasajeros'!D58*PARAMETROS!$C$61</f>
        <v>7312908.166666667</v>
      </c>
      <c r="I302" s="758">
        <f>'INGRESOS de pasajeros'!E58*PARAMETROS!$C$61</f>
        <v>7726614.5668250006</v>
      </c>
      <c r="J302" s="758">
        <f>'INGRESOS de pasajeros'!F58*PARAMETROS!$C$61</f>
        <v>7807583.6453999998</v>
      </c>
      <c r="K302" s="758">
        <f>'INGRESOS de pasajeros'!G58*PARAMETROS!$C$61</f>
        <v>8207250.2540235892</v>
      </c>
      <c r="L302" s="758">
        <f>'INGRESOS de pasajeros'!H58*PARAMETROS!$C$61</f>
        <v>8291490.4833730208</v>
      </c>
      <c r="M302" s="758">
        <f>'INGRESOS de pasajeros'!I58*PARAMETROS!$C$61</f>
        <v>8714110.2335164398</v>
      </c>
      <c r="N302" s="758">
        <f>'INGRESOS de pasajeros'!J58*PARAMETROS!$C$61</f>
        <v>8757534.5964771174</v>
      </c>
      <c r="O302" s="758">
        <f>'INGRESOS de pasajeros'!K58*PARAMETROS!$C$61</f>
        <v>9156517.701399086</v>
      </c>
      <c r="P302" s="758">
        <f>'INGRESOS de pasajeros'!L58*PARAMETROS!$C$61</f>
        <v>9201696.4086233731</v>
      </c>
      <c r="Q302" s="758">
        <f>'INGRESOS de pasajeros'!M58*PARAMETROS!$C$61</f>
        <v>9620448.8705279119</v>
      </c>
      <c r="R302" s="758">
        <f>'INGRESOS de pasajeros'!N58*PARAMETROS!$C$61</f>
        <v>9667452.7975240685</v>
      </c>
      <c r="S302" s="758">
        <f>'INGRESOS de pasajeros'!O58*PARAMETROS!$C$61</f>
        <v>10060634.165642453</v>
      </c>
      <c r="T302" s="758">
        <f>'INGRESOS de pasajeros'!P58*PARAMETROS!$C$61</f>
        <v>10063250.440740865</v>
      </c>
      <c r="U302" s="758">
        <f>'INGRESOS de pasajeros'!Q58*PARAMETROS!$C$61</f>
        <v>10472527.731159188</v>
      </c>
      <c r="V302" s="758">
        <f>'INGRESOS de pasajeros'!R58*PARAMETROS!$C$61</f>
        <v>10475249.70377158</v>
      </c>
      <c r="W302" s="758">
        <f>'INGRESOS de pasajeros'!S58*PARAMETROS!$C$61</f>
        <v>10901281.732109876</v>
      </c>
      <c r="X302" s="758">
        <f>'INGRESOS de pasajeros'!T58*PARAMETROS!$C$61</f>
        <v>10982155.769673197</v>
      </c>
      <c r="Y302" s="758">
        <f>'INGRESOS de pasajeros'!U58*PARAMETROS!$C$61</f>
        <v>11509976.211448878</v>
      </c>
      <c r="Z302" s="758">
        <f>'INGRESOS de pasajeros'!V58*PARAMETROS!$C$61</f>
        <v>11594117.56012976</v>
      </c>
      <c r="AA302" s="758">
        <f>'INGRESOS de pasajeros'!W58*PARAMETROS!$C$61</f>
        <v>12150060.568726584</v>
      </c>
      <c r="AB302" s="758">
        <f>'INGRESOS de pasajeros'!X58*PARAMETROS!$C$61</f>
        <v>12237601.22789417</v>
      </c>
      <c r="AC302" s="758">
        <f>'INGRESOS de pasajeros'!Y58*PARAMETROS!$C$61</f>
        <v>12732000.317501096</v>
      </c>
      <c r="AD302" s="758">
        <f>'INGRESOS de pasajeros'!Z58*PARAMETROS!$C$61</f>
        <v>12732000.317501096</v>
      </c>
      <c r="AE302" s="758">
        <f>'INGRESOS de pasajeros'!AA58*PARAMETROS!$C$61</f>
        <v>13246373.130328139</v>
      </c>
      <c r="AF302" s="758">
        <f>'INGRESOS de pasajeros'!AB58*PARAMETROS!$C$61</f>
        <v>13246373.130328139</v>
      </c>
      <c r="AG302" s="758">
        <f>'INGRESOS de pasajeros'!AC58*PARAMETROS!$C$61</f>
        <v>13781526.604793398</v>
      </c>
      <c r="AH302" s="758">
        <f>'INGRESOS de pasajeros'!AD58*PARAMETROS!$C$61</f>
        <v>13781526.604793398</v>
      </c>
      <c r="AI302" s="758">
        <f>'INGRESOS de pasajeros'!AE58*PARAMETROS!$C$61</f>
        <v>14338300.279627049</v>
      </c>
      <c r="AJ302" s="758">
        <f>'INGRESOS de pasajeros'!AF58*PARAMETROS!$C$61</f>
        <v>14338300.279627049</v>
      </c>
      <c r="AK302" s="758">
        <f>'INGRESOS de pasajeros'!AG58*PARAMETROS!$C$61</f>
        <v>14917567.610923981</v>
      </c>
      <c r="AL302" s="758">
        <f>'INGRESOS de pasajeros'!AH58*PARAMETROS!$C$61</f>
        <v>14917567.610923981</v>
      </c>
      <c r="AM302" s="758">
        <f>'INGRESOS de pasajeros'!AI58*PARAMETROS!$C$61</f>
        <v>15520237.34240531</v>
      </c>
      <c r="AN302" s="758">
        <f>'INGRESOS de pasajeros'!AJ58*PARAMETROS!$C$61</f>
        <v>15520237.34240531</v>
      </c>
      <c r="AO302" s="758">
        <f>'INGRESOS de pasajeros'!AK58*PARAMETROS!$C$61</f>
        <v>16147254.93103849</v>
      </c>
      <c r="AP302" s="758">
        <f>'INGRESOS de pasajeros'!AL58*PARAMETROS!$C$61</f>
        <v>16147254.93103849</v>
      </c>
      <c r="AQ302" s="758">
        <f>'INGRESOS de pasajeros'!AM58*PARAMETROS!$C$61</f>
        <v>16799604.030252442</v>
      </c>
      <c r="AR302" s="758">
        <f>'INGRESOS de pasajeros'!AN58*PARAMETROS!$C$61</f>
        <v>16799604.030252442</v>
      </c>
      <c r="AS302" s="758">
        <f>'INGRESOS de pasajeros'!AO58*PARAMETROS!$C$61</f>
        <v>17478308.03307464</v>
      </c>
      <c r="AT302" s="758">
        <f>'INGRESOS de pasajeros'!AP58*PARAMETROS!$C$61</f>
        <v>17478308.03307464</v>
      </c>
      <c r="AU302" s="166"/>
      <c r="AV302" s="166"/>
      <c r="AW302" s="166"/>
      <c r="AX302" s="166"/>
      <c r="AY302" s="166"/>
      <c r="AZ302" s="166"/>
      <c r="BA302" s="166"/>
      <c r="BB302" s="166"/>
      <c r="BC302" s="166"/>
      <c r="BD302" s="166"/>
      <c r="BE302" s="166"/>
      <c r="BF302" s="166"/>
      <c r="BG302" s="166"/>
      <c r="BH302" s="166"/>
      <c r="BI302" s="166"/>
      <c r="BJ302" s="166"/>
      <c r="BK302" s="166"/>
      <c r="BL302" s="166"/>
      <c r="BM302" s="166"/>
      <c r="BN302" s="166"/>
    </row>
    <row r="303" spans="2:66" x14ac:dyDescent="0.25">
      <c r="B303" s="832" t="s">
        <v>396</v>
      </c>
      <c r="C303" s="178">
        <v>0</v>
      </c>
      <c r="D303" s="178">
        <v>0</v>
      </c>
      <c r="E303" s="178">
        <v>0</v>
      </c>
      <c r="F303" s="178">
        <v>0</v>
      </c>
      <c r="G303" s="178">
        <f>$C$14*$C$15*12</f>
        <v>420000</v>
      </c>
      <c r="H303" s="178">
        <f t="shared" ref="H303:AT303" si="199">$G$75*((1+$C$25)^G297)</f>
        <v>428400</v>
      </c>
      <c r="I303" s="178">
        <f t="shared" si="199"/>
        <v>436968</v>
      </c>
      <c r="J303" s="178">
        <f t="shared" si="199"/>
        <v>445707.36</v>
      </c>
      <c r="K303" s="178">
        <f t="shared" si="199"/>
        <v>454621.50719999999</v>
      </c>
      <c r="L303" s="178">
        <f t="shared" si="199"/>
        <v>463713.93734400003</v>
      </c>
      <c r="M303" s="178">
        <f t="shared" si="199"/>
        <v>472988.21609088004</v>
      </c>
      <c r="N303" s="178">
        <f t="shared" si="199"/>
        <v>482447.98041269754</v>
      </c>
      <c r="O303" s="178">
        <f t="shared" si="199"/>
        <v>492096.9400209515</v>
      </c>
      <c r="P303" s="178">
        <f t="shared" si="199"/>
        <v>501938.87882137054</v>
      </c>
      <c r="Q303" s="178">
        <f t="shared" si="199"/>
        <v>511977.65639779798</v>
      </c>
      <c r="R303" s="178">
        <f t="shared" si="199"/>
        <v>522217.20952575386</v>
      </c>
      <c r="S303" s="178">
        <f t="shared" si="199"/>
        <v>532661.55371626897</v>
      </c>
      <c r="T303" s="178">
        <f t="shared" si="199"/>
        <v>543314.78479059436</v>
      </c>
      <c r="U303" s="178">
        <f t="shared" si="199"/>
        <v>554181.08048640634</v>
      </c>
      <c r="V303" s="178">
        <f t="shared" si="199"/>
        <v>565264.70209613431</v>
      </c>
      <c r="W303" s="178">
        <f t="shared" si="199"/>
        <v>576569.99613805709</v>
      </c>
      <c r="X303" s="178">
        <f t="shared" si="199"/>
        <v>588101.39606081822</v>
      </c>
      <c r="Y303" s="178">
        <f t="shared" si="199"/>
        <v>599863.42398203455</v>
      </c>
      <c r="Z303" s="178">
        <f t="shared" si="199"/>
        <v>611860.69246167527</v>
      </c>
      <c r="AA303" s="178">
        <f t="shared" si="199"/>
        <v>624097.90631090873</v>
      </c>
      <c r="AB303" s="178">
        <f t="shared" si="199"/>
        <v>636579.8644371269</v>
      </c>
      <c r="AC303" s="178">
        <f t="shared" si="199"/>
        <v>649311.46172586945</v>
      </c>
      <c r="AD303" s="178">
        <f t="shared" si="199"/>
        <v>662297.69096038677</v>
      </c>
      <c r="AE303" s="178">
        <f t="shared" si="199"/>
        <v>675543.6447795945</v>
      </c>
      <c r="AF303" s="178">
        <f t="shared" si="199"/>
        <v>689054.51767518639</v>
      </c>
      <c r="AG303" s="178">
        <f t="shared" si="199"/>
        <v>702835.60802869021</v>
      </c>
      <c r="AH303" s="178">
        <f t="shared" si="199"/>
        <v>716892.3201892639</v>
      </c>
      <c r="AI303" s="178">
        <f t="shared" si="199"/>
        <v>731230.1665930493</v>
      </c>
      <c r="AJ303" s="178">
        <f t="shared" si="199"/>
        <v>745854.76992491016</v>
      </c>
      <c r="AK303" s="178">
        <f t="shared" si="199"/>
        <v>760771.86532340851</v>
      </c>
      <c r="AL303" s="178">
        <f t="shared" si="199"/>
        <v>775987.30262987642</v>
      </c>
      <c r="AM303" s="178">
        <f t="shared" si="199"/>
        <v>791507.04868247418</v>
      </c>
      <c r="AN303" s="178">
        <f t="shared" si="199"/>
        <v>807337.18965612364</v>
      </c>
      <c r="AO303" s="178">
        <f t="shared" si="199"/>
        <v>823483.93344924611</v>
      </c>
      <c r="AP303" s="178">
        <f t="shared" si="199"/>
        <v>839953.61211823102</v>
      </c>
      <c r="AQ303" s="178">
        <f t="shared" si="199"/>
        <v>856752.68436059554</v>
      </c>
      <c r="AR303" s="178">
        <f t="shared" si="199"/>
        <v>873887.73804780759</v>
      </c>
      <c r="AS303" s="178">
        <f t="shared" si="199"/>
        <v>891365.49280876387</v>
      </c>
      <c r="AT303" s="178">
        <f t="shared" si="199"/>
        <v>909192.80266493873</v>
      </c>
      <c r="AU303" s="166"/>
      <c r="AV303" s="166"/>
      <c r="AW303" s="166"/>
      <c r="AX303" s="166"/>
      <c r="AY303" s="166"/>
      <c r="AZ303" s="166"/>
      <c r="BA303" s="166"/>
      <c r="BB303" s="166"/>
      <c r="BC303" s="166"/>
      <c r="BD303" s="166"/>
      <c r="BE303" s="166"/>
      <c r="BF303" s="166"/>
      <c r="BG303" s="166"/>
      <c r="BH303" s="166"/>
      <c r="BI303" s="166"/>
      <c r="BJ303" s="166"/>
      <c r="BK303" s="166"/>
      <c r="BL303" s="166"/>
      <c r="BM303" s="166"/>
      <c r="BN303" s="166"/>
    </row>
    <row r="304" spans="2:66" x14ac:dyDescent="0.25">
      <c r="B304" s="832"/>
      <c r="C304" s="178"/>
      <c r="D304" s="178"/>
      <c r="E304" s="178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178"/>
      <c r="AH304" s="178"/>
      <c r="AI304" s="178"/>
      <c r="AJ304" s="178"/>
      <c r="AK304" s="178"/>
      <c r="AL304" s="178"/>
      <c r="AM304" s="178"/>
      <c r="AN304" s="178"/>
      <c r="AO304" s="178"/>
      <c r="AP304" s="178"/>
      <c r="AQ304" s="178"/>
      <c r="AR304" s="178"/>
      <c r="AS304" s="178"/>
      <c r="AT304" s="178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</row>
    <row r="305" spans="2:66" x14ac:dyDescent="0.25">
      <c r="B305" s="831" t="str">
        <f>B77</f>
        <v>Activos iniciales - Depreciacion 50 años</v>
      </c>
      <c r="C305" s="965">
        <f t="shared" ref="C305:AT311" si="200">C77</f>
        <v>0</v>
      </c>
      <c r="D305" s="965">
        <f t="shared" si="200"/>
        <v>0</v>
      </c>
      <c r="E305" s="965">
        <f t="shared" si="200"/>
        <v>0</v>
      </c>
      <c r="F305" s="965">
        <f t="shared" si="200"/>
        <v>0</v>
      </c>
      <c r="G305" s="965">
        <f t="shared" si="200"/>
        <v>-839011.57800246822</v>
      </c>
      <c r="H305" s="965">
        <f t="shared" si="200"/>
        <v>-839011.57800246822</v>
      </c>
      <c r="I305" s="965">
        <f t="shared" si="200"/>
        <v>-839011.57800246822</v>
      </c>
      <c r="J305" s="965">
        <f t="shared" si="200"/>
        <v>-839011.57800246822</v>
      </c>
      <c r="K305" s="965">
        <f t="shared" si="200"/>
        <v>-839011.57800246822</v>
      </c>
      <c r="L305" s="965">
        <f t="shared" si="200"/>
        <v>-839011.57800246822</v>
      </c>
      <c r="M305" s="965">
        <f t="shared" si="200"/>
        <v>-839011.57800246822</v>
      </c>
      <c r="N305" s="965">
        <f t="shared" si="200"/>
        <v>-839011.57800246822</v>
      </c>
      <c r="O305" s="965">
        <f t="shared" si="200"/>
        <v>-839011.57800246822</v>
      </c>
      <c r="P305" s="965">
        <f t="shared" si="200"/>
        <v>-839011.57800246822</v>
      </c>
      <c r="Q305" s="965">
        <f t="shared" si="200"/>
        <v>-839011.57800246822</v>
      </c>
      <c r="R305" s="965">
        <f t="shared" si="200"/>
        <v>-839011.57800246822</v>
      </c>
      <c r="S305" s="965">
        <f t="shared" si="200"/>
        <v>-839011.57800246822</v>
      </c>
      <c r="T305" s="965">
        <f t="shared" si="200"/>
        <v>-839011.57800246822</v>
      </c>
      <c r="U305" s="965">
        <f t="shared" si="200"/>
        <v>-839011.57800246822</v>
      </c>
      <c r="V305" s="965">
        <f t="shared" si="200"/>
        <v>-839011.57800246822</v>
      </c>
      <c r="W305" s="965">
        <f t="shared" si="200"/>
        <v>-839011.57800246822</v>
      </c>
      <c r="X305" s="965">
        <f t="shared" si="200"/>
        <v>-839011.57800246822</v>
      </c>
      <c r="Y305" s="965">
        <f t="shared" si="200"/>
        <v>-839011.57800246822</v>
      </c>
      <c r="Z305" s="965">
        <f t="shared" si="200"/>
        <v>-839011.57800246822</v>
      </c>
      <c r="AA305" s="965">
        <f t="shared" si="200"/>
        <v>-839011.57800246822</v>
      </c>
      <c r="AB305" s="965">
        <f t="shared" si="200"/>
        <v>-839011.57800246822</v>
      </c>
      <c r="AC305" s="965">
        <f t="shared" si="200"/>
        <v>-839011.57800246822</v>
      </c>
      <c r="AD305" s="965">
        <f t="shared" si="200"/>
        <v>-839011.57800246822</v>
      </c>
      <c r="AE305" s="965">
        <f t="shared" si="200"/>
        <v>-839011.57800246822</v>
      </c>
      <c r="AF305" s="965">
        <f t="shared" si="200"/>
        <v>-839011.57800246822</v>
      </c>
      <c r="AG305" s="965">
        <f t="shared" si="200"/>
        <v>-839011.57800246822</v>
      </c>
      <c r="AH305" s="965">
        <f t="shared" si="200"/>
        <v>-839011.57800246822</v>
      </c>
      <c r="AI305" s="965">
        <f t="shared" si="200"/>
        <v>-839011.57800246822</v>
      </c>
      <c r="AJ305" s="965">
        <f t="shared" si="200"/>
        <v>-839011.57800246822</v>
      </c>
      <c r="AK305" s="965">
        <f t="shared" si="200"/>
        <v>-839011.57800246822</v>
      </c>
      <c r="AL305" s="965">
        <f t="shared" si="200"/>
        <v>-839011.57800246822</v>
      </c>
      <c r="AM305" s="965">
        <f t="shared" si="200"/>
        <v>-839011.57800246822</v>
      </c>
      <c r="AN305" s="965">
        <f t="shared" si="200"/>
        <v>-839011.57800246822</v>
      </c>
      <c r="AO305" s="965">
        <f t="shared" si="200"/>
        <v>-839011.57800246822</v>
      </c>
      <c r="AP305" s="965">
        <f t="shared" si="200"/>
        <v>-839011.57800246822</v>
      </c>
      <c r="AQ305" s="965">
        <f t="shared" si="200"/>
        <v>-839011.57800246822</v>
      </c>
      <c r="AR305" s="965">
        <f t="shared" si="200"/>
        <v>-839011.57800246822</v>
      </c>
      <c r="AS305" s="965">
        <f t="shared" si="200"/>
        <v>-839011.57800246822</v>
      </c>
      <c r="AT305" s="965">
        <f t="shared" si="200"/>
        <v>-839011.57800246822</v>
      </c>
      <c r="AU305" s="166"/>
      <c r="AV305" s="166"/>
      <c r="AW305" s="166"/>
      <c r="AX305" s="166"/>
      <c r="AY305" s="166"/>
      <c r="AZ305" s="166"/>
      <c r="BA305" s="166"/>
      <c r="BB305" s="166"/>
      <c r="BC305" s="166"/>
      <c r="BD305" s="166"/>
      <c r="BE305" s="166"/>
      <c r="BF305" s="166"/>
      <c r="BG305" s="166"/>
      <c r="BH305" s="166"/>
      <c r="BI305" s="166"/>
      <c r="BJ305" s="166"/>
      <c r="BK305" s="166"/>
      <c r="BL305" s="166"/>
      <c r="BM305" s="166"/>
      <c r="BN305" s="166"/>
    </row>
    <row r="306" spans="2:66" x14ac:dyDescent="0.25">
      <c r="B306" s="831" t="str">
        <f t="shared" ref="B306:Q318" si="201">B78</f>
        <v>Activos iniciales - Depreciacion 40 años</v>
      </c>
      <c r="C306" s="965">
        <f t="shared" si="201"/>
        <v>0</v>
      </c>
      <c r="D306" s="965">
        <f t="shared" si="201"/>
        <v>0</v>
      </c>
      <c r="E306" s="965">
        <f t="shared" si="201"/>
        <v>0</v>
      </c>
      <c r="F306" s="965">
        <f t="shared" si="201"/>
        <v>0</v>
      </c>
      <c r="G306" s="965">
        <f t="shared" si="201"/>
        <v>-1763216.5038117287</v>
      </c>
      <c r="H306" s="965">
        <f t="shared" si="201"/>
        <v>-1763216.5038117287</v>
      </c>
      <c r="I306" s="965">
        <f t="shared" si="201"/>
        <v>-1763216.5038117287</v>
      </c>
      <c r="J306" s="965">
        <f t="shared" si="201"/>
        <v>-1763216.5038117287</v>
      </c>
      <c r="K306" s="965">
        <f t="shared" si="201"/>
        <v>-1763216.5038117287</v>
      </c>
      <c r="L306" s="965">
        <f t="shared" si="201"/>
        <v>-1763216.5038117287</v>
      </c>
      <c r="M306" s="965">
        <f t="shared" si="201"/>
        <v>-1763216.5038117287</v>
      </c>
      <c r="N306" s="965">
        <f t="shared" si="201"/>
        <v>-1763216.5038117287</v>
      </c>
      <c r="O306" s="965">
        <f t="shared" si="201"/>
        <v>-1763216.5038117287</v>
      </c>
      <c r="P306" s="965">
        <f t="shared" si="201"/>
        <v>-1763216.5038117287</v>
      </c>
      <c r="Q306" s="965">
        <f t="shared" si="201"/>
        <v>-1763216.5038117287</v>
      </c>
      <c r="R306" s="965">
        <f t="shared" si="200"/>
        <v>-1763216.5038117287</v>
      </c>
      <c r="S306" s="965">
        <f t="shared" si="200"/>
        <v>-1763216.5038117287</v>
      </c>
      <c r="T306" s="965">
        <f t="shared" si="200"/>
        <v>-1763216.5038117287</v>
      </c>
      <c r="U306" s="965">
        <f t="shared" si="200"/>
        <v>-1763216.5038117287</v>
      </c>
      <c r="V306" s="965">
        <f t="shared" si="200"/>
        <v>-1763216.5038117287</v>
      </c>
      <c r="W306" s="965">
        <f t="shared" si="200"/>
        <v>-1763216.5038117287</v>
      </c>
      <c r="X306" s="965">
        <f t="shared" si="200"/>
        <v>-1763216.5038117287</v>
      </c>
      <c r="Y306" s="965">
        <f t="shared" si="200"/>
        <v>-1763216.5038117287</v>
      </c>
      <c r="Z306" s="965">
        <f t="shared" si="200"/>
        <v>-1763216.5038117287</v>
      </c>
      <c r="AA306" s="965">
        <f t="shared" si="200"/>
        <v>-1763216.5038117287</v>
      </c>
      <c r="AB306" s="965">
        <f t="shared" si="200"/>
        <v>-1763216.5038117287</v>
      </c>
      <c r="AC306" s="965">
        <f t="shared" si="200"/>
        <v>-1763216.5038117287</v>
      </c>
      <c r="AD306" s="965">
        <f t="shared" si="200"/>
        <v>-1763216.5038117287</v>
      </c>
      <c r="AE306" s="965">
        <f t="shared" si="200"/>
        <v>-1763216.5038117287</v>
      </c>
      <c r="AF306" s="965">
        <f t="shared" si="200"/>
        <v>-1763216.5038117287</v>
      </c>
      <c r="AG306" s="965">
        <f t="shared" si="200"/>
        <v>-1763216.5038117287</v>
      </c>
      <c r="AH306" s="965">
        <f t="shared" si="200"/>
        <v>-1763216.5038117287</v>
      </c>
      <c r="AI306" s="965">
        <f t="shared" si="200"/>
        <v>-1763216.5038117287</v>
      </c>
      <c r="AJ306" s="965">
        <f t="shared" si="200"/>
        <v>-1763216.5038117287</v>
      </c>
      <c r="AK306" s="965">
        <f t="shared" si="200"/>
        <v>-1763216.5038117287</v>
      </c>
      <c r="AL306" s="965">
        <f t="shared" si="200"/>
        <v>-1763216.5038117287</v>
      </c>
      <c r="AM306" s="965">
        <f t="shared" si="200"/>
        <v>-1763216.5038117287</v>
      </c>
      <c r="AN306" s="965">
        <f t="shared" si="200"/>
        <v>-1763216.5038117287</v>
      </c>
      <c r="AO306" s="965">
        <f t="shared" si="200"/>
        <v>-1763216.5038117287</v>
      </c>
      <c r="AP306" s="965">
        <f t="shared" si="200"/>
        <v>-1763216.5038117287</v>
      </c>
      <c r="AQ306" s="965">
        <f t="shared" si="200"/>
        <v>-1763216.5038117287</v>
      </c>
      <c r="AR306" s="965">
        <f t="shared" si="200"/>
        <v>-1763216.5038117287</v>
      </c>
      <c r="AS306" s="965">
        <f t="shared" si="200"/>
        <v>-1763216.5038117287</v>
      </c>
      <c r="AT306" s="965">
        <f t="shared" si="200"/>
        <v>-1763216.5038117287</v>
      </c>
      <c r="AU306" s="166"/>
      <c r="AV306" s="166"/>
      <c r="AW306" s="166"/>
      <c r="AX306" s="166"/>
      <c r="AY306" s="166"/>
      <c r="AZ306" s="166"/>
      <c r="BA306" s="166"/>
      <c r="BB306" s="166"/>
      <c r="BC306" s="166"/>
      <c r="BD306" s="166"/>
      <c r="BE306" s="166"/>
      <c r="BF306" s="166"/>
      <c r="BG306" s="166"/>
      <c r="BH306" s="166"/>
      <c r="BI306" s="166"/>
      <c r="BJ306" s="166"/>
      <c r="BK306" s="166"/>
      <c r="BL306" s="166"/>
      <c r="BM306" s="166"/>
      <c r="BN306" s="166"/>
    </row>
    <row r="307" spans="2:66" x14ac:dyDescent="0.25">
      <c r="B307" s="831" t="str">
        <f t="shared" si="201"/>
        <v>Activos iniciales - Depreciacion 15 años</v>
      </c>
      <c r="C307" s="965">
        <f t="shared" si="200"/>
        <v>0</v>
      </c>
      <c r="D307" s="965">
        <f t="shared" si="200"/>
        <v>0</v>
      </c>
      <c r="E307" s="965">
        <f t="shared" si="200"/>
        <v>0</v>
      </c>
      <c r="F307" s="965">
        <f t="shared" si="200"/>
        <v>0</v>
      </c>
      <c r="G307" s="965">
        <f t="shared" si="200"/>
        <v>-1033960.8285917911</v>
      </c>
      <c r="H307" s="965">
        <f t="shared" si="200"/>
        <v>-1033960.8285917911</v>
      </c>
      <c r="I307" s="965">
        <f t="shared" si="200"/>
        <v>-1033960.8285917911</v>
      </c>
      <c r="J307" s="965">
        <f t="shared" si="200"/>
        <v>-1033960.8285917911</v>
      </c>
      <c r="K307" s="965">
        <f t="shared" si="200"/>
        <v>-1033960.8285917911</v>
      </c>
      <c r="L307" s="965">
        <f t="shared" si="200"/>
        <v>-1033960.8285917911</v>
      </c>
      <c r="M307" s="965">
        <f t="shared" si="200"/>
        <v>-1033960.8285917911</v>
      </c>
      <c r="N307" s="965">
        <f t="shared" si="200"/>
        <v>-1033960.8285917911</v>
      </c>
      <c r="O307" s="965">
        <f t="shared" si="200"/>
        <v>-1033960.8285917911</v>
      </c>
      <c r="P307" s="965">
        <f t="shared" si="200"/>
        <v>-1033960.8285917911</v>
      </c>
      <c r="Q307" s="965">
        <f t="shared" si="200"/>
        <v>-1033960.8285917911</v>
      </c>
      <c r="R307" s="965">
        <f t="shared" si="200"/>
        <v>-1033960.8285917911</v>
      </c>
      <c r="S307" s="965">
        <f t="shared" si="200"/>
        <v>-1033960.8285917911</v>
      </c>
      <c r="T307" s="965">
        <f t="shared" si="200"/>
        <v>-1033960.8285917911</v>
      </c>
      <c r="U307" s="965">
        <f t="shared" si="200"/>
        <v>-1033960.8285917911</v>
      </c>
      <c r="V307" s="965">
        <f t="shared" si="200"/>
        <v>0</v>
      </c>
      <c r="W307" s="965">
        <f t="shared" si="200"/>
        <v>0</v>
      </c>
      <c r="X307" s="965">
        <f t="shared" si="200"/>
        <v>0</v>
      </c>
      <c r="Y307" s="965">
        <f t="shared" si="200"/>
        <v>0</v>
      </c>
      <c r="Z307" s="965">
        <f t="shared" si="200"/>
        <v>0</v>
      </c>
      <c r="AA307" s="965">
        <f t="shared" si="200"/>
        <v>0</v>
      </c>
      <c r="AB307" s="965">
        <f t="shared" si="200"/>
        <v>0</v>
      </c>
      <c r="AC307" s="965">
        <f t="shared" si="200"/>
        <v>0</v>
      </c>
      <c r="AD307" s="965">
        <f t="shared" si="200"/>
        <v>0</v>
      </c>
      <c r="AE307" s="965">
        <f t="shared" si="200"/>
        <v>0</v>
      </c>
      <c r="AF307" s="965">
        <f t="shared" si="200"/>
        <v>0</v>
      </c>
      <c r="AG307" s="965">
        <f t="shared" si="200"/>
        <v>0</v>
      </c>
      <c r="AH307" s="965">
        <f t="shared" si="200"/>
        <v>0</v>
      </c>
      <c r="AI307" s="965">
        <f t="shared" si="200"/>
        <v>0</v>
      </c>
      <c r="AJ307" s="965">
        <f t="shared" si="200"/>
        <v>0</v>
      </c>
      <c r="AK307" s="965">
        <f t="shared" si="200"/>
        <v>0</v>
      </c>
      <c r="AL307" s="965">
        <f t="shared" si="200"/>
        <v>0</v>
      </c>
      <c r="AM307" s="965">
        <f t="shared" si="200"/>
        <v>0</v>
      </c>
      <c r="AN307" s="965">
        <f t="shared" si="200"/>
        <v>0</v>
      </c>
      <c r="AO307" s="965">
        <f t="shared" si="200"/>
        <v>0</v>
      </c>
      <c r="AP307" s="965">
        <f t="shared" si="200"/>
        <v>0</v>
      </c>
      <c r="AQ307" s="965">
        <f t="shared" si="200"/>
        <v>0</v>
      </c>
      <c r="AR307" s="965">
        <f t="shared" si="200"/>
        <v>0</v>
      </c>
      <c r="AS307" s="965">
        <f t="shared" si="200"/>
        <v>0</v>
      </c>
      <c r="AT307" s="965">
        <f t="shared" si="200"/>
        <v>0</v>
      </c>
      <c r="AU307" s="166"/>
      <c r="AV307" s="166"/>
      <c r="AW307" s="166"/>
      <c r="AX307" s="166"/>
      <c r="AY307" s="166"/>
      <c r="AZ307" s="166"/>
      <c r="BA307" s="166"/>
      <c r="BB307" s="166"/>
      <c r="BC307" s="166"/>
      <c r="BD307" s="166"/>
      <c r="BE307" s="166"/>
      <c r="BF307" s="166"/>
      <c r="BG307" s="166"/>
      <c r="BH307" s="166"/>
      <c r="BI307" s="166"/>
      <c r="BJ307" s="166"/>
      <c r="BK307" s="166"/>
      <c r="BL307" s="166"/>
      <c r="BM307" s="166"/>
      <c r="BN307" s="166"/>
    </row>
    <row r="308" spans="2:66" x14ac:dyDescent="0.25">
      <c r="B308" s="831" t="str">
        <f t="shared" si="201"/>
        <v>Activos iniciales - Depreciacion 10 años</v>
      </c>
      <c r="C308" s="965">
        <f t="shared" si="200"/>
        <v>0</v>
      </c>
      <c r="D308" s="965">
        <f t="shared" si="200"/>
        <v>0</v>
      </c>
      <c r="E308" s="965">
        <f t="shared" si="200"/>
        <v>0</v>
      </c>
      <c r="F308" s="965">
        <f t="shared" si="200"/>
        <v>0</v>
      </c>
      <c r="G308" s="965">
        <f t="shared" si="200"/>
        <v>-590377.75688031956</v>
      </c>
      <c r="H308" s="965">
        <f t="shared" si="200"/>
        <v>-590377.75688031956</v>
      </c>
      <c r="I308" s="965">
        <f t="shared" si="200"/>
        <v>-590377.75688031956</v>
      </c>
      <c r="J308" s="965">
        <f t="shared" si="200"/>
        <v>-590377.75688031956</v>
      </c>
      <c r="K308" s="965">
        <f t="shared" si="200"/>
        <v>-590377.75688031956</v>
      </c>
      <c r="L308" s="965">
        <f t="shared" si="200"/>
        <v>-590377.75688031956</v>
      </c>
      <c r="M308" s="965">
        <f t="shared" si="200"/>
        <v>-590377.75688031956</v>
      </c>
      <c r="N308" s="965">
        <f t="shared" si="200"/>
        <v>-590377.75688031956</v>
      </c>
      <c r="O308" s="965">
        <f t="shared" si="200"/>
        <v>-590377.75688031956</v>
      </c>
      <c r="P308" s="965">
        <f t="shared" si="200"/>
        <v>-590377.75688031956</v>
      </c>
      <c r="Q308" s="965">
        <f t="shared" si="200"/>
        <v>0</v>
      </c>
      <c r="R308" s="965">
        <f t="shared" si="200"/>
        <v>0</v>
      </c>
      <c r="S308" s="965">
        <f t="shared" si="200"/>
        <v>0</v>
      </c>
      <c r="T308" s="965">
        <f t="shared" si="200"/>
        <v>0</v>
      </c>
      <c r="U308" s="965">
        <f t="shared" si="200"/>
        <v>0</v>
      </c>
      <c r="V308" s="965">
        <f t="shared" si="200"/>
        <v>0</v>
      </c>
      <c r="W308" s="965">
        <f t="shared" si="200"/>
        <v>0</v>
      </c>
      <c r="X308" s="965">
        <f t="shared" si="200"/>
        <v>0</v>
      </c>
      <c r="Y308" s="965">
        <f t="shared" si="200"/>
        <v>0</v>
      </c>
      <c r="Z308" s="965">
        <f t="shared" si="200"/>
        <v>0</v>
      </c>
      <c r="AA308" s="965">
        <f t="shared" si="200"/>
        <v>0</v>
      </c>
      <c r="AB308" s="965">
        <f t="shared" si="200"/>
        <v>0</v>
      </c>
      <c r="AC308" s="965">
        <f t="shared" si="200"/>
        <v>0</v>
      </c>
      <c r="AD308" s="965">
        <f t="shared" si="200"/>
        <v>0</v>
      </c>
      <c r="AE308" s="965">
        <f t="shared" si="200"/>
        <v>0</v>
      </c>
      <c r="AF308" s="965">
        <f t="shared" si="200"/>
        <v>0</v>
      </c>
      <c r="AG308" s="965">
        <f t="shared" si="200"/>
        <v>0</v>
      </c>
      <c r="AH308" s="965">
        <f t="shared" si="200"/>
        <v>0</v>
      </c>
      <c r="AI308" s="965">
        <f t="shared" si="200"/>
        <v>0</v>
      </c>
      <c r="AJ308" s="965">
        <f t="shared" si="200"/>
        <v>0</v>
      </c>
      <c r="AK308" s="965">
        <f t="shared" si="200"/>
        <v>0</v>
      </c>
      <c r="AL308" s="965">
        <f t="shared" si="200"/>
        <v>0</v>
      </c>
      <c r="AM308" s="965">
        <f t="shared" si="200"/>
        <v>0</v>
      </c>
      <c r="AN308" s="965">
        <f t="shared" si="200"/>
        <v>0</v>
      </c>
      <c r="AO308" s="965">
        <f t="shared" si="200"/>
        <v>0</v>
      </c>
      <c r="AP308" s="965">
        <f t="shared" si="200"/>
        <v>0</v>
      </c>
      <c r="AQ308" s="965">
        <f t="shared" si="200"/>
        <v>0</v>
      </c>
      <c r="AR308" s="965">
        <f t="shared" si="200"/>
        <v>0</v>
      </c>
      <c r="AS308" s="965">
        <f t="shared" si="200"/>
        <v>0</v>
      </c>
      <c r="AT308" s="965">
        <f t="shared" si="200"/>
        <v>0</v>
      </c>
      <c r="AU308" s="166"/>
      <c r="AV308" s="166"/>
      <c r="AW308" s="166"/>
      <c r="AX308" s="166"/>
      <c r="AY308" s="166"/>
      <c r="AZ308" s="166"/>
      <c r="BA308" s="166"/>
      <c r="BB308" s="166"/>
      <c r="BC308" s="166"/>
      <c r="BD308" s="166"/>
      <c r="BE308" s="166"/>
      <c r="BF308" s="166"/>
      <c r="BG308" s="166"/>
      <c r="BH308" s="166"/>
      <c r="BI308" s="166"/>
      <c r="BJ308" s="166"/>
      <c r="BK308" s="166"/>
      <c r="BL308" s="166"/>
      <c r="BM308" s="166"/>
      <c r="BN308" s="166"/>
    </row>
    <row r="309" spans="2:66" x14ac:dyDescent="0.25">
      <c r="B309" s="831" t="str">
        <f t="shared" si="201"/>
        <v>Activos iniciales - Depreciacion 5 años</v>
      </c>
      <c r="C309" s="965">
        <f t="shared" si="200"/>
        <v>0</v>
      </c>
      <c r="D309" s="965">
        <f t="shared" si="200"/>
        <v>0</v>
      </c>
      <c r="E309" s="965">
        <f t="shared" si="200"/>
        <v>0</v>
      </c>
      <c r="F309" s="965">
        <f t="shared" si="200"/>
        <v>0</v>
      </c>
      <c r="G309" s="965">
        <f t="shared" si="200"/>
        <v>-249751.95009344042</v>
      </c>
      <c r="H309" s="965">
        <f t="shared" si="200"/>
        <v>-249751.95009344042</v>
      </c>
      <c r="I309" s="965">
        <f t="shared" si="200"/>
        <v>-249751.95009344042</v>
      </c>
      <c r="J309" s="965">
        <f t="shared" si="200"/>
        <v>-249751.95009344042</v>
      </c>
      <c r="K309" s="965">
        <f t="shared" si="200"/>
        <v>-249751.95009344042</v>
      </c>
      <c r="L309" s="965">
        <f t="shared" si="200"/>
        <v>0</v>
      </c>
      <c r="M309" s="965">
        <f t="shared" si="200"/>
        <v>0</v>
      </c>
      <c r="N309" s="965">
        <f t="shared" si="200"/>
        <v>0</v>
      </c>
      <c r="O309" s="965">
        <f t="shared" si="200"/>
        <v>0</v>
      </c>
      <c r="P309" s="965">
        <f t="shared" si="200"/>
        <v>0</v>
      </c>
      <c r="Q309" s="965">
        <f t="shared" si="200"/>
        <v>0</v>
      </c>
      <c r="R309" s="965">
        <f t="shared" si="200"/>
        <v>0</v>
      </c>
      <c r="S309" s="965">
        <f t="shared" si="200"/>
        <v>0</v>
      </c>
      <c r="T309" s="965">
        <f t="shared" si="200"/>
        <v>0</v>
      </c>
      <c r="U309" s="965">
        <f t="shared" si="200"/>
        <v>0</v>
      </c>
      <c r="V309" s="965">
        <f t="shared" si="200"/>
        <v>0</v>
      </c>
      <c r="W309" s="965">
        <f t="shared" si="200"/>
        <v>0</v>
      </c>
      <c r="X309" s="965">
        <f t="shared" si="200"/>
        <v>0</v>
      </c>
      <c r="Y309" s="965">
        <f t="shared" si="200"/>
        <v>0</v>
      </c>
      <c r="Z309" s="965">
        <f t="shared" si="200"/>
        <v>0</v>
      </c>
      <c r="AA309" s="965">
        <f t="shared" si="200"/>
        <v>0</v>
      </c>
      <c r="AB309" s="965">
        <f t="shared" si="200"/>
        <v>0</v>
      </c>
      <c r="AC309" s="965">
        <f t="shared" si="200"/>
        <v>0</v>
      </c>
      <c r="AD309" s="965">
        <f t="shared" si="200"/>
        <v>0</v>
      </c>
      <c r="AE309" s="965">
        <f t="shared" si="200"/>
        <v>0</v>
      </c>
      <c r="AF309" s="965">
        <f t="shared" si="200"/>
        <v>0</v>
      </c>
      <c r="AG309" s="965">
        <f t="shared" si="200"/>
        <v>0</v>
      </c>
      <c r="AH309" s="965">
        <f t="shared" si="200"/>
        <v>0</v>
      </c>
      <c r="AI309" s="965">
        <f t="shared" si="200"/>
        <v>0</v>
      </c>
      <c r="AJ309" s="965">
        <f t="shared" si="200"/>
        <v>0</v>
      </c>
      <c r="AK309" s="965">
        <f t="shared" si="200"/>
        <v>0</v>
      </c>
      <c r="AL309" s="965">
        <f t="shared" si="200"/>
        <v>0</v>
      </c>
      <c r="AM309" s="965">
        <f t="shared" si="200"/>
        <v>0</v>
      </c>
      <c r="AN309" s="965">
        <f t="shared" si="200"/>
        <v>0</v>
      </c>
      <c r="AO309" s="965">
        <f t="shared" si="200"/>
        <v>0</v>
      </c>
      <c r="AP309" s="965">
        <f t="shared" si="200"/>
        <v>0</v>
      </c>
      <c r="AQ309" s="965">
        <f t="shared" si="200"/>
        <v>0</v>
      </c>
      <c r="AR309" s="965">
        <f t="shared" si="200"/>
        <v>0</v>
      </c>
      <c r="AS309" s="965">
        <f t="shared" si="200"/>
        <v>0</v>
      </c>
      <c r="AT309" s="965">
        <f t="shared" si="200"/>
        <v>0</v>
      </c>
      <c r="AU309" s="166"/>
      <c r="AV309" s="166"/>
      <c r="AW309" s="166"/>
      <c r="AX309" s="166"/>
      <c r="AY309" s="166"/>
      <c r="AZ309" s="166"/>
      <c r="BA309" s="166"/>
      <c r="BB309" s="166"/>
      <c r="BC309" s="166"/>
      <c r="BD309" s="166"/>
      <c r="BE309" s="166"/>
      <c r="BF309" s="166"/>
      <c r="BG309" s="166"/>
      <c r="BH309" s="166"/>
      <c r="BI309" s="166"/>
      <c r="BJ309" s="166"/>
      <c r="BK309" s="166"/>
      <c r="BL309" s="166"/>
      <c r="BM309" s="166"/>
      <c r="BN309" s="166"/>
    </row>
    <row r="310" spans="2:66" x14ac:dyDescent="0.25">
      <c r="B310" s="831" t="str">
        <f t="shared" si="201"/>
        <v>Activos iniciales - Valor residual</v>
      </c>
      <c r="C310" s="965">
        <f t="shared" si="200"/>
        <v>0</v>
      </c>
      <c r="D310" s="965">
        <f t="shared" si="200"/>
        <v>0</v>
      </c>
      <c r="E310" s="965">
        <f t="shared" si="200"/>
        <v>0</v>
      </c>
      <c r="F310" s="965">
        <f t="shared" si="200"/>
        <v>0</v>
      </c>
      <c r="G310" s="965">
        <f t="shared" si="200"/>
        <v>151074474.56595954</v>
      </c>
      <c r="H310" s="965">
        <f t="shared" si="200"/>
        <v>146598155.94857979</v>
      </c>
      <c r="I310" s="965">
        <f t="shared" si="200"/>
        <v>142121837.33120003</v>
      </c>
      <c r="J310" s="965">
        <f t="shared" si="200"/>
        <v>137645518.71382028</v>
      </c>
      <c r="K310" s="965">
        <f t="shared" si="200"/>
        <v>133169200.09644052</v>
      </c>
      <c r="L310" s="965">
        <f t="shared" si="200"/>
        <v>128942633.42915422</v>
      </c>
      <c r="M310" s="965">
        <f t="shared" si="200"/>
        <v>124716066.76186791</v>
      </c>
      <c r="N310" s="965">
        <f t="shared" si="200"/>
        <v>120489500.0945816</v>
      </c>
      <c r="O310" s="965">
        <f t="shared" si="200"/>
        <v>116262933.4272953</v>
      </c>
      <c r="P310" s="965">
        <f t="shared" si="200"/>
        <v>112036366.76000899</v>
      </c>
      <c r="Q310" s="965">
        <f t="shared" si="200"/>
        <v>108400177.849603</v>
      </c>
      <c r="R310" s="965">
        <f t="shared" si="200"/>
        <v>104763988.939197</v>
      </c>
      <c r="S310" s="965">
        <f t="shared" si="200"/>
        <v>101127800.02879101</v>
      </c>
      <c r="T310" s="965">
        <f t="shared" si="200"/>
        <v>97491611.118385017</v>
      </c>
      <c r="U310" s="965">
        <f t="shared" si="200"/>
        <v>93855422.207979023</v>
      </c>
      <c r="V310" s="965">
        <f t="shared" si="200"/>
        <v>91253194.126164824</v>
      </c>
      <c r="W310" s="965">
        <f t="shared" si="200"/>
        <v>88650966.044350624</v>
      </c>
      <c r="X310" s="965">
        <f t="shared" si="200"/>
        <v>86048737.962536424</v>
      </c>
      <c r="Y310" s="965">
        <f t="shared" si="200"/>
        <v>83446509.880722225</v>
      </c>
      <c r="Z310" s="965">
        <f t="shared" si="200"/>
        <v>80844281.798908025</v>
      </c>
      <c r="AA310" s="965">
        <f t="shared" si="200"/>
        <v>78242053.717093825</v>
      </c>
      <c r="AB310" s="965">
        <f t="shared" si="200"/>
        <v>75639825.635279626</v>
      </c>
      <c r="AC310" s="965">
        <f t="shared" si="200"/>
        <v>73037597.553465426</v>
      </c>
      <c r="AD310" s="965">
        <f t="shared" si="200"/>
        <v>70435369.471651226</v>
      </c>
      <c r="AE310" s="965">
        <f t="shared" si="200"/>
        <v>67833141.389837027</v>
      </c>
      <c r="AF310" s="965">
        <f t="shared" si="200"/>
        <v>65230913.308022827</v>
      </c>
      <c r="AG310" s="965">
        <f t="shared" si="200"/>
        <v>62628685.226208627</v>
      </c>
      <c r="AH310" s="965">
        <f t="shared" si="200"/>
        <v>60026457.144394428</v>
      </c>
      <c r="AI310" s="965">
        <f t="shared" si="200"/>
        <v>57424229.062580228</v>
      </c>
      <c r="AJ310" s="965">
        <f t="shared" si="200"/>
        <v>54822000.980766028</v>
      </c>
      <c r="AK310" s="965">
        <f t="shared" si="200"/>
        <v>52219772.898951828</v>
      </c>
      <c r="AL310" s="965">
        <f t="shared" si="200"/>
        <v>49617544.817137629</v>
      </c>
      <c r="AM310" s="965">
        <f t="shared" si="200"/>
        <v>47015316.735323429</v>
      </c>
      <c r="AN310" s="965">
        <f t="shared" si="200"/>
        <v>44413088.653509229</v>
      </c>
      <c r="AO310" s="965">
        <f t="shared" si="200"/>
        <v>41810860.57169503</v>
      </c>
      <c r="AP310" s="965">
        <f t="shared" si="200"/>
        <v>39208632.48988083</v>
      </c>
      <c r="AQ310" s="965">
        <f t="shared" si="200"/>
        <v>36606404.40806663</v>
      </c>
      <c r="AR310" s="965">
        <f t="shared" si="200"/>
        <v>34004176.326252431</v>
      </c>
      <c r="AS310" s="965">
        <f t="shared" si="200"/>
        <v>31401948.244438235</v>
      </c>
      <c r="AT310" s="965">
        <f t="shared" si="200"/>
        <v>28799720.162624039</v>
      </c>
      <c r="AU310" s="166"/>
      <c r="AV310" s="166"/>
      <c r="AW310" s="166"/>
      <c r="AX310" s="166"/>
      <c r="AY310" s="166"/>
      <c r="AZ310" s="166"/>
      <c r="BA310" s="166"/>
      <c r="BB310" s="166"/>
      <c r="BC310" s="166"/>
      <c r="BD310" s="166"/>
      <c r="BE310" s="166"/>
      <c r="BF310" s="166"/>
      <c r="BG310" s="166"/>
      <c r="BH310" s="166"/>
      <c r="BI310" s="166"/>
      <c r="BJ310" s="166"/>
      <c r="BK310" s="166"/>
      <c r="BL310" s="166"/>
      <c r="BM310" s="166"/>
      <c r="BN310" s="166"/>
    </row>
    <row r="311" spans="2:66" x14ac:dyDescent="0.25">
      <c r="B311" s="831" t="str">
        <f t="shared" si="201"/>
        <v>Activos nuevos 1 - Depreciacion 10 años</v>
      </c>
      <c r="C311" s="965">
        <f t="shared" si="200"/>
        <v>0</v>
      </c>
      <c r="D311" s="965">
        <f t="shared" si="200"/>
        <v>0</v>
      </c>
      <c r="E311" s="965">
        <f t="shared" si="200"/>
        <v>0</v>
      </c>
      <c r="F311" s="965">
        <f t="shared" si="200"/>
        <v>0</v>
      </c>
      <c r="G311" s="965">
        <f t="shared" si="200"/>
        <v>0</v>
      </c>
      <c r="H311" s="965">
        <f t="shared" si="200"/>
        <v>0</v>
      </c>
      <c r="I311" s="965">
        <f t="shared" ref="C311:AT316" si="202">I83</f>
        <v>0</v>
      </c>
      <c r="J311" s="965">
        <f t="shared" si="202"/>
        <v>0</v>
      </c>
      <c r="K311" s="965">
        <f t="shared" si="202"/>
        <v>0</v>
      </c>
      <c r="L311" s="965">
        <f t="shared" si="202"/>
        <v>0</v>
      </c>
      <c r="M311" s="965">
        <f t="shared" si="202"/>
        <v>0</v>
      </c>
      <c r="N311" s="965">
        <f t="shared" si="202"/>
        <v>0</v>
      </c>
      <c r="O311" s="965">
        <f t="shared" si="202"/>
        <v>0</v>
      </c>
      <c r="P311" s="965">
        <f t="shared" si="202"/>
        <v>0</v>
      </c>
      <c r="Q311" s="965">
        <f t="shared" si="202"/>
        <v>0</v>
      </c>
      <c r="R311" s="965">
        <f t="shared" si="202"/>
        <v>-728389.33338023908</v>
      </c>
      <c r="S311" s="965">
        <f t="shared" si="202"/>
        <v>-728389.33338023908</v>
      </c>
      <c r="T311" s="965">
        <f t="shared" si="202"/>
        <v>-728389.33338023908</v>
      </c>
      <c r="U311" s="965">
        <f t="shared" si="202"/>
        <v>-728389.33338023908</v>
      </c>
      <c r="V311" s="965">
        <f t="shared" si="202"/>
        <v>-728389.33338023908</v>
      </c>
      <c r="W311" s="965">
        <f t="shared" si="202"/>
        <v>-728389.33338023908</v>
      </c>
      <c r="X311" s="965">
        <f t="shared" si="202"/>
        <v>-728389.33338023908</v>
      </c>
      <c r="Y311" s="965">
        <f t="shared" si="202"/>
        <v>-728389.33338023908</v>
      </c>
      <c r="Z311" s="965">
        <f t="shared" si="202"/>
        <v>-728389.33338023908</v>
      </c>
      <c r="AA311" s="965">
        <f t="shared" si="202"/>
        <v>-728389.33338023908</v>
      </c>
      <c r="AB311" s="965">
        <f t="shared" si="202"/>
        <v>-728389.33338023908</v>
      </c>
      <c r="AC311" s="965">
        <f t="shared" si="202"/>
        <v>0</v>
      </c>
      <c r="AD311" s="965">
        <f t="shared" si="202"/>
        <v>0</v>
      </c>
      <c r="AE311" s="965">
        <f t="shared" si="202"/>
        <v>0</v>
      </c>
      <c r="AF311" s="965">
        <f t="shared" si="202"/>
        <v>0</v>
      </c>
      <c r="AG311" s="965">
        <f t="shared" si="202"/>
        <v>0</v>
      </c>
      <c r="AH311" s="965">
        <f t="shared" si="202"/>
        <v>0</v>
      </c>
      <c r="AI311" s="965">
        <f t="shared" si="202"/>
        <v>0</v>
      </c>
      <c r="AJ311" s="965">
        <f t="shared" si="202"/>
        <v>0</v>
      </c>
      <c r="AK311" s="965">
        <f t="shared" si="202"/>
        <v>0</v>
      </c>
      <c r="AL311" s="965">
        <f t="shared" si="202"/>
        <v>0</v>
      </c>
      <c r="AM311" s="965">
        <f t="shared" si="202"/>
        <v>0</v>
      </c>
      <c r="AN311" s="965">
        <f t="shared" si="202"/>
        <v>0</v>
      </c>
      <c r="AO311" s="965">
        <f t="shared" si="202"/>
        <v>0</v>
      </c>
      <c r="AP311" s="965">
        <f t="shared" si="202"/>
        <v>0</v>
      </c>
      <c r="AQ311" s="965">
        <f t="shared" si="202"/>
        <v>0</v>
      </c>
      <c r="AR311" s="965">
        <f t="shared" si="202"/>
        <v>0</v>
      </c>
      <c r="AS311" s="965">
        <f t="shared" si="202"/>
        <v>0</v>
      </c>
      <c r="AT311" s="965">
        <f t="shared" si="202"/>
        <v>0</v>
      </c>
      <c r="AU311" s="166"/>
      <c r="AV311" s="166"/>
      <c r="AW311" s="166"/>
      <c r="AX311" s="166"/>
      <c r="AY311" s="166"/>
      <c r="AZ311" s="166"/>
      <c r="BA311" s="166"/>
      <c r="BB311" s="166"/>
      <c r="BC311" s="166"/>
      <c r="BD311" s="166"/>
      <c r="BE311" s="166"/>
      <c r="BF311" s="166"/>
      <c r="BG311" s="166"/>
      <c r="BH311" s="166"/>
      <c r="BI311" s="166"/>
      <c r="BJ311" s="166"/>
      <c r="BK311" s="166"/>
      <c r="BL311" s="166"/>
      <c r="BM311" s="166"/>
      <c r="BN311" s="166"/>
    </row>
    <row r="312" spans="2:66" x14ac:dyDescent="0.25">
      <c r="B312" s="831" t="str">
        <f t="shared" si="201"/>
        <v>Activos nuevos 1 - Valor residual</v>
      </c>
      <c r="C312" s="965">
        <f t="shared" si="202"/>
        <v>0</v>
      </c>
      <c r="D312" s="965">
        <f t="shared" si="202"/>
        <v>0</v>
      </c>
      <c r="E312" s="965">
        <f t="shared" si="202"/>
        <v>0</v>
      </c>
      <c r="F312" s="965">
        <f t="shared" si="202"/>
        <v>0</v>
      </c>
      <c r="G312" s="965">
        <f t="shared" si="202"/>
        <v>0</v>
      </c>
      <c r="H312" s="965">
        <f t="shared" si="202"/>
        <v>0</v>
      </c>
      <c r="I312" s="965">
        <f t="shared" si="202"/>
        <v>0</v>
      </c>
      <c r="J312" s="965">
        <f t="shared" si="202"/>
        <v>0</v>
      </c>
      <c r="K312" s="965">
        <f t="shared" si="202"/>
        <v>0</v>
      </c>
      <c r="L312" s="965">
        <f t="shared" si="202"/>
        <v>0</v>
      </c>
      <c r="M312" s="965">
        <f t="shared" si="202"/>
        <v>0</v>
      </c>
      <c r="N312" s="965">
        <f t="shared" si="202"/>
        <v>0</v>
      </c>
      <c r="O312" s="965">
        <f t="shared" si="202"/>
        <v>0</v>
      </c>
      <c r="P312" s="965">
        <f t="shared" si="202"/>
        <v>0</v>
      </c>
      <c r="Q312" s="965">
        <f t="shared" si="202"/>
        <v>0</v>
      </c>
      <c r="R312" s="965">
        <f t="shared" si="202"/>
        <v>7283893.3338023908</v>
      </c>
      <c r="S312" s="965">
        <f t="shared" si="202"/>
        <v>6555504.0004221518</v>
      </c>
      <c r="T312" s="965">
        <f t="shared" si="202"/>
        <v>5827114.6670419127</v>
      </c>
      <c r="U312" s="965">
        <f t="shared" si="202"/>
        <v>5098725.3336616736</v>
      </c>
      <c r="V312" s="965">
        <f t="shared" si="202"/>
        <v>4370336.0002814345</v>
      </c>
      <c r="W312" s="965">
        <f t="shared" si="202"/>
        <v>3641946.6669011954</v>
      </c>
      <c r="X312" s="965">
        <f t="shared" si="202"/>
        <v>2913557.3335209563</v>
      </c>
      <c r="Y312" s="965">
        <f t="shared" si="202"/>
        <v>2185168.0001407173</v>
      </c>
      <c r="Z312" s="965">
        <f t="shared" si="202"/>
        <v>1456778.6667604782</v>
      </c>
      <c r="AA312" s="965">
        <f t="shared" si="202"/>
        <v>728389.33338023908</v>
      </c>
      <c r="AB312" s="965">
        <f t="shared" si="202"/>
        <v>0</v>
      </c>
      <c r="AC312" s="965">
        <f t="shared" si="202"/>
        <v>0</v>
      </c>
      <c r="AD312" s="965">
        <f t="shared" si="202"/>
        <v>0</v>
      </c>
      <c r="AE312" s="965">
        <f t="shared" si="202"/>
        <v>0</v>
      </c>
      <c r="AF312" s="965">
        <f t="shared" si="202"/>
        <v>0</v>
      </c>
      <c r="AG312" s="965">
        <f t="shared" si="202"/>
        <v>0</v>
      </c>
      <c r="AH312" s="965">
        <f t="shared" si="202"/>
        <v>0</v>
      </c>
      <c r="AI312" s="965">
        <f t="shared" si="202"/>
        <v>0</v>
      </c>
      <c r="AJ312" s="965">
        <f t="shared" si="202"/>
        <v>0</v>
      </c>
      <c r="AK312" s="965">
        <f t="shared" si="202"/>
        <v>0</v>
      </c>
      <c r="AL312" s="965">
        <f t="shared" si="202"/>
        <v>0</v>
      </c>
      <c r="AM312" s="965">
        <f t="shared" si="202"/>
        <v>0</v>
      </c>
      <c r="AN312" s="965">
        <f t="shared" si="202"/>
        <v>0</v>
      </c>
      <c r="AO312" s="965">
        <f t="shared" si="202"/>
        <v>0</v>
      </c>
      <c r="AP312" s="965">
        <f t="shared" si="202"/>
        <v>0</v>
      </c>
      <c r="AQ312" s="965">
        <f t="shared" si="202"/>
        <v>0</v>
      </c>
      <c r="AR312" s="965">
        <f t="shared" si="202"/>
        <v>0</v>
      </c>
      <c r="AS312" s="965">
        <f t="shared" si="202"/>
        <v>0</v>
      </c>
      <c r="AT312" s="965">
        <f t="shared" si="202"/>
        <v>0</v>
      </c>
      <c r="AU312" s="166"/>
      <c r="AV312" s="166"/>
      <c r="AW312" s="166"/>
      <c r="AX312" s="166"/>
      <c r="AY312" s="166"/>
      <c r="AZ312" s="166"/>
      <c r="BA312" s="166"/>
      <c r="BB312" s="166"/>
      <c r="BC312" s="166"/>
      <c r="BD312" s="166"/>
      <c r="BE312" s="166"/>
      <c r="BF312" s="166"/>
      <c r="BG312" s="166"/>
      <c r="BH312" s="166"/>
      <c r="BI312" s="166"/>
      <c r="BJ312" s="166"/>
      <c r="BK312" s="166"/>
      <c r="BL312" s="166"/>
      <c r="BM312" s="166"/>
      <c r="BN312" s="166"/>
    </row>
    <row r="313" spans="2:66" x14ac:dyDescent="0.25">
      <c r="B313" s="831" t="str">
        <f t="shared" si="201"/>
        <v>Activos nuevos 2 - Depreciacion 15 años</v>
      </c>
      <c r="C313" s="965">
        <f t="shared" si="202"/>
        <v>0</v>
      </c>
      <c r="D313" s="965">
        <f t="shared" si="202"/>
        <v>0</v>
      </c>
      <c r="E313" s="965">
        <f t="shared" si="202"/>
        <v>0</v>
      </c>
      <c r="F313" s="965">
        <f t="shared" si="202"/>
        <v>0</v>
      </c>
      <c r="G313" s="965">
        <f t="shared" si="202"/>
        <v>0</v>
      </c>
      <c r="H313" s="965">
        <f t="shared" si="202"/>
        <v>0</v>
      </c>
      <c r="I313" s="965">
        <f t="shared" si="202"/>
        <v>0</v>
      </c>
      <c r="J313" s="965">
        <f t="shared" si="202"/>
        <v>0</v>
      </c>
      <c r="K313" s="965">
        <f t="shared" si="202"/>
        <v>0</v>
      </c>
      <c r="L313" s="965">
        <f t="shared" si="202"/>
        <v>0</v>
      </c>
      <c r="M313" s="965">
        <f t="shared" si="202"/>
        <v>0</v>
      </c>
      <c r="N313" s="965">
        <f t="shared" si="202"/>
        <v>0</v>
      </c>
      <c r="O313" s="965">
        <f t="shared" si="202"/>
        <v>0</v>
      </c>
      <c r="P313" s="965">
        <f t="shared" si="202"/>
        <v>0</v>
      </c>
      <c r="Q313" s="965">
        <f t="shared" si="202"/>
        <v>0</v>
      </c>
      <c r="R313" s="965">
        <f t="shared" si="202"/>
        <v>0</v>
      </c>
      <c r="S313" s="965">
        <f t="shared" si="202"/>
        <v>0</v>
      </c>
      <c r="T313" s="965">
        <f t="shared" si="202"/>
        <v>0</v>
      </c>
      <c r="U313" s="965">
        <f t="shared" si="202"/>
        <v>0</v>
      </c>
      <c r="V313" s="965">
        <f t="shared" si="202"/>
        <v>0</v>
      </c>
      <c r="W313" s="965">
        <f t="shared" si="202"/>
        <v>0</v>
      </c>
      <c r="X313" s="965">
        <f t="shared" si="202"/>
        <v>-1453440.5611895286</v>
      </c>
      <c r="Y313" s="965">
        <f t="shared" si="202"/>
        <v>-1453440.5611895286</v>
      </c>
      <c r="Z313" s="965">
        <f t="shared" si="202"/>
        <v>-1453440.5611895286</v>
      </c>
      <c r="AA313" s="965">
        <f t="shared" si="202"/>
        <v>-1453440.5611895286</v>
      </c>
      <c r="AB313" s="965">
        <f t="shared" si="202"/>
        <v>-1453440.5611895286</v>
      </c>
      <c r="AC313" s="965">
        <f t="shared" si="202"/>
        <v>-1453440.5611895286</v>
      </c>
      <c r="AD313" s="965">
        <f t="shared" si="202"/>
        <v>-1453440.5611895286</v>
      </c>
      <c r="AE313" s="965">
        <f t="shared" si="202"/>
        <v>-1453440.5611895286</v>
      </c>
      <c r="AF313" s="965">
        <f t="shared" si="202"/>
        <v>-1453440.5611895286</v>
      </c>
      <c r="AG313" s="965">
        <f t="shared" si="202"/>
        <v>-1453440.5611895286</v>
      </c>
      <c r="AH313" s="965">
        <f t="shared" si="202"/>
        <v>-1453440.5611895286</v>
      </c>
      <c r="AI313" s="965">
        <f t="shared" si="202"/>
        <v>-1453440.5611895286</v>
      </c>
      <c r="AJ313" s="965">
        <f t="shared" si="202"/>
        <v>-1453440.5611895286</v>
      </c>
      <c r="AK313" s="965">
        <f t="shared" si="202"/>
        <v>-1453440.5611895286</v>
      </c>
      <c r="AL313" s="965">
        <f t="shared" si="202"/>
        <v>-1453440.5611895286</v>
      </c>
      <c r="AM313" s="965">
        <f t="shared" si="202"/>
        <v>0</v>
      </c>
      <c r="AN313" s="965">
        <f t="shared" si="202"/>
        <v>0</v>
      </c>
      <c r="AO313" s="965">
        <f t="shared" si="202"/>
        <v>0</v>
      </c>
      <c r="AP313" s="965">
        <f t="shared" si="202"/>
        <v>0</v>
      </c>
      <c r="AQ313" s="965">
        <f t="shared" si="202"/>
        <v>0</v>
      </c>
      <c r="AR313" s="965">
        <f t="shared" si="202"/>
        <v>0</v>
      </c>
      <c r="AS313" s="965">
        <f t="shared" si="202"/>
        <v>0</v>
      </c>
      <c r="AT313" s="965">
        <f t="shared" si="202"/>
        <v>0</v>
      </c>
      <c r="AU313" s="166"/>
      <c r="AV313" s="166"/>
      <c r="AW313" s="166"/>
      <c r="AX313" s="166"/>
      <c r="AY313" s="166"/>
      <c r="AZ313" s="166"/>
      <c r="BA313" s="166"/>
      <c r="BB313" s="166"/>
      <c r="BC313" s="166"/>
      <c r="BD313" s="166"/>
      <c r="BE313" s="166"/>
      <c r="BF313" s="166"/>
      <c r="BG313" s="166"/>
      <c r="BH313" s="166"/>
      <c r="BI313" s="166"/>
      <c r="BJ313" s="166"/>
      <c r="BK313" s="166"/>
      <c r="BL313" s="166"/>
      <c r="BM313" s="166"/>
      <c r="BN313" s="166"/>
    </row>
    <row r="314" spans="2:66" x14ac:dyDescent="0.25">
      <c r="B314" s="831" t="str">
        <f t="shared" si="201"/>
        <v>Activos nuevos 2 - Valor residual</v>
      </c>
      <c r="C314" s="965">
        <f t="shared" si="202"/>
        <v>0</v>
      </c>
      <c r="D314" s="965">
        <f t="shared" si="202"/>
        <v>0</v>
      </c>
      <c r="E314" s="965">
        <f t="shared" si="202"/>
        <v>0</v>
      </c>
      <c r="F314" s="965">
        <f t="shared" si="202"/>
        <v>0</v>
      </c>
      <c r="G314" s="965">
        <f t="shared" si="202"/>
        <v>0</v>
      </c>
      <c r="H314" s="965">
        <f t="shared" si="202"/>
        <v>0</v>
      </c>
      <c r="I314" s="965">
        <f t="shared" si="202"/>
        <v>0</v>
      </c>
      <c r="J314" s="965">
        <f t="shared" si="202"/>
        <v>0</v>
      </c>
      <c r="K314" s="965">
        <f t="shared" si="202"/>
        <v>0</v>
      </c>
      <c r="L314" s="965">
        <f t="shared" si="202"/>
        <v>0</v>
      </c>
      <c r="M314" s="965">
        <f t="shared" si="202"/>
        <v>0</v>
      </c>
      <c r="N314" s="965">
        <f t="shared" si="202"/>
        <v>0</v>
      </c>
      <c r="O314" s="965">
        <f t="shared" si="202"/>
        <v>0</v>
      </c>
      <c r="P314" s="965">
        <f t="shared" si="202"/>
        <v>0</v>
      </c>
      <c r="Q314" s="965">
        <f t="shared" si="202"/>
        <v>0</v>
      </c>
      <c r="R314" s="965">
        <f t="shared" si="202"/>
        <v>0</v>
      </c>
      <c r="S314" s="965">
        <f t="shared" si="202"/>
        <v>0</v>
      </c>
      <c r="T314" s="965">
        <f t="shared" si="202"/>
        <v>0</v>
      </c>
      <c r="U314" s="965">
        <f t="shared" si="202"/>
        <v>0</v>
      </c>
      <c r="V314" s="965">
        <f t="shared" si="202"/>
        <v>0</v>
      </c>
      <c r="W314" s="965">
        <f t="shared" si="202"/>
        <v>0</v>
      </c>
      <c r="X314" s="965">
        <f t="shared" si="202"/>
        <v>20348167.8566534</v>
      </c>
      <c r="Y314" s="965">
        <f t="shared" si="202"/>
        <v>18894727.295463871</v>
      </c>
      <c r="Z314" s="965">
        <f t="shared" si="202"/>
        <v>17441286.734274343</v>
      </c>
      <c r="AA314" s="965">
        <f t="shared" si="202"/>
        <v>15987846.173084814</v>
      </c>
      <c r="AB314" s="965">
        <f t="shared" si="202"/>
        <v>14534405.611895286</v>
      </c>
      <c r="AC314" s="965">
        <f t="shared" si="202"/>
        <v>13080965.050705757</v>
      </c>
      <c r="AD314" s="965">
        <f t="shared" si="202"/>
        <v>11627524.489516228</v>
      </c>
      <c r="AE314" s="965">
        <f t="shared" si="202"/>
        <v>10174083.9283267</v>
      </c>
      <c r="AF314" s="965">
        <f t="shared" si="202"/>
        <v>8720643.3671371713</v>
      </c>
      <c r="AG314" s="965">
        <f t="shared" si="202"/>
        <v>7267202.8059476428</v>
      </c>
      <c r="AH314" s="965">
        <f t="shared" si="202"/>
        <v>5813762.2447581142</v>
      </c>
      <c r="AI314" s="965">
        <f t="shared" si="202"/>
        <v>4360321.6835685857</v>
      </c>
      <c r="AJ314" s="965">
        <f t="shared" si="202"/>
        <v>2906881.1223790571</v>
      </c>
      <c r="AK314" s="965">
        <f t="shared" si="202"/>
        <v>1453440.5611895286</v>
      </c>
      <c r="AL314" s="965">
        <f t="shared" si="202"/>
        <v>0</v>
      </c>
      <c r="AM314" s="965">
        <f t="shared" si="202"/>
        <v>0</v>
      </c>
      <c r="AN314" s="965">
        <f t="shared" si="202"/>
        <v>0</v>
      </c>
      <c r="AO314" s="965">
        <f t="shared" si="202"/>
        <v>0</v>
      </c>
      <c r="AP314" s="965">
        <f t="shared" si="202"/>
        <v>0</v>
      </c>
      <c r="AQ314" s="965">
        <f t="shared" si="202"/>
        <v>0</v>
      </c>
      <c r="AR314" s="965">
        <f t="shared" si="202"/>
        <v>0</v>
      </c>
      <c r="AS314" s="965">
        <f t="shared" si="202"/>
        <v>0</v>
      </c>
      <c r="AT314" s="965">
        <f t="shared" si="202"/>
        <v>0</v>
      </c>
      <c r="AU314" s="166"/>
      <c r="AV314" s="166"/>
      <c r="AW314" s="166"/>
      <c r="AX314" s="166"/>
      <c r="AY314" s="166"/>
      <c r="AZ314" s="166"/>
      <c r="BA314" s="166"/>
      <c r="BB314" s="166"/>
      <c r="BC314" s="166"/>
      <c r="BD314" s="166"/>
      <c r="BE314" s="166"/>
      <c r="BF314" s="166"/>
      <c r="BG314" s="166"/>
      <c r="BH314" s="166"/>
      <c r="BI314" s="166"/>
      <c r="BJ314" s="166"/>
      <c r="BK314" s="166"/>
      <c r="BL314" s="166"/>
      <c r="BM314" s="166"/>
      <c r="BN314" s="166"/>
    </row>
    <row r="315" spans="2:66" x14ac:dyDescent="0.25">
      <c r="B315" s="831" t="str">
        <f t="shared" si="201"/>
        <v>Activos nuevos 3 - Depreciacion 10 años</v>
      </c>
      <c r="C315" s="965">
        <f t="shared" si="202"/>
        <v>0</v>
      </c>
      <c r="D315" s="965">
        <f t="shared" si="202"/>
        <v>0</v>
      </c>
      <c r="E315" s="965">
        <f t="shared" si="202"/>
        <v>0</v>
      </c>
      <c r="F315" s="965">
        <f t="shared" si="202"/>
        <v>0</v>
      </c>
      <c r="G315" s="965">
        <f t="shared" si="202"/>
        <v>0</v>
      </c>
      <c r="H315" s="965">
        <f t="shared" si="202"/>
        <v>0</v>
      </c>
      <c r="I315" s="965">
        <f t="shared" si="202"/>
        <v>0</v>
      </c>
      <c r="J315" s="965">
        <f t="shared" si="202"/>
        <v>0</v>
      </c>
      <c r="K315" s="965">
        <f t="shared" si="202"/>
        <v>0</v>
      </c>
      <c r="L315" s="965">
        <f t="shared" si="202"/>
        <v>0</v>
      </c>
      <c r="M315" s="965">
        <f t="shared" si="202"/>
        <v>0</v>
      </c>
      <c r="N315" s="965">
        <f t="shared" si="202"/>
        <v>0</v>
      </c>
      <c r="O315" s="965">
        <f t="shared" si="202"/>
        <v>0</v>
      </c>
      <c r="P315" s="965">
        <f t="shared" si="202"/>
        <v>0</v>
      </c>
      <c r="Q315" s="965">
        <f t="shared" si="202"/>
        <v>0</v>
      </c>
      <c r="R315" s="965">
        <f t="shared" si="202"/>
        <v>0</v>
      </c>
      <c r="S315" s="965">
        <f t="shared" si="202"/>
        <v>0</v>
      </c>
      <c r="T315" s="965">
        <f t="shared" si="202"/>
        <v>0</v>
      </c>
      <c r="U315" s="965">
        <f t="shared" si="202"/>
        <v>0</v>
      </c>
      <c r="V315" s="965">
        <f t="shared" si="202"/>
        <v>0</v>
      </c>
      <c r="W315" s="965">
        <f t="shared" si="202"/>
        <v>0</v>
      </c>
      <c r="X315" s="965">
        <f t="shared" si="202"/>
        <v>0</v>
      </c>
      <c r="Y315" s="965">
        <f t="shared" si="202"/>
        <v>0</v>
      </c>
      <c r="Z315" s="965">
        <f t="shared" si="202"/>
        <v>0</v>
      </c>
      <c r="AA315" s="965">
        <f t="shared" si="202"/>
        <v>0</v>
      </c>
      <c r="AB315" s="965">
        <f t="shared" si="202"/>
        <v>0</v>
      </c>
      <c r="AC315" s="965">
        <f t="shared" si="202"/>
        <v>-903839.85404605814</v>
      </c>
      <c r="AD315" s="965">
        <f t="shared" si="202"/>
        <v>-903839.85404605814</v>
      </c>
      <c r="AE315" s="965">
        <f t="shared" si="202"/>
        <v>-903839.85404605814</v>
      </c>
      <c r="AF315" s="965">
        <f t="shared" si="202"/>
        <v>-903839.85404605814</v>
      </c>
      <c r="AG315" s="965">
        <f t="shared" si="202"/>
        <v>-903839.85404605814</v>
      </c>
      <c r="AH315" s="965">
        <f t="shared" si="202"/>
        <v>-903839.85404605814</v>
      </c>
      <c r="AI315" s="965">
        <f t="shared" si="202"/>
        <v>-903839.85404605814</v>
      </c>
      <c r="AJ315" s="965">
        <f t="shared" si="202"/>
        <v>-903839.85404605814</v>
      </c>
      <c r="AK315" s="965">
        <f t="shared" si="202"/>
        <v>-903839.85404605814</v>
      </c>
      <c r="AL315" s="965">
        <f t="shared" si="202"/>
        <v>-903839.85404605814</v>
      </c>
      <c r="AM315" s="965">
        <f t="shared" si="202"/>
        <v>-903839.85404605814</v>
      </c>
      <c r="AN315" s="965">
        <f t="shared" si="202"/>
        <v>0</v>
      </c>
      <c r="AO315" s="965">
        <f t="shared" si="202"/>
        <v>0</v>
      </c>
      <c r="AP315" s="965">
        <f t="shared" si="202"/>
        <v>0</v>
      </c>
      <c r="AQ315" s="965">
        <f t="shared" si="202"/>
        <v>0</v>
      </c>
      <c r="AR315" s="965">
        <f t="shared" si="202"/>
        <v>0</v>
      </c>
      <c r="AS315" s="965">
        <f t="shared" si="202"/>
        <v>0</v>
      </c>
      <c r="AT315" s="965">
        <f t="shared" si="202"/>
        <v>0</v>
      </c>
      <c r="AU315" s="166"/>
      <c r="AV315" s="166"/>
      <c r="AW315" s="166"/>
      <c r="AX315" s="166"/>
      <c r="AY315" s="166"/>
      <c r="AZ315" s="166"/>
      <c r="BA315" s="166"/>
      <c r="BB315" s="166"/>
      <c r="BC315" s="166"/>
      <c r="BD315" s="166"/>
      <c r="BE315" s="166"/>
      <c r="BF315" s="166"/>
      <c r="BG315" s="166"/>
      <c r="BH315" s="166"/>
      <c r="BI315" s="166"/>
      <c r="BJ315" s="166"/>
      <c r="BK315" s="166"/>
      <c r="BL315" s="166"/>
      <c r="BM315" s="166"/>
      <c r="BN315" s="166"/>
    </row>
    <row r="316" spans="2:66" x14ac:dyDescent="0.25">
      <c r="B316" s="831" t="str">
        <f t="shared" si="201"/>
        <v>Activos nuevos 3 - Valor residual</v>
      </c>
      <c r="C316" s="965">
        <f t="shared" si="202"/>
        <v>0</v>
      </c>
      <c r="D316" s="965">
        <f t="shared" si="202"/>
        <v>0</v>
      </c>
      <c r="E316" s="965">
        <f t="shared" si="202"/>
        <v>0</v>
      </c>
      <c r="F316" s="965">
        <f t="shared" si="202"/>
        <v>0</v>
      </c>
      <c r="G316" s="965">
        <f t="shared" si="202"/>
        <v>0</v>
      </c>
      <c r="H316" s="965">
        <f t="shared" si="202"/>
        <v>0</v>
      </c>
      <c r="I316" s="965">
        <f t="shared" si="202"/>
        <v>0</v>
      </c>
      <c r="J316" s="965">
        <f t="shared" si="202"/>
        <v>0</v>
      </c>
      <c r="K316" s="965">
        <f t="shared" si="202"/>
        <v>0</v>
      </c>
      <c r="L316" s="965">
        <f t="shared" si="202"/>
        <v>0</v>
      </c>
      <c r="M316" s="965">
        <f t="shared" si="202"/>
        <v>0</v>
      </c>
      <c r="N316" s="965">
        <f t="shared" si="202"/>
        <v>0</v>
      </c>
      <c r="O316" s="965">
        <f t="shared" si="202"/>
        <v>0</v>
      </c>
      <c r="P316" s="965">
        <f t="shared" si="202"/>
        <v>0</v>
      </c>
      <c r="Q316" s="965">
        <f t="shared" si="202"/>
        <v>0</v>
      </c>
      <c r="R316" s="965">
        <f t="shared" si="202"/>
        <v>0</v>
      </c>
      <c r="S316" s="965">
        <f t="shared" si="202"/>
        <v>0</v>
      </c>
      <c r="T316" s="965">
        <f t="shared" si="202"/>
        <v>0</v>
      </c>
      <c r="U316" s="965">
        <f t="shared" si="202"/>
        <v>0</v>
      </c>
      <c r="V316" s="965">
        <f t="shared" si="202"/>
        <v>0</v>
      </c>
      <c r="W316" s="965">
        <f t="shared" si="202"/>
        <v>0</v>
      </c>
      <c r="X316" s="965">
        <f t="shared" si="202"/>
        <v>0</v>
      </c>
      <c r="Y316" s="965">
        <f t="shared" si="202"/>
        <v>0</v>
      </c>
      <c r="Z316" s="965">
        <f t="shared" si="202"/>
        <v>0</v>
      </c>
      <c r="AA316" s="965">
        <f t="shared" si="202"/>
        <v>0</v>
      </c>
      <c r="AB316" s="965">
        <f t="shared" si="202"/>
        <v>0</v>
      </c>
      <c r="AC316" s="965">
        <f t="shared" si="202"/>
        <v>9038398.540460581</v>
      </c>
      <c r="AD316" s="965">
        <f t="shared" si="202"/>
        <v>8134558.6864145231</v>
      </c>
      <c r="AE316" s="965">
        <f t="shared" si="202"/>
        <v>7230718.8323684651</v>
      </c>
      <c r="AF316" s="965">
        <f t="shared" si="202"/>
        <v>6326878.9783224072</v>
      </c>
      <c r="AG316" s="965">
        <f t="shared" si="202"/>
        <v>5423039.1242763493</v>
      </c>
      <c r="AH316" s="965">
        <f t="shared" si="202"/>
        <v>4519199.2702302914</v>
      </c>
      <c r="AI316" s="965">
        <f t="shared" si="202"/>
        <v>3615359.4161842335</v>
      </c>
      <c r="AJ316" s="965">
        <f t="shared" si="202"/>
        <v>2711519.5621381756</v>
      </c>
      <c r="AK316" s="965">
        <f t="shared" si="202"/>
        <v>1807679.7080921174</v>
      </c>
      <c r="AL316" s="965">
        <f t="shared" si="202"/>
        <v>903839.85404605931</v>
      </c>
      <c r="AM316" s="965">
        <f t="shared" si="202"/>
        <v>1.1641532182693481E-9</v>
      </c>
      <c r="AN316" s="965">
        <f t="shared" si="202"/>
        <v>0</v>
      </c>
      <c r="AO316" s="965">
        <f t="shared" si="202"/>
        <v>0</v>
      </c>
      <c r="AP316" s="965">
        <f t="shared" si="202"/>
        <v>0</v>
      </c>
      <c r="AQ316" s="965">
        <f t="shared" si="202"/>
        <v>0</v>
      </c>
      <c r="AR316" s="965">
        <f t="shared" ref="C316:AT318" si="203">AR88</f>
        <v>0</v>
      </c>
      <c r="AS316" s="965">
        <f t="shared" si="203"/>
        <v>0</v>
      </c>
      <c r="AT316" s="965">
        <f t="shared" si="203"/>
        <v>0</v>
      </c>
      <c r="AU316" s="166"/>
      <c r="AV316" s="166"/>
      <c r="AW316" s="166"/>
      <c r="AX316" s="166"/>
      <c r="AY316" s="166"/>
      <c r="AZ316" s="166"/>
      <c r="BA316" s="166"/>
      <c r="BB316" s="166"/>
      <c r="BC316" s="166"/>
      <c r="BD316" s="166"/>
      <c r="BE316" s="166"/>
      <c r="BF316" s="166"/>
      <c r="BG316" s="166"/>
      <c r="BH316" s="166"/>
      <c r="BI316" s="166"/>
      <c r="BJ316" s="166"/>
      <c r="BK316" s="166"/>
      <c r="BL316" s="166"/>
      <c r="BM316" s="166"/>
      <c r="BN316" s="166"/>
    </row>
    <row r="317" spans="2:66" x14ac:dyDescent="0.25">
      <c r="B317" s="831" t="str">
        <f t="shared" si="201"/>
        <v>Activos nuevos 4 - Depreciacion 15 años</v>
      </c>
      <c r="C317" s="965">
        <f t="shared" si="203"/>
        <v>0</v>
      </c>
      <c r="D317" s="965">
        <f t="shared" si="203"/>
        <v>0</v>
      </c>
      <c r="E317" s="965">
        <f t="shared" si="203"/>
        <v>0</v>
      </c>
      <c r="F317" s="965">
        <f t="shared" si="203"/>
        <v>0</v>
      </c>
      <c r="G317" s="965">
        <f t="shared" si="203"/>
        <v>0</v>
      </c>
      <c r="H317" s="965">
        <f t="shared" si="203"/>
        <v>0</v>
      </c>
      <c r="I317" s="965">
        <f t="shared" si="203"/>
        <v>0</v>
      </c>
      <c r="J317" s="965">
        <f t="shared" si="203"/>
        <v>0</v>
      </c>
      <c r="K317" s="965">
        <f t="shared" si="203"/>
        <v>0</v>
      </c>
      <c r="L317" s="965">
        <f t="shared" si="203"/>
        <v>0</v>
      </c>
      <c r="M317" s="965">
        <f t="shared" si="203"/>
        <v>0</v>
      </c>
      <c r="N317" s="965">
        <f t="shared" si="203"/>
        <v>0</v>
      </c>
      <c r="O317" s="965">
        <f t="shared" si="203"/>
        <v>0</v>
      </c>
      <c r="P317" s="965">
        <f t="shared" si="203"/>
        <v>0</v>
      </c>
      <c r="Q317" s="965">
        <f t="shared" si="203"/>
        <v>0</v>
      </c>
      <c r="R317" s="965">
        <f t="shared" si="203"/>
        <v>0</v>
      </c>
      <c r="S317" s="965">
        <f t="shared" si="203"/>
        <v>0</v>
      </c>
      <c r="T317" s="965">
        <f t="shared" si="203"/>
        <v>0</v>
      </c>
      <c r="U317" s="965">
        <f t="shared" si="203"/>
        <v>0</v>
      </c>
      <c r="V317" s="965">
        <f t="shared" si="203"/>
        <v>0</v>
      </c>
      <c r="W317" s="965">
        <f t="shared" si="203"/>
        <v>0</v>
      </c>
      <c r="X317" s="965">
        <f t="shared" si="203"/>
        <v>0</v>
      </c>
      <c r="Y317" s="965">
        <f t="shared" si="203"/>
        <v>0</v>
      </c>
      <c r="Z317" s="965">
        <f t="shared" si="203"/>
        <v>0</v>
      </c>
      <c r="AA317" s="965">
        <f t="shared" si="203"/>
        <v>0</v>
      </c>
      <c r="AB317" s="965">
        <f t="shared" si="203"/>
        <v>0</v>
      </c>
      <c r="AC317" s="965">
        <f t="shared" si="203"/>
        <v>0</v>
      </c>
      <c r="AD317" s="965">
        <f t="shared" si="203"/>
        <v>0</v>
      </c>
      <c r="AE317" s="965">
        <f t="shared" si="203"/>
        <v>0</v>
      </c>
      <c r="AF317" s="965">
        <f t="shared" si="203"/>
        <v>0</v>
      </c>
      <c r="AG317" s="965">
        <f t="shared" si="203"/>
        <v>0</v>
      </c>
      <c r="AH317" s="965">
        <f t="shared" si="203"/>
        <v>0</v>
      </c>
      <c r="AI317" s="965">
        <f t="shared" si="203"/>
        <v>0</v>
      </c>
      <c r="AJ317" s="965">
        <f t="shared" si="203"/>
        <v>0</v>
      </c>
      <c r="AK317" s="965">
        <f t="shared" si="203"/>
        <v>0</v>
      </c>
      <c r="AL317" s="965">
        <f t="shared" si="203"/>
        <v>0</v>
      </c>
      <c r="AM317" s="965">
        <f t="shared" si="203"/>
        <v>0</v>
      </c>
      <c r="AN317" s="965">
        <f t="shared" si="203"/>
        <v>0</v>
      </c>
      <c r="AO317" s="965">
        <f t="shared" si="203"/>
        <v>-2934984.6362588019</v>
      </c>
      <c r="AP317" s="965">
        <f t="shared" si="203"/>
        <v>-2934984.6362588019</v>
      </c>
      <c r="AQ317" s="965">
        <f t="shared" si="203"/>
        <v>-2934984.6362588019</v>
      </c>
      <c r="AR317" s="965">
        <f t="shared" si="203"/>
        <v>-2934984.6362588019</v>
      </c>
      <c r="AS317" s="965">
        <f t="shared" si="203"/>
        <v>-2934984.6362588019</v>
      </c>
      <c r="AT317" s="965">
        <f t="shared" si="203"/>
        <v>-2934984.6362588019</v>
      </c>
      <c r="AU317" s="166"/>
      <c r="AV317" s="166"/>
      <c r="AW317" s="166"/>
      <c r="AX317" s="166"/>
      <c r="AY317" s="166"/>
      <c r="AZ317" s="166"/>
      <c r="BA317" s="166"/>
      <c r="BB317" s="166"/>
      <c r="BC317" s="166"/>
      <c r="BD317" s="166"/>
      <c r="BE317" s="166"/>
      <c r="BF317" s="166"/>
      <c r="BG317" s="166"/>
      <c r="BH317" s="166"/>
      <c r="BI317" s="166"/>
      <c r="BJ317" s="166"/>
      <c r="BK317" s="166"/>
      <c r="BL317" s="166"/>
      <c r="BM317" s="166"/>
      <c r="BN317" s="166"/>
    </row>
    <row r="318" spans="2:66" x14ac:dyDescent="0.25">
      <c r="B318" s="846" t="str">
        <f t="shared" si="201"/>
        <v>Activos nuevos 4 - Valor residual</v>
      </c>
      <c r="C318" s="968">
        <f t="shared" si="203"/>
        <v>0</v>
      </c>
      <c r="D318" s="968">
        <f t="shared" si="203"/>
        <v>0</v>
      </c>
      <c r="E318" s="968">
        <f t="shared" si="203"/>
        <v>0</v>
      </c>
      <c r="F318" s="968">
        <f t="shared" si="203"/>
        <v>0</v>
      </c>
      <c r="G318" s="968">
        <f t="shared" si="203"/>
        <v>0</v>
      </c>
      <c r="H318" s="968">
        <f t="shared" si="203"/>
        <v>0</v>
      </c>
      <c r="I318" s="968">
        <f t="shared" si="203"/>
        <v>0</v>
      </c>
      <c r="J318" s="968">
        <f t="shared" si="203"/>
        <v>0</v>
      </c>
      <c r="K318" s="968">
        <f t="shared" si="203"/>
        <v>0</v>
      </c>
      <c r="L318" s="968">
        <f t="shared" si="203"/>
        <v>0</v>
      </c>
      <c r="M318" s="968">
        <f t="shared" si="203"/>
        <v>0</v>
      </c>
      <c r="N318" s="968">
        <f t="shared" si="203"/>
        <v>0</v>
      </c>
      <c r="O318" s="968">
        <f t="shared" si="203"/>
        <v>0</v>
      </c>
      <c r="P318" s="968">
        <f t="shared" si="203"/>
        <v>0</v>
      </c>
      <c r="Q318" s="968">
        <f t="shared" si="203"/>
        <v>0</v>
      </c>
      <c r="R318" s="968">
        <f t="shared" si="203"/>
        <v>0</v>
      </c>
      <c r="S318" s="968">
        <f t="shared" si="203"/>
        <v>0</v>
      </c>
      <c r="T318" s="968">
        <f t="shared" si="203"/>
        <v>0</v>
      </c>
      <c r="U318" s="968">
        <f t="shared" si="203"/>
        <v>0</v>
      </c>
      <c r="V318" s="968">
        <f t="shared" si="203"/>
        <v>0</v>
      </c>
      <c r="W318" s="968">
        <f t="shared" si="203"/>
        <v>0</v>
      </c>
      <c r="X318" s="968">
        <f t="shared" si="203"/>
        <v>0</v>
      </c>
      <c r="Y318" s="968">
        <f t="shared" si="203"/>
        <v>0</v>
      </c>
      <c r="Z318" s="968">
        <f t="shared" si="203"/>
        <v>0</v>
      </c>
      <c r="AA318" s="968">
        <f t="shared" si="203"/>
        <v>0</v>
      </c>
      <c r="AB318" s="968">
        <f t="shared" si="203"/>
        <v>0</v>
      </c>
      <c r="AC318" s="968">
        <f t="shared" si="203"/>
        <v>0</v>
      </c>
      <c r="AD318" s="968">
        <f t="shared" si="203"/>
        <v>0</v>
      </c>
      <c r="AE318" s="968">
        <f t="shared" si="203"/>
        <v>0</v>
      </c>
      <c r="AF318" s="968">
        <f t="shared" si="203"/>
        <v>0</v>
      </c>
      <c r="AG318" s="968">
        <f t="shared" si="203"/>
        <v>0</v>
      </c>
      <c r="AH318" s="968">
        <f t="shared" si="203"/>
        <v>0</v>
      </c>
      <c r="AI318" s="968">
        <f t="shared" si="203"/>
        <v>0</v>
      </c>
      <c r="AJ318" s="968">
        <f t="shared" si="203"/>
        <v>0</v>
      </c>
      <c r="AK318" s="968">
        <f t="shared" si="203"/>
        <v>0</v>
      </c>
      <c r="AL318" s="968">
        <f t="shared" si="203"/>
        <v>0</v>
      </c>
      <c r="AM318" s="968">
        <f t="shared" si="203"/>
        <v>0</v>
      </c>
      <c r="AN318" s="968">
        <f t="shared" si="203"/>
        <v>0</v>
      </c>
      <c r="AO318" s="968">
        <f t="shared" si="203"/>
        <v>44024769.543882027</v>
      </c>
      <c r="AP318" s="968">
        <f t="shared" si="203"/>
        <v>41089784.907623224</v>
      </c>
      <c r="AQ318" s="968">
        <f t="shared" si="203"/>
        <v>38154800.271364421</v>
      </c>
      <c r="AR318" s="968">
        <f t="shared" si="203"/>
        <v>35219815.635105617</v>
      </c>
      <c r="AS318" s="968">
        <f t="shared" si="203"/>
        <v>32284830.998846814</v>
      </c>
      <c r="AT318" s="968">
        <f t="shared" si="203"/>
        <v>29349846.362588011</v>
      </c>
      <c r="AU318" s="166"/>
      <c r="AV318" s="166"/>
      <c r="AW318" s="166"/>
      <c r="AX318" s="166"/>
      <c r="AY318" s="166"/>
      <c r="AZ318" s="166"/>
      <c r="BA318" s="166"/>
      <c r="BB318" s="166"/>
      <c r="BC318" s="166"/>
      <c r="BD318" s="166"/>
      <c r="BE318" s="166"/>
      <c r="BF318" s="166"/>
      <c r="BG318" s="166"/>
      <c r="BH318" s="166"/>
      <c r="BI318" s="166"/>
      <c r="BJ318" s="166"/>
      <c r="BK318" s="166"/>
      <c r="BL318" s="166"/>
      <c r="BM318" s="166"/>
      <c r="BN318" s="166"/>
    </row>
    <row r="319" spans="2:66" x14ac:dyDescent="0.25">
      <c r="B319" s="845" t="s">
        <v>441</v>
      </c>
      <c r="C319" s="824">
        <v>0</v>
      </c>
      <c r="D319" s="824">
        <v>0</v>
      </c>
      <c r="E319" s="824">
        <v>0</v>
      </c>
      <c r="F319" s="824">
        <v>0</v>
      </c>
      <c r="G319" s="824">
        <f>SUM(G305:G309)+G311+G313+G315+G317</f>
        <v>-4476318.6173797483</v>
      </c>
      <c r="H319" s="824">
        <f t="shared" ref="H319:AT319" si="204">SUM(H305:H309)+H311+H313+H315+H317</f>
        <v>-4476318.6173797483</v>
      </c>
      <c r="I319" s="824">
        <f t="shared" si="204"/>
        <v>-4476318.6173797483</v>
      </c>
      <c r="J319" s="824">
        <f t="shared" si="204"/>
        <v>-4476318.6173797483</v>
      </c>
      <c r="K319" s="824">
        <f t="shared" si="204"/>
        <v>-4476318.6173797483</v>
      </c>
      <c r="L319" s="824">
        <f t="shared" si="204"/>
        <v>-4226566.6672863076</v>
      </c>
      <c r="M319" s="824">
        <f t="shared" si="204"/>
        <v>-4226566.6672863076</v>
      </c>
      <c r="N319" s="824">
        <f t="shared" si="204"/>
        <v>-4226566.6672863076</v>
      </c>
      <c r="O319" s="824">
        <f t="shared" si="204"/>
        <v>-4226566.6672863076</v>
      </c>
      <c r="P319" s="824">
        <f t="shared" si="204"/>
        <v>-4226566.6672863076</v>
      </c>
      <c r="Q319" s="824">
        <f t="shared" si="204"/>
        <v>-3636188.9104059879</v>
      </c>
      <c r="R319" s="824">
        <f t="shared" si="204"/>
        <v>-4364578.243786227</v>
      </c>
      <c r="S319" s="824">
        <f t="shared" si="204"/>
        <v>-4364578.243786227</v>
      </c>
      <c r="T319" s="824">
        <f t="shared" si="204"/>
        <v>-4364578.243786227</v>
      </c>
      <c r="U319" s="824">
        <f t="shared" si="204"/>
        <v>-4364578.243786227</v>
      </c>
      <c r="V319" s="824">
        <f t="shared" si="204"/>
        <v>-3330617.415194436</v>
      </c>
      <c r="W319" s="824">
        <f t="shared" si="204"/>
        <v>-3330617.415194436</v>
      </c>
      <c r="X319" s="824">
        <f t="shared" si="204"/>
        <v>-4784057.9763839645</v>
      </c>
      <c r="Y319" s="824">
        <f t="shared" si="204"/>
        <v>-4784057.9763839645</v>
      </c>
      <c r="Z319" s="824">
        <f t="shared" si="204"/>
        <v>-4784057.9763839645</v>
      </c>
      <c r="AA319" s="824">
        <f t="shared" si="204"/>
        <v>-4784057.9763839645</v>
      </c>
      <c r="AB319" s="824">
        <f t="shared" si="204"/>
        <v>-4784057.9763839645</v>
      </c>
      <c r="AC319" s="824">
        <f t="shared" si="204"/>
        <v>-4959508.4970497834</v>
      </c>
      <c r="AD319" s="824">
        <f t="shared" si="204"/>
        <v>-4959508.4970497834</v>
      </c>
      <c r="AE319" s="824">
        <f t="shared" si="204"/>
        <v>-4959508.4970497834</v>
      </c>
      <c r="AF319" s="824">
        <f t="shared" si="204"/>
        <v>-4959508.4970497834</v>
      </c>
      <c r="AG319" s="824">
        <f t="shared" si="204"/>
        <v>-4959508.4970497834</v>
      </c>
      <c r="AH319" s="824">
        <f t="shared" si="204"/>
        <v>-4959508.4970497834</v>
      </c>
      <c r="AI319" s="824">
        <f t="shared" si="204"/>
        <v>-4959508.4970497834</v>
      </c>
      <c r="AJ319" s="824">
        <f t="shared" si="204"/>
        <v>-4959508.4970497834</v>
      </c>
      <c r="AK319" s="824">
        <f t="shared" si="204"/>
        <v>-4959508.4970497834</v>
      </c>
      <c r="AL319" s="824">
        <f t="shared" si="204"/>
        <v>-4959508.4970497834</v>
      </c>
      <c r="AM319" s="824">
        <f t="shared" si="204"/>
        <v>-3506067.9358602548</v>
      </c>
      <c r="AN319" s="824">
        <f t="shared" si="204"/>
        <v>-2602228.0818141969</v>
      </c>
      <c r="AO319" s="824">
        <f t="shared" si="204"/>
        <v>-5537212.7180729993</v>
      </c>
      <c r="AP319" s="824">
        <f t="shared" si="204"/>
        <v>-5537212.7180729993</v>
      </c>
      <c r="AQ319" s="824">
        <f t="shared" si="204"/>
        <v>-5537212.7180729993</v>
      </c>
      <c r="AR319" s="824">
        <f t="shared" si="204"/>
        <v>-5537212.7180729993</v>
      </c>
      <c r="AS319" s="824">
        <f t="shared" si="204"/>
        <v>-5537212.7180729993</v>
      </c>
      <c r="AT319" s="824">
        <f t="shared" si="204"/>
        <v>-5537212.7180729993</v>
      </c>
      <c r="AU319" s="166"/>
      <c r="AV319" s="166"/>
      <c r="AW319" s="166"/>
      <c r="AX319" s="166"/>
      <c r="AY319" s="166"/>
      <c r="AZ319" s="166"/>
      <c r="BA319" s="166"/>
      <c r="BB319" s="166"/>
      <c r="BC319" s="166"/>
      <c r="BD319" s="166"/>
      <c r="BE319" s="166"/>
      <c r="BF319" s="166"/>
      <c r="BG319" s="166"/>
      <c r="BH319" s="166"/>
      <c r="BI319" s="166"/>
      <c r="BJ319" s="166"/>
      <c r="BK319" s="166"/>
      <c r="BL319" s="166"/>
      <c r="BM319" s="166"/>
      <c r="BN319" s="166"/>
    </row>
    <row r="320" spans="2:66" x14ac:dyDescent="0.25">
      <c r="B320" s="833" t="s">
        <v>435</v>
      </c>
      <c r="C320" s="824">
        <f>C310+C314+C318</f>
        <v>0</v>
      </c>
      <c r="D320" s="824">
        <f t="shared" ref="D320:F320" si="205">D310+D314+D318</f>
        <v>0</v>
      </c>
      <c r="E320" s="824">
        <f t="shared" si="205"/>
        <v>0</v>
      </c>
      <c r="F320" s="824">
        <f t="shared" si="205"/>
        <v>0</v>
      </c>
      <c r="G320" s="824">
        <f>G310+G312+G314+G316+G318</f>
        <v>151074474.56595954</v>
      </c>
      <c r="H320" s="824">
        <f t="shared" ref="H320:AT320" si="206">H310+H312+H314+H316+H318</f>
        <v>146598155.94857979</v>
      </c>
      <c r="I320" s="824">
        <f t="shared" si="206"/>
        <v>142121837.33120003</v>
      </c>
      <c r="J320" s="824">
        <f t="shared" si="206"/>
        <v>137645518.71382028</v>
      </c>
      <c r="K320" s="824">
        <f t="shared" si="206"/>
        <v>133169200.09644052</v>
      </c>
      <c r="L320" s="824">
        <f t="shared" si="206"/>
        <v>128942633.42915422</v>
      </c>
      <c r="M320" s="824">
        <f t="shared" si="206"/>
        <v>124716066.76186791</v>
      </c>
      <c r="N320" s="824">
        <f t="shared" si="206"/>
        <v>120489500.0945816</v>
      </c>
      <c r="O320" s="824">
        <f t="shared" si="206"/>
        <v>116262933.4272953</v>
      </c>
      <c r="P320" s="824">
        <f t="shared" si="206"/>
        <v>112036366.76000899</v>
      </c>
      <c r="Q320" s="824">
        <f t="shared" si="206"/>
        <v>108400177.849603</v>
      </c>
      <c r="R320" s="824">
        <f t="shared" si="206"/>
        <v>112047882.27299939</v>
      </c>
      <c r="S320" s="824">
        <f t="shared" si="206"/>
        <v>107683304.02921316</v>
      </c>
      <c r="T320" s="824">
        <f t="shared" si="206"/>
        <v>103318725.78542693</v>
      </c>
      <c r="U320" s="824">
        <f t="shared" si="206"/>
        <v>98954147.541640699</v>
      </c>
      <c r="V320" s="824">
        <f t="shared" si="206"/>
        <v>95623530.126446262</v>
      </c>
      <c r="W320" s="824">
        <f t="shared" si="206"/>
        <v>92292912.711251825</v>
      </c>
      <c r="X320" s="824">
        <f t="shared" si="206"/>
        <v>109310463.15271077</v>
      </c>
      <c r="Y320" s="824">
        <f t="shared" si="206"/>
        <v>104526405.17632681</v>
      </c>
      <c r="Z320" s="824">
        <f t="shared" si="206"/>
        <v>99742347.199942842</v>
      </c>
      <c r="AA320" s="824">
        <f t="shared" si="206"/>
        <v>94958289.223558873</v>
      </c>
      <c r="AB320" s="824">
        <f t="shared" si="206"/>
        <v>90174231.247174919</v>
      </c>
      <c r="AC320" s="824">
        <f t="shared" si="206"/>
        <v>95156961.144631773</v>
      </c>
      <c r="AD320" s="824">
        <f t="shared" si="206"/>
        <v>90197452.64758198</v>
      </c>
      <c r="AE320" s="824">
        <f t="shared" si="206"/>
        <v>85237944.150532186</v>
      </c>
      <c r="AF320" s="824">
        <f t="shared" si="206"/>
        <v>80278435.653482392</v>
      </c>
      <c r="AG320" s="824">
        <f t="shared" si="206"/>
        <v>75318927.156432629</v>
      </c>
      <c r="AH320" s="824">
        <f t="shared" si="206"/>
        <v>70359418.659382835</v>
      </c>
      <c r="AI320" s="824">
        <f t="shared" si="206"/>
        <v>65399910.162333041</v>
      </c>
      <c r="AJ320" s="824">
        <f t="shared" si="206"/>
        <v>60440401.665283263</v>
      </c>
      <c r="AK320" s="824">
        <f t="shared" si="206"/>
        <v>55480893.168233477</v>
      </c>
      <c r="AL320" s="824">
        <f t="shared" si="206"/>
        <v>50521384.67118369</v>
      </c>
      <c r="AM320" s="824">
        <f t="shared" si="206"/>
        <v>47015316.735323429</v>
      </c>
      <c r="AN320" s="824">
        <f t="shared" si="206"/>
        <v>44413088.653509229</v>
      </c>
      <c r="AO320" s="824">
        <f t="shared" si="206"/>
        <v>85835630.115577057</v>
      </c>
      <c r="AP320" s="824">
        <f t="shared" si="206"/>
        <v>80298417.397504061</v>
      </c>
      <c r="AQ320" s="824">
        <f t="shared" si="206"/>
        <v>74761204.679431051</v>
      </c>
      <c r="AR320" s="824">
        <f t="shared" si="206"/>
        <v>69223991.961358041</v>
      </c>
      <c r="AS320" s="824">
        <f t="shared" si="206"/>
        <v>63686779.243285045</v>
      </c>
      <c r="AT320" s="824">
        <f t="shared" si="206"/>
        <v>58149566.525212049</v>
      </c>
      <c r="AU320" s="166"/>
      <c r="AV320" s="166"/>
      <c r="AW320" s="166"/>
      <c r="AX320" s="166"/>
      <c r="AY320" s="166"/>
      <c r="AZ320" s="166"/>
      <c r="BA320" s="166"/>
      <c r="BB320" s="166"/>
      <c r="BC320" s="166"/>
      <c r="BD320" s="166"/>
      <c r="BE320" s="166"/>
      <c r="BF320" s="166"/>
      <c r="BG320" s="166"/>
      <c r="BH320" s="166"/>
      <c r="BI320" s="166"/>
      <c r="BJ320" s="166"/>
      <c r="BK320" s="166"/>
      <c r="BL320" s="166"/>
      <c r="BM320" s="166"/>
      <c r="BN320" s="166"/>
    </row>
    <row r="321" spans="2:66" x14ac:dyDescent="0.25">
      <c r="B321" s="481"/>
      <c r="C321" s="382"/>
      <c r="D321" s="382"/>
      <c r="E321" s="382"/>
      <c r="F321" s="382"/>
      <c r="G321" s="382"/>
      <c r="H321" s="382"/>
      <c r="I321" s="382"/>
      <c r="J321" s="382"/>
      <c r="K321" s="382"/>
      <c r="L321" s="382"/>
      <c r="M321" s="382"/>
      <c r="N321" s="382"/>
      <c r="O321" s="382"/>
      <c r="P321" s="382"/>
      <c r="Q321" s="382"/>
      <c r="R321" s="382"/>
      <c r="S321" s="382"/>
      <c r="T321" s="382"/>
      <c r="U321" s="382"/>
      <c r="V321" s="382"/>
      <c r="W321" s="382"/>
      <c r="X321" s="382"/>
      <c r="Y321" s="382"/>
      <c r="Z321" s="382"/>
      <c r="AA321" s="382"/>
      <c r="AB321" s="382"/>
      <c r="AC321" s="382"/>
      <c r="AD321" s="382"/>
      <c r="AE321" s="382"/>
      <c r="AF321" s="382"/>
      <c r="AG321" s="382"/>
      <c r="AH321" s="382"/>
      <c r="AI321" s="382"/>
      <c r="AJ321" s="382"/>
      <c r="AK321" s="382"/>
      <c r="AL321" s="382"/>
      <c r="AM321" s="382"/>
      <c r="AN321" s="382"/>
      <c r="AO321" s="382"/>
      <c r="AP321" s="382"/>
      <c r="AQ321" s="382"/>
      <c r="AR321" s="382"/>
      <c r="AS321" s="382"/>
      <c r="AT321" s="382"/>
      <c r="AU321" s="166"/>
      <c r="AV321" s="166"/>
      <c r="AW321" s="166"/>
      <c r="AX321" s="166"/>
      <c r="AY321" s="166"/>
      <c r="AZ321" s="166"/>
      <c r="BA321" s="166"/>
      <c r="BB321" s="166"/>
      <c r="BC321" s="166"/>
      <c r="BD321" s="166"/>
      <c r="BE321" s="166"/>
      <c r="BF321" s="166"/>
      <c r="BG321" s="166"/>
      <c r="BH321" s="166"/>
      <c r="BI321" s="166"/>
      <c r="BJ321" s="166"/>
      <c r="BK321" s="166"/>
      <c r="BL321" s="166"/>
      <c r="BM321" s="166"/>
      <c r="BN321" s="166"/>
    </row>
    <row r="322" spans="2:66" ht="13.8" thickBot="1" x14ac:dyDescent="0.3">
      <c r="B322" s="834"/>
      <c r="C322" s="178"/>
      <c r="D322" s="178"/>
      <c r="E322" s="178"/>
      <c r="F322" s="178"/>
      <c r="G322" s="178"/>
      <c r="H322" s="178"/>
      <c r="I322" s="178"/>
      <c r="J322" s="178"/>
      <c r="K322" s="178"/>
      <c r="L322" s="178"/>
      <c r="M322" s="178"/>
      <c r="N322" s="178"/>
      <c r="O322" s="178"/>
      <c r="P322" s="178"/>
      <c r="Q322" s="178"/>
      <c r="R322" s="178"/>
      <c r="S322" s="178"/>
      <c r="T322" s="178"/>
      <c r="U322" s="178"/>
      <c r="V322" s="178"/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  <c r="AM322" s="178"/>
      <c r="AN322" s="178"/>
      <c r="AO322" s="178"/>
      <c r="AP322" s="178"/>
      <c r="AQ322" s="178"/>
      <c r="AR322" s="178"/>
      <c r="AS322" s="178"/>
      <c r="AT322" s="178"/>
      <c r="AU322" s="166"/>
      <c r="AV322" s="166"/>
      <c r="AW322" s="166"/>
      <c r="AX322" s="166"/>
      <c r="AY322" s="166"/>
      <c r="AZ322" s="166"/>
      <c r="BA322" s="166"/>
      <c r="BB322" s="166"/>
      <c r="BC322" s="166"/>
      <c r="BD322" s="166"/>
      <c r="BE322" s="166"/>
      <c r="BF322" s="166"/>
      <c r="BG322" s="166"/>
      <c r="BH322" s="166"/>
      <c r="BI322" s="166"/>
      <c r="BJ322" s="166"/>
      <c r="BK322" s="166"/>
      <c r="BL322" s="166"/>
      <c r="BM322" s="166"/>
      <c r="BN322" s="166"/>
    </row>
    <row r="323" spans="2:66" ht="14.4" x14ac:dyDescent="0.25">
      <c r="B323" s="835" t="s">
        <v>390</v>
      </c>
      <c r="C323" s="818"/>
      <c r="D323" s="818"/>
      <c r="E323" s="818"/>
      <c r="F323" s="818"/>
      <c r="G323" s="818"/>
      <c r="H323" s="818"/>
      <c r="I323" s="818"/>
      <c r="J323" s="818"/>
      <c r="K323" s="818"/>
      <c r="L323" s="818"/>
      <c r="M323" s="818"/>
      <c r="N323" s="818"/>
      <c r="O323" s="818"/>
      <c r="P323" s="818"/>
      <c r="Q323" s="818"/>
      <c r="R323" s="818"/>
      <c r="S323" s="818"/>
      <c r="T323" s="818"/>
      <c r="U323" s="818"/>
      <c r="V323" s="818"/>
      <c r="W323" s="818"/>
      <c r="X323" s="818"/>
      <c r="Y323" s="818"/>
      <c r="Z323" s="818"/>
      <c r="AA323" s="818"/>
      <c r="AB323" s="818"/>
      <c r="AC323" s="818"/>
      <c r="AD323" s="818"/>
      <c r="AE323" s="818"/>
      <c r="AF323" s="818"/>
      <c r="AG323" s="818"/>
      <c r="AH323" s="818"/>
      <c r="AI323" s="818"/>
      <c r="AJ323" s="818"/>
      <c r="AK323" s="818"/>
      <c r="AL323" s="818"/>
      <c r="AM323" s="818"/>
      <c r="AN323" s="818"/>
      <c r="AO323" s="818"/>
      <c r="AP323" s="818"/>
      <c r="AQ323" s="818"/>
      <c r="AR323" s="818"/>
      <c r="AS323" s="818"/>
      <c r="AT323" s="819"/>
      <c r="AU323" s="166"/>
      <c r="AV323" s="166"/>
      <c r="AW323" s="166"/>
      <c r="AX323" s="166"/>
      <c r="AY323" s="166"/>
      <c r="AZ323" s="166"/>
      <c r="BA323" s="166"/>
      <c r="BB323" s="166"/>
      <c r="BC323" s="166"/>
      <c r="BD323" s="166"/>
      <c r="BE323" s="166"/>
      <c r="BF323" s="166"/>
      <c r="BG323" s="166"/>
      <c r="BH323" s="166"/>
      <c r="BI323" s="166"/>
      <c r="BJ323" s="166"/>
      <c r="BK323" s="166"/>
      <c r="BL323" s="166"/>
      <c r="BM323" s="166"/>
      <c r="BN323" s="166"/>
    </row>
    <row r="324" spans="2:66" x14ac:dyDescent="0.25">
      <c r="B324" s="836" t="s">
        <v>391</v>
      </c>
      <c r="C324" s="268">
        <v>0</v>
      </c>
      <c r="D324" s="268">
        <v>0</v>
      </c>
      <c r="E324" s="268">
        <v>0</v>
      </c>
      <c r="F324" s="268">
        <v>0</v>
      </c>
      <c r="G324" s="268">
        <f>-G300</f>
        <v>-4318236.9614306372</v>
      </c>
      <c r="H324" s="268">
        <f t="shared" ref="H324:AT324" si="207">-H300</f>
        <v>-4432937.8249451816</v>
      </c>
      <c r="I324" s="268">
        <f t="shared" si="207"/>
        <v>-4536875.1815609755</v>
      </c>
      <c r="J324" s="268">
        <f t="shared" si="207"/>
        <v>-4643311.9130354663</v>
      </c>
      <c r="K324" s="268">
        <f t="shared" si="207"/>
        <v>-11617904.705841476</v>
      </c>
      <c r="L324" s="268">
        <f t="shared" si="207"/>
        <v>-4863931.4676566217</v>
      </c>
      <c r="M324" s="268">
        <f t="shared" si="207"/>
        <v>-4978242.2002252238</v>
      </c>
      <c r="N324" s="268">
        <f t="shared" si="207"/>
        <v>-5095308.2077043382</v>
      </c>
      <c r="O324" s="268">
        <f t="shared" si="207"/>
        <v>-5215197.5552692544</v>
      </c>
      <c r="P324" s="268">
        <f t="shared" si="207"/>
        <v>-12881550.570299722</v>
      </c>
      <c r="Q324" s="268">
        <f t="shared" si="207"/>
        <v>-5463727.1811422799</v>
      </c>
      <c r="R324" s="268">
        <f t="shared" si="207"/>
        <v>-5592512.3741521444</v>
      </c>
      <c r="S324" s="268">
        <f t="shared" si="207"/>
        <v>-5724410.8291271329</v>
      </c>
      <c r="T324" s="268">
        <f t="shared" si="207"/>
        <v>-5859499.6730848122</v>
      </c>
      <c r="U324" s="268">
        <f t="shared" si="207"/>
        <v>-14286356.439628357</v>
      </c>
      <c r="V324" s="268">
        <f t="shared" si="207"/>
        <v>-6139566.8637729799</v>
      </c>
      <c r="W324" s="268">
        <f t="shared" si="207"/>
        <v>-6284709.445565287</v>
      </c>
      <c r="X324" s="268">
        <f t="shared" si="207"/>
        <v>-6433370.9918016</v>
      </c>
      <c r="Y324" s="268">
        <f t="shared" si="207"/>
        <v>-6585638.926612027</v>
      </c>
      <c r="Z324" s="268">
        <f t="shared" si="207"/>
        <v>-15848593.767328328</v>
      </c>
      <c r="AA324" s="268">
        <f t="shared" si="207"/>
        <v>-6901354.8280941052</v>
      </c>
      <c r="AB324" s="268">
        <f t="shared" si="207"/>
        <v>-7064988.9872727636</v>
      </c>
      <c r="AC324" s="268">
        <f t="shared" si="207"/>
        <v>-7232602.0400624331</v>
      </c>
      <c r="AD324" s="268">
        <f t="shared" si="207"/>
        <v>-7404293.1149919936</v>
      </c>
      <c r="AE324" s="268">
        <f t="shared" si="207"/>
        <v>-17586476.742962986</v>
      </c>
      <c r="AF324" s="268">
        <f t="shared" si="207"/>
        <v>-7760318.5440044012</v>
      </c>
      <c r="AG324" s="268">
        <f t="shared" si="207"/>
        <v>-7944864.0527799763</v>
      </c>
      <c r="AH324" s="268">
        <f t="shared" si="207"/>
        <v>-8133910.0298752068</v>
      </c>
      <c r="AI324" s="268">
        <f t="shared" si="207"/>
        <v>-8327568.9119321909</v>
      </c>
      <c r="AJ324" s="268">
        <f t="shared" si="207"/>
        <v>-19520403.065015338</v>
      </c>
      <c r="AK324" s="268">
        <f t="shared" si="207"/>
        <v>-8729189.5788463596</v>
      </c>
      <c r="AL324" s="268">
        <f t="shared" si="207"/>
        <v>-8937390.9052098654</v>
      </c>
      <c r="AM324" s="268">
        <f t="shared" si="207"/>
        <v>-9150684.3755010031</v>
      </c>
      <c r="AN324" s="268">
        <f t="shared" si="207"/>
        <v>-9369197.5625528172</v>
      </c>
      <c r="AO324" s="268">
        <f t="shared" si="207"/>
        <v>-21673225.690419316</v>
      </c>
      <c r="AP324" s="268">
        <f t="shared" si="207"/>
        <v>-9822409.8065093718</v>
      </c>
      <c r="AQ324" s="268">
        <f t="shared" si="207"/>
        <v>-10057380.696025331</v>
      </c>
      <c r="AR324" s="268">
        <f t="shared" si="207"/>
        <v>-10298115.14536953</v>
      </c>
      <c r="AS324" s="268">
        <f t="shared" si="207"/>
        <v>-10544757.947980508</v>
      </c>
      <c r="AT324" s="799">
        <f t="shared" si="207"/>
        <v>-24070559.689610455</v>
      </c>
      <c r="AU324" s="166"/>
      <c r="AV324" s="166"/>
      <c r="AW324" s="166"/>
      <c r="AX324" s="166"/>
      <c r="AY324" s="166"/>
      <c r="AZ324" s="166"/>
      <c r="BA324" s="166"/>
      <c r="BB324" s="166"/>
      <c r="BC324" s="166"/>
      <c r="BD324" s="166"/>
      <c r="BE324" s="166"/>
      <c r="BF324" s="166"/>
      <c r="BG324" s="166"/>
      <c r="BH324" s="166"/>
      <c r="BI324" s="166"/>
      <c r="BJ324" s="166"/>
      <c r="BK324" s="166"/>
      <c r="BL324" s="166"/>
      <c r="BM324" s="166"/>
      <c r="BN324" s="166"/>
    </row>
    <row r="325" spans="2:66" ht="15" thickBot="1" x14ac:dyDescent="0.3">
      <c r="B325" s="842" t="s">
        <v>389</v>
      </c>
      <c r="C325" s="820"/>
      <c r="D325" s="820"/>
      <c r="E325" s="820"/>
      <c r="F325" s="820"/>
      <c r="G325" s="820">
        <f>G324</f>
        <v>-4318236.9614306372</v>
      </c>
      <c r="H325" s="820">
        <f t="shared" ref="H325:AT325" si="208">H324</f>
        <v>-4432937.8249451816</v>
      </c>
      <c r="I325" s="820">
        <f t="shared" si="208"/>
        <v>-4536875.1815609755</v>
      </c>
      <c r="J325" s="820">
        <f t="shared" si="208"/>
        <v>-4643311.9130354663</v>
      </c>
      <c r="K325" s="820">
        <f t="shared" si="208"/>
        <v>-11617904.705841476</v>
      </c>
      <c r="L325" s="820">
        <f t="shared" si="208"/>
        <v>-4863931.4676566217</v>
      </c>
      <c r="M325" s="820">
        <f t="shared" si="208"/>
        <v>-4978242.2002252238</v>
      </c>
      <c r="N325" s="820">
        <f t="shared" si="208"/>
        <v>-5095308.2077043382</v>
      </c>
      <c r="O325" s="820">
        <f t="shared" si="208"/>
        <v>-5215197.5552692544</v>
      </c>
      <c r="P325" s="820">
        <f t="shared" si="208"/>
        <v>-12881550.570299722</v>
      </c>
      <c r="Q325" s="820">
        <f t="shared" si="208"/>
        <v>-5463727.1811422799</v>
      </c>
      <c r="R325" s="820">
        <f t="shared" si="208"/>
        <v>-5592512.3741521444</v>
      </c>
      <c r="S325" s="820">
        <f t="shared" si="208"/>
        <v>-5724410.8291271329</v>
      </c>
      <c r="T325" s="820">
        <f t="shared" si="208"/>
        <v>-5859499.6730848122</v>
      </c>
      <c r="U325" s="820">
        <f t="shared" si="208"/>
        <v>-14286356.439628357</v>
      </c>
      <c r="V325" s="820">
        <f t="shared" si="208"/>
        <v>-6139566.8637729799</v>
      </c>
      <c r="W325" s="820">
        <f t="shared" si="208"/>
        <v>-6284709.445565287</v>
      </c>
      <c r="X325" s="820">
        <f t="shared" si="208"/>
        <v>-6433370.9918016</v>
      </c>
      <c r="Y325" s="820">
        <f t="shared" si="208"/>
        <v>-6585638.926612027</v>
      </c>
      <c r="Z325" s="820">
        <f t="shared" si="208"/>
        <v>-15848593.767328328</v>
      </c>
      <c r="AA325" s="820">
        <f t="shared" si="208"/>
        <v>-6901354.8280941052</v>
      </c>
      <c r="AB325" s="820">
        <f t="shared" si="208"/>
        <v>-7064988.9872727636</v>
      </c>
      <c r="AC325" s="820">
        <f t="shared" si="208"/>
        <v>-7232602.0400624331</v>
      </c>
      <c r="AD325" s="820">
        <f t="shared" si="208"/>
        <v>-7404293.1149919936</v>
      </c>
      <c r="AE325" s="820">
        <f t="shared" si="208"/>
        <v>-17586476.742962986</v>
      </c>
      <c r="AF325" s="820">
        <f t="shared" si="208"/>
        <v>-7760318.5440044012</v>
      </c>
      <c r="AG325" s="820">
        <f t="shared" si="208"/>
        <v>-7944864.0527799763</v>
      </c>
      <c r="AH325" s="820">
        <f t="shared" si="208"/>
        <v>-8133910.0298752068</v>
      </c>
      <c r="AI325" s="820">
        <f t="shared" si="208"/>
        <v>-8327568.9119321909</v>
      </c>
      <c r="AJ325" s="820">
        <f t="shared" si="208"/>
        <v>-19520403.065015338</v>
      </c>
      <c r="AK325" s="820">
        <f t="shared" si="208"/>
        <v>-8729189.5788463596</v>
      </c>
      <c r="AL325" s="820">
        <f t="shared" si="208"/>
        <v>-8937390.9052098654</v>
      </c>
      <c r="AM325" s="820">
        <f t="shared" si="208"/>
        <v>-9150684.3755010031</v>
      </c>
      <c r="AN325" s="820">
        <f t="shared" si="208"/>
        <v>-9369197.5625528172</v>
      </c>
      <c r="AO325" s="820">
        <f t="shared" si="208"/>
        <v>-21673225.690419316</v>
      </c>
      <c r="AP325" s="820">
        <f t="shared" si="208"/>
        <v>-9822409.8065093718</v>
      </c>
      <c r="AQ325" s="820">
        <f t="shared" si="208"/>
        <v>-10057380.696025331</v>
      </c>
      <c r="AR325" s="820">
        <f t="shared" si="208"/>
        <v>-10298115.14536953</v>
      </c>
      <c r="AS325" s="820">
        <f t="shared" si="208"/>
        <v>-10544757.947980508</v>
      </c>
      <c r="AT325" s="821">
        <f t="shared" si="208"/>
        <v>-24070559.689610455</v>
      </c>
      <c r="AU325" s="166"/>
      <c r="AV325" s="166"/>
      <c r="AW325" s="166"/>
      <c r="AX325" s="166"/>
      <c r="AY325" s="166"/>
      <c r="AZ325" s="166"/>
      <c r="BA325" s="166"/>
      <c r="BB325" s="166"/>
      <c r="BC325" s="166"/>
      <c r="BD325" s="166"/>
      <c r="BE325" s="166"/>
      <c r="BF325" s="166"/>
      <c r="BG325" s="166"/>
      <c r="BH325" s="166"/>
      <c r="BI325" s="166"/>
      <c r="BJ325" s="166"/>
      <c r="BK325" s="166"/>
      <c r="BL325" s="166"/>
      <c r="BM325" s="166"/>
      <c r="BN325" s="166"/>
    </row>
    <row r="326" spans="2:66" ht="15" thickBot="1" x14ac:dyDescent="0.3">
      <c r="B326" s="837"/>
      <c r="C326" s="824"/>
      <c r="D326" s="824"/>
      <c r="E326" s="824"/>
      <c r="F326" s="824"/>
      <c r="G326" s="824"/>
      <c r="H326" s="824"/>
      <c r="I326" s="824"/>
      <c r="J326" s="824"/>
      <c r="K326" s="824"/>
      <c r="L326" s="824"/>
      <c r="M326" s="824"/>
      <c r="N326" s="824"/>
      <c r="O326" s="824"/>
      <c r="P326" s="824"/>
      <c r="Q326" s="824"/>
      <c r="R326" s="824"/>
      <c r="S326" s="824"/>
      <c r="T326" s="824"/>
      <c r="U326" s="824"/>
      <c r="V326" s="824"/>
      <c r="W326" s="824"/>
      <c r="X326" s="824"/>
      <c r="Y326" s="824"/>
      <c r="Z326" s="824"/>
      <c r="AA326" s="824"/>
      <c r="AB326" s="824"/>
      <c r="AC326" s="824"/>
      <c r="AD326" s="824"/>
      <c r="AE326" s="824"/>
      <c r="AF326" s="824"/>
      <c r="AG326" s="824"/>
      <c r="AH326" s="824"/>
      <c r="AI326" s="824"/>
      <c r="AJ326" s="824"/>
      <c r="AK326" s="824"/>
      <c r="AL326" s="824"/>
      <c r="AM326" s="824"/>
      <c r="AN326" s="824"/>
      <c r="AO326" s="824"/>
      <c r="AP326" s="824"/>
      <c r="AQ326" s="824"/>
      <c r="AR326" s="824"/>
      <c r="AS326" s="824"/>
      <c r="AT326" s="824"/>
      <c r="AU326" s="166"/>
      <c r="AV326" s="166"/>
      <c r="AW326" s="166"/>
      <c r="AX326" s="166"/>
      <c r="AY326" s="166"/>
      <c r="AZ326" s="166"/>
      <c r="BA326" s="166"/>
      <c r="BB326" s="166"/>
      <c r="BC326" s="166"/>
      <c r="BD326" s="166"/>
      <c r="BE326" s="166"/>
      <c r="BF326" s="166"/>
      <c r="BG326" s="166"/>
      <c r="BH326" s="166"/>
      <c r="BI326" s="166"/>
      <c r="BJ326" s="166"/>
      <c r="BK326" s="166"/>
      <c r="BL326" s="166"/>
      <c r="BM326" s="166"/>
      <c r="BN326" s="166"/>
    </row>
    <row r="327" spans="2:66" ht="14.4" x14ac:dyDescent="0.25">
      <c r="B327" s="835" t="s">
        <v>392</v>
      </c>
      <c r="C327" s="818"/>
      <c r="D327" s="818"/>
      <c r="E327" s="818"/>
      <c r="F327" s="818"/>
      <c r="G327" s="818"/>
      <c r="H327" s="818"/>
      <c r="I327" s="818"/>
      <c r="J327" s="818"/>
      <c r="K327" s="818"/>
      <c r="L327" s="818"/>
      <c r="M327" s="818"/>
      <c r="N327" s="818"/>
      <c r="O327" s="818"/>
      <c r="P327" s="818"/>
      <c r="Q327" s="818"/>
      <c r="R327" s="818"/>
      <c r="S327" s="818"/>
      <c r="T327" s="818"/>
      <c r="U327" s="818"/>
      <c r="V327" s="818"/>
      <c r="W327" s="818"/>
      <c r="X327" s="818"/>
      <c r="Y327" s="818"/>
      <c r="Z327" s="818"/>
      <c r="AA327" s="818"/>
      <c r="AB327" s="818"/>
      <c r="AC327" s="818"/>
      <c r="AD327" s="818"/>
      <c r="AE327" s="818"/>
      <c r="AF327" s="818"/>
      <c r="AG327" s="818"/>
      <c r="AH327" s="818"/>
      <c r="AI327" s="818"/>
      <c r="AJ327" s="818"/>
      <c r="AK327" s="818"/>
      <c r="AL327" s="818"/>
      <c r="AM327" s="818"/>
      <c r="AN327" s="818"/>
      <c r="AO327" s="818"/>
      <c r="AP327" s="818"/>
      <c r="AQ327" s="818"/>
      <c r="AR327" s="818"/>
      <c r="AS327" s="818"/>
      <c r="AT327" s="819"/>
      <c r="AU327" s="166"/>
      <c r="AV327" s="166"/>
      <c r="AW327" s="166"/>
      <c r="AX327" s="166"/>
      <c r="AY327" s="166"/>
      <c r="AZ327" s="166"/>
      <c r="BA327" s="166"/>
      <c r="BB327" s="166"/>
      <c r="BC327" s="166"/>
      <c r="BD327" s="166"/>
      <c r="BE327" s="166"/>
      <c r="BF327" s="166"/>
      <c r="BG327" s="166"/>
      <c r="BH327" s="166"/>
      <c r="BI327" s="166"/>
      <c r="BJ327" s="166"/>
      <c r="BK327" s="166"/>
      <c r="BL327" s="166"/>
      <c r="BM327" s="166"/>
      <c r="BN327" s="166"/>
    </row>
    <row r="328" spans="2:66" x14ac:dyDescent="0.25">
      <c r="B328" s="836" t="s">
        <v>393</v>
      </c>
      <c r="C328" s="268">
        <v>0</v>
      </c>
      <c r="D328" s="268">
        <v>0</v>
      </c>
      <c r="E328" s="268">
        <v>0</v>
      </c>
      <c r="F328" s="268">
        <v>0</v>
      </c>
      <c r="G328" s="178">
        <f t="shared" ref="G328:AT328" si="209">G302</f>
        <v>5484681.125</v>
      </c>
      <c r="H328" s="178">
        <f t="shared" si="209"/>
        <v>7312908.166666667</v>
      </c>
      <c r="I328" s="178">
        <f t="shared" si="209"/>
        <v>7726614.5668250006</v>
      </c>
      <c r="J328" s="178">
        <f t="shared" si="209"/>
        <v>7807583.6453999998</v>
      </c>
      <c r="K328" s="178">
        <f t="shared" si="209"/>
        <v>8207250.2540235892</v>
      </c>
      <c r="L328" s="178">
        <f t="shared" si="209"/>
        <v>8291490.4833730208</v>
      </c>
      <c r="M328" s="178">
        <f t="shared" si="209"/>
        <v>8714110.2335164398</v>
      </c>
      <c r="N328" s="178">
        <f t="shared" si="209"/>
        <v>8757534.5964771174</v>
      </c>
      <c r="O328" s="178">
        <f t="shared" si="209"/>
        <v>9156517.701399086</v>
      </c>
      <c r="P328" s="178">
        <f t="shared" si="209"/>
        <v>9201696.4086233731</v>
      </c>
      <c r="Q328" s="178">
        <f t="shared" si="209"/>
        <v>9620448.8705279119</v>
      </c>
      <c r="R328" s="178">
        <f t="shared" si="209"/>
        <v>9667452.7975240685</v>
      </c>
      <c r="S328" s="178">
        <f t="shared" si="209"/>
        <v>10060634.165642453</v>
      </c>
      <c r="T328" s="178">
        <f t="shared" si="209"/>
        <v>10063250.440740865</v>
      </c>
      <c r="U328" s="178">
        <f t="shared" si="209"/>
        <v>10472527.731159188</v>
      </c>
      <c r="V328" s="178">
        <f t="shared" si="209"/>
        <v>10475249.70377158</v>
      </c>
      <c r="W328" s="178">
        <f t="shared" si="209"/>
        <v>10901281.732109876</v>
      </c>
      <c r="X328" s="178">
        <f t="shared" si="209"/>
        <v>10982155.769673197</v>
      </c>
      <c r="Y328" s="178">
        <f t="shared" si="209"/>
        <v>11509976.211448878</v>
      </c>
      <c r="Z328" s="178">
        <f t="shared" si="209"/>
        <v>11594117.56012976</v>
      </c>
      <c r="AA328" s="178">
        <f t="shared" si="209"/>
        <v>12150060.568726584</v>
      </c>
      <c r="AB328" s="178">
        <f t="shared" si="209"/>
        <v>12237601.22789417</v>
      </c>
      <c r="AC328" s="178">
        <f t="shared" si="209"/>
        <v>12732000.317501096</v>
      </c>
      <c r="AD328" s="178">
        <f t="shared" si="209"/>
        <v>12732000.317501096</v>
      </c>
      <c r="AE328" s="178">
        <f t="shared" si="209"/>
        <v>13246373.130328139</v>
      </c>
      <c r="AF328" s="178">
        <f t="shared" si="209"/>
        <v>13246373.130328139</v>
      </c>
      <c r="AG328" s="178">
        <f t="shared" si="209"/>
        <v>13781526.604793398</v>
      </c>
      <c r="AH328" s="178">
        <f t="shared" si="209"/>
        <v>13781526.604793398</v>
      </c>
      <c r="AI328" s="178">
        <f t="shared" si="209"/>
        <v>14338300.279627049</v>
      </c>
      <c r="AJ328" s="178">
        <f t="shared" si="209"/>
        <v>14338300.279627049</v>
      </c>
      <c r="AK328" s="178">
        <f t="shared" si="209"/>
        <v>14917567.610923981</v>
      </c>
      <c r="AL328" s="178">
        <f t="shared" si="209"/>
        <v>14917567.610923981</v>
      </c>
      <c r="AM328" s="178">
        <f t="shared" si="209"/>
        <v>15520237.34240531</v>
      </c>
      <c r="AN328" s="178">
        <f t="shared" si="209"/>
        <v>15520237.34240531</v>
      </c>
      <c r="AO328" s="178">
        <f t="shared" si="209"/>
        <v>16147254.93103849</v>
      </c>
      <c r="AP328" s="178">
        <f t="shared" si="209"/>
        <v>16147254.93103849</v>
      </c>
      <c r="AQ328" s="178">
        <f t="shared" si="209"/>
        <v>16799604.030252442</v>
      </c>
      <c r="AR328" s="178">
        <f t="shared" si="209"/>
        <v>16799604.030252442</v>
      </c>
      <c r="AS328" s="178">
        <f t="shared" si="209"/>
        <v>17478308.03307464</v>
      </c>
      <c r="AT328" s="265">
        <f t="shared" si="209"/>
        <v>17478308.03307464</v>
      </c>
      <c r="AU328" s="166"/>
      <c r="AV328" s="166"/>
      <c r="AW328" s="166"/>
      <c r="AX328" s="166"/>
      <c r="AY328" s="166"/>
      <c r="AZ328" s="166"/>
      <c r="BA328" s="166"/>
      <c r="BB328" s="166"/>
      <c r="BC328" s="166"/>
      <c r="BD328" s="166"/>
      <c r="BE328" s="166"/>
      <c r="BF328" s="166"/>
      <c r="BG328" s="166"/>
      <c r="BH328" s="166"/>
      <c r="BI328" s="166"/>
      <c r="BJ328" s="166"/>
      <c r="BK328" s="166"/>
      <c r="BL328" s="166"/>
      <c r="BM328" s="166"/>
      <c r="BN328" s="166"/>
    </row>
    <row r="329" spans="2:66" x14ac:dyDescent="0.25">
      <c r="B329" s="836" t="s">
        <v>394</v>
      </c>
      <c r="C329" s="268">
        <v>0</v>
      </c>
      <c r="D329" s="268">
        <v>0</v>
      </c>
      <c r="E329" s="268">
        <v>0</v>
      </c>
      <c r="F329" s="268">
        <v>0</v>
      </c>
      <c r="G329" s="178">
        <f t="shared" ref="G329:AT329" si="210">G303</f>
        <v>420000</v>
      </c>
      <c r="H329" s="178">
        <f t="shared" si="210"/>
        <v>428400</v>
      </c>
      <c r="I329" s="178">
        <f t="shared" si="210"/>
        <v>436968</v>
      </c>
      <c r="J329" s="178">
        <f t="shared" si="210"/>
        <v>445707.36</v>
      </c>
      <c r="K329" s="178">
        <f t="shared" si="210"/>
        <v>454621.50719999999</v>
      </c>
      <c r="L329" s="178">
        <f t="shared" si="210"/>
        <v>463713.93734400003</v>
      </c>
      <c r="M329" s="178">
        <f t="shared" si="210"/>
        <v>472988.21609088004</v>
      </c>
      <c r="N329" s="178">
        <f t="shared" si="210"/>
        <v>482447.98041269754</v>
      </c>
      <c r="O329" s="178">
        <f t="shared" si="210"/>
        <v>492096.9400209515</v>
      </c>
      <c r="P329" s="178">
        <f t="shared" si="210"/>
        <v>501938.87882137054</v>
      </c>
      <c r="Q329" s="178">
        <f t="shared" si="210"/>
        <v>511977.65639779798</v>
      </c>
      <c r="R329" s="178">
        <f t="shared" si="210"/>
        <v>522217.20952575386</v>
      </c>
      <c r="S329" s="178">
        <f t="shared" si="210"/>
        <v>532661.55371626897</v>
      </c>
      <c r="T329" s="178">
        <f t="shared" si="210"/>
        <v>543314.78479059436</v>
      </c>
      <c r="U329" s="178">
        <f t="shared" si="210"/>
        <v>554181.08048640634</v>
      </c>
      <c r="V329" s="178">
        <f t="shared" si="210"/>
        <v>565264.70209613431</v>
      </c>
      <c r="W329" s="178">
        <f t="shared" si="210"/>
        <v>576569.99613805709</v>
      </c>
      <c r="X329" s="178">
        <f t="shared" si="210"/>
        <v>588101.39606081822</v>
      </c>
      <c r="Y329" s="178">
        <f t="shared" si="210"/>
        <v>599863.42398203455</v>
      </c>
      <c r="Z329" s="178">
        <f t="shared" si="210"/>
        <v>611860.69246167527</v>
      </c>
      <c r="AA329" s="178">
        <f t="shared" si="210"/>
        <v>624097.90631090873</v>
      </c>
      <c r="AB329" s="178">
        <f t="shared" si="210"/>
        <v>636579.8644371269</v>
      </c>
      <c r="AC329" s="178">
        <f t="shared" si="210"/>
        <v>649311.46172586945</v>
      </c>
      <c r="AD329" s="178">
        <f t="shared" si="210"/>
        <v>662297.69096038677</v>
      </c>
      <c r="AE329" s="178">
        <f t="shared" si="210"/>
        <v>675543.6447795945</v>
      </c>
      <c r="AF329" s="178">
        <f t="shared" si="210"/>
        <v>689054.51767518639</v>
      </c>
      <c r="AG329" s="178">
        <f t="shared" si="210"/>
        <v>702835.60802869021</v>
      </c>
      <c r="AH329" s="178">
        <f t="shared" si="210"/>
        <v>716892.3201892639</v>
      </c>
      <c r="AI329" s="178">
        <f t="shared" si="210"/>
        <v>731230.1665930493</v>
      </c>
      <c r="AJ329" s="178">
        <f t="shared" si="210"/>
        <v>745854.76992491016</v>
      </c>
      <c r="AK329" s="178">
        <f t="shared" si="210"/>
        <v>760771.86532340851</v>
      </c>
      <c r="AL329" s="178">
        <f t="shared" si="210"/>
        <v>775987.30262987642</v>
      </c>
      <c r="AM329" s="178">
        <f t="shared" si="210"/>
        <v>791507.04868247418</v>
      </c>
      <c r="AN329" s="178">
        <f t="shared" si="210"/>
        <v>807337.18965612364</v>
      </c>
      <c r="AO329" s="178">
        <f t="shared" si="210"/>
        <v>823483.93344924611</v>
      </c>
      <c r="AP329" s="178">
        <f t="shared" si="210"/>
        <v>839953.61211823102</v>
      </c>
      <c r="AQ329" s="178">
        <f t="shared" si="210"/>
        <v>856752.68436059554</v>
      </c>
      <c r="AR329" s="178">
        <f t="shared" si="210"/>
        <v>873887.73804780759</v>
      </c>
      <c r="AS329" s="178">
        <f t="shared" si="210"/>
        <v>891365.49280876387</v>
      </c>
      <c r="AT329" s="265">
        <f t="shared" si="210"/>
        <v>909192.80266493873</v>
      </c>
      <c r="AU329" s="166"/>
      <c r="AV329" s="166"/>
      <c r="AW329" s="166"/>
      <c r="AX329" s="166"/>
      <c r="AY329" s="166"/>
      <c r="AZ329" s="166"/>
      <c r="BA329" s="166"/>
      <c r="BB329" s="166"/>
      <c r="BC329" s="166"/>
      <c r="BD329" s="166"/>
      <c r="BE329" s="166"/>
      <c r="BF329" s="166"/>
      <c r="BG329" s="166"/>
      <c r="BH329" s="166"/>
      <c r="BI329" s="166"/>
      <c r="BJ329" s="166"/>
      <c r="BK329" s="166"/>
      <c r="BL329" s="166"/>
      <c r="BM329" s="166"/>
      <c r="BN329" s="166"/>
    </row>
    <row r="330" spans="2:66" ht="15" thickBot="1" x14ac:dyDescent="0.3">
      <c r="B330" s="842" t="s">
        <v>388</v>
      </c>
      <c r="C330" s="822">
        <v>0</v>
      </c>
      <c r="D330" s="822">
        <v>0</v>
      </c>
      <c r="E330" s="822">
        <v>0</v>
      </c>
      <c r="F330" s="822">
        <v>0</v>
      </c>
      <c r="G330" s="822">
        <f>G328+G329</f>
        <v>5904681.125</v>
      </c>
      <c r="H330" s="822">
        <f t="shared" ref="H330:AT330" si="211">H328+H329</f>
        <v>7741308.166666667</v>
      </c>
      <c r="I330" s="822">
        <f t="shared" si="211"/>
        <v>8163582.5668250006</v>
      </c>
      <c r="J330" s="822">
        <f t="shared" si="211"/>
        <v>8253291.0054000001</v>
      </c>
      <c r="K330" s="822">
        <f t="shared" si="211"/>
        <v>8661871.76122359</v>
      </c>
      <c r="L330" s="822">
        <f t="shared" si="211"/>
        <v>8755204.4207170215</v>
      </c>
      <c r="M330" s="822">
        <f t="shared" si="211"/>
        <v>9187098.4496073201</v>
      </c>
      <c r="N330" s="822">
        <f t="shared" si="211"/>
        <v>9239982.5768898148</v>
      </c>
      <c r="O330" s="822">
        <f t="shared" si="211"/>
        <v>9648614.6414200384</v>
      </c>
      <c r="P330" s="822">
        <f t="shared" si="211"/>
        <v>9703635.2874447443</v>
      </c>
      <c r="Q330" s="822">
        <f t="shared" si="211"/>
        <v>10132426.526925709</v>
      </c>
      <c r="R330" s="822">
        <f t="shared" si="211"/>
        <v>10189670.007049823</v>
      </c>
      <c r="S330" s="822">
        <f t="shared" si="211"/>
        <v>10593295.719358722</v>
      </c>
      <c r="T330" s="822">
        <f t="shared" si="211"/>
        <v>10606565.225531459</v>
      </c>
      <c r="U330" s="822">
        <f t="shared" si="211"/>
        <v>11026708.811645593</v>
      </c>
      <c r="V330" s="822">
        <f t="shared" si="211"/>
        <v>11040514.405867714</v>
      </c>
      <c r="W330" s="822">
        <f t="shared" si="211"/>
        <v>11477851.728247933</v>
      </c>
      <c r="X330" s="822">
        <f t="shared" si="211"/>
        <v>11570257.165734015</v>
      </c>
      <c r="Y330" s="822">
        <f t="shared" si="211"/>
        <v>12109839.635430913</v>
      </c>
      <c r="Z330" s="822">
        <f t="shared" si="211"/>
        <v>12205978.252591435</v>
      </c>
      <c r="AA330" s="822">
        <f t="shared" si="211"/>
        <v>12774158.475037493</v>
      </c>
      <c r="AB330" s="822">
        <f t="shared" si="211"/>
        <v>12874181.092331298</v>
      </c>
      <c r="AC330" s="822">
        <f t="shared" si="211"/>
        <v>13381311.779226966</v>
      </c>
      <c r="AD330" s="822">
        <f t="shared" si="211"/>
        <v>13394298.008461483</v>
      </c>
      <c r="AE330" s="822">
        <f t="shared" si="211"/>
        <v>13921916.775107734</v>
      </c>
      <c r="AF330" s="822">
        <f t="shared" si="211"/>
        <v>13935427.648003325</v>
      </c>
      <c r="AG330" s="822">
        <f t="shared" si="211"/>
        <v>14484362.212822087</v>
      </c>
      <c r="AH330" s="822">
        <f t="shared" si="211"/>
        <v>14498418.924982661</v>
      </c>
      <c r="AI330" s="822">
        <f t="shared" si="211"/>
        <v>15069530.446220098</v>
      </c>
      <c r="AJ330" s="822">
        <f t="shared" si="211"/>
        <v>15084155.04955196</v>
      </c>
      <c r="AK330" s="822">
        <f t="shared" si="211"/>
        <v>15678339.476247389</v>
      </c>
      <c r="AL330" s="822">
        <f t="shared" si="211"/>
        <v>15693554.913553858</v>
      </c>
      <c r="AM330" s="822">
        <f t="shared" si="211"/>
        <v>16311744.391087784</v>
      </c>
      <c r="AN330" s="822">
        <f t="shared" si="211"/>
        <v>16327574.532061433</v>
      </c>
      <c r="AO330" s="822">
        <f t="shared" si="211"/>
        <v>16970738.864487737</v>
      </c>
      <c r="AP330" s="822">
        <f t="shared" si="211"/>
        <v>16987208.543156721</v>
      </c>
      <c r="AQ330" s="822">
        <f t="shared" si="211"/>
        <v>17656356.714613039</v>
      </c>
      <c r="AR330" s="822">
        <f t="shared" si="211"/>
        <v>17673491.76830025</v>
      </c>
      <c r="AS330" s="822">
        <f t="shared" si="211"/>
        <v>18369673.525883403</v>
      </c>
      <c r="AT330" s="823">
        <f t="shared" si="211"/>
        <v>18387500.835739579</v>
      </c>
      <c r="AU330" s="166"/>
      <c r="AV330" s="166"/>
      <c r="AW330" s="166"/>
      <c r="AX330" s="166"/>
      <c r="AY330" s="166"/>
      <c r="AZ330" s="166"/>
      <c r="BA330" s="166"/>
      <c r="BB330" s="166"/>
      <c r="BC330" s="166"/>
      <c r="BD330" s="166"/>
      <c r="BE330" s="166"/>
      <c r="BF330" s="166"/>
      <c r="BG330" s="166"/>
      <c r="BH330" s="166"/>
      <c r="BI330" s="166"/>
      <c r="BJ330" s="166"/>
      <c r="BK330" s="166"/>
      <c r="BL330" s="166"/>
      <c r="BM330" s="166"/>
      <c r="BN330" s="166"/>
    </row>
    <row r="331" spans="2:66" ht="15" thickBot="1" x14ac:dyDescent="0.3">
      <c r="B331" s="838"/>
      <c r="C331" s="178"/>
      <c r="D331" s="178"/>
      <c r="E331" s="178"/>
      <c r="F331" s="178"/>
      <c r="G331" s="178"/>
      <c r="H331" s="178"/>
      <c r="I331" s="178"/>
      <c r="J331" s="178"/>
      <c r="K331" s="178"/>
      <c r="L331" s="178"/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  <c r="Y331" s="178"/>
      <c r="Z331" s="178"/>
      <c r="AA331" s="178"/>
      <c r="AB331" s="178"/>
      <c r="AC331" s="178"/>
      <c r="AD331" s="178"/>
      <c r="AE331" s="178"/>
      <c r="AF331" s="178"/>
      <c r="AG331" s="178"/>
      <c r="AH331" s="178"/>
      <c r="AI331" s="178"/>
      <c r="AJ331" s="178"/>
      <c r="AK331" s="178"/>
      <c r="AL331" s="178"/>
      <c r="AM331" s="178"/>
      <c r="AN331" s="178"/>
      <c r="AO331" s="178"/>
      <c r="AP331" s="178"/>
      <c r="AQ331" s="178"/>
      <c r="AR331" s="178"/>
      <c r="AS331" s="178"/>
      <c r="AT331" s="178"/>
      <c r="AU331" s="166"/>
      <c r="AV331" s="166"/>
      <c r="AW331" s="166"/>
      <c r="AX331" s="166"/>
      <c r="AY331" s="166"/>
      <c r="AZ331" s="166"/>
      <c r="BA331" s="166"/>
      <c r="BB331" s="166"/>
      <c r="BC331" s="166"/>
      <c r="BD331" s="166"/>
      <c r="BE331" s="166"/>
      <c r="BF331" s="166"/>
      <c r="BG331" s="166"/>
      <c r="BH331" s="166"/>
      <c r="BI331" s="166"/>
      <c r="BJ331" s="166"/>
      <c r="BK331" s="166"/>
      <c r="BL331" s="166"/>
      <c r="BM331" s="166"/>
      <c r="BN331" s="166"/>
    </row>
    <row r="332" spans="2:66" ht="15" thickBot="1" x14ac:dyDescent="0.3">
      <c r="B332" s="843" t="s">
        <v>387</v>
      </c>
      <c r="C332" s="825"/>
      <c r="D332" s="825"/>
      <c r="E332" s="825"/>
      <c r="F332" s="825"/>
      <c r="G332" s="826">
        <f>G330+G325</f>
        <v>1586444.1635693628</v>
      </c>
      <c r="H332" s="826">
        <f t="shared" ref="H332:AT332" si="212">H330+H325</f>
        <v>3308370.3417214854</v>
      </c>
      <c r="I332" s="826">
        <f t="shared" si="212"/>
        <v>3626707.3852640251</v>
      </c>
      <c r="J332" s="826">
        <f t="shared" si="212"/>
        <v>3609979.0923645338</v>
      </c>
      <c r="K332" s="826">
        <f t="shared" si="212"/>
        <v>-2956032.9446178861</v>
      </c>
      <c r="L332" s="826">
        <f t="shared" si="212"/>
        <v>3891272.9530603997</v>
      </c>
      <c r="M332" s="826">
        <f t="shared" si="212"/>
        <v>4208856.2493820963</v>
      </c>
      <c r="N332" s="826">
        <f t="shared" si="212"/>
        <v>4144674.3691854766</v>
      </c>
      <c r="O332" s="826">
        <f t="shared" si="212"/>
        <v>4433417.086150784</v>
      </c>
      <c r="P332" s="826">
        <f t="shared" si="212"/>
        <v>-3177915.282854978</v>
      </c>
      <c r="Q332" s="826">
        <f t="shared" si="212"/>
        <v>4668699.3457834292</v>
      </c>
      <c r="R332" s="826">
        <f t="shared" si="212"/>
        <v>4597157.6328976788</v>
      </c>
      <c r="S332" s="826">
        <f t="shared" si="212"/>
        <v>4868884.8902315889</v>
      </c>
      <c r="T332" s="826">
        <f t="shared" si="212"/>
        <v>4747065.5524466466</v>
      </c>
      <c r="U332" s="826">
        <f t="shared" si="212"/>
        <v>-3259647.6279827636</v>
      </c>
      <c r="V332" s="826">
        <f t="shared" si="212"/>
        <v>4900947.5420947345</v>
      </c>
      <c r="W332" s="826">
        <f t="shared" si="212"/>
        <v>5193142.2826826461</v>
      </c>
      <c r="X332" s="826">
        <f t="shared" si="212"/>
        <v>5136886.1739324154</v>
      </c>
      <c r="Y332" s="826">
        <f t="shared" si="212"/>
        <v>5524200.7088188864</v>
      </c>
      <c r="Z332" s="826">
        <f t="shared" si="212"/>
        <v>-3642615.5147368927</v>
      </c>
      <c r="AA332" s="826">
        <f t="shared" si="212"/>
        <v>5872803.6469433876</v>
      </c>
      <c r="AB332" s="826">
        <f t="shared" si="212"/>
        <v>5809192.1050585341</v>
      </c>
      <c r="AC332" s="826">
        <f t="shared" si="212"/>
        <v>6148709.7391645331</v>
      </c>
      <c r="AD332" s="826">
        <f t="shared" si="212"/>
        <v>5990004.8934694892</v>
      </c>
      <c r="AE332" s="826">
        <f t="shared" si="212"/>
        <v>-3664559.9678552523</v>
      </c>
      <c r="AF332" s="826">
        <f t="shared" si="212"/>
        <v>6175109.1039989237</v>
      </c>
      <c r="AG332" s="826">
        <f t="shared" si="212"/>
        <v>6539498.1600421108</v>
      </c>
      <c r="AH332" s="826">
        <f t="shared" si="212"/>
        <v>6364508.8951074546</v>
      </c>
      <c r="AI332" s="826">
        <f t="shared" si="212"/>
        <v>6741961.5342879072</v>
      </c>
      <c r="AJ332" s="826">
        <f t="shared" si="212"/>
        <v>-4436248.0154633783</v>
      </c>
      <c r="AK332" s="826">
        <f t="shared" si="212"/>
        <v>6949149.8974010292</v>
      </c>
      <c r="AL332" s="826">
        <f t="shared" si="212"/>
        <v>6756164.0083439928</v>
      </c>
      <c r="AM332" s="826">
        <f t="shared" si="212"/>
        <v>7161060.0155867804</v>
      </c>
      <c r="AN332" s="826">
        <f t="shared" si="212"/>
        <v>6958376.9695086163</v>
      </c>
      <c r="AO332" s="826">
        <f t="shared" si="212"/>
        <v>-4702486.8259315789</v>
      </c>
      <c r="AP332" s="826">
        <f t="shared" si="212"/>
        <v>7164798.7366473489</v>
      </c>
      <c r="AQ332" s="826">
        <f t="shared" si="212"/>
        <v>7598976.0185877085</v>
      </c>
      <c r="AR332" s="826">
        <f t="shared" si="212"/>
        <v>7375376.6229307204</v>
      </c>
      <c r="AS332" s="826">
        <f t="shared" si="212"/>
        <v>7824915.5779028945</v>
      </c>
      <c r="AT332" s="827">
        <f t="shared" si="212"/>
        <v>-5683058.8538708761</v>
      </c>
      <c r="AU332" s="166"/>
      <c r="AV332" s="166"/>
      <c r="AW332" s="166"/>
      <c r="AX332" s="166"/>
      <c r="AY332" s="166"/>
      <c r="AZ332" s="166"/>
      <c r="BA332" s="166"/>
      <c r="BB332" s="166"/>
      <c r="BC332" s="166"/>
      <c r="BD332" s="166"/>
      <c r="BE332" s="166"/>
      <c r="BF332" s="166"/>
      <c r="BG332" s="166"/>
      <c r="BH332" s="166"/>
      <c r="BI332" s="166"/>
      <c r="BJ332" s="166"/>
      <c r="BK332" s="166"/>
      <c r="BL332" s="166"/>
      <c r="BM332" s="166"/>
      <c r="BN332" s="166"/>
    </row>
    <row r="333" spans="2:66" ht="15" thickBot="1" x14ac:dyDescent="0.3">
      <c r="B333" s="839"/>
      <c r="C333" s="801"/>
      <c r="D333" s="801"/>
      <c r="E333" s="801"/>
      <c r="F333" s="801"/>
      <c r="G333" s="824"/>
      <c r="H333" s="824"/>
      <c r="I333" s="824"/>
      <c r="J333" s="824"/>
      <c r="K333" s="824"/>
      <c r="L333" s="824"/>
      <c r="M333" s="824"/>
      <c r="N333" s="824"/>
      <c r="O333" s="824"/>
      <c r="P333" s="824"/>
      <c r="Q333" s="824"/>
      <c r="R333" s="824"/>
      <c r="S333" s="824"/>
      <c r="T333" s="824"/>
      <c r="U333" s="824"/>
      <c r="V333" s="824"/>
      <c r="W333" s="824"/>
      <c r="X333" s="824"/>
      <c r="Y333" s="824"/>
      <c r="Z333" s="824"/>
      <c r="AA333" s="824"/>
      <c r="AB333" s="824"/>
      <c r="AC333" s="824"/>
      <c r="AD333" s="824"/>
      <c r="AE333" s="824"/>
      <c r="AF333" s="824"/>
      <c r="AG333" s="824"/>
      <c r="AH333" s="824"/>
      <c r="AI333" s="824"/>
      <c r="AJ333" s="824"/>
      <c r="AK333" s="824"/>
      <c r="AL333" s="824"/>
      <c r="AM333" s="824"/>
      <c r="AN333" s="824"/>
      <c r="AO333" s="824"/>
      <c r="AP333" s="824"/>
      <c r="AQ333" s="824"/>
      <c r="AR333" s="824"/>
      <c r="AS333" s="824"/>
      <c r="AT333" s="824"/>
      <c r="AU333" s="166"/>
      <c r="AV333" s="166"/>
      <c r="AW333" s="166"/>
      <c r="AX333" s="166"/>
      <c r="AY333" s="166"/>
      <c r="AZ333" s="166"/>
      <c r="BA333" s="166"/>
      <c r="BB333" s="166"/>
      <c r="BC333" s="166"/>
      <c r="BD333" s="166"/>
      <c r="BE333" s="166"/>
      <c r="BF333" s="166"/>
      <c r="BG333" s="166"/>
      <c r="BH333" s="166"/>
      <c r="BI333" s="166"/>
      <c r="BJ333" s="166"/>
      <c r="BK333" s="166"/>
      <c r="BL333" s="166"/>
      <c r="BM333" s="166"/>
      <c r="BN333" s="166"/>
    </row>
    <row r="334" spans="2:66" ht="14.4" x14ac:dyDescent="0.25">
      <c r="B334" s="835" t="s">
        <v>397</v>
      </c>
      <c r="C334" s="818"/>
      <c r="D334" s="818"/>
      <c r="E334" s="818"/>
      <c r="F334" s="818"/>
      <c r="G334" s="818"/>
      <c r="H334" s="818"/>
      <c r="I334" s="818"/>
      <c r="J334" s="818"/>
      <c r="K334" s="818"/>
      <c r="L334" s="818"/>
      <c r="M334" s="818"/>
      <c r="N334" s="818"/>
      <c r="O334" s="818"/>
      <c r="P334" s="818"/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  <c r="AA334" s="818"/>
      <c r="AB334" s="818"/>
      <c r="AC334" s="818"/>
      <c r="AD334" s="818"/>
      <c r="AE334" s="818"/>
      <c r="AF334" s="818"/>
      <c r="AG334" s="818"/>
      <c r="AH334" s="818"/>
      <c r="AI334" s="818"/>
      <c r="AJ334" s="818"/>
      <c r="AK334" s="818"/>
      <c r="AL334" s="818"/>
      <c r="AM334" s="818"/>
      <c r="AN334" s="818"/>
      <c r="AO334" s="818"/>
      <c r="AP334" s="818"/>
      <c r="AQ334" s="818"/>
      <c r="AR334" s="818"/>
      <c r="AS334" s="818"/>
      <c r="AT334" s="819"/>
      <c r="AU334" s="166"/>
      <c r="AV334" s="166"/>
      <c r="AW334" s="166"/>
      <c r="AX334" s="166"/>
      <c r="AY334" s="166"/>
      <c r="AZ334" s="166"/>
      <c r="BA334" s="166"/>
      <c r="BB334" s="166"/>
      <c r="BC334" s="166"/>
      <c r="BD334" s="166"/>
      <c r="BE334" s="166"/>
      <c r="BF334" s="166"/>
      <c r="BG334" s="166"/>
      <c r="BH334" s="166"/>
      <c r="BI334" s="166"/>
      <c r="BJ334" s="166"/>
      <c r="BK334" s="166"/>
      <c r="BL334" s="166"/>
      <c r="BM334" s="166"/>
      <c r="BN334" s="166"/>
    </row>
    <row r="335" spans="2:66" x14ac:dyDescent="0.25">
      <c r="B335" s="836" t="s">
        <v>442</v>
      </c>
      <c r="C335" s="268">
        <v>0</v>
      </c>
      <c r="D335" s="268">
        <v>0</v>
      </c>
      <c r="E335" s="268">
        <v>0</v>
      </c>
      <c r="F335" s="268">
        <v>0</v>
      </c>
      <c r="G335" s="178">
        <f>G332</f>
        <v>1586444.1635693628</v>
      </c>
      <c r="H335" s="178">
        <f t="shared" ref="H335:AT335" si="213">H332</f>
        <v>3308370.3417214854</v>
      </c>
      <c r="I335" s="178">
        <f t="shared" si="213"/>
        <v>3626707.3852640251</v>
      </c>
      <c r="J335" s="178">
        <f t="shared" si="213"/>
        <v>3609979.0923645338</v>
      </c>
      <c r="K335" s="178">
        <f t="shared" si="213"/>
        <v>-2956032.9446178861</v>
      </c>
      <c r="L335" s="178">
        <f t="shared" si="213"/>
        <v>3891272.9530603997</v>
      </c>
      <c r="M335" s="178">
        <f t="shared" si="213"/>
        <v>4208856.2493820963</v>
      </c>
      <c r="N335" s="178">
        <f t="shared" si="213"/>
        <v>4144674.3691854766</v>
      </c>
      <c r="O335" s="178">
        <f t="shared" si="213"/>
        <v>4433417.086150784</v>
      </c>
      <c r="P335" s="178">
        <f t="shared" si="213"/>
        <v>-3177915.282854978</v>
      </c>
      <c r="Q335" s="178">
        <f t="shared" si="213"/>
        <v>4668699.3457834292</v>
      </c>
      <c r="R335" s="178">
        <f t="shared" si="213"/>
        <v>4597157.6328976788</v>
      </c>
      <c r="S335" s="178">
        <f t="shared" si="213"/>
        <v>4868884.8902315889</v>
      </c>
      <c r="T335" s="178">
        <f t="shared" si="213"/>
        <v>4747065.5524466466</v>
      </c>
      <c r="U335" s="178">
        <f t="shared" si="213"/>
        <v>-3259647.6279827636</v>
      </c>
      <c r="V335" s="178">
        <f t="shared" si="213"/>
        <v>4900947.5420947345</v>
      </c>
      <c r="W335" s="178">
        <f t="shared" si="213"/>
        <v>5193142.2826826461</v>
      </c>
      <c r="X335" s="178">
        <f t="shared" si="213"/>
        <v>5136886.1739324154</v>
      </c>
      <c r="Y335" s="178">
        <f t="shared" si="213"/>
        <v>5524200.7088188864</v>
      </c>
      <c r="Z335" s="178">
        <f t="shared" si="213"/>
        <v>-3642615.5147368927</v>
      </c>
      <c r="AA335" s="178">
        <f t="shared" si="213"/>
        <v>5872803.6469433876</v>
      </c>
      <c r="AB335" s="178">
        <f t="shared" si="213"/>
        <v>5809192.1050585341</v>
      </c>
      <c r="AC335" s="178">
        <f t="shared" si="213"/>
        <v>6148709.7391645331</v>
      </c>
      <c r="AD335" s="178">
        <f t="shared" si="213"/>
        <v>5990004.8934694892</v>
      </c>
      <c r="AE335" s="178">
        <f t="shared" si="213"/>
        <v>-3664559.9678552523</v>
      </c>
      <c r="AF335" s="178">
        <f t="shared" si="213"/>
        <v>6175109.1039989237</v>
      </c>
      <c r="AG335" s="178">
        <f t="shared" si="213"/>
        <v>6539498.1600421108</v>
      </c>
      <c r="AH335" s="178">
        <f t="shared" si="213"/>
        <v>6364508.8951074546</v>
      </c>
      <c r="AI335" s="178">
        <f t="shared" si="213"/>
        <v>6741961.5342879072</v>
      </c>
      <c r="AJ335" s="178">
        <f t="shared" si="213"/>
        <v>-4436248.0154633783</v>
      </c>
      <c r="AK335" s="178">
        <f t="shared" si="213"/>
        <v>6949149.8974010292</v>
      </c>
      <c r="AL335" s="178">
        <f t="shared" si="213"/>
        <v>6756164.0083439928</v>
      </c>
      <c r="AM335" s="178">
        <f t="shared" si="213"/>
        <v>7161060.0155867804</v>
      </c>
      <c r="AN335" s="178">
        <f t="shared" si="213"/>
        <v>6958376.9695086163</v>
      </c>
      <c r="AO335" s="178">
        <f t="shared" si="213"/>
        <v>-4702486.8259315789</v>
      </c>
      <c r="AP335" s="178">
        <f t="shared" si="213"/>
        <v>7164798.7366473489</v>
      </c>
      <c r="AQ335" s="178">
        <f t="shared" si="213"/>
        <v>7598976.0185877085</v>
      </c>
      <c r="AR335" s="178">
        <f t="shared" si="213"/>
        <v>7375376.6229307204</v>
      </c>
      <c r="AS335" s="178">
        <f t="shared" si="213"/>
        <v>7824915.5779028945</v>
      </c>
      <c r="AT335" s="265">
        <f t="shared" si="213"/>
        <v>-5683058.8538708761</v>
      </c>
      <c r="AU335" s="166"/>
      <c r="AV335" s="166"/>
      <c r="AW335" s="166"/>
      <c r="AX335" s="166"/>
      <c r="AY335" s="166"/>
      <c r="AZ335" s="166"/>
      <c r="BA335" s="166"/>
      <c r="BB335" s="166"/>
      <c r="BC335" s="166"/>
      <c r="BD335" s="166"/>
      <c r="BE335" s="166"/>
      <c r="BF335" s="166"/>
      <c r="BG335" s="166"/>
      <c r="BH335" s="166"/>
      <c r="BI335" s="166"/>
      <c r="BJ335" s="166"/>
      <c r="BK335" s="166"/>
      <c r="BL335" s="166"/>
      <c r="BM335" s="166"/>
      <c r="BN335" s="166"/>
    </row>
    <row r="336" spans="2:66" x14ac:dyDescent="0.25">
      <c r="B336" s="836" t="s">
        <v>440</v>
      </c>
      <c r="C336" s="268">
        <v>0</v>
      </c>
      <c r="D336" s="268">
        <v>0</v>
      </c>
      <c r="E336" s="268">
        <v>0</v>
      </c>
      <c r="F336" s="268">
        <v>0</v>
      </c>
      <c r="G336" s="178">
        <f>IF(G335&gt;0,-$C$23*G335,0)</f>
        <v>0</v>
      </c>
      <c r="H336" s="178">
        <f t="shared" ref="H336:AT336" si="214">IF(H335&gt;0,-$C$23*H335,0)</f>
        <v>0</v>
      </c>
      <c r="I336" s="178">
        <f t="shared" si="214"/>
        <v>0</v>
      </c>
      <c r="J336" s="178">
        <f t="shared" si="214"/>
        <v>0</v>
      </c>
      <c r="K336" s="178">
        <f t="shared" si="214"/>
        <v>0</v>
      </c>
      <c r="L336" s="178">
        <f t="shared" si="214"/>
        <v>0</v>
      </c>
      <c r="M336" s="178">
        <f t="shared" si="214"/>
        <v>0</v>
      </c>
      <c r="N336" s="178">
        <f t="shared" si="214"/>
        <v>0</v>
      </c>
      <c r="O336" s="178">
        <f t="shared" si="214"/>
        <v>0</v>
      </c>
      <c r="P336" s="178">
        <f t="shared" si="214"/>
        <v>0</v>
      </c>
      <c r="Q336" s="178">
        <f t="shared" si="214"/>
        <v>0</v>
      </c>
      <c r="R336" s="178">
        <f t="shared" si="214"/>
        <v>0</v>
      </c>
      <c r="S336" s="178">
        <f t="shared" si="214"/>
        <v>0</v>
      </c>
      <c r="T336" s="178">
        <f t="shared" si="214"/>
        <v>0</v>
      </c>
      <c r="U336" s="178">
        <f t="shared" si="214"/>
        <v>0</v>
      </c>
      <c r="V336" s="178">
        <f t="shared" si="214"/>
        <v>0</v>
      </c>
      <c r="W336" s="178">
        <f t="shared" si="214"/>
        <v>0</v>
      </c>
      <c r="X336" s="178">
        <f t="shared" si="214"/>
        <v>0</v>
      </c>
      <c r="Y336" s="178">
        <f t="shared" si="214"/>
        <v>0</v>
      </c>
      <c r="Z336" s="178">
        <f t="shared" si="214"/>
        <v>0</v>
      </c>
      <c r="AA336" s="178">
        <f t="shared" si="214"/>
        <v>0</v>
      </c>
      <c r="AB336" s="178">
        <f t="shared" si="214"/>
        <v>0</v>
      </c>
      <c r="AC336" s="178">
        <f t="shared" si="214"/>
        <v>0</v>
      </c>
      <c r="AD336" s="178">
        <f t="shared" si="214"/>
        <v>0</v>
      </c>
      <c r="AE336" s="178">
        <f t="shared" si="214"/>
        <v>0</v>
      </c>
      <c r="AF336" s="178">
        <f t="shared" si="214"/>
        <v>0</v>
      </c>
      <c r="AG336" s="178">
        <f t="shared" si="214"/>
        <v>0</v>
      </c>
      <c r="AH336" s="178">
        <f t="shared" si="214"/>
        <v>0</v>
      </c>
      <c r="AI336" s="178">
        <f t="shared" si="214"/>
        <v>0</v>
      </c>
      <c r="AJ336" s="178">
        <f t="shared" si="214"/>
        <v>0</v>
      </c>
      <c r="AK336" s="178">
        <f t="shared" si="214"/>
        <v>0</v>
      </c>
      <c r="AL336" s="178">
        <f t="shared" si="214"/>
        <v>0</v>
      </c>
      <c r="AM336" s="178">
        <f t="shared" si="214"/>
        <v>0</v>
      </c>
      <c r="AN336" s="178">
        <f t="shared" si="214"/>
        <v>0</v>
      </c>
      <c r="AO336" s="178">
        <f t="shared" si="214"/>
        <v>0</v>
      </c>
      <c r="AP336" s="178">
        <f t="shared" si="214"/>
        <v>0</v>
      </c>
      <c r="AQ336" s="178">
        <f t="shared" si="214"/>
        <v>0</v>
      </c>
      <c r="AR336" s="178">
        <f t="shared" si="214"/>
        <v>0</v>
      </c>
      <c r="AS336" s="178">
        <f t="shared" si="214"/>
        <v>0</v>
      </c>
      <c r="AT336" s="265">
        <f t="shared" si="214"/>
        <v>0</v>
      </c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66"/>
      <c r="BN336" s="166"/>
    </row>
    <row r="337" spans="2:66" ht="14.4" x14ac:dyDescent="0.25">
      <c r="B337" s="840" t="s">
        <v>175</v>
      </c>
      <c r="C337" s="800">
        <v>0</v>
      </c>
      <c r="D337" s="800">
        <v>0</v>
      </c>
      <c r="E337" s="800">
        <v>0</v>
      </c>
      <c r="F337" s="800">
        <v>0</v>
      </c>
      <c r="G337" s="261">
        <f>G319</f>
        <v>-4476318.6173797483</v>
      </c>
      <c r="H337" s="261">
        <f t="shared" ref="H337:AT337" si="215">H319</f>
        <v>-4476318.6173797483</v>
      </c>
      <c r="I337" s="261">
        <f t="shared" si="215"/>
        <v>-4476318.6173797483</v>
      </c>
      <c r="J337" s="261">
        <f t="shared" si="215"/>
        <v>-4476318.6173797483</v>
      </c>
      <c r="K337" s="261">
        <f t="shared" si="215"/>
        <v>-4476318.6173797483</v>
      </c>
      <c r="L337" s="261">
        <f t="shared" si="215"/>
        <v>-4226566.6672863076</v>
      </c>
      <c r="M337" s="261">
        <f t="shared" si="215"/>
        <v>-4226566.6672863076</v>
      </c>
      <c r="N337" s="261">
        <f t="shared" si="215"/>
        <v>-4226566.6672863076</v>
      </c>
      <c r="O337" s="261">
        <f t="shared" si="215"/>
        <v>-4226566.6672863076</v>
      </c>
      <c r="P337" s="261">
        <f t="shared" si="215"/>
        <v>-4226566.6672863076</v>
      </c>
      <c r="Q337" s="261">
        <f t="shared" si="215"/>
        <v>-3636188.9104059879</v>
      </c>
      <c r="R337" s="261">
        <f t="shared" si="215"/>
        <v>-4364578.243786227</v>
      </c>
      <c r="S337" s="261">
        <f t="shared" si="215"/>
        <v>-4364578.243786227</v>
      </c>
      <c r="T337" s="261">
        <f t="shared" si="215"/>
        <v>-4364578.243786227</v>
      </c>
      <c r="U337" s="261">
        <f t="shared" si="215"/>
        <v>-4364578.243786227</v>
      </c>
      <c r="V337" s="261">
        <f t="shared" si="215"/>
        <v>-3330617.415194436</v>
      </c>
      <c r="W337" s="261">
        <f t="shared" si="215"/>
        <v>-3330617.415194436</v>
      </c>
      <c r="X337" s="261">
        <f t="shared" si="215"/>
        <v>-4784057.9763839645</v>
      </c>
      <c r="Y337" s="261">
        <f t="shared" si="215"/>
        <v>-4784057.9763839645</v>
      </c>
      <c r="Z337" s="261">
        <f t="shared" si="215"/>
        <v>-4784057.9763839645</v>
      </c>
      <c r="AA337" s="261">
        <f t="shared" si="215"/>
        <v>-4784057.9763839645</v>
      </c>
      <c r="AB337" s="261">
        <f t="shared" si="215"/>
        <v>-4784057.9763839645</v>
      </c>
      <c r="AC337" s="261">
        <f t="shared" si="215"/>
        <v>-4959508.4970497834</v>
      </c>
      <c r="AD337" s="261">
        <f t="shared" si="215"/>
        <v>-4959508.4970497834</v>
      </c>
      <c r="AE337" s="261">
        <f t="shared" si="215"/>
        <v>-4959508.4970497834</v>
      </c>
      <c r="AF337" s="261">
        <f t="shared" si="215"/>
        <v>-4959508.4970497834</v>
      </c>
      <c r="AG337" s="261">
        <f t="shared" si="215"/>
        <v>-4959508.4970497834</v>
      </c>
      <c r="AH337" s="261">
        <f t="shared" si="215"/>
        <v>-4959508.4970497834</v>
      </c>
      <c r="AI337" s="261">
        <f t="shared" si="215"/>
        <v>-4959508.4970497834</v>
      </c>
      <c r="AJ337" s="261">
        <f t="shared" si="215"/>
        <v>-4959508.4970497834</v>
      </c>
      <c r="AK337" s="261">
        <f t="shared" si="215"/>
        <v>-4959508.4970497834</v>
      </c>
      <c r="AL337" s="261">
        <f t="shared" si="215"/>
        <v>-4959508.4970497834</v>
      </c>
      <c r="AM337" s="261">
        <f t="shared" si="215"/>
        <v>-3506067.9358602548</v>
      </c>
      <c r="AN337" s="261">
        <f t="shared" si="215"/>
        <v>-2602228.0818141969</v>
      </c>
      <c r="AO337" s="261">
        <f t="shared" si="215"/>
        <v>-5537212.7180729993</v>
      </c>
      <c r="AP337" s="261">
        <f t="shared" si="215"/>
        <v>-5537212.7180729993</v>
      </c>
      <c r="AQ337" s="261">
        <f t="shared" si="215"/>
        <v>-5537212.7180729993</v>
      </c>
      <c r="AR337" s="261">
        <f t="shared" si="215"/>
        <v>-5537212.7180729993</v>
      </c>
      <c r="AS337" s="261">
        <f t="shared" si="215"/>
        <v>-5537212.7180729993</v>
      </c>
      <c r="AT337" s="266">
        <f t="shared" si="215"/>
        <v>-5537212.7180729993</v>
      </c>
      <c r="AU337" s="166"/>
      <c r="AV337" s="166"/>
      <c r="AW337" s="166"/>
      <c r="AX337" s="166"/>
      <c r="AY337" s="166"/>
      <c r="AZ337" s="166"/>
      <c r="BA337" s="166"/>
      <c r="BB337" s="166"/>
      <c r="BC337" s="166"/>
      <c r="BD337" s="166"/>
      <c r="BE337" s="166"/>
      <c r="BF337" s="166"/>
      <c r="BG337" s="166"/>
      <c r="BH337" s="166"/>
      <c r="BI337" s="166"/>
      <c r="BJ337" s="166"/>
      <c r="BK337" s="166"/>
      <c r="BL337" s="166"/>
      <c r="BM337" s="166"/>
      <c r="BN337" s="166"/>
    </row>
    <row r="338" spans="2:66" x14ac:dyDescent="0.25">
      <c r="B338" s="836" t="s">
        <v>444</v>
      </c>
      <c r="C338" s="268">
        <v>0</v>
      </c>
      <c r="D338" s="268">
        <v>0</v>
      </c>
      <c r="E338" s="268">
        <v>0</v>
      </c>
      <c r="F338" s="268">
        <v>0</v>
      </c>
      <c r="G338" s="178">
        <f t="shared" ref="G338:AT338" si="216">G335+G336+G337</f>
        <v>-2889874.4538103854</v>
      </c>
      <c r="H338" s="178">
        <f t="shared" si="216"/>
        <v>-1167948.2756582629</v>
      </c>
      <c r="I338" s="178">
        <f t="shared" si="216"/>
        <v>-849611.23211572319</v>
      </c>
      <c r="J338" s="178">
        <f t="shared" si="216"/>
        <v>-866339.52501521446</v>
      </c>
      <c r="K338" s="178">
        <f t="shared" si="216"/>
        <v>-7432351.5619976344</v>
      </c>
      <c r="L338" s="178">
        <f t="shared" si="216"/>
        <v>-335293.71422590781</v>
      </c>
      <c r="M338" s="178">
        <f t="shared" si="216"/>
        <v>-17710.417904211208</v>
      </c>
      <c r="N338" s="178">
        <f t="shared" si="216"/>
        <v>-81892.298100830987</v>
      </c>
      <c r="O338" s="178">
        <f t="shared" si="216"/>
        <v>206850.41886447649</v>
      </c>
      <c r="P338" s="178">
        <f t="shared" si="216"/>
        <v>-7404481.9501412855</v>
      </c>
      <c r="Q338" s="178">
        <f t="shared" si="216"/>
        <v>1032510.4353774413</v>
      </c>
      <c r="R338" s="178">
        <f t="shared" si="216"/>
        <v>232579.3891114518</v>
      </c>
      <c r="S338" s="178">
        <f t="shared" si="216"/>
        <v>504306.6464453619</v>
      </c>
      <c r="T338" s="178">
        <f t="shared" si="216"/>
        <v>382487.30866041966</v>
      </c>
      <c r="U338" s="178">
        <f t="shared" si="216"/>
        <v>-7624225.8717689905</v>
      </c>
      <c r="V338" s="178">
        <f t="shared" si="216"/>
        <v>1570330.1269002985</v>
      </c>
      <c r="W338" s="178">
        <f t="shared" si="216"/>
        <v>1862524.8674882101</v>
      </c>
      <c r="X338" s="178">
        <f t="shared" si="216"/>
        <v>352828.1975484509</v>
      </c>
      <c r="Y338" s="178">
        <f t="shared" si="216"/>
        <v>740142.7324349219</v>
      </c>
      <c r="Z338" s="178">
        <f t="shared" si="216"/>
        <v>-8426673.4911208563</v>
      </c>
      <c r="AA338" s="178">
        <f t="shared" si="216"/>
        <v>1088745.670559423</v>
      </c>
      <c r="AB338" s="178">
        <f t="shared" si="216"/>
        <v>1025134.1286745695</v>
      </c>
      <c r="AC338" s="178">
        <f t="shared" si="216"/>
        <v>1189201.2421147497</v>
      </c>
      <c r="AD338" s="178">
        <f t="shared" si="216"/>
        <v>1030496.3964197058</v>
      </c>
      <c r="AE338" s="178">
        <f t="shared" si="216"/>
        <v>-8624068.4649050348</v>
      </c>
      <c r="AF338" s="178">
        <f t="shared" si="216"/>
        <v>1215600.6069491403</v>
      </c>
      <c r="AG338" s="178">
        <f t="shared" si="216"/>
        <v>1579989.6629923275</v>
      </c>
      <c r="AH338" s="178">
        <f t="shared" si="216"/>
        <v>1405000.3980576713</v>
      </c>
      <c r="AI338" s="178">
        <f t="shared" si="216"/>
        <v>1782453.0372381238</v>
      </c>
      <c r="AJ338" s="178">
        <f t="shared" si="216"/>
        <v>-9395756.5125131607</v>
      </c>
      <c r="AK338" s="178">
        <f t="shared" si="216"/>
        <v>1989641.4003512459</v>
      </c>
      <c r="AL338" s="178">
        <f t="shared" si="216"/>
        <v>1796655.5112942094</v>
      </c>
      <c r="AM338" s="178">
        <f t="shared" si="216"/>
        <v>3654992.0797265256</v>
      </c>
      <c r="AN338" s="178">
        <f t="shared" si="216"/>
        <v>4356148.8876944194</v>
      </c>
      <c r="AO338" s="178">
        <f t="shared" si="216"/>
        <v>-10239699.544004578</v>
      </c>
      <c r="AP338" s="178">
        <f t="shared" si="216"/>
        <v>1627586.0185743496</v>
      </c>
      <c r="AQ338" s="178">
        <f t="shared" si="216"/>
        <v>2061763.3005147092</v>
      </c>
      <c r="AR338" s="178">
        <f t="shared" si="216"/>
        <v>1838163.9048577212</v>
      </c>
      <c r="AS338" s="178">
        <f t="shared" si="216"/>
        <v>2287702.8598298952</v>
      </c>
      <c r="AT338" s="265">
        <f t="shared" si="216"/>
        <v>-11220271.571943875</v>
      </c>
      <c r="AU338" s="166"/>
      <c r="AV338" s="166"/>
      <c r="AW338" s="166"/>
      <c r="AX338" s="166"/>
      <c r="AY338" s="166"/>
      <c r="AZ338" s="166"/>
      <c r="BA338" s="166"/>
      <c r="BB338" s="166"/>
      <c r="BC338" s="166"/>
      <c r="BD338" s="166"/>
      <c r="BE338" s="166"/>
      <c r="BF338" s="166"/>
      <c r="BG338" s="166"/>
      <c r="BH338" s="166"/>
      <c r="BI338" s="166"/>
      <c r="BJ338" s="166"/>
      <c r="BK338" s="166"/>
      <c r="BL338" s="166"/>
      <c r="BM338" s="166"/>
      <c r="BN338" s="166"/>
    </row>
    <row r="339" spans="2:66" x14ac:dyDescent="0.25">
      <c r="B339" s="836" t="s">
        <v>443</v>
      </c>
      <c r="C339" s="268">
        <v>0</v>
      </c>
      <c r="D339" s="268">
        <v>0</v>
      </c>
      <c r="E339" s="268">
        <v>0</v>
      </c>
      <c r="F339" s="268">
        <v>0</v>
      </c>
      <c r="G339" s="178">
        <f>IF(G338&gt;0,-$C$24*G338,0)</f>
        <v>0</v>
      </c>
      <c r="H339" s="178">
        <f t="shared" ref="H339:AT339" si="217">IF(H338&gt;0,-$C$24*H338,0)</f>
        <v>0</v>
      </c>
      <c r="I339" s="178">
        <f t="shared" si="217"/>
        <v>0</v>
      </c>
      <c r="J339" s="178">
        <f t="shared" si="217"/>
        <v>0</v>
      </c>
      <c r="K339" s="178">
        <f t="shared" si="217"/>
        <v>0</v>
      </c>
      <c r="L339" s="178">
        <f t="shared" si="217"/>
        <v>0</v>
      </c>
      <c r="M339" s="178">
        <f t="shared" si="217"/>
        <v>0</v>
      </c>
      <c r="N339" s="178">
        <f t="shared" si="217"/>
        <v>0</v>
      </c>
      <c r="O339" s="178">
        <f t="shared" si="217"/>
        <v>-72397.646602566761</v>
      </c>
      <c r="P339" s="178">
        <f t="shared" si="217"/>
        <v>0</v>
      </c>
      <c r="Q339" s="178">
        <f t="shared" si="217"/>
        <v>-361378.65238210442</v>
      </c>
      <c r="R339" s="178">
        <f t="shared" si="217"/>
        <v>-81402.786189008126</v>
      </c>
      <c r="S339" s="178">
        <f t="shared" si="217"/>
        <v>-176507.32625587666</v>
      </c>
      <c r="T339" s="178">
        <f t="shared" si="217"/>
        <v>-133870.55803114688</v>
      </c>
      <c r="U339" s="178">
        <f t="shared" si="217"/>
        <v>0</v>
      </c>
      <c r="V339" s="178">
        <f t="shared" si="217"/>
        <v>-549615.54441510444</v>
      </c>
      <c r="W339" s="178">
        <f t="shared" si="217"/>
        <v>-651883.70362087351</v>
      </c>
      <c r="X339" s="178">
        <f t="shared" si="217"/>
        <v>-123489.86914195781</v>
      </c>
      <c r="Y339" s="178">
        <f t="shared" si="217"/>
        <v>-259049.95635222265</v>
      </c>
      <c r="Z339" s="178">
        <f t="shared" si="217"/>
        <v>0</v>
      </c>
      <c r="AA339" s="178">
        <f t="shared" si="217"/>
        <v>-381060.98469579802</v>
      </c>
      <c r="AB339" s="178">
        <f t="shared" si="217"/>
        <v>-358796.94503609929</v>
      </c>
      <c r="AC339" s="178">
        <f t="shared" si="217"/>
        <v>-416220.4347401624</v>
      </c>
      <c r="AD339" s="178">
        <f t="shared" si="217"/>
        <v>-360673.73874689703</v>
      </c>
      <c r="AE339" s="178">
        <f t="shared" si="217"/>
        <v>0</v>
      </c>
      <c r="AF339" s="178">
        <f t="shared" si="217"/>
        <v>-425460.2124321991</v>
      </c>
      <c r="AG339" s="178">
        <f t="shared" si="217"/>
        <v>-552996.38204731455</v>
      </c>
      <c r="AH339" s="178">
        <f t="shared" si="217"/>
        <v>-491750.13932018488</v>
      </c>
      <c r="AI339" s="178">
        <f t="shared" si="217"/>
        <v>-623858.56303334329</v>
      </c>
      <c r="AJ339" s="178">
        <f t="shared" si="217"/>
        <v>0</v>
      </c>
      <c r="AK339" s="178">
        <f t="shared" si="217"/>
        <v>-696374.49012293597</v>
      </c>
      <c r="AL339" s="178">
        <f t="shared" si="217"/>
        <v>-628829.42895297322</v>
      </c>
      <c r="AM339" s="178">
        <f t="shared" si="217"/>
        <v>-1279247.2279042839</v>
      </c>
      <c r="AN339" s="178">
        <f t="shared" si="217"/>
        <v>-1524652.1106930466</v>
      </c>
      <c r="AO339" s="178">
        <f t="shared" si="217"/>
        <v>0</v>
      </c>
      <c r="AP339" s="178">
        <f t="shared" si="217"/>
        <v>-569655.10650102235</v>
      </c>
      <c r="AQ339" s="178">
        <f t="shared" si="217"/>
        <v>-721617.1551801482</v>
      </c>
      <c r="AR339" s="178">
        <f t="shared" si="217"/>
        <v>-643357.36670020234</v>
      </c>
      <c r="AS339" s="178">
        <f t="shared" si="217"/>
        <v>-800696.00094046327</v>
      </c>
      <c r="AT339" s="265">
        <f t="shared" si="217"/>
        <v>0</v>
      </c>
      <c r="AU339" s="166"/>
      <c r="AV339" s="166"/>
      <c r="AW339" s="166"/>
      <c r="AX339" s="166"/>
      <c r="AY339" s="166"/>
      <c r="AZ339" s="166"/>
      <c r="BA339" s="166"/>
      <c r="BB339" s="166"/>
      <c r="BC339" s="166"/>
      <c r="BD339" s="166"/>
      <c r="BE339" s="166"/>
      <c r="BF339" s="166"/>
      <c r="BG339" s="166"/>
      <c r="BH339" s="166"/>
      <c r="BI339" s="166"/>
      <c r="BJ339" s="166"/>
      <c r="BK339" s="166"/>
      <c r="BL339" s="166"/>
      <c r="BM339" s="166"/>
      <c r="BN339" s="166"/>
    </row>
    <row r="340" spans="2:66" ht="14.4" x14ac:dyDescent="0.25">
      <c r="B340" s="841" t="s">
        <v>445</v>
      </c>
      <c r="C340" s="801">
        <v>0</v>
      </c>
      <c r="D340" s="801">
        <v>0</v>
      </c>
      <c r="E340" s="801">
        <v>0</v>
      </c>
      <c r="F340" s="801">
        <v>0</v>
      </c>
      <c r="G340" s="262">
        <f>G338+G339</f>
        <v>-2889874.4538103854</v>
      </c>
      <c r="H340" s="262">
        <f t="shared" ref="H340:AT340" si="218">H338+H339</f>
        <v>-1167948.2756582629</v>
      </c>
      <c r="I340" s="262">
        <f t="shared" si="218"/>
        <v>-849611.23211572319</v>
      </c>
      <c r="J340" s="262">
        <f t="shared" si="218"/>
        <v>-866339.52501521446</v>
      </c>
      <c r="K340" s="262">
        <f t="shared" si="218"/>
        <v>-7432351.5619976344</v>
      </c>
      <c r="L340" s="262">
        <f t="shared" si="218"/>
        <v>-335293.71422590781</v>
      </c>
      <c r="M340" s="262">
        <f t="shared" si="218"/>
        <v>-17710.417904211208</v>
      </c>
      <c r="N340" s="262">
        <f t="shared" si="218"/>
        <v>-81892.298100830987</v>
      </c>
      <c r="O340" s="262">
        <f t="shared" si="218"/>
        <v>134452.77226190973</v>
      </c>
      <c r="P340" s="262">
        <f t="shared" si="218"/>
        <v>-7404481.9501412855</v>
      </c>
      <c r="Q340" s="262">
        <f t="shared" si="218"/>
        <v>671131.78299533692</v>
      </c>
      <c r="R340" s="262">
        <f t="shared" si="218"/>
        <v>151176.60292244368</v>
      </c>
      <c r="S340" s="262">
        <f t="shared" si="218"/>
        <v>327799.32018948521</v>
      </c>
      <c r="T340" s="262">
        <f t="shared" si="218"/>
        <v>248616.75062927278</v>
      </c>
      <c r="U340" s="262">
        <f t="shared" si="218"/>
        <v>-7624225.8717689905</v>
      </c>
      <c r="V340" s="262">
        <f t="shared" si="218"/>
        <v>1020714.5824851941</v>
      </c>
      <c r="W340" s="262">
        <f t="shared" si="218"/>
        <v>1210641.1638673367</v>
      </c>
      <c r="X340" s="262">
        <f t="shared" si="218"/>
        <v>229338.32840649309</v>
      </c>
      <c r="Y340" s="262">
        <f t="shared" si="218"/>
        <v>481092.77608269925</v>
      </c>
      <c r="Z340" s="262">
        <f t="shared" si="218"/>
        <v>-8426673.4911208563</v>
      </c>
      <c r="AA340" s="262">
        <f t="shared" si="218"/>
        <v>707684.68586362503</v>
      </c>
      <c r="AB340" s="262">
        <f t="shared" si="218"/>
        <v>666337.18363847025</v>
      </c>
      <c r="AC340" s="262">
        <f t="shared" si="218"/>
        <v>772980.80737458728</v>
      </c>
      <c r="AD340" s="262">
        <f t="shared" si="218"/>
        <v>669822.65767280874</v>
      </c>
      <c r="AE340" s="262">
        <f t="shared" si="218"/>
        <v>-8624068.4649050348</v>
      </c>
      <c r="AF340" s="262">
        <f t="shared" si="218"/>
        <v>790140.39451694116</v>
      </c>
      <c r="AG340" s="262">
        <f t="shared" si="218"/>
        <v>1026993.2809450129</v>
      </c>
      <c r="AH340" s="262">
        <f t="shared" si="218"/>
        <v>913250.25873748632</v>
      </c>
      <c r="AI340" s="262">
        <f t="shared" si="218"/>
        <v>1158594.4742047805</v>
      </c>
      <c r="AJ340" s="262">
        <f t="shared" si="218"/>
        <v>-9395756.5125131607</v>
      </c>
      <c r="AK340" s="262">
        <f t="shared" si="218"/>
        <v>1293266.9102283099</v>
      </c>
      <c r="AL340" s="262">
        <f t="shared" si="218"/>
        <v>1167826.0823412361</v>
      </c>
      <c r="AM340" s="262">
        <f t="shared" si="218"/>
        <v>2375744.8518222417</v>
      </c>
      <c r="AN340" s="262">
        <f t="shared" si="218"/>
        <v>2831496.7770013725</v>
      </c>
      <c r="AO340" s="262">
        <f t="shared" si="218"/>
        <v>-10239699.544004578</v>
      </c>
      <c r="AP340" s="262">
        <f t="shared" si="218"/>
        <v>1057930.9120733272</v>
      </c>
      <c r="AQ340" s="262">
        <f t="shared" si="218"/>
        <v>1340146.1453345609</v>
      </c>
      <c r="AR340" s="262">
        <f t="shared" si="218"/>
        <v>1194806.538157519</v>
      </c>
      <c r="AS340" s="262">
        <f t="shared" si="218"/>
        <v>1487006.8588894319</v>
      </c>
      <c r="AT340" s="267">
        <f t="shared" si="218"/>
        <v>-11220271.571943875</v>
      </c>
      <c r="AU340" s="166"/>
      <c r="AV340" s="166"/>
      <c r="AW340" s="166"/>
      <c r="AX340" s="166"/>
      <c r="AY340" s="166"/>
      <c r="AZ340" s="166"/>
      <c r="BA340" s="166"/>
      <c r="BB340" s="166"/>
      <c r="BC340" s="166"/>
      <c r="BD340" s="166"/>
      <c r="BE340" s="166"/>
      <c r="BF340" s="166"/>
      <c r="BG340" s="166"/>
      <c r="BH340" s="166"/>
      <c r="BI340" s="166"/>
      <c r="BJ340" s="166"/>
      <c r="BK340" s="166"/>
      <c r="BL340" s="166"/>
      <c r="BM340" s="166"/>
      <c r="BN340" s="166"/>
    </row>
    <row r="341" spans="2:66" x14ac:dyDescent="0.25">
      <c r="B341" s="836" t="s">
        <v>446</v>
      </c>
      <c r="C341" s="268">
        <v>0</v>
      </c>
      <c r="D341" s="268">
        <v>0</v>
      </c>
      <c r="E341" s="268">
        <v>0</v>
      </c>
      <c r="F341" s="268">
        <v>0</v>
      </c>
      <c r="G341" s="178">
        <f>-G337</f>
        <v>4476318.6173797483</v>
      </c>
      <c r="H341" s="178">
        <f t="shared" ref="H341:AT341" si="219">-H337</f>
        <v>4476318.6173797483</v>
      </c>
      <c r="I341" s="178">
        <f t="shared" si="219"/>
        <v>4476318.6173797483</v>
      </c>
      <c r="J341" s="178">
        <f t="shared" si="219"/>
        <v>4476318.6173797483</v>
      </c>
      <c r="K341" s="178">
        <f t="shared" si="219"/>
        <v>4476318.6173797483</v>
      </c>
      <c r="L341" s="178">
        <f t="shared" si="219"/>
        <v>4226566.6672863076</v>
      </c>
      <c r="M341" s="178">
        <f t="shared" si="219"/>
        <v>4226566.6672863076</v>
      </c>
      <c r="N341" s="178">
        <f t="shared" si="219"/>
        <v>4226566.6672863076</v>
      </c>
      <c r="O341" s="178">
        <f t="shared" si="219"/>
        <v>4226566.6672863076</v>
      </c>
      <c r="P341" s="178">
        <f t="shared" si="219"/>
        <v>4226566.6672863076</v>
      </c>
      <c r="Q341" s="178">
        <f t="shared" si="219"/>
        <v>3636188.9104059879</v>
      </c>
      <c r="R341" s="178">
        <f t="shared" si="219"/>
        <v>4364578.243786227</v>
      </c>
      <c r="S341" s="178">
        <f t="shared" si="219"/>
        <v>4364578.243786227</v>
      </c>
      <c r="T341" s="178">
        <f t="shared" si="219"/>
        <v>4364578.243786227</v>
      </c>
      <c r="U341" s="178">
        <f t="shared" si="219"/>
        <v>4364578.243786227</v>
      </c>
      <c r="V341" s="178">
        <f t="shared" si="219"/>
        <v>3330617.415194436</v>
      </c>
      <c r="W341" s="178">
        <f t="shared" si="219"/>
        <v>3330617.415194436</v>
      </c>
      <c r="X341" s="178">
        <f t="shared" si="219"/>
        <v>4784057.9763839645</v>
      </c>
      <c r="Y341" s="178">
        <f t="shared" si="219"/>
        <v>4784057.9763839645</v>
      </c>
      <c r="Z341" s="178">
        <f t="shared" si="219"/>
        <v>4784057.9763839645</v>
      </c>
      <c r="AA341" s="178">
        <f t="shared" si="219"/>
        <v>4784057.9763839645</v>
      </c>
      <c r="AB341" s="178">
        <f t="shared" si="219"/>
        <v>4784057.9763839645</v>
      </c>
      <c r="AC341" s="178">
        <f t="shared" si="219"/>
        <v>4959508.4970497834</v>
      </c>
      <c r="AD341" s="178">
        <f t="shared" si="219"/>
        <v>4959508.4970497834</v>
      </c>
      <c r="AE341" s="178">
        <f t="shared" si="219"/>
        <v>4959508.4970497834</v>
      </c>
      <c r="AF341" s="178">
        <f t="shared" si="219"/>
        <v>4959508.4970497834</v>
      </c>
      <c r="AG341" s="178">
        <f t="shared" si="219"/>
        <v>4959508.4970497834</v>
      </c>
      <c r="AH341" s="178">
        <f t="shared" si="219"/>
        <v>4959508.4970497834</v>
      </c>
      <c r="AI341" s="178">
        <f t="shared" si="219"/>
        <v>4959508.4970497834</v>
      </c>
      <c r="AJ341" s="178">
        <f t="shared" si="219"/>
        <v>4959508.4970497834</v>
      </c>
      <c r="AK341" s="178">
        <f t="shared" si="219"/>
        <v>4959508.4970497834</v>
      </c>
      <c r="AL341" s="178">
        <f t="shared" si="219"/>
        <v>4959508.4970497834</v>
      </c>
      <c r="AM341" s="178">
        <f t="shared" si="219"/>
        <v>3506067.9358602548</v>
      </c>
      <c r="AN341" s="178">
        <f t="shared" si="219"/>
        <v>2602228.0818141969</v>
      </c>
      <c r="AO341" s="178">
        <f t="shared" si="219"/>
        <v>5537212.7180729993</v>
      </c>
      <c r="AP341" s="178">
        <f t="shared" si="219"/>
        <v>5537212.7180729993</v>
      </c>
      <c r="AQ341" s="178">
        <f t="shared" si="219"/>
        <v>5537212.7180729993</v>
      </c>
      <c r="AR341" s="178">
        <f t="shared" si="219"/>
        <v>5537212.7180729993</v>
      </c>
      <c r="AS341" s="178">
        <f t="shared" si="219"/>
        <v>5537212.7180729993</v>
      </c>
      <c r="AT341" s="265">
        <f t="shared" si="219"/>
        <v>5537212.7180729993</v>
      </c>
      <c r="AU341" s="166"/>
      <c r="AV341" s="166"/>
      <c r="AW341" s="166"/>
      <c r="AX341" s="166"/>
      <c r="AY341" s="166"/>
      <c r="AZ341" s="166"/>
      <c r="BA341" s="166"/>
      <c r="BB341" s="166"/>
      <c r="BC341" s="166"/>
      <c r="BD341" s="166"/>
      <c r="BE341" s="166"/>
      <c r="BF341" s="166"/>
      <c r="BG341" s="166"/>
      <c r="BH341" s="166"/>
      <c r="BI341" s="166"/>
      <c r="BJ341" s="166"/>
      <c r="BK341" s="166"/>
      <c r="BL341" s="166"/>
      <c r="BM341" s="166"/>
      <c r="BN341" s="166"/>
    </row>
    <row r="342" spans="2:66" ht="15" thickBot="1" x14ac:dyDescent="0.3">
      <c r="B342" s="842" t="s">
        <v>386</v>
      </c>
      <c r="C342" s="828"/>
      <c r="D342" s="828"/>
      <c r="E342" s="828"/>
      <c r="F342" s="828"/>
      <c r="G342" s="828">
        <f>G340+G341</f>
        <v>1586444.1635693628</v>
      </c>
      <c r="H342" s="828">
        <f t="shared" ref="H342:AT342" si="220">H340+H341</f>
        <v>3308370.3417214854</v>
      </c>
      <c r="I342" s="828">
        <f t="shared" si="220"/>
        <v>3626707.3852640251</v>
      </c>
      <c r="J342" s="828">
        <f t="shared" si="220"/>
        <v>3609979.0923645338</v>
      </c>
      <c r="K342" s="828">
        <f t="shared" si="220"/>
        <v>-2956032.9446178861</v>
      </c>
      <c r="L342" s="828">
        <f t="shared" si="220"/>
        <v>3891272.9530603997</v>
      </c>
      <c r="M342" s="828">
        <f t="shared" si="220"/>
        <v>4208856.2493820963</v>
      </c>
      <c r="N342" s="828">
        <f t="shared" si="220"/>
        <v>4144674.3691854766</v>
      </c>
      <c r="O342" s="828">
        <f t="shared" si="220"/>
        <v>4361019.4395482177</v>
      </c>
      <c r="P342" s="828">
        <f t="shared" si="220"/>
        <v>-3177915.282854978</v>
      </c>
      <c r="Q342" s="828">
        <f t="shared" si="220"/>
        <v>4307320.6934013246</v>
      </c>
      <c r="R342" s="828">
        <f t="shared" si="220"/>
        <v>4515754.8467086703</v>
      </c>
      <c r="S342" s="828">
        <f t="shared" si="220"/>
        <v>4692377.5639757123</v>
      </c>
      <c r="T342" s="828">
        <f t="shared" si="220"/>
        <v>4613194.9944154993</v>
      </c>
      <c r="U342" s="828">
        <f t="shared" si="220"/>
        <v>-3259647.6279827636</v>
      </c>
      <c r="V342" s="828">
        <f t="shared" si="220"/>
        <v>4351331.9976796303</v>
      </c>
      <c r="W342" s="828">
        <f t="shared" si="220"/>
        <v>4541258.5790617727</v>
      </c>
      <c r="X342" s="828">
        <f t="shared" si="220"/>
        <v>5013396.3047904577</v>
      </c>
      <c r="Y342" s="828">
        <f t="shared" si="220"/>
        <v>5265150.7524666637</v>
      </c>
      <c r="Z342" s="828">
        <f t="shared" si="220"/>
        <v>-3642615.5147368917</v>
      </c>
      <c r="AA342" s="828">
        <f t="shared" si="220"/>
        <v>5491742.6622475898</v>
      </c>
      <c r="AB342" s="828">
        <f t="shared" si="220"/>
        <v>5450395.1600224348</v>
      </c>
      <c r="AC342" s="828">
        <f t="shared" si="220"/>
        <v>5732489.3044243706</v>
      </c>
      <c r="AD342" s="828">
        <f t="shared" si="220"/>
        <v>5629331.1547225919</v>
      </c>
      <c r="AE342" s="828">
        <f t="shared" si="220"/>
        <v>-3664559.9678552514</v>
      </c>
      <c r="AF342" s="828">
        <f t="shared" si="220"/>
        <v>5749648.8915667245</v>
      </c>
      <c r="AG342" s="828">
        <f t="shared" si="220"/>
        <v>5986501.7779947966</v>
      </c>
      <c r="AH342" s="828">
        <f t="shared" si="220"/>
        <v>5872758.7557872701</v>
      </c>
      <c r="AI342" s="828">
        <f t="shared" si="220"/>
        <v>6118102.9712545639</v>
      </c>
      <c r="AJ342" s="828">
        <f t="shared" si="220"/>
        <v>-4436248.0154633773</v>
      </c>
      <c r="AK342" s="828">
        <f t="shared" si="220"/>
        <v>6252775.4072780935</v>
      </c>
      <c r="AL342" s="828">
        <f t="shared" si="220"/>
        <v>6127334.5793910194</v>
      </c>
      <c r="AM342" s="828">
        <f t="shared" si="220"/>
        <v>5881812.787682496</v>
      </c>
      <c r="AN342" s="828">
        <f t="shared" si="220"/>
        <v>5433724.8588155694</v>
      </c>
      <c r="AO342" s="828">
        <f t="shared" si="220"/>
        <v>-4702486.8259315789</v>
      </c>
      <c r="AP342" s="828">
        <f t="shared" si="220"/>
        <v>6595143.6301463265</v>
      </c>
      <c r="AQ342" s="828">
        <f t="shared" si="220"/>
        <v>6877358.8634075597</v>
      </c>
      <c r="AR342" s="828">
        <f t="shared" si="220"/>
        <v>6732019.2562305182</v>
      </c>
      <c r="AS342" s="828">
        <f t="shared" si="220"/>
        <v>7024219.576962431</v>
      </c>
      <c r="AT342" s="829">
        <f t="shared" si="220"/>
        <v>-5683058.8538708761</v>
      </c>
      <c r="AU342" s="166"/>
      <c r="AV342" s="166"/>
      <c r="AW342" s="166"/>
      <c r="AX342" s="166"/>
      <c r="AY342" s="166"/>
      <c r="AZ342" s="166"/>
      <c r="BA342" s="166"/>
      <c r="BB342" s="166"/>
      <c r="BC342" s="166"/>
      <c r="BD342" s="166"/>
      <c r="BE342" s="166"/>
      <c r="BF342" s="166"/>
      <c r="BG342" s="166"/>
      <c r="BH342" s="166"/>
      <c r="BI342" s="166"/>
      <c r="BJ342" s="166"/>
      <c r="BK342" s="166"/>
      <c r="BL342" s="166"/>
      <c r="BM342" s="166"/>
      <c r="BN342" s="166"/>
    </row>
    <row r="343" spans="2:66" ht="15" thickBot="1" x14ac:dyDescent="0.3">
      <c r="B343" s="839"/>
      <c r="C343" s="811"/>
      <c r="D343" s="811"/>
      <c r="E343" s="811"/>
      <c r="F343" s="811"/>
      <c r="G343" s="811"/>
      <c r="H343" s="811"/>
      <c r="I343" s="811"/>
      <c r="J343" s="811"/>
      <c r="K343" s="811"/>
      <c r="L343" s="811"/>
      <c r="M343" s="811"/>
      <c r="N343" s="811"/>
      <c r="O343" s="811"/>
      <c r="P343" s="811"/>
      <c r="Q343" s="811"/>
      <c r="R343" s="811"/>
      <c r="S343" s="811"/>
      <c r="T343" s="811"/>
      <c r="U343" s="811"/>
      <c r="V343" s="811"/>
      <c r="W343" s="811"/>
      <c r="X343" s="811"/>
      <c r="Y343" s="811"/>
      <c r="Z343" s="811"/>
      <c r="AA343" s="811"/>
      <c r="AB343" s="811"/>
      <c r="AC343" s="811"/>
      <c r="AD343" s="811"/>
      <c r="AE343" s="811"/>
      <c r="AF343" s="811"/>
      <c r="AG343" s="811"/>
      <c r="AH343" s="811"/>
      <c r="AI343" s="811"/>
      <c r="AJ343" s="811"/>
      <c r="AK343" s="811"/>
      <c r="AL343" s="811"/>
      <c r="AM343" s="811"/>
      <c r="AN343" s="811"/>
      <c r="AO343" s="811"/>
      <c r="AP343" s="811"/>
      <c r="AQ343" s="811"/>
      <c r="AR343" s="811"/>
      <c r="AS343" s="811"/>
      <c r="AT343" s="811"/>
      <c r="AU343" s="166"/>
      <c r="AV343" s="166"/>
      <c r="AW343" s="166"/>
      <c r="AX343" s="166"/>
      <c r="AY343" s="166"/>
      <c r="AZ343" s="166"/>
      <c r="BA343" s="166"/>
      <c r="BB343" s="166"/>
      <c r="BC343" s="166"/>
      <c r="BD343" s="166"/>
      <c r="BE343" s="166"/>
      <c r="BF343" s="166"/>
      <c r="BG343" s="166"/>
      <c r="BH343" s="166"/>
      <c r="BI343" s="166"/>
      <c r="BJ343" s="166"/>
      <c r="BK343" s="166"/>
      <c r="BL343" s="166"/>
      <c r="BM343" s="166"/>
      <c r="BN343" s="166"/>
    </row>
    <row r="344" spans="2:66" ht="14.4" x14ac:dyDescent="0.25">
      <c r="B344" s="835" t="s">
        <v>447</v>
      </c>
      <c r="C344" s="818"/>
      <c r="D344" s="818"/>
      <c r="E344" s="818"/>
      <c r="F344" s="818"/>
      <c r="G344" s="818"/>
      <c r="H344" s="818"/>
      <c r="I344" s="818"/>
      <c r="J344" s="818"/>
      <c r="K344" s="818"/>
      <c r="L344" s="818"/>
      <c r="M344" s="818"/>
      <c r="N344" s="818"/>
      <c r="O344" s="818"/>
      <c r="P344" s="818"/>
      <c r="Q344" s="818"/>
      <c r="R344" s="818"/>
      <c r="S344" s="818"/>
      <c r="T344" s="818"/>
      <c r="U344" s="818"/>
      <c r="V344" s="818"/>
      <c r="W344" s="818"/>
      <c r="X344" s="818"/>
      <c r="Y344" s="818"/>
      <c r="Z344" s="818"/>
      <c r="AA344" s="818"/>
      <c r="AB344" s="818"/>
      <c r="AC344" s="818"/>
      <c r="AD344" s="818"/>
      <c r="AE344" s="818"/>
      <c r="AF344" s="818"/>
      <c r="AG344" s="818"/>
      <c r="AH344" s="818"/>
      <c r="AI344" s="818"/>
      <c r="AJ344" s="818"/>
      <c r="AK344" s="818"/>
      <c r="AL344" s="818"/>
      <c r="AM344" s="818"/>
      <c r="AN344" s="818"/>
      <c r="AO344" s="818"/>
      <c r="AP344" s="818"/>
      <c r="AQ344" s="818"/>
      <c r="AR344" s="818"/>
      <c r="AS344" s="818"/>
      <c r="AT344" s="819"/>
      <c r="AU344" s="166"/>
      <c r="AV344" s="166"/>
      <c r="AW344" s="166"/>
      <c r="AX344" s="166"/>
      <c r="AY344" s="166"/>
      <c r="AZ344" s="166"/>
      <c r="BA344" s="166"/>
      <c r="BB344" s="166"/>
      <c r="BC344" s="166"/>
      <c r="BD344" s="166"/>
      <c r="BE344" s="166"/>
      <c r="BF344" s="166"/>
      <c r="BG344" s="166"/>
      <c r="BH344" s="166"/>
      <c r="BI344" s="166"/>
      <c r="BJ344" s="166"/>
      <c r="BK344" s="166"/>
      <c r="BL344" s="166"/>
      <c r="BM344" s="166"/>
      <c r="BN344" s="166"/>
    </row>
    <row r="345" spans="2:66" x14ac:dyDescent="0.25">
      <c r="B345" s="836" t="s">
        <v>448</v>
      </c>
      <c r="C345" s="268">
        <f>C269</f>
        <v>-7968994.6529367194</v>
      </c>
      <c r="D345" s="268">
        <f t="shared" ref="D345:F345" si="221">D269</f>
        <v>-31237973.050517157</v>
      </c>
      <c r="E345" s="268">
        <f t="shared" si="221"/>
        <v>-82610243.589414939</v>
      </c>
      <c r="F345" s="268">
        <f t="shared" si="221"/>
        <v>-33733581.890470475</v>
      </c>
      <c r="G345" s="178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  <c r="AN345" s="178"/>
      <c r="AO345" s="178"/>
      <c r="AP345" s="178"/>
      <c r="AQ345" s="178"/>
      <c r="AR345" s="178"/>
      <c r="AS345" s="178"/>
      <c r="AT345" s="265"/>
      <c r="AU345" s="166"/>
      <c r="AV345" s="166"/>
      <c r="AW345" s="166"/>
      <c r="AX345" s="166"/>
      <c r="AY345" s="166"/>
      <c r="AZ345" s="166"/>
      <c r="BA345" s="166"/>
      <c r="BB345" s="166"/>
      <c r="BC345" s="166"/>
      <c r="BD345" s="166"/>
      <c r="BE345" s="166"/>
      <c r="BF345" s="166"/>
      <c r="BG345" s="166"/>
      <c r="BH345" s="166"/>
      <c r="BI345" s="166"/>
      <c r="BJ345" s="166"/>
      <c r="BK345" s="166"/>
      <c r="BL345" s="166"/>
      <c r="BM345" s="166"/>
      <c r="BN345" s="166"/>
    </row>
    <row r="346" spans="2:66" x14ac:dyDescent="0.25">
      <c r="B346" s="836" t="s">
        <v>383</v>
      </c>
      <c r="C346" s="178"/>
      <c r="D346" s="178"/>
      <c r="E346" s="178"/>
      <c r="F346" s="178"/>
      <c r="G346" s="268">
        <f t="shared" ref="G346:AT346" si="222">G270</f>
        <v>0</v>
      </c>
      <c r="H346" s="268">
        <f t="shared" si="222"/>
        <v>0</v>
      </c>
      <c r="I346" s="268">
        <f t="shared" si="222"/>
        <v>0</v>
      </c>
      <c r="J346" s="268">
        <f t="shared" si="222"/>
        <v>0</v>
      </c>
      <c r="K346" s="268">
        <f t="shared" si="222"/>
        <v>0</v>
      </c>
      <c r="L346" s="268">
        <f t="shared" si="222"/>
        <v>0</v>
      </c>
      <c r="M346" s="268">
        <f t="shared" si="222"/>
        <v>0</v>
      </c>
      <c r="N346" s="268">
        <f t="shared" si="222"/>
        <v>0</v>
      </c>
      <c r="O346" s="268">
        <f t="shared" si="222"/>
        <v>0</v>
      </c>
      <c r="P346" s="268">
        <f t="shared" si="222"/>
        <v>-3207183.885592333</v>
      </c>
      <c r="Q346" s="268">
        <f t="shared" si="222"/>
        <v>-4076709.4482100578</v>
      </c>
      <c r="R346" s="268">
        <f t="shared" si="222"/>
        <v>0</v>
      </c>
      <c r="S346" s="268">
        <f t="shared" si="222"/>
        <v>0</v>
      </c>
      <c r="T346" s="268">
        <f t="shared" si="222"/>
        <v>0</v>
      </c>
      <c r="U346" s="268">
        <f t="shared" si="222"/>
        <v>-4045775.9888849272</v>
      </c>
      <c r="V346" s="268">
        <f t="shared" si="222"/>
        <v>-12077947.469822951</v>
      </c>
      <c r="W346" s="268">
        <f t="shared" si="222"/>
        <v>-5677884.95913505</v>
      </c>
      <c r="X346" s="268">
        <f t="shared" si="222"/>
        <v>0</v>
      </c>
      <c r="Y346" s="268">
        <f t="shared" si="222"/>
        <v>0</v>
      </c>
      <c r="Z346" s="268">
        <f t="shared" si="222"/>
        <v>0</v>
      </c>
      <c r="AA346" s="268">
        <f t="shared" si="222"/>
        <v>-3979709.5823840685</v>
      </c>
      <c r="AB346" s="268">
        <f t="shared" si="222"/>
        <v>-5058688.9580765124</v>
      </c>
      <c r="AC346" s="268">
        <f t="shared" si="222"/>
        <v>0</v>
      </c>
      <c r="AD346" s="268">
        <f t="shared" si="222"/>
        <v>0</v>
      </c>
      <c r="AE346" s="268">
        <f t="shared" si="222"/>
        <v>0</v>
      </c>
      <c r="AF346" s="268">
        <f t="shared" si="222"/>
        <v>0</v>
      </c>
      <c r="AG346" s="268">
        <f t="shared" si="222"/>
        <v>0</v>
      </c>
      <c r="AH346" s="268">
        <f t="shared" si="222"/>
        <v>0</v>
      </c>
      <c r="AI346" s="268">
        <f t="shared" si="222"/>
        <v>0</v>
      </c>
      <c r="AJ346" s="268">
        <f t="shared" si="222"/>
        <v>0</v>
      </c>
      <c r="AK346" s="268">
        <f t="shared" si="222"/>
        <v>0</v>
      </c>
      <c r="AL346" s="268">
        <f t="shared" si="222"/>
        <v>-10528158.00957758</v>
      </c>
      <c r="AM346" s="268">
        <f t="shared" si="222"/>
        <v>-22774109.143506903</v>
      </c>
      <c r="AN346" s="268">
        <f t="shared" si="222"/>
        <v>-7787517.7545387391</v>
      </c>
      <c r="AO346" s="268">
        <f t="shared" si="222"/>
        <v>0</v>
      </c>
      <c r="AP346" s="268">
        <f t="shared" si="222"/>
        <v>0</v>
      </c>
      <c r="AQ346" s="268">
        <f t="shared" si="222"/>
        <v>0</v>
      </c>
      <c r="AR346" s="268">
        <f t="shared" si="222"/>
        <v>0</v>
      </c>
      <c r="AS346" s="268">
        <f t="shared" si="222"/>
        <v>0</v>
      </c>
      <c r="AT346" s="799">
        <f t="shared" si="222"/>
        <v>0</v>
      </c>
      <c r="AU346" s="166"/>
      <c r="AV346" s="166"/>
      <c r="AW346" s="166"/>
      <c r="AX346" s="166"/>
      <c r="AY346" s="166"/>
      <c r="AZ346" s="166"/>
      <c r="BA346" s="166"/>
      <c r="BB346" s="166"/>
      <c r="BC346" s="166"/>
      <c r="BD346" s="166"/>
      <c r="BE346" s="166"/>
      <c r="BF346" s="166"/>
      <c r="BG346" s="166"/>
      <c r="BH346" s="166"/>
      <c r="BI346" s="166"/>
      <c r="BJ346" s="166"/>
      <c r="BK346" s="166"/>
      <c r="BL346" s="166"/>
      <c r="BM346" s="166"/>
      <c r="BN346" s="166"/>
    </row>
    <row r="347" spans="2:66" x14ac:dyDescent="0.25">
      <c r="B347" s="836" t="s">
        <v>384</v>
      </c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8"/>
      <c r="Z347" s="178"/>
      <c r="AA347" s="178"/>
      <c r="AB347" s="178"/>
      <c r="AC347" s="178"/>
      <c r="AD347" s="178"/>
      <c r="AE347" s="178"/>
      <c r="AF347" s="178"/>
      <c r="AG347" s="178"/>
      <c r="AH347" s="178"/>
      <c r="AI347" s="178"/>
      <c r="AJ347" s="758">
        <f>AJ320</f>
        <v>60440401.665283263</v>
      </c>
      <c r="AK347" s="178"/>
      <c r="AL347" s="178"/>
      <c r="AM347" s="178"/>
      <c r="AN347" s="178"/>
      <c r="AO347" s="178"/>
      <c r="AP347" s="178"/>
      <c r="AQ347" s="178"/>
      <c r="AR347" s="178"/>
      <c r="AS347" s="178"/>
      <c r="AT347" s="847">
        <f>AT320</f>
        <v>58149566.525212049</v>
      </c>
      <c r="AU347" s="166"/>
      <c r="AV347" s="166"/>
      <c r="AW347" s="166"/>
      <c r="AX347" s="166"/>
      <c r="AY347" s="166"/>
      <c r="AZ347" s="166"/>
      <c r="BA347" s="166"/>
      <c r="BB347" s="166"/>
      <c r="BC347" s="166"/>
      <c r="BD347" s="166"/>
      <c r="BE347" s="166"/>
      <c r="BF347" s="166"/>
      <c r="BG347" s="166"/>
      <c r="BH347" s="166"/>
      <c r="BI347" s="166"/>
      <c r="BJ347" s="166"/>
      <c r="BK347" s="166"/>
      <c r="BL347" s="166"/>
      <c r="BM347" s="166"/>
      <c r="BN347" s="166"/>
    </row>
    <row r="348" spans="2:66" ht="15" thickBot="1" x14ac:dyDescent="0.3">
      <c r="B348" s="842" t="s">
        <v>385</v>
      </c>
      <c r="C348" s="822">
        <f t="shared" ref="C348:AT348" si="223">C345+C346+C347</f>
        <v>-7968994.6529367194</v>
      </c>
      <c r="D348" s="822">
        <f t="shared" si="223"/>
        <v>-31237973.050517157</v>
      </c>
      <c r="E348" s="822">
        <f t="shared" si="223"/>
        <v>-82610243.589414939</v>
      </c>
      <c r="F348" s="822">
        <f t="shared" si="223"/>
        <v>-33733581.890470475</v>
      </c>
      <c r="G348" s="822">
        <f t="shared" si="223"/>
        <v>0</v>
      </c>
      <c r="H348" s="822">
        <f t="shared" si="223"/>
        <v>0</v>
      </c>
      <c r="I348" s="822">
        <f t="shared" si="223"/>
        <v>0</v>
      </c>
      <c r="J348" s="822">
        <f t="shared" si="223"/>
        <v>0</v>
      </c>
      <c r="K348" s="822">
        <f t="shared" si="223"/>
        <v>0</v>
      </c>
      <c r="L348" s="822">
        <f t="shared" si="223"/>
        <v>0</v>
      </c>
      <c r="M348" s="822">
        <f t="shared" si="223"/>
        <v>0</v>
      </c>
      <c r="N348" s="822">
        <f t="shared" si="223"/>
        <v>0</v>
      </c>
      <c r="O348" s="822">
        <f t="shared" si="223"/>
        <v>0</v>
      </c>
      <c r="P348" s="822">
        <f t="shared" si="223"/>
        <v>-3207183.885592333</v>
      </c>
      <c r="Q348" s="822">
        <f t="shared" si="223"/>
        <v>-4076709.4482100578</v>
      </c>
      <c r="R348" s="822">
        <f t="shared" si="223"/>
        <v>0</v>
      </c>
      <c r="S348" s="822">
        <f t="shared" si="223"/>
        <v>0</v>
      </c>
      <c r="T348" s="822">
        <f t="shared" si="223"/>
        <v>0</v>
      </c>
      <c r="U348" s="822">
        <f t="shared" si="223"/>
        <v>-4045775.9888849272</v>
      </c>
      <c r="V348" s="822">
        <f t="shared" si="223"/>
        <v>-12077947.469822951</v>
      </c>
      <c r="W348" s="822">
        <f t="shared" si="223"/>
        <v>-5677884.95913505</v>
      </c>
      <c r="X348" s="822">
        <f t="shared" si="223"/>
        <v>0</v>
      </c>
      <c r="Y348" s="822">
        <f t="shared" si="223"/>
        <v>0</v>
      </c>
      <c r="Z348" s="822">
        <f t="shared" si="223"/>
        <v>0</v>
      </c>
      <c r="AA348" s="822">
        <f t="shared" si="223"/>
        <v>-3979709.5823840685</v>
      </c>
      <c r="AB348" s="822">
        <f t="shared" si="223"/>
        <v>-5058688.9580765124</v>
      </c>
      <c r="AC348" s="822">
        <f t="shared" si="223"/>
        <v>0</v>
      </c>
      <c r="AD348" s="822">
        <f t="shared" si="223"/>
        <v>0</v>
      </c>
      <c r="AE348" s="822">
        <f t="shared" si="223"/>
        <v>0</v>
      </c>
      <c r="AF348" s="822">
        <f t="shared" si="223"/>
        <v>0</v>
      </c>
      <c r="AG348" s="822">
        <f t="shared" si="223"/>
        <v>0</v>
      </c>
      <c r="AH348" s="822">
        <f t="shared" si="223"/>
        <v>0</v>
      </c>
      <c r="AI348" s="822">
        <f t="shared" si="223"/>
        <v>0</v>
      </c>
      <c r="AJ348" s="822">
        <f t="shared" si="223"/>
        <v>60440401.665283263</v>
      </c>
      <c r="AK348" s="822">
        <f t="shared" si="223"/>
        <v>0</v>
      </c>
      <c r="AL348" s="822">
        <f t="shared" si="223"/>
        <v>-10528158.00957758</v>
      </c>
      <c r="AM348" s="822">
        <f t="shared" si="223"/>
        <v>-22774109.143506903</v>
      </c>
      <c r="AN348" s="822">
        <f t="shared" si="223"/>
        <v>-7787517.7545387391</v>
      </c>
      <c r="AO348" s="822">
        <f t="shared" si="223"/>
        <v>0</v>
      </c>
      <c r="AP348" s="822">
        <f t="shared" si="223"/>
        <v>0</v>
      </c>
      <c r="AQ348" s="822">
        <f t="shared" si="223"/>
        <v>0</v>
      </c>
      <c r="AR348" s="822">
        <f t="shared" si="223"/>
        <v>0</v>
      </c>
      <c r="AS348" s="822">
        <f t="shared" si="223"/>
        <v>0</v>
      </c>
      <c r="AT348" s="823">
        <f t="shared" si="223"/>
        <v>58149566.525212049</v>
      </c>
      <c r="AU348" s="166"/>
      <c r="AV348" s="166"/>
      <c r="AW348" s="166"/>
      <c r="AX348" s="166"/>
      <c r="AY348" s="166"/>
      <c r="AZ348" s="166"/>
      <c r="BA348" s="166"/>
      <c r="BB348" s="166"/>
      <c r="BC348" s="166"/>
      <c r="BD348" s="166"/>
      <c r="BE348" s="166"/>
      <c r="BF348" s="166"/>
      <c r="BG348" s="166"/>
      <c r="BH348" s="166"/>
      <c r="BI348" s="166"/>
      <c r="BJ348" s="166"/>
      <c r="BK348" s="166"/>
      <c r="BL348" s="166"/>
      <c r="BM348" s="166"/>
      <c r="BN348" s="166"/>
    </row>
    <row r="349" spans="2:66" ht="14.4" x14ac:dyDescent="0.25">
      <c r="B349" s="838"/>
      <c r="C349" s="178"/>
      <c r="D349" s="178"/>
      <c r="E349" s="178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  <c r="AU349" s="166"/>
      <c r="AV349" s="166"/>
      <c r="AW349" s="166"/>
      <c r="AX349" s="166"/>
      <c r="AY349" s="166"/>
      <c r="AZ349" s="166"/>
      <c r="BA349" s="166"/>
      <c r="BB349" s="166"/>
      <c r="BC349" s="166"/>
      <c r="BD349" s="166"/>
      <c r="BE349" s="166"/>
      <c r="BF349" s="166"/>
      <c r="BG349" s="166"/>
      <c r="BH349" s="166"/>
      <c r="BI349" s="166"/>
      <c r="BJ349" s="166"/>
      <c r="BK349" s="166"/>
      <c r="BL349" s="166"/>
      <c r="BM349" s="166"/>
      <c r="BN349" s="166"/>
    </row>
    <row r="350" spans="2:66" ht="14.4" x14ac:dyDescent="0.25">
      <c r="B350" s="838"/>
      <c r="C350" s="178"/>
      <c r="D350" s="178"/>
      <c r="E350" s="884" t="s">
        <v>473</v>
      </c>
      <c r="F350" s="178">
        <f>C348+D348+E348+F348</f>
        <v>-155550793.1833393</v>
      </c>
      <c r="G350" s="178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  <c r="AM350" s="178"/>
      <c r="AN350" s="178"/>
      <c r="AO350" s="178"/>
      <c r="AP350" s="178"/>
      <c r="AQ350" s="178"/>
      <c r="AR350" s="178"/>
      <c r="AS350" s="178"/>
      <c r="AT350" s="178"/>
      <c r="AU350" s="166"/>
      <c r="AV350" s="166"/>
      <c r="AW350" s="166"/>
      <c r="AX350" s="166"/>
      <c r="AY350" s="166"/>
      <c r="AZ350" s="166"/>
      <c r="BA350" s="166"/>
      <c r="BB350" s="166"/>
      <c r="BC350" s="166"/>
      <c r="BD350" s="166"/>
      <c r="BE350" s="166"/>
      <c r="BF350" s="166"/>
      <c r="BG350" s="166"/>
      <c r="BH350" s="166"/>
      <c r="BI350" s="166"/>
      <c r="BJ350" s="166"/>
      <c r="BK350" s="166"/>
      <c r="BL350" s="166"/>
      <c r="BM350" s="166"/>
      <c r="BN350" s="166"/>
    </row>
    <row r="351" spans="2:66" ht="14.4" x14ac:dyDescent="0.25">
      <c r="B351" s="838"/>
      <c r="C351" s="178"/>
      <c r="D351" s="178"/>
      <c r="E351" s="178"/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  <c r="AM351" s="178"/>
      <c r="AN351" s="178"/>
      <c r="AO351" s="178"/>
      <c r="AP351" s="178"/>
      <c r="AQ351" s="178"/>
      <c r="AR351" s="178"/>
      <c r="AS351" s="178"/>
      <c r="AT351" s="178"/>
      <c r="AU351" s="166"/>
      <c r="AV351" s="166"/>
      <c r="AW351" s="166"/>
      <c r="AX351" s="166"/>
      <c r="AY351" s="166"/>
      <c r="AZ351" s="166"/>
      <c r="BA351" s="166"/>
      <c r="BB351" s="166"/>
      <c r="BC351" s="166"/>
      <c r="BD351" s="166"/>
      <c r="BE351" s="166"/>
      <c r="BF351" s="166"/>
      <c r="BG351" s="166"/>
      <c r="BH351" s="166"/>
      <c r="BI351" s="166"/>
      <c r="BJ351" s="166"/>
      <c r="BK351" s="166"/>
      <c r="BL351" s="166"/>
      <c r="BM351" s="166"/>
      <c r="BN351" s="166"/>
    </row>
    <row r="352" spans="2:66" ht="14.4" x14ac:dyDescent="0.25">
      <c r="B352" s="844" t="s">
        <v>436</v>
      </c>
      <c r="C352" s="178">
        <f t="shared" ref="C352:AJ352" si="224">C342+C348</f>
        <v>-7968994.6529367194</v>
      </c>
      <c r="D352" s="178">
        <f t="shared" si="224"/>
        <v>-31237973.050517157</v>
      </c>
      <c r="E352" s="178">
        <f t="shared" si="224"/>
        <v>-82610243.589414939</v>
      </c>
      <c r="F352" s="178">
        <f t="shared" si="224"/>
        <v>-33733581.890470475</v>
      </c>
      <c r="G352" s="178">
        <f t="shared" si="224"/>
        <v>1586444.1635693628</v>
      </c>
      <c r="H352" s="178">
        <f t="shared" si="224"/>
        <v>3308370.3417214854</v>
      </c>
      <c r="I352" s="178">
        <f t="shared" si="224"/>
        <v>3626707.3852640251</v>
      </c>
      <c r="J352" s="178">
        <f t="shared" si="224"/>
        <v>3609979.0923645338</v>
      </c>
      <c r="K352" s="178">
        <f t="shared" si="224"/>
        <v>-2956032.9446178861</v>
      </c>
      <c r="L352" s="178">
        <f t="shared" si="224"/>
        <v>3891272.9530603997</v>
      </c>
      <c r="M352" s="178">
        <f t="shared" si="224"/>
        <v>4208856.2493820963</v>
      </c>
      <c r="N352" s="178">
        <f t="shared" si="224"/>
        <v>4144674.3691854766</v>
      </c>
      <c r="O352" s="178">
        <f t="shared" si="224"/>
        <v>4361019.4395482177</v>
      </c>
      <c r="P352" s="178">
        <f t="shared" si="224"/>
        <v>-6385099.168447311</v>
      </c>
      <c r="Q352" s="178">
        <f t="shared" si="224"/>
        <v>230611.24519126676</v>
      </c>
      <c r="R352" s="178">
        <f t="shared" si="224"/>
        <v>4515754.8467086703</v>
      </c>
      <c r="S352" s="178">
        <f t="shared" si="224"/>
        <v>4692377.5639757123</v>
      </c>
      <c r="T352" s="178">
        <f t="shared" si="224"/>
        <v>4613194.9944154993</v>
      </c>
      <c r="U352" s="178">
        <f t="shared" si="224"/>
        <v>-7305423.6168676913</v>
      </c>
      <c r="V352" s="178">
        <f t="shared" si="224"/>
        <v>-7726615.4721433204</v>
      </c>
      <c r="W352" s="178">
        <f t="shared" si="224"/>
        <v>-1136626.3800732773</v>
      </c>
      <c r="X352" s="178">
        <f t="shared" si="224"/>
        <v>5013396.3047904577</v>
      </c>
      <c r="Y352" s="178">
        <f t="shared" si="224"/>
        <v>5265150.7524666637</v>
      </c>
      <c r="Z352" s="178">
        <f t="shared" si="224"/>
        <v>-3642615.5147368917</v>
      </c>
      <c r="AA352" s="178">
        <f t="shared" si="224"/>
        <v>1512033.0798635213</v>
      </c>
      <c r="AB352" s="178">
        <f t="shared" si="224"/>
        <v>391706.20194592234</v>
      </c>
      <c r="AC352" s="178">
        <f t="shared" si="224"/>
        <v>5732489.3044243706</v>
      </c>
      <c r="AD352" s="178">
        <f t="shared" si="224"/>
        <v>5629331.1547225919</v>
      </c>
      <c r="AE352" s="178">
        <f t="shared" si="224"/>
        <v>-3664559.9678552514</v>
      </c>
      <c r="AF352" s="178">
        <f t="shared" si="224"/>
        <v>5749648.8915667245</v>
      </c>
      <c r="AG352" s="178">
        <f t="shared" si="224"/>
        <v>5986501.7779947966</v>
      </c>
      <c r="AH352" s="178">
        <f t="shared" si="224"/>
        <v>5872758.7557872701</v>
      </c>
      <c r="AI352" s="178">
        <f t="shared" si="224"/>
        <v>6118102.9712545639</v>
      </c>
      <c r="AJ352" s="178">
        <f t="shared" si="224"/>
        <v>56004153.649819888</v>
      </c>
      <c r="AK352" s="178"/>
      <c r="AL352" s="178"/>
      <c r="AM352" s="178"/>
      <c r="AN352" s="178"/>
      <c r="AO352" s="178"/>
      <c r="AP352" s="178"/>
      <c r="AQ352" s="178"/>
      <c r="AR352" s="178"/>
      <c r="AS352" s="178"/>
      <c r="AT352" s="178"/>
      <c r="AU352" s="166"/>
      <c r="AV352" s="166"/>
      <c r="AW352" s="166"/>
      <c r="AX352" s="166"/>
      <c r="AY352" s="166"/>
      <c r="AZ352" s="166"/>
      <c r="BA352" s="166"/>
      <c r="BB352" s="166"/>
      <c r="BC352" s="166"/>
      <c r="BD352" s="166"/>
      <c r="BE352" s="166"/>
      <c r="BF352" s="166"/>
      <c r="BG352" s="166"/>
      <c r="BH352" s="166"/>
      <c r="BI352" s="166"/>
      <c r="BJ352" s="166"/>
      <c r="BK352" s="166"/>
      <c r="BL352" s="166"/>
      <c r="BM352" s="166"/>
      <c r="BN352" s="166"/>
    </row>
    <row r="353" spans="2:66" ht="14.4" x14ac:dyDescent="0.25">
      <c r="B353" s="844" t="s">
        <v>438</v>
      </c>
      <c r="C353" s="178"/>
      <c r="D353" s="178"/>
      <c r="E353" s="178"/>
      <c r="F353" s="178"/>
      <c r="G353" s="178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848">
        <f>IRR(C352:AJ352)</f>
        <v>-1.2475333162276891E-2</v>
      </c>
      <c r="AK353" s="178"/>
      <c r="AL353" s="178"/>
      <c r="AM353" s="178"/>
      <c r="AN353" s="178"/>
      <c r="AO353" s="178"/>
      <c r="AP353" s="178"/>
      <c r="AQ353" s="178"/>
      <c r="AR353" s="178"/>
      <c r="AS353" s="178"/>
      <c r="AT353" s="178"/>
      <c r="AU353" s="166"/>
      <c r="AV353" s="166"/>
      <c r="AW353" s="166"/>
      <c r="AX353" s="166"/>
      <c r="AY353" s="166"/>
      <c r="AZ353" s="166"/>
      <c r="BA353" s="166"/>
      <c r="BB353" s="166"/>
      <c r="BC353" s="166"/>
      <c r="BD353" s="166"/>
      <c r="BE353" s="166"/>
      <c r="BF353" s="166"/>
      <c r="BG353" s="166"/>
      <c r="BH353" s="166"/>
      <c r="BI353" s="166"/>
      <c r="BJ353" s="166"/>
      <c r="BK353" s="166"/>
      <c r="BL353" s="166"/>
      <c r="BM353" s="166"/>
      <c r="BN353" s="166"/>
    </row>
    <row r="354" spans="2:66" ht="14.4" x14ac:dyDescent="0.25">
      <c r="B354" s="844"/>
      <c r="C354" s="178"/>
      <c r="D354" s="178"/>
      <c r="E354" s="178"/>
      <c r="F354" s="178"/>
      <c r="G354" s="178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66"/>
      <c r="AV354" s="166"/>
      <c r="AW354" s="166"/>
      <c r="AX354" s="166"/>
      <c r="AY354" s="166"/>
      <c r="AZ354" s="166"/>
      <c r="BA354" s="166"/>
      <c r="BB354" s="166"/>
      <c r="BC354" s="166"/>
      <c r="BD354" s="166"/>
      <c r="BE354" s="166"/>
      <c r="BF354" s="166"/>
      <c r="BG354" s="166"/>
      <c r="BH354" s="166"/>
      <c r="BI354" s="166"/>
      <c r="BJ354" s="166"/>
      <c r="BK354" s="166"/>
      <c r="BL354" s="166"/>
      <c r="BM354" s="166"/>
      <c r="BN354" s="166"/>
    </row>
    <row r="355" spans="2:66" ht="14.4" x14ac:dyDescent="0.25">
      <c r="B355" s="844" t="s">
        <v>437</v>
      </c>
      <c r="C355" s="178">
        <f>C342+C348</f>
        <v>-7968994.6529367194</v>
      </c>
      <c r="D355" s="178">
        <f t="shared" ref="D355:AI355" si="225">D342+D348</f>
        <v>-31237973.050517157</v>
      </c>
      <c r="E355" s="178">
        <f t="shared" si="225"/>
        <v>-82610243.589414939</v>
      </c>
      <c r="F355" s="178">
        <f t="shared" si="225"/>
        <v>-33733581.890470475</v>
      </c>
      <c r="G355" s="178">
        <f t="shared" si="225"/>
        <v>1586444.1635693628</v>
      </c>
      <c r="H355" s="178">
        <f t="shared" si="225"/>
        <v>3308370.3417214854</v>
      </c>
      <c r="I355" s="178">
        <f t="shared" si="225"/>
        <v>3626707.3852640251</v>
      </c>
      <c r="J355" s="178">
        <f t="shared" si="225"/>
        <v>3609979.0923645338</v>
      </c>
      <c r="K355" s="178">
        <f t="shared" si="225"/>
        <v>-2956032.9446178861</v>
      </c>
      <c r="L355" s="178">
        <f t="shared" si="225"/>
        <v>3891272.9530603997</v>
      </c>
      <c r="M355" s="178">
        <f t="shared" si="225"/>
        <v>4208856.2493820963</v>
      </c>
      <c r="N355" s="178">
        <f t="shared" si="225"/>
        <v>4144674.3691854766</v>
      </c>
      <c r="O355" s="178">
        <f t="shared" si="225"/>
        <v>4361019.4395482177</v>
      </c>
      <c r="P355" s="178">
        <f t="shared" si="225"/>
        <v>-6385099.168447311</v>
      </c>
      <c r="Q355" s="178">
        <f t="shared" si="225"/>
        <v>230611.24519126676</v>
      </c>
      <c r="R355" s="178">
        <f t="shared" si="225"/>
        <v>4515754.8467086703</v>
      </c>
      <c r="S355" s="178">
        <f t="shared" si="225"/>
        <v>4692377.5639757123</v>
      </c>
      <c r="T355" s="178">
        <f t="shared" si="225"/>
        <v>4613194.9944154993</v>
      </c>
      <c r="U355" s="178">
        <f t="shared" si="225"/>
        <v>-7305423.6168676913</v>
      </c>
      <c r="V355" s="178">
        <f t="shared" si="225"/>
        <v>-7726615.4721433204</v>
      </c>
      <c r="W355" s="178">
        <f t="shared" si="225"/>
        <v>-1136626.3800732773</v>
      </c>
      <c r="X355" s="178">
        <f t="shared" si="225"/>
        <v>5013396.3047904577</v>
      </c>
      <c r="Y355" s="178">
        <f t="shared" si="225"/>
        <v>5265150.7524666637</v>
      </c>
      <c r="Z355" s="178">
        <f t="shared" si="225"/>
        <v>-3642615.5147368917</v>
      </c>
      <c r="AA355" s="178">
        <f t="shared" si="225"/>
        <v>1512033.0798635213</v>
      </c>
      <c r="AB355" s="178">
        <f t="shared" si="225"/>
        <v>391706.20194592234</v>
      </c>
      <c r="AC355" s="178">
        <f t="shared" si="225"/>
        <v>5732489.3044243706</v>
      </c>
      <c r="AD355" s="178">
        <f t="shared" si="225"/>
        <v>5629331.1547225919</v>
      </c>
      <c r="AE355" s="178">
        <f t="shared" si="225"/>
        <v>-3664559.9678552514</v>
      </c>
      <c r="AF355" s="178">
        <f t="shared" si="225"/>
        <v>5749648.8915667245</v>
      </c>
      <c r="AG355" s="178">
        <f t="shared" si="225"/>
        <v>5986501.7779947966</v>
      </c>
      <c r="AH355" s="178">
        <f t="shared" si="225"/>
        <v>5872758.7557872701</v>
      </c>
      <c r="AI355" s="178">
        <f t="shared" si="225"/>
        <v>6118102.9712545639</v>
      </c>
      <c r="AJ355" s="178">
        <f>AJ342+AJ346</f>
        <v>-4436248.0154633773</v>
      </c>
      <c r="AK355" s="178">
        <f t="shared" ref="AK355:AT355" si="226">AK342+AK348</f>
        <v>6252775.4072780935</v>
      </c>
      <c r="AL355" s="178">
        <f t="shared" si="226"/>
        <v>-4400823.4301865604</v>
      </c>
      <c r="AM355" s="178">
        <f t="shared" si="226"/>
        <v>-16892296.355824407</v>
      </c>
      <c r="AN355" s="178">
        <f t="shared" si="226"/>
        <v>-2353792.8957231697</v>
      </c>
      <c r="AO355" s="178">
        <f t="shared" si="226"/>
        <v>-4702486.8259315789</v>
      </c>
      <c r="AP355" s="178">
        <f t="shared" si="226"/>
        <v>6595143.6301463265</v>
      </c>
      <c r="AQ355" s="178">
        <f t="shared" si="226"/>
        <v>6877358.8634075597</v>
      </c>
      <c r="AR355" s="178">
        <f t="shared" si="226"/>
        <v>6732019.2562305182</v>
      </c>
      <c r="AS355" s="178">
        <f t="shared" si="226"/>
        <v>7024219.576962431</v>
      </c>
      <c r="AT355" s="178">
        <f t="shared" si="226"/>
        <v>52466507.671341173</v>
      </c>
      <c r="AU355" s="166"/>
      <c r="AV355" s="166"/>
      <c r="AW355" s="166"/>
      <c r="AX355" s="166"/>
      <c r="AY355" s="166"/>
      <c r="AZ355" s="166"/>
      <c r="BA355" s="166"/>
      <c r="BB355" s="166"/>
      <c r="BC355" s="166"/>
      <c r="BD355" s="166"/>
      <c r="BE355" s="166"/>
      <c r="BF355" s="166"/>
      <c r="BG355" s="166"/>
      <c r="BH355" s="166"/>
      <c r="BI355" s="166"/>
      <c r="BJ355" s="166"/>
      <c r="BK355" s="166"/>
      <c r="BL355" s="166"/>
      <c r="BM355" s="166"/>
      <c r="BN355" s="166"/>
    </row>
    <row r="356" spans="2:66" ht="14.4" x14ac:dyDescent="0.25">
      <c r="B356" s="844" t="s">
        <v>439</v>
      </c>
      <c r="C356" s="178"/>
      <c r="D356" s="178"/>
      <c r="E356" s="178"/>
      <c r="F356" s="178"/>
      <c r="G356" s="178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849">
        <f>IRR(C355:AT355)</f>
        <v>-1.0854826129962025E-2</v>
      </c>
      <c r="AU356" s="166"/>
      <c r="AV356" s="166"/>
      <c r="AW356" s="166"/>
      <c r="AX356" s="166"/>
      <c r="AY356" s="166"/>
      <c r="AZ356" s="166"/>
      <c r="BA356" s="166"/>
      <c r="BB356" s="166"/>
      <c r="BC356" s="166"/>
      <c r="BD356" s="166"/>
      <c r="BE356" s="166"/>
      <c r="BF356" s="166"/>
      <c r="BG356" s="166"/>
      <c r="BH356" s="166"/>
      <c r="BI356" s="166"/>
      <c r="BJ356" s="166"/>
      <c r="BK356" s="166"/>
      <c r="BL356" s="166"/>
      <c r="BM356" s="166"/>
      <c r="BN356" s="166"/>
    </row>
    <row r="357" spans="2:66" ht="14.4" x14ac:dyDescent="0.25">
      <c r="B357" s="844"/>
      <c r="C357" s="178"/>
      <c r="D357" s="178"/>
      <c r="E357" s="178"/>
      <c r="F357" s="178"/>
      <c r="G357" s="178"/>
      <c r="H357" s="178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8"/>
      <c r="V357" s="178"/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/>
      <c r="AS357" s="178"/>
      <c r="AT357" s="178"/>
      <c r="AU357" s="166"/>
      <c r="AV357" s="166"/>
      <c r="AW357" s="166"/>
      <c r="AX357" s="166"/>
      <c r="AY357" s="166"/>
      <c r="AZ357" s="166"/>
      <c r="BA357" s="166"/>
      <c r="BB357" s="166"/>
      <c r="BC357" s="166"/>
      <c r="BD357" s="166"/>
      <c r="BE357" s="166"/>
      <c r="BF357" s="166"/>
      <c r="BG357" s="166"/>
      <c r="BH357" s="166"/>
      <c r="BI357" s="166"/>
      <c r="BJ357" s="166"/>
      <c r="BK357" s="166"/>
      <c r="BL357" s="166"/>
      <c r="BM357" s="166"/>
      <c r="BN357" s="166"/>
    </row>
    <row r="358" spans="2:66" ht="14.4" x14ac:dyDescent="0.25">
      <c r="B358" s="844" t="s">
        <v>450</v>
      </c>
      <c r="C358" s="178">
        <f>C332</f>
        <v>0</v>
      </c>
      <c r="D358" s="178">
        <f t="shared" ref="D358:AT358" si="227">D332</f>
        <v>0</v>
      </c>
      <c r="E358" s="178">
        <f t="shared" si="227"/>
        <v>0</v>
      </c>
      <c r="F358" s="178">
        <f t="shared" si="227"/>
        <v>0</v>
      </c>
      <c r="G358" s="178">
        <f t="shared" si="227"/>
        <v>1586444.1635693628</v>
      </c>
      <c r="H358" s="178">
        <f t="shared" si="227"/>
        <v>3308370.3417214854</v>
      </c>
      <c r="I358" s="178">
        <f t="shared" si="227"/>
        <v>3626707.3852640251</v>
      </c>
      <c r="J358" s="178">
        <f t="shared" si="227"/>
        <v>3609979.0923645338</v>
      </c>
      <c r="K358" s="178">
        <f t="shared" si="227"/>
        <v>-2956032.9446178861</v>
      </c>
      <c r="L358" s="178">
        <f t="shared" si="227"/>
        <v>3891272.9530603997</v>
      </c>
      <c r="M358" s="178">
        <f t="shared" si="227"/>
        <v>4208856.2493820963</v>
      </c>
      <c r="N358" s="178">
        <f t="shared" si="227"/>
        <v>4144674.3691854766</v>
      </c>
      <c r="O358" s="178">
        <f t="shared" si="227"/>
        <v>4433417.086150784</v>
      </c>
      <c r="P358" s="178">
        <f t="shared" si="227"/>
        <v>-3177915.282854978</v>
      </c>
      <c r="Q358" s="178">
        <f t="shared" si="227"/>
        <v>4668699.3457834292</v>
      </c>
      <c r="R358" s="178">
        <f t="shared" si="227"/>
        <v>4597157.6328976788</v>
      </c>
      <c r="S358" s="178">
        <f t="shared" si="227"/>
        <v>4868884.8902315889</v>
      </c>
      <c r="T358" s="178">
        <f t="shared" si="227"/>
        <v>4747065.5524466466</v>
      </c>
      <c r="U358" s="178">
        <f t="shared" si="227"/>
        <v>-3259647.6279827636</v>
      </c>
      <c r="V358" s="178">
        <f t="shared" si="227"/>
        <v>4900947.5420947345</v>
      </c>
      <c r="W358" s="178">
        <f t="shared" si="227"/>
        <v>5193142.2826826461</v>
      </c>
      <c r="X358" s="178">
        <f t="shared" si="227"/>
        <v>5136886.1739324154</v>
      </c>
      <c r="Y358" s="178">
        <f t="shared" si="227"/>
        <v>5524200.7088188864</v>
      </c>
      <c r="Z358" s="178">
        <f t="shared" si="227"/>
        <v>-3642615.5147368927</v>
      </c>
      <c r="AA358" s="178">
        <f t="shared" si="227"/>
        <v>5872803.6469433876</v>
      </c>
      <c r="AB358" s="178">
        <f t="shared" si="227"/>
        <v>5809192.1050585341</v>
      </c>
      <c r="AC358" s="178">
        <f t="shared" si="227"/>
        <v>6148709.7391645331</v>
      </c>
      <c r="AD358" s="178">
        <f t="shared" si="227"/>
        <v>5990004.8934694892</v>
      </c>
      <c r="AE358" s="178">
        <f t="shared" si="227"/>
        <v>-3664559.9678552523</v>
      </c>
      <c r="AF358" s="178">
        <f t="shared" si="227"/>
        <v>6175109.1039989237</v>
      </c>
      <c r="AG358" s="178">
        <f t="shared" si="227"/>
        <v>6539498.1600421108</v>
      </c>
      <c r="AH358" s="178">
        <f t="shared" si="227"/>
        <v>6364508.8951074546</v>
      </c>
      <c r="AI358" s="178">
        <f t="shared" si="227"/>
        <v>6741961.5342879072</v>
      </c>
      <c r="AJ358" s="178">
        <f t="shared" si="227"/>
        <v>-4436248.0154633783</v>
      </c>
      <c r="AK358" s="178">
        <f t="shared" si="227"/>
        <v>6949149.8974010292</v>
      </c>
      <c r="AL358" s="178">
        <f t="shared" si="227"/>
        <v>6756164.0083439928</v>
      </c>
      <c r="AM358" s="178">
        <f t="shared" si="227"/>
        <v>7161060.0155867804</v>
      </c>
      <c r="AN358" s="178">
        <f t="shared" si="227"/>
        <v>6958376.9695086163</v>
      </c>
      <c r="AO358" s="178">
        <f t="shared" si="227"/>
        <v>-4702486.8259315789</v>
      </c>
      <c r="AP358" s="178">
        <f t="shared" si="227"/>
        <v>7164798.7366473489</v>
      </c>
      <c r="AQ358" s="178">
        <f t="shared" si="227"/>
        <v>7598976.0185877085</v>
      </c>
      <c r="AR358" s="178">
        <f t="shared" si="227"/>
        <v>7375376.6229307204</v>
      </c>
      <c r="AS358" s="178">
        <f t="shared" si="227"/>
        <v>7824915.5779028945</v>
      </c>
      <c r="AT358" s="178">
        <f t="shared" si="227"/>
        <v>-5683058.8538708761</v>
      </c>
      <c r="AU358" s="166"/>
      <c r="AV358" s="166"/>
      <c r="AW358" s="166"/>
      <c r="AX358" s="166"/>
      <c r="AY358" s="166"/>
      <c r="AZ358" s="166"/>
      <c r="BA358" s="166"/>
      <c r="BB358" s="166"/>
      <c r="BC358" s="166"/>
      <c r="BD358" s="166"/>
      <c r="BE358" s="166"/>
      <c r="BF358" s="166"/>
      <c r="BG358" s="166"/>
      <c r="BH358" s="166"/>
      <c r="BI358" s="166"/>
      <c r="BJ358" s="166"/>
      <c r="BK358" s="166"/>
      <c r="BL358" s="166"/>
      <c r="BM358" s="166"/>
      <c r="BN358" s="166"/>
    </row>
    <row r="359" spans="2:66" ht="14.4" x14ac:dyDescent="0.25">
      <c r="B359" s="844" t="s">
        <v>451</v>
      </c>
      <c r="C359" s="178">
        <f>C358+C319</f>
        <v>0</v>
      </c>
      <c r="D359" s="178">
        <f t="shared" ref="D359:AT359" si="228">D358+D319</f>
        <v>0</v>
      </c>
      <c r="E359" s="178">
        <f t="shared" si="228"/>
        <v>0</v>
      </c>
      <c r="F359" s="178">
        <f t="shared" si="228"/>
        <v>0</v>
      </c>
      <c r="G359" s="178">
        <f t="shared" si="228"/>
        <v>-2889874.4538103854</v>
      </c>
      <c r="H359" s="178">
        <f t="shared" si="228"/>
        <v>-1167948.2756582629</v>
      </c>
      <c r="I359" s="178">
        <f t="shared" si="228"/>
        <v>-849611.23211572319</v>
      </c>
      <c r="J359" s="178">
        <f t="shared" si="228"/>
        <v>-866339.52501521446</v>
      </c>
      <c r="K359" s="178">
        <f t="shared" si="228"/>
        <v>-7432351.5619976344</v>
      </c>
      <c r="L359" s="178">
        <f t="shared" si="228"/>
        <v>-335293.71422590781</v>
      </c>
      <c r="M359" s="178">
        <f t="shared" si="228"/>
        <v>-17710.417904211208</v>
      </c>
      <c r="N359" s="178">
        <f t="shared" si="228"/>
        <v>-81892.298100830987</v>
      </c>
      <c r="O359" s="178">
        <f t="shared" si="228"/>
        <v>206850.41886447649</v>
      </c>
      <c r="P359" s="178">
        <f t="shared" si="228"/>
        <v>-7404481.9501412855</v>
      </c>
      <c r="Q359" s="178">
        <f t="shared" si="228"/>
        <v>1032510.4353774413</v>
      </c>
      <c r="R359" s="178">
        <f t="shared" si="228"/>
        <v>232579.3891114518</v>
      </c>
      <c r="S359" s="178">
        <f t="shared" si="228"/>
        <v>504306.6464453619</v>
      </c>
      <c r="T359" s="178">
        <f t="shared" si="228"/>
        <v>382487.30866041966</v>
      </c>
      <c r="U359" s="178">
        <f t="shared" si="228"/>
        <v>-7624225.8717689905</v>
      </c>
      <c r="V359" s="178">
        <f t="shared" si="228"/>
        <v>1570330.1269002985</v>
      </c>
      <c r="W359" s="178">
        <f t="shared" si="228"/>
        <v>1862524.8674882101</v>
      </c>
      <c r="X359" s="178">
        <f t="shared" si="228"/>
        <v>352828.1975484509</v>
      </c>
      <c r="Y359" s="178">
        <f t="shared" si="228"/>
        <v>740142.7324349219</v>
      </c>
      <c r="Z359" s="178">
        <f t="shared" si="228"/>
        <v>-8426673.4911208563</v>
      </c>
      <c r="AA359" s="178">
        <f t="shared" si="228"/>
        <v>1088745.670559423</v>
      </c>
      <c r="AB359" s="178">
        <f t="shared" si="228"/>
        <v>1025134.1286745695</v>
      </c>
      <c r="AC359" s="178">
        <f t="shared" si="228"/>
        <v>1189201.2421147497</v>
      </c>
      <c r="AD359" s="178">
        <f t="shared" si="228"/>
        <v>1030496.3964197058</v>
      </c>
      <c r="AE359" s="178">
        <f t="shared" si="228"/>
        <v>-8624068.4649050348</v>
      </c>
      <c r="AF359" s="178">
        <f t="shared" si="228"/>
        <v>1215600.6069491403</v>
      </c>
      <c r="AG359" s="178">
        <f t="shared" si="228"/>
        <v>1579989.6629923275</v>
      </c>
      <c r="AH359" s="178">
        <f t="shared" si="228"/>
        <v>1405000.3980576713</v>
      </c>
      <c r="AI359" s="178">
        <f t="shared" si="228"/>
        <v>1782453.0372381238</v>
      </c>
      <c r="AJ359" s="178">
        <f t="shared" si="228"/>
        <v>-9395756.5125131607</v>
      </c>
      <c r="AK359" s="178">
        <f t="shared" si="228"/>
        <v>1989641.4003512459</v>
      </c>
      <c r="AL359" s="178">
        <f t="shared" si="228"/>
        <v>1796655.5112942094</v>
      </c>
      <c r="AM359" s="178">
        <f t="shared" si="228"/>
        <v>3654992.0797265256</v>
      </c>
      <c r="AN359" s="178">
        <f t="shared" si="228"/>
        <v>4356148.8876944194</v>
      </c>
      <c r="AO359" s="178">
        <f t="shared" si="228"/>
        <v>-10239699.544004578</v>
      </c>
      <c r="AP359" s="178">
        <f t="shared" si="228"/>
        <v>1627586.0185743496</v>
      </c>
      <c r="AQ359" s="178">
        <f t="shared" si="228"/>
        <v>2061763.3005147092</v>
      </c>
      <c r="AR359" s="178">
        <f t="shared" si="228"/>
        <v>1838163.9048577212</v>
      </c>
      <c r="AS359" s="178">
        <f t="shared" si="228"/>
        <v>2287702.8598298952</v>
      </c>
      <c r="AT359" s="178">
        <f t="shared" si="228"/>
        <v>-11220271.571943875</v>
      </c>
      <c r="AU359" s="166"/>
      <c r="AV359" s="166"/>
      <c r="AW359" s="166"/>
      <c r="AX359" s="166"/>
      <c r="AY359" s="166"/>
      <c r="AZ359" s="166"/>
      <c r="BA359" s="166"/>
      <c r="BB359" s="166"/>
      <c r="BC359" s="166"/>
      <c r="BD359" s="166"/>
      <c r="BE359" s="166"/>
      <c r="BF359" s="166"/>
      <c r="BG359" s="166"/>
      <c r="BH359" s="166"/>
      <c r="BI359" s="166"/>
      <c r="BJ359" s="166"/>
      <c r="BK359" s="166"/>
      <c r="BL359" s="166"/>
      <c r="BM359" s="166"/>
      <c r="BN359" s="166"/>
    </row>
    <row r="360" spans="2:66" ht="14.4" x14ac:dyDescent="0.25">
      <c r="B360" s="844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178"/>
      <c r="P360" s="178"/>
      <c r="Q360" s="178"/>
      <c r="R360" s="178"/>
      <c r="S360" s="178"/>
      <c r="T360" s="178"/>
      <c r="U360" s="178"/>
      <c r="V360" s="178"/>
      <c r="W360" s="178"/>
      <c r="X360" s="178"/>
      <c r="Y360" s="178"/>
      <c r="Z360" s="178"/>
      <c r="AA360" s="178"/>
      <c r="AB360" s="178"/>
      <c r="AC360" s="178"/>
      <c r="AD360" s="178"/>
      <c r="AE360" s="178"/>
      <c r="AF360" s="178"/>
      <c r="AG360" s="178"/>
      <c r="AH360" s="178"/>
      <c r="AI360" s="178"/>
      <c r="AJ360" s="178"/>
      <c r="AK360" s="178"/>
      <c r="AL360" s="178"/>
      <c r="AM360" s="178"/>
      <c r="AN360" s="178"/>
      <c r="AO360" s="178"/>
      <c r="AP360" s="178"/>
      <c r="AQ360" s="178"/>
      <c r="AR360" s="178"/>
      <c r="AS360" s="178"/>
      <c r="AT360" s="178"/>
      <c r="AU360" s="166"/>
      <c r="AV360" s="166"/>
      <c r="AW360" s="166"/>
      <c r="AX360" s="166"/>
      <c r="AY360" s="166"/>
      <c r="AZ360" s="166"/>
      <c r="BA360" s="166"/>
      <c r="BB360" s="166"/>
      <c r="BC360" s="166"/>
      <c r="BD360" s="166"/>
      <c r="BE360" s="166"/>
      <c r="BF360" s="166"/>
      <c r="BG360" s="166"/>
      <c r="BH360" s="166"/>
      <c r="BI360" s="166"/>
      <c r="BJ360" s="166"/>
      <c r="BK360" s="166"/>
      <c r="BL360" s="166"/>
      <c r="BM360" s="166"/>
      <c r="BN360" s="166"/>
    </row>
    <row r="361" spans="2:66" ht="14.4" x14ac:dyDescent="0.25">
      <c r="B361" s="844" t="s">
        <v>489</v>
      </c>
      <c r="C361" s="908"/>
      <c r="D361" s="908"/>
      <c r="E361" s="908"/>
      <c r="F361" s="908"/>
      <c r="G361" s="909">
        <f>ABS(G330)/ABS(G325)</f>
        <v>1.3673823779795011</v>
      </c>
      <c r="H361" s="909">
        <f t="shared" ref="H361:AT361" si="229">ABS(H330)/ABS(H325)</f>
        <v>1.74631552987378</v>
      </c>
      <c r="I361" s="909">
        <f t="shared" si="229"/>
        <v>1.7993844309413436</v>
      </c>
      <c r="J361" s="909">
        <f t="shared" si="229"/>
        <v>1.7774578059746555</v>
      </c>
      <c r="K361" s="909">
        <f t="shared" si="229"/>
        <v>0.74556230065034068</v>
      </c>
      <c r="L361" s="909">
        <f t="shared" si="229"/>
        <v>1.8000262707104226</v>
      </c>
      <c r="M361" s="909">
        <f t="shared" si="229"/>
        <v>1.8454502774476664</v>
      </c>
      <c r="N361" s="909">
        <f t="shared" si="229"/>
        <v>1.8134295709371495</v>
      </c>
      <c r="O361" s="909">
        <f t="shared" si="229"/>
        <v>1.8500957133774181</v>
      </c>
      <c r="P361" s="909">
        <f t="shared" si="229"/>
        <v>0.75329714652658963</v>
      </c>
      <c r="Q361" s="909">
        <f t="shared" si="229"/>
        <v>1.8544898365162081</v>
      </c>
      <c r="R361" s="909">
        <f t="shared" si="229"/>
        <v>1.8220201092705912</v>
      </c>
      <c r="S361" s="909">
        <f t="shared" si="229"/>
        <v>1.8505477743591656</v>
      </c>
      <c r="T361" s="909">
        <f t="shared" si="229"/>
        <v>1.8101486163147937</v>
      </c>
      <c r="U361" s="909">
        <f t="shared" si="229"/>
        <v>0.77183492223804828</v>
      </c>
      <c r="V361" s="909">
        <f t="shared" si="229"/>
        <v>1.7982562370992616</v>
      </c>
      <c r="W361" s="909">
        <f t="shared" si="229"/>
        <v>1.8263138220888018</v>
      </c>
      <c r="X361" s="909">
        <f t="shared" si="229"/>
        <v>1.7984750421635303</v>
      </c>
      <c r="Y361" s="909">
        <f t="shared" si="229"/>
        <v>1.8388253243730148</v>
      </c>
      <c r="Z361" s="909">
        <f t="shared" si="229"/>
        <v>0.77016159488887292</v>
      </c>
      <c r="AA361" s="909">
        <f t="shared" si="229"/>
        <v>1.8509638749534105</v>
      </c>
      <c r="AB361" s="909">
        <f t="shared" si="229"/>
        <v>1.8222506950150259</v>
      </c>
      <c r="AC361" s="909">
        <f t="shared" si="229"/>
        <v>1.8501379870074335</v>
      </c>
      <c r="AD361" s="909">
        <f t="shared" si="229"/>
        <v>1.8089907841899322</v>
      </c>
      <c r="AE361" s="909">
        <f t="shared" si="229"/>
        <v>0.79162625798134456</v>
      </c>
      <c r="AF361" s="909">
        <f t="shared" si="229"/>
        <v>1.7957288182158184</v>
      </c>
      <c r="AG361" s="909">
        <f t="shared" si="229"/>
        <v>1.8231101396573153</v>
      </c>
      <c r="AH361" s="909">
        <f t="shared" si="229"/>
        <v>1.782466104460354</v>
      </c>
      <c r="AI361" s="909">
        <f t="shared" si="229"/>
        <v>1.8095954060047057</v>
      </c>
      <c r="AJ361" s="909">
        <f t="shared" si="229"/>
        <v>0.77273788862413062</v>
      </c>
      <c r="AK361" s="909">
        <f t="shared" si="229"/>
        <v>1.7960819082496569</v>
      </c>
      <c r="AL361" s="909">
        <f t="shared" si="229"/>
        <v>1.755943661858365</v>
      </c>
      <c r="AM361" s="909">
        <f t="shared" si="229"/>
        <v>1.7825709773969458</v>
      </c>
      <c r="AN361" s="909">
        <f t="shared" si="229"/>
        <v>1.7426865452512321</v>
      </c>
      <c r="AO361" s="909">
        <f t="shared" si="229"/>
        <v>0.78302782921647329</v>
      </c>
      <c r="AP361" s="909">
        <f t="shared" si="229"/>
        <v>1.7294339044884068</v>
      </c>
      <c r="AQ361" s="909">
        <f t="shared" si="229"/>
        <v>1.7555621337462961</v>
      </c>
      <c r="AR361" s="909">
        <f t="shared" si="229"/>
        <v>1.7161870418828054</v>
      </c>
      <c r="AS361" s="909">
        <f t="shared" si="229"/>
        <v>1.7420668749823216</v>
      </c>
      <c r="AT361" s="909">
        <f t="shared" si="229"/>
        <v>0.76390001199997659</v>
      </c>
      <c r="AU361" s="166"/>
      <c r="AV361" s="166"/>
      <c r="AW361" s="166"/>
      <c r="AX361" s="166"/>
      <c r="AY361" s="166"/>
      <c r="AZ361" s="166"/>
      <c r="BA361" s="166"/>
      <c r="BB361" s="166"/>
      <c r="BC361" s="166"/>
      <c r="BD361" s="166"/>
      <c r="BE361" s="166"/>
      <c r="BF361" s="166"/>
      <c r="BG361" s="166"/>
      <c r="BH361" s="166"/>
      <c r="BI361" s="166"/>
      <c r="BJ361" s="166"/>
      <c r="BK361" s="166"/>
      <c r="BL361" s="166"/>
      <c r="BM361" s="166"/>
      <c r="BN361" s="166"/>
    </row>
    <row r="362" spans="2:66" ht="14.4" x14ac:dyDescent="0.25">
      <c r="B362" s="844" t="s">
        <v>490</v>
      </c>
      <c r="C362" s="908"/>
      <c r="D362" s="908"/>
      <c r="E362" s="908"/>
      <c r="F362" s="908"/>
      <c r="G362" s="909">
        <f>G361-1</f>
        <v>0.36738237797950113</v>
      </c>
      <c r="H362" s="909">
        <f t="shared" ref="H362" si="230">H361-1</f>
        <v>0.74631552987378003</v>
      </c>
      <c r="I362" s="909">
        <f t="shared" ref="I362" si="231">I361-1</f>
        <v>0.79938443094134359</v>
      </c>
      <c r="J362" s="909">
        <f t="shared" ref="J362" si="232">J361-1</f>
        <v>0.77745780597465552</v>
      </c>
      <c r="K362" s="909">
        <f t="shared" ref="K362" si="233">K361-1</f>
        <v>-0.25443769934965932</v>
      </c>
      <c r="L362" s="909">
        <f t="shared" ref="L362" si="234">L361-1</f>
        <v>0.80002627071042265</v>
      </c>
      <c r="M362" s="909">
        <f t="shared" ref="M362" si="235">M361-1</f>
        <v>0.84545027744766643</v>
      </c>
      <c r="N362" s="909">
        <f t="shared" ref="N362" si="236">N361-1</f>
        <v>0.81342957093714952</v>
      </c>
      <c r="O362" s="909">
        <f t="shared" ref="O362" si="237">O361-1</f>
        <v>0.85009571337741807</v>
      </c>
      <c r="P362" s="909">
        <f t="shared" ref="P362" si="238">P361-1</f>
        <v>-0.24670285347341037</v>
      </c>
      <c r="Q362" s="909">
        <f t="shared" ref="Q362" si="239">Q361-1</f>
        <v>0.85448983651620813</v>
      </c>
      <c r="R362" s="909">
        <f t="shared" ref="R362" si="240">R361-1</f>
        <v>0.82202010927059121</v>
      </c>
      <c r="S362" s="909">
        <f t="shared" ref="S362" si="241">S361-1</f>
        <v>0.85054777435916562</v>
      </c>
      <c r="T362" s="909">
        <f t="shared" ref="T362" si="242">T361-1</f>
        <v>0.81014861631479373</v>
      </c>
      <c r="U362" s="909">
        <f t="shared" ref="U362" si="243">U361-1</f>
        <v>-0.22816507776195172</v>
      </c>
      <c r="V362" s="909">
        <f t="shared" ref="V362" si="244">V361-1</f>
        <v>0.79825623709926163</v>
      </c>
      <c r="W362" s="909">
        <f t="shared" ref="W362" si="245">W361-1</f>
        <v>0.82631382208880177</v>
      </c>
      <c r="X362" s="909">
        <f t="shared" ref="X362" si="246">X361-1</f>
        <v>0.79847504216353027</v>
      </c>
      <c r="Y362" s="909">
        <f t="shared" ref="Y362" si="247">Y361-1</f>
        <v>0.83882532437301482</v>
      </c>
      <c r="Z362" s="909">
        <f t="shared" ref="Z362" si="248">Z361-1</f>
        <v>-0.22983840511112708</v>
      </c>
      <c r="AA362" s="909">
        <f t="shared" ref="AA362" si="249">AA361-1</f>
        <v>0.85096387495341053</v>
      </c>
      <c r="AB362" s="909">
        <f t="shared" ref="AB362" si="250">AB361-1</f>
        <v>0.8222506950150259</v>
      </c>
      <c r="AC362" s="909">
        <f t="shared" ref="AC362" si="251">AC361-1</f>
        <v>0.85013798700743348</v>
      </c>
      <c r="AD362" s="909">
        <f t="shared" ref="AD362" si="252">AD361-1</f>
        <v>0.8089907841899322</v>
      </c>
      <c r="AE362" s="909">
        <f t="shared" ref="AE362" si="253">AE361-1</f>
        <v>-0.20837374201865544</v>
      </c>
      <c r="AF362" s="909">
        <f t="shared" ref="AF362" si="254">AF361-1</f>
        <v>0.79572881821581842</v>
      </c>
      <c r="AG362" s="909">
        <f t="shared" ref="AG362" si="255">AG361-1</f>
        <v>0.82311013965731528</v>
      </c>
      <c r="AH362" s="909">
        <f t="shared" ref="AH362" si="256">AH361-1</f>
        <v>0.78246610446035403</v>
      </c>
      <c r="AI362" s="909">
        <f t="shared" ref="AI362" si="257">AI361-1</f>
        <v>0.8095954060047057</v>
      </c>
      <c r="AJ362" s="909">
        <f t="shared" ref="AJ362" si="258">AJ361-1</f>
        <v>-0.22726211137586938</v>
      </c>
      <c r="AK362" s="909">
        <f t="shared" ref="AK362" si="259">AK361-1</f>
        <v>0.79608190824965686</v>
      </c>
      <c r="AL362" s="909">
        <f t="shared" ref="AL362" si="260">AL361-1</f>
        <v>0.75594366185836503</v>
      </c>
      <c r="AM362" s="909">
        <f t="shared" ref="AM362" si="261">AM361-1</f>
        <v>0.78257097739694581</v>
      </c>
      <c r="AN362" s="909">
        <f t="shared" ref="AN362" si="262">AN361-1</f>
        <v>0.74268654525123212</v>
      </c>
      <c r="AO362" s="909">
        <f t="shared" ref="AO362" si="263">AO361-1</f>
        <v>-0.21697217078352671</v>
      </c>
      <c r="AP362" s="909">
        <f t="shared" ref="AP362" si="264">AP361-1</f>
        <v>0.72943390448840684</v>
      </c>
      <c r="AQ362" s="909">
        <f t="shared" ref="AQ362" si="265">AQ361-1</f>
        <v>0.75556213374629611</v>
      </c>
      <c r="AR362" s="909">
        <f t="shared" ref="AR362" si="266">AR361-1</f>
        <v>0.71618704188280535</v>
      </c>
      <c r="AS362" s="909">
        <f t="shared" ref="AS362" si="267">AS361-1</f>
        <v>0.7420668749823216</v>
      </c>
      <c r="AT362" s="909">
        <f t="shared" ref="AT362" si="268">AT361-1</f>
        <v>-0.23609998800002341</v>
      </c>
      <c r="AU362" s="166"/>
      <c r="AV362" s="166"/>
      <c r="AW362" s="166"/>
      <c r="AX362" s="166"/>
      <c r="AY362" s="166"/>
      <c r="AZ362" s="166"/>
      <c r="BA362" s="166"/>
      <c r="BB362" s="166"/>
      <c r="BC362" s="166"/>
      <c r="BD362" s="166"/>
      <c r="BE362" s="166"/>
      <c r="BF362" s="166"/>
      <c r="BG362" s="166"/>
      <c r="BH362" s="166"/>
      <c r="BI362" s="166"/>
      <c r="BJ362" s="166"/>
      <c r="BK362" s="166"/>
      <c r="BL362" s="166"/>
      <c r="BM362" s="166"/>
      <c r="BN362" s="166"/>
    </row>
    <row r="363" spans="2:66" ht="14.4" x14ac:dyDescent="0.25">
      <c r="B363" s="844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  <c r="O363" s="178"/>
      <c r="P363" s="178"/>
      <c r="Q363" s="178"/>
      <c r="R363" s="178"/>
      <c r="S363" s="178"/>
      <c r="T363" s="178"/>
      <c r="U363" s="178"/>
      <c r="V363" s="178"/>
      <c r="W363" s="178"/>
      <c r="X363" s="178"/>
      <c r="Y363" s="178"/>
      <c r="Z363" s="178"/>
      <c r="AA363" s="178"/>
      <c r="AB363" s="178"/>
      <c r="AC363" s="178"/>
      <c r="AD363" s="178"/>
      <c r="AE363" s="178"/>
      <c r="AF363" s="178"/>
      <c r="AG363" s="178"/>
      <c r="AH363" s="178"/>
      <c r="AI363" s="178"/>
      <c r="AJ363" s="178"/>
      <c r="AK363" s="178"/>
      <c r="AL363" s="178"/>
      <c r="AM363" s="178"/>
      <c r="AN363" s="178"/>
      <c r="AO363" s="178"/>
      <c r="AP363" s="178"/>
      <c r="AQ363" s="178"/>
      <c r="AR363" s="178"/>
      <c r="AS363" s="178"/>
      <c r="AT363" s="178"/>
      <c r="AU363" s="166"/>
      <c r="AV363" s="166"/>
      <c r="AW363" s="166"/>
      <c r="AX363" s="166"/>
      <c r="AY363" s="166"/>
      <c r="AZ363" s="166"/>
      <c r="BA363" s="166"/>
      <c r="BB363" s="166"/>
      <c r="BC363" s="166"/>
      <c r="BD363" s="166"/>
      <c r="BE363" s="166"/>
      <c r="BF363" s="166"/>
      <c r="BG363" s="166"/>
      <c r="BH363" s="166"/>
      <c r="BI363" s="166"/>
      <c r="BJ363" s="166"/>
      <c r="BK363" s="166"/>
      <c r="BL363" s="166"/>
      <c r="BM363" s="166"/>
      <c r="BN363" s="166"/>
    </row>
    <row r="364" spans="2:66" ht="14.4" x14ac:dyDescent="0.25">
      <c r="B364" s="907" t="s">
        <v>404</v>
      </c>
      <c r="C364" s="268">
        <f>C355/((1+$C$26)^C296)</f>
        <v>-7968994.6529367194</v>
      </c>
      <c r="D364" s="268">
        <f>D355/((1+$C$26)^D296)</f>
        <v>-27644223.938510761</v>
      </c>
      <c r="E364" s="268">
        <f t="shared" ref="E364:AT364" si="269">E355/((1+$C$26)^E296)</f>
        <v>-64695938.279751711</v>
      </c>
      <c r="F364" s="268">
        <f t="shared" si="269"/>
        <v>-23379064.403398503</v>
      </c>
      <c r="G364" s="268">
        <f t="shared" si="269"/>
        <v>972995.91593473474</v>
      </c>
      <c r="H364" s="268">
        <f t="shared" si="269"/>
        <v>1795650.8749352272</v>
      </c>
      <c r="I364" s="268">
        <f t="shared" si="269"/>
        <v>1741974.7507209117</v>
      </c>
      <c r="J364" s="268">
        <f t="shared" si="269"/>
        <v>1534460.0369105821</v>
      </c>
      <c r="K364" s="268">
        <f t="shared" si="269"/>
        <v>-1111940.9436938784</v>
      </c>
      <c r="L364" s="268">
        <f t="shared" si="269"/>
        <v>1295345.7486254247</v>
      </c>
      <c r="M364" s="268">
        <f t="shared" si="269"/>
        <v>1239880.0100057919</v>
      </c>
      <c r="N364" s="268">
        <f t="shared" si="269"/>
        <v>1080506.8813619833</v>
      </c>
      <c r="O364" s="268">
        <f t="shared" si="269"/>
        <v>1006112.8614945818</v>
      </c>
      <c r="P364" s="268">
        <f t="shared" si="269"/>
        <v>-1303610.5949727469</v>
      </c>
      <c r="Q364" s="268">
        <f t="shared" si="269"/>
        <v>41666.044371122465</v>
      </c>
      <c r="R364" s="268">
        <f t="shared" si="269"/>
        <v>722027.44269129308</v>
      </c>
      <c r="S364" s="268">
        <f t="shared" si="269"/>
        <v>663953.78933418775</v>
      </c>
      <c r="T364" s="268">
        <f t="shared" si="269"/>
        <v>577654.64897654078</v>
      </c>
      <c r="U364" s="268">
        <f t="shared" si="269"/>
        <v>-809530.88328771491</v>
      </c>
      <c r="V364" s="268">
        <f t="shared" si="269"/>
        <v>-757702.76698327065</v>
      </c>
      <c r="W364" s="268">
        <f t="shared" si="269"/>
        <v>-98639.045651716078</v>
      </c>
      <c r="X364" s="268">
        <f t="shared" si="269"/>
        <v>385021.27108906646</v>
      </c>
      <c r="Y364" s="268">
        <f t="shared" si="269"/>
        <v>357836.84316634299</v>
      </c>
      <c r="Z364" s="268">
        <f t="shared" si="269"/>
        <v>-219083.2288314403</v>
      </c>
      <c r="AA364" s="268">
        <f t="shared" si="269"/>
        <v>80478.273157827396</v>
      </c>
      <c r="AB364" s="268">
        <f t="shared" si="269"/>
        <v>18450.12703536066</v>
      </c>
      <c r="AC364" s="268">
        <f t="shared" si="269"/>
        <v>238948.1775585041</v>
      </c>
      <c r="AD364" s="268">
        <f t="shared" si="269"/>
        <v>207653.29340039488</v>
      </c>
      <c r="AE364" s="268">
        <f t="shared" si="269"/>
        <v>-119625.95433849996</v>
      </c>
      <c r="AF364" s="268">
        <f t="shared" si="269"/>
        <v>166098.78813355905</v>
      </c>
      <c r="AG364" s="268">
        <f t="shared" si="269"/>
        <v>153045.23456226065</v>
      </c>
      <c r="AH364" s="268">
        <f t="shared" si="269"/>
        <v>132864.94529557845</v>
      </c>
      <c r="AI364" s="268">
        <f t="shared" si="269"/>
        <v>122491.67987151102</v>
      </c>
      <c r="AJ364" s="268">
        <f t="shared" si="269"/>
        <v>-78600.839238664164</v>
      </c>
      <c r="AK364" s="268">
        <f t="shared" si="269"/>
        <v>98040.552755274868</v>
      </c>
      <c r="AL364" s="268">
        <f t="shared" si="269"/>
        <v>-61064.446121570385</v>
      </c>
      <c r="AM364" s="268">
        <f t="shared" si="269"/>
        <v>-207426.73271727713</v>
      </c>
      <c r="AN364" s="268">
        <f t="shared" si="269"/>
        <v>-25577.956169951685</v>
      </c>
      <c r="AO364" s="268">
        <f t="shared" si="269"/>
        <v>-45221.684444575658</v>
      </c>
      <c r="AP364" s="268">
        <f t="shared" si="269"/>
        <v>56126.112478596559</v>
      </c>
      <c r="AQ364" s="268">
        <f t="shared" si="269"/>
        <v>51794.536054145377</v>
      </c>
      <c r="AR364" s="268">
        <f t="shared" si="269"/>
        <v>44867.220570285579</v>
      </c>
      <c r="AS364" s="268">
        <f t="shared" si="269"/>
        <v>41428.904823844867</v>
      </c>
      <c r="AT364" s="268">
        <f t="shared" si="269"/>
        <v>273847.69351187808</v>
      </c>
      <c r="AU364" s="166"/>
      <c r="AV364" s="166"/>
      <c r="AW364" s="166"/>
      <c r="AX364" s="166"/>
      <c r="AY364" s="166"/>
      <c r="AZ364" s="166"/>
      <c r="BA364" s="166"/>
      <c r="BB364" s="166"/>
      <c r="BC364" s="166"/>
      <c r="BD364" s="166"/>
      <c r="BE364" s="166"/>
      <c r="BF364" s="166"/>
      <c r="BG364" s="166"/>
      <c r="BH364" s="166"/>
      <c r="BI364" s="166"/>
      <c r="BJ364" s="166"/>
      <c r="BK364" s="166"/>
      <c r="BL364" s="166"/>
      <c r="BM364" s="166"/>
      <c r="BN364" s="166"/>
    </row>
    <row r="365" spans="2:66" ht="14.4" x14ac:dyDescent="0.25">
      <c r="B365" s="907" t="s">
        <v>403</v>
      </c>
      <c r="C365" s="824">
        <f>SUM(C364)</f>
        <v>-7968994.6529367194</v>
      </c>
      <c r="D365" s="824">
        <f>SUM(C364:D364)</f>
        <v>-35613218.59144748</v>
      </c>
      <c r="E365" s="824">
        <f>SUM(C364:E364)</f>
        <v>-100309156.87119919</v>
      </c>
      <c r="F365" s="824">
        <f>SUM(C364:F364)</f>
        <v>-123688221.27459769</v>
      </c>
      <c r="G365" s="824">
        <f>SUM(C364:G364)</f>
        <v>-122715225.35866295</v>
      </c>
      <c r="H365" s="824">
        <f>SUM(C364:H364)</f>
        <v>-120919574.48372772</v>
      </c>
      <c r="I365" s="824">
        <f>SUM(C364:I364)</f>
        <v>-119177599.73300681</v>
      </c>
      <c r="J365" s="824">
        <f>SUM(C364:J364)</f>
        <v>-117643139.69609623</v>
      </c>
      <c r="K365" s="824">
        <f>SUM(C364:K364)</f>
        <v>-118755080.6397901</v>
      </c>
      <c r="L365" s="824">
        <f>SUM(C364:L364)</f>
        <v>-117459734.89116468</v>
      </c>
      <c r="M365" s="824">
        <f>SUM(C364:M364)</f>
        <v>-116219854.88115889</v>
      </c>
      <c r="N365" s="824">
        <f>SUM(C364:N364)</f>
        <v>-115139347.99979691</v>
      </c>
      <c r="O365" s="824">
        <f>SUM(C364:O364)</f>
        <v>-114133235.13830233</v>
      </c>
      <c r="P365" s="824">
        <f>SUM(C364:P364)</f>
        <v>-115436845.73327507</v>
      </c>
      <c r="Q365" s="824">
        <f>SUM(C364:Q364)</f>
        <v>-115395179.68890394</v>
      </c>
      <c r="R365" s="824">
        <f>SUM(C364:R364)</f>
        <v>-114673152.24621265</v>
      </c>
      <c r="S365" s="824">
        <f>SUM(C364:S364)</f>
        <v>-114009198.45687845</v>
      </c>
      <c r="T365" s="824">
        <f>SUM(C364:T364)</f>
        <v>-113431543.80790192</v>
      </c>
      <c r="U365" s="824">
        <f>SUM(C364:U364)</f>
        <v>-114241074.69118963</v>
      </c>
      <c r="V365" s="824">
        <f>SUM(C364:V364)</f>
        <v>-114998777.4581729</v>
      </c>
      <c r="W365" s="824">
        <f>SUM(C364:W364)</f>
        <v>-115097416.50382462</v>
      </c>
      <c r="X365" s="824">
        <f>SUM(C364:X364)</f>
        <v>-114712395.23273556</v>
      </c>
      <c r="Y365" s="824">
        <f>SUM(C364:Y364)</f>
        <v>-114354558.38956922</v>
      </c>
      <c r="Z365" s="824">
        <f>SUM(C364:Z364)</f>
        <v>-114573641.61840066</v>
      </c>
      <c r="AA365" s="824">
        <f>SUM(C364:AA364)</f>
        <v>-114493163.34524284</v>
      </c>
      <c r="AB365" s="824">
        <f>SUM(C364:AB364)</f>
        <v>-114474713.21820748</v>
      </c>
      <c r="AC365" s="824">
        <f>SUM(C364:AC364)</f>
        <v>-114235765.04064897</v>
      </c>
      <c r="AD365" s="824">
        <f>SUM(C364:AD364)</f>
        <v>-114028111.74724858</v>
      </c>
      <c r="AE365" s="824">
        <f>SUM(C364:AE364)</f>
        <v>-114147737.70158708</v>
      </c>
      <c r="AF365" s="824">
        <f>SUM(C364:AF364)</f>
        <v>-113981638.91345352</v>
      </c>
      <c r="AG365" s="824">
        <f>SUM(C364:AG364)</f>
        <v>-113828593.67889126</v>
      </c>
      <c r="AH365" s="824">
        <f>SUM(C364:AH364)</f>
        <v>-113695728.73359568</v>
      </c>
      <c r="AI365" s="824">
        <f>SUM(C364:AI364)</f>
        <v>-113573237.05372417</v>
      </c>
      <c r="AJ365" s="824">
        <f>SUM(C364:AJ364)</f>
        <v>-113651837.89296283</v>
      </c>
      <c r="AK365" s="824">
        <f>SUM(C364:AK364)</f>
        <v>-113553797.34020755</v>
      </c>
      <c r="AL365" s="824">
        <f>SUM(C364:AL364)</f>
        <v>-113614861.78632912</v>
      </c>
      <c r="AM365" s="824">
        <f>SUM(C364:AM364)</f>
        <v>-113822288.5190464</v>
      </c>
      <c r="AN365" s="824">
        <f>SUM(C364:AN364)</f>
        <v>-113847866.47521634</v>
      </c>
      <c r="AO365" s="824">
        <f>SUM(C364:AO364)</f>
        <v>-113893088.15966092</v>
      </c>
      <c r="AP365" s="824">
        <f>SUM(C364:AP364)</f>
        <v>-113836962.04718232</v>
      </c>
      <c r="AQ365" s="824">
        <f>SUM(C364:AQ364)</f>
        <v>-113785167.51112817</v>
      </c>
      <c r="AR365" s="824">
        <f>SUM(C364:AR364)</f>
        <v>-113740300.29055789</v>
      </c>
      <c r="AS365" s="824">
        <f>SUM(C364:AS364)</f>
        <v>-113698871.38573405</v>
      </c>
      <c r="AT365" s="824">
        <f>SUM(C364:AT364)</f>
        <v>-113425023.69222218</v>
      </c>
      <c r="AU365" s="166"/>
      <c r="AV365" s="166"/>
      <c r="AW365" s="166"/>
      <c r="AX365" s="166"/>
      <c r="AY365" s="166"/>
      <c r="AZ365" s="166"/>
      <c r="BA365" s="166"/>
      <c r="BB365" s="166"/>
      <c r="BC365" s="166"/>
      <c r="BD365" s="166"/>
      <c r="BE365" s="166"/>
      <c r="BF365" s="166"/>
      <c r="BG365" s="166"/>
      <c r="BH365" s="166"/>
      <c r="BI365" s="166"/>
      <c r="BJ365" s="166"/>
      <c r="BK365" s="166"/>
      <c r="BL365" s="166"/>
      <c r="BM365" s="166"/>
      <c r="BN365" s="166"/>
    </row>
    <row r="366" spans="2:66" x14ac:dyDescent="0.25">
      <c r="AU366" s="166"/>
      <c r="AV366" s="166"/>
      <c r="AW366" s="166"/>
      <c r="AX366" s="166"/>
      <c r="AY366" s="166"/>
      <c r="AZ366" s="166"/>
      <c r="BA366" s="166"/>
      <c r="BB366" s="166"/>
      <c r="BC366" s="166"/>
      <c r="BD366" s="166"/>
      <c r="BE366" s="166"/>
      <c r="BF366" s="166"/>
      <c r="BG366" s="166"/>
      <c r="BH366" s="166"/>
      <c r="BI366" s="166"/>
      <c r="BJ366" s="166"/>
      <c r="BK366" s="166"/>
      <c r="BL366" s="166"/>
      <c r="BM366" s="166"/>
      <c r="BN366" s="166"/>
    </row>
    <row r="367" spans="2:66" x14ac:dyDescent="0.25">
      <c r="AU367" s="166"/>
      <c r="AV367" s="166"/>
      <c r="AW367" s="166"/>
      <c r="AX367" s="166"/>
      <c r="AY367" s="166"/>
      <c r="AZ367" s="166"/>
      <c r="BA367" s="166"/>
      <c r="BB367" s="166"/>
      <c r="BC367" s="166"/>
      <c r="BD367" s="166"/>
      <c r="BE367" s="166"/>
      <c r="BF367" s="166"/>
      <c r="BG367" s="166"/>
      <c r="BH367" s="166"/>
      <c r="BI367" s="166"/>
      <c r="BJ367" s="166"/>
      <c r="BK367" s="166"/>
      <c r="BL367" s="166"/>
      <c r="BM367" s="166"/>
      <c r="BN367" s="166"/>
    </row>
    <row r="368" spans="2:66" s="306" customFormat="1" ht="14.4" x14ac:dyDescent="0.3">
      <c r="B368" s="759" t="s">
        <v>533</v>
      </c>
      <c r="C368" s="759"/>
      <c r="D368" s="759"/>
      <c r="E368" s="759"/>
      <c r="F368" s="759"/>
      <c r="G368" s="759"/>
      <c r="H368" s="759"/>
      <c r="I368" s="759"/>
      <c r="J368" s="759"/>
      <c r="K368" s="759"/>
      <c r="L368" s="759"/>
      <c r="M368" s="759"/>
      <c r="N368" s="759"/>
      <c r="O368" s="759"/>
      <c r="P368" s="759"/>
      <c r="Q368" s="759"/>
      <c r="R368" s="759"/>
      <c r="S368" s="759"/>
      <c r="T368" s="759"/>
      <c r="U368" s="759"/>
      <c r="V368" s="759"/>
      <c r="W368" s="759"/>
      <c r="X368" s="759"/>
      <c r="Y368" s="759"/>
      <c r="Z368" s="759"/>
      <c r="AA368" s="759"/>
      <c r="AB368" s="759"/>
      <c r="AC368" s="759"/>
      <c r="AD368" s="759"/>
      <c r="AE368" s="759"/>
      <c r="AF368" s="759"/>
      <c r="AG368" s="759"/>
      <c r="AH368" s="759"/>
      <c r="AI368" s="759"/>
      <c r="AJ368" s="759"/>
      <c r="AK368" s="759"/>
      <c r="AL368" s="759"/>
      <c r="AM368" s="759"/>
      <c r="AN368" s="759"/>
      <c r="AO368" s="759"/>
      <c r="AP368" s="759"/>
      <c r="AQ368" s="759"/>
      <c r="AR368" s="759"/>
      <c r="AS368" s="759"/>
      <c r="AT368" s="814"/>
    </row>
    <row r="369" spans="2:57" x14ac:dyDescent="0.25"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177"/>
      <c r="AE369" s="177"/>
      <c r="AF369" s="177"/>
      <c r="AG369" s="177"/>
      <c r="AH369" s="177"/>
      <c r="AI369" s="177"/>
      <c r="AJ369" s="13"/>
      <c r="AK369" s="38"/>
      <c r="AL369" s="38"/>
      <c r="AM369" s="38"/>
      <c r="AN369" s="38"/>
      <c r="AO369" s="38"/>
      <c r="AP369" s="38"/>
      <c r="AQ369" s="38"/>
      <c r="AR369" s="38"/>
      <c r="AS369" s="38"/>
      <c r="AT369" s="13"/>
      <c r="AU369" s="166"/>
      <c r="AV369" s="166"/>
      <c r="AW369" s="166"/>
      <c r="AX369" s="166"/>
      <c r="AY369" s="166"/>
      <c r="AZ369" s="166"/>
      <c r="BA369" s="166"/>
      <c r="BB369" s="166"/>
      <c r="BC369" s="166"/>
      <c r="BD369" s="166"/>
      <c r="BE369" s="166"/>
    </row>
    <row r="370" spans="2:57" ht="14.4" x14ac:dyDescent="0.3">
      <c r="B370" s="813" t="s">
        <v>378</v>
      </c>
      <c r="C370" s="179">
        <v>2015</v>
      </c>
      <c r="D370" s="179">
        <v>2016</v>
      </c>
      <c r="E370" s="179">
        <v>2017</v>
      </c>
      <c r="F370" s="179">
        <v>2018</v>
      </c>
      <c r="G370" s="179">
        <v>2019</v>
      </c>
      <c r="H370" s="179">
        <v>2020</v>
      </c>
      <c r="I370" s="179">
        <v>2021</v>
      </c>
      <c r="J370" s="179">
        <v>2022</v>
      </c>
      <c r="K370" s="179">
        <v>2023</v>
      </c>
      <c r="L370" s="179">
        <v>2024</v>
      </c>
      <c r="M370" s="179">
        <v>2025</v>
      </c>
      <c r="N370" s="179">
        <v>2026</v>
      </c>
      <c r="O370" s="179">
        <v>2027</v>
      </c>
      <c r="P370" s="179">
        <v>2028</v>
      </c>
      <c r="Q370" s="179">
        <v>2029</v>
      </c>
      <c r="R370" s="179">
        <v>2030</v>
      </c>
      <c r="S370" s="179">
        <v>2031</v>
      </c>
      <c r="T370" s="179">
        <v>2032</v>
      </c>
      <c r="U370" s="179">
        <v>2033</v>
      </c>
      <c r="V370" s="179">
        <v>2034</v>
      </c>
      <c r="W370" s="179">
        <v>2035</v>
      </c>
      <c r="X370" s="179">
        <v>2036</v>
      </c>
      <c r="Y370" s="179">
        <v>2037</v>
      </c>
      <c r="Z370" s="179">
        <v>2038</v>
      </c>
      <c r="AA370" s="179">
        <v>2039</v>
      </c>
      <c r="AB370" s="179">
        <v>2040</v>
      </c>
      <c r="AC370" s="179">
        <v>2041</v>
      </c>
      <c r="AD370" s="179">
        <v>2042</v>
      </c>
      <c r="AE370" s="179">
        <v>2043</v>
      </c>
      <c r="AF370" s="179">
        <v>2044</v>
      </c>
      <c r="AG370" s="179">
        <v>2045</v>
      </c>
      <c r="AH370" s="179">
        <v>2046</v>
      </c>
      <c r="AI370" s="179">
        <v>2047</v>
      </c>
      <c r="AJ370" s="179">
        <v>2048</v>
      </c>
      <c r="AK370" s="179">
        <v>2049</v>
      </c>
      <c r="AL370" s="179">
        <v>2050</v>
      </c>
      <c r="AM370" s="179">
        <v>2051</v>
      </c>
      <c r="AN370" s="179">
        <v>2052</v>
      </c>
      <c r="AO370" s="179">
        <v>2053</v>
      </c>
      <c r="AP370" s="179">
        <v>2054</v>
      </c>
      <c r="AQ370" s="179">
        <v>2055</v>
      </c>
      <c r="AR370" s="179">
        <v>2056</v>
      </c>
      <c r="AS370" s="179">
        <v>2057</v>
      </c>
      <c r="AT370" s="179">
        <v>2058</v>
      </c>
      <c r="AU370" s="166"/>
      <c r="AV370" s="166"/>
      <c r="AW370" s="166"/>
      <c r="AX370" s="166"/>
      <c r="AY370" s="166"/>
      <c r="AZ370" s="166"/>
      <c r="BA370" s="166"/>
      <c r="BB370" s="166"/>
      <c r="BC370" s="166"/>
      <c r="BD370" s="166"/>
      <c r="BE370" s="166"/>
    </row>
    <row r="371" spans="2:57" ht="14.4" x14ac:dyDescent="0.3">
      <c r="B371" s="813"/>
      <c r="C371" s="816" t="s">
        <v>134</v>
      </c>
      <c r="D371" s="816" t="s">
        <v>135</v>
      </c>
      <c r="E371" s="816" t="s">
        <v>136</v>
      </c>
      <c r="F371" s="816" t="s">
        <v>137</v>
      </c>
      <c r="G371" s="816" t="s">
        <v>138</v>
      </c>
      <c r="H371" s="816" t="s">
        <v>139</v>
      </c>
      <c r="I371" s="816" t="s">
        <v>140</v>
      </c>
      <c r="J371" s="816" t="s">
        <v>141</v>
      </c>
      <c r="K371" s="816" t="s">
        <v>142</v>
      </c>
      <c r="L371" s="816" t="s">
        <v>143</v>
      </c>
      <c r="M371" s="816" t="s">
        <v>144</v>
      </c>
      <c r="N371" s="816" t="s">
        <v>145</v>
      </c>
      <c r="O371" s="816" t="s">
        <v>146</v>
      </c>
      <c r="P371" s="816" t="s">
        <v>147</v>
      </c>
      <c r="Q371" s="816" t="s">
        <v>148</v>
      </c>
      <c r="R371" s="816" t="s">
        <v>149</v>
      </c>
      <c r="S371" s="816" t="s">
        <v>150</v>
      </c>
      <c r="T371" s="816" t="s">
        <v>151</v>
      </c>
      <c r="U371" s="816" t="s">
        <v>152</v>
      </c>
      <c r="V371" s="816" t="s">
        <v>153</v>
      </c>
      <c r="W371" s="816" t="s">
        <v>154</v>
      </c>
      <c r="X371" s="816" t="s">
        <v>155</v>
      </c>
      <c r="Y371" s="816" t="s">
        <v>156</v>
      </c>
      <c r="Z371" s="816" t="s">
        <v>157</v>
      </c>
      <c r="AA371" s="816" t="s">
        <v>158</v>
      </c>
      <c r="AB371" s="816" t="s">
        <v>159</v>
      </c>
      <c r="AC371" s="816" t="s">
        <v>160</v>
      </c>
      <c r="AD371" s="816" t="s">
        <v>161</v>
      </c>
      <c r="AE371" s="816" t="s">
        <v>162</v>
      </c>
      <c r="AF371" s="816" t="s">
        <v>163</v>
      </c>
      <c r="AG371" s="816" t="s">
        <v>164</v>
      </c>
      <c r="AH371" s="816" t="s">
        <v>165</v>
      </c>
      <c r="AI371" s="816" t="s">
        <v>166</v>
      </c>
      <c r="AJ371" s="816" t="s">
        <v>167</v>
      </c>
      <c r="AK371" s="816" t="s">
        <v>168</v>
      </c>
      <c r="AL371" s="816" t="s">
        <v>169</v>
      </c>
      <c r="AM371" s="816" t="s">
        <v>170</v>
      </c>
      <c r="AN371" s="816" t="s">
        <v>171</v>
      </c>
      <c r="AO371" s="816" t="s">
        <v>172</v>
      </c>
      <c r="AP371" s="816" t="s">
        <v>173</v>
      </c>
      <c r="AQ371" s="816" t="s">
        <v>174</v>
      </c>
      <c r="AR371" s="816" t="s">
        <v>224</v>
      </c>
      <c r="AS371" s="816" t="s">
        <v>225</v>
      </c>
      <c r="AT371" s="816" t="s">
        <v>226</v>
      </c>
      <c r="AU371" s="166"/>
      <c r="AV371" s="166"/>
      <c r="AW371" s="166"/>
      <c r="AX371" s="166"/>
      <c r="AY371" s="166"/>
      <c r="AZ371" s="166"/>
      <c r="BA371" s="166"/>
      <c r="BB371" s="166"/>
      <c r="BC371" s="166"/>
      <c r="BD371" s="166"/>
      <c r="BE371" s="166"/>
    </row>
    <row r="372" spans="2:57" ht="14.4" x14ac:dyDescent="0.3">
      <c r="B372" s="813"/>
      <c r="C372" s="816">
        <v>0</v>
      </c>
      <c r="D372" s="816">
        <v>1</v>
      </c>
      <c r="E372" s="816">
        <v>2</v>
      </c>
      <c r="F372" s="816">
        <v>3</v>
      </c>
      <c r="G372" s="816">
        <v>4</v>
      </c>
      <c r="H372" s="816">
        <v>5</v>
      </c>
      <c r="I372" s="816">
        <v>6</v>
      </c>
      <c r="J372" s="816">
        <v>7</v>
      </c>
      <c r="K372" s="816">
        <v>8</v>
      </c>
      <c r="L372" s="816">
        <v>9</v>
      </c>
      <c r="M372" s="816">
        <v>10</v>
      </c>
      <c r="N372" s="816">
        <v>11</v>
      </c>
      <c r="O372" s="816">
        <v>12</v>
      </c>
      <c r="P372" s="816">
        <v>13</v>
      </c>
      <c r="Q372" s="816">
        <v>14</v>
      </c>
      <c r="R372" s="816">
        <v>15</v>
      </c>
      <c r="S372" s="816">
        <v>16</v>
      </c>
      <c r="T372" s="816">
        <v>17</v>
      </c>
      <c r="U372" s="816">
        <v>18</v>
      </c>
      <c r="V372" s="816">
        <v>19</v>
      </c>
      <c r="W372" s="816">
        <v>20</v>
      </c>
      <c r="X372" s="816">
        <v>21</v>
      </c>
      <c r="Y372" s="816">
        <v>22</v>
      </c>
      <c r="Z372" s="816">
        <v>23</v>
      </c>
      <c r="AA372" s="816">
        <v>24</v>
      </c>
      <c r="AB372" s="816">
        <v>25</v>
      </c>
      <c r="AC372" s="816">
        <v>26</v>
      </c>
      <c r="AD372" s="816">
        <v>27</v>
      </c>
      <c r="AE372" s="816">
        <v>28</v>
      </c>
      <c r="AF372" s="816">
        <v>29</v>
      </c>
      <c r="AG372" s="816">
        <v>30</v>
      </c>
      <c r="AH372" s="816">
        <v>31</v>
      </c>
      <c r="AI372" s="816">
        <v>32</v>
      </c>
      <c r="AJ372" s="816">
        <v>33</v>
      </c>
      <c r="AK372" s="816">
        <v>34</v>
      </c>
      <c r="AL372" s="816">
        <v>35</v>
      </c>
      <c r="AM372" s="816">
        <v>36</v>
      </c>
      <c r="AN372" s="816">
        <v>37</v>
      </c>
      <c r="AO372" s="816">
        <v>38</v>
      </c>
      <c r="AP372" s="816">
        <v>39</v>
      </c>
      <c r="AQ372" s="816">
        <v>40</v>
      </c>
      <c r="AR372" s="816">
        <v>41</v>
      </c>
      <c r="AS372" s="816">
        <v>42</v>
      </c>
      <c r="AT372" s="816">
        <v>43</v>
      </c>
      <c r="AU372" s="166"/>
      <c r="AV372" s="166"/>
      <c r="AW372" s="166"/>
      <c r="AX372" s="166"/>
      <c r="AY372" s="166"/>
      <c r="AZ372" s="166"/>
      <c r="BA372" s="166"/>
      <c r="BB372" s="166"/>
      <c r="BC372" s="166"/>
      <c r="BD372" s="166"/>
      <c r="BE372" s="166"/>
    </row>
    <row r="373" spans="2:57" ht="14.4" x14ac:dyDescent="0.3">
      <c r="B373" s="813"/>
      <c r="C373" s="816">
        <v>0</v>
      </c>
      <c r="D373" s="816">
        <v>0</v>
      </c>
      <c r="E373" s="816">
        <v>0</v>
      </c>
      <c r="F373" s="816">
        <v>0</v>
      </c>
      <c r="G373" s="816">
        <v>1</v>
      </c>
      <c r="H373" s="816">
        <v>2</v>
      </c>
      <c r="I373" s="816">
        <v>3</v>
      </c>
      <c r="J373" s="816">
        <v>4</v>
      </c>
      <c r="K373" s="816">
        <v>5</v>
      </c>
      <c r="L373" s="816">
        <v>6</v>
      </c>
      <c r="M373" s="816">
        <v>7</v>
      </c>
      <c r="N373" s="816">
        <v>8</v>
      </c>
      <c r="O373" s="816">
        <v>9</v>
      </c>
      <c r="P373" s="816">
        <v>10</v>
      </c>
      <c r="Q373" s="816">
        <v>11</v>
      </c>
      <c r="R373" s="816">
        <v>12</v>
      </c>
      <c r="S373" s="816">
        <v>13</v>
      </c>
      <c r="T373" s="816">
        <v>14</v>
      </c>
      <c r="U373" s="816">
        <v>15</v>
      </c>
      <c r="V373" s="816">
        <v>16</v>
      </c>
      <c r="W373" s="816">
        <v>17</v>
      </c>
      <c r="X373" s="816">
        <v>18</v>
      </c>
      <c r="Y373" s="816">
        <v>19</v>
      </c>
      <c r="Z373" s="816">
        <v>20</v>
      </c>
      <c r="AA373" s="816">
        <v>21</v>
      </c>
      <c r="AB373" s="816">
        <v>22</v>
      </c>
      <c r="AC373" s="816">
        <v>23</v>
      </c>
      <c r="AD373" s="816">
        <v>24</v>
      </c>
      <c r="AE373" s="816">
        <v>25</v>
      </c>
      <c r="AF373" s="816">
        <v>26</v>
      </c>
      <c r="AG373" s="816">
        <v>27</v>
      </c>
      <c r="AH373" s="816">
        <v>28</v>
      </c>
      <c r="AI373" s="816">
        <v>29</v>
      </c>
      <c r="AJ373" s="816">
        <v>30</v>
      </c>
      <c r="AK373" s="816">
        <v>31</v>
      </c>
      <c r="AL373" s="816">
        <v>32</v>
      </c>
      <c r="AM373" s="816">
        <v>33</v>
      </c>
      <c r="AN373" s="816">
        <v>34</v>
      </c>
      <c r="AO373" s="816">
        <v>35</v>
      </c>
      <c r="AP373" s="816">
        <v>36</v>
      </c>
      <c r="AQ373" s="816">
        <v>37</v>
      </c>
      <c r="AR373" s="816">
        <v>38</v>
      </c>
      <c r="AS373" s="816">
        <v>39</v>
      </c>
      <c r="AT373" s="816">
        <v>40</v>
      </c>
      <c r="AU373" s="166"/>
      <c r="AV373" s="166"/>
      <c r="AW373" s="166"/>
      <c r="AX373" s="166"/>
      <c r="AY373" s="166"/>
      <c r="AZ373" s="166"/>
      <c r="BA373" s="166"/>
      <c r="BB373" s="166"/>
      <c r="BC373" s="166"/>
      <c r="BD373" s="166"/>
      <c r="BE373" s="166"/>
    </row>
    <row r="374" spans="2:57" ht="14.4" x14ac:dyDescent="0.3">
      <c r="B374" s="813"/>
      <c r="C374" s="798"/>
      <c r="D374" s="798"/>
      <c r="E374" s="798"/>
      <c r="F374" s="798"/>
      <c r="G374" s="798"/>
      <c r="H374" s="798"/>
      <c r="I374" s="798"/>
      <c r="J374" s="798"/>
      <c r="K374" s="798"/>
      <c r="L374" s="798"/>
      <c r="M374" s="798"/>
      <c r="N374" s="798"/>
      <c r="O374" s="798"/>
      <c r="P374" s="798"/>
      <c r="Q374" s="798"/>
      <c r="R374" s="798"/>
      <c r="S374" s="798"/>
      <c r="T374" s="798"/>
      <c r="U374" s="798"/>
      <c r="V374" s="798"/>
      <c r="W374" s="798"/>
      <c r="X374" s="798"/>
      <c r="Y374" s="798"/>
      <c r="Z374" s="798"/>
      <c r="AA374" s="798"/>
      <c r="AB374" s="798"/>
      <c r="AC374" s="798"/>
      <c r="AD374" s="798"/>
      <c r="AE374" s="798"/>
      <c r="AF374" s="798"/>
      <c r="AG374" s="798"/>
      <c r="AH374" s="798"/>
      <c r="AI374" s="798"/>
      <c r="AJ374" s="798"/>
      <c r="AK374" s="798"/>
      <c r="AL374" s="798"/>
      <c r="AM374" s="798"/>
      <c r="AN374" s="798"/>
      <c r="AO374" s="798"/>
      <c r="AP374" s="798"/>
      <c r="AQ374" s="798"/>
      <c r="AR374" s="798"/>
      <c r="AS374" s="798"/>
      <c r="AT374" s="798"/>
      <c r="AU374" s="166"/>
      <c r="AV374" s="166"/>
      <c r="AW374" s="166"/>
      <c r="AX374" s="166"/>
      <c r="AY374" s="166"/>
      <c r="AZ374" s="166"/>
      <c r="BA374" s="166"/>
      <c r="BB374" s="166"/>
      <c r="BC374" s="166"/>
      <c r="BD374" s="166"/>
      <c r="BE374" s="166"/>
    </row>
    <row r="375" spans="2:57" ht="14.4" x14ac:dyDescent="0.25">
      <c r="B375" s="830" t="s">
        <v>434</v>
      </c>
      <c r="C375" s="807"/>
      <c r="D375" s="807"/>
      <c r="E375" s="807"/>
      <c r="F375" s="807"/>
      <c r="G375" s="807"/>
      <c r="H375" s="807"/>
      <c r="I375" s="807"/>
      <c r="J375" s="807"/>
      <c r="K375" s="807"/>
      <c r="L375" s="807"/>
      <c r="M375" s="807"/>
      <c r="N375" s="807"/>
      <c r="O375" s="807"/>
      <c r="P375" s="807"/>
      <c r="Q375" s="807"/>
      <c r="R375" s="807"/>
      <c r="S375" s="807"/>
      <c r="T375" s="807"/>
      <c r="U375" s="807"/>
      <c r="V375" s="807"/>
      <c r="W375" s="807"/>
      <c r="X375" s="807"/>
      <c r="Y375" s="807"/>
      <c r="Z375" s="807"/>
      <c r="AA375" s="807"/>
      <c r="AB375" s="807"/>
      <c r="AC375" s="807"/>
      <c r="AD375" s="807"/>
      <c r="AE375" s="807"/>
      <c r="AF375" s="807"/>
      <c r="AG375" s="807"/>
      <c r="AH375" s="807"/>
      <c r="AI375" s="807"/>
      <c r="AJ375" s="807"/>
      <c r="AK375" s="807"/>
      <c r="AL375" s="807"/>
      <c r="AM375" s="807"/>
      <c r="AN375" s="807"/>
      <c r="AO375" s="807"/>
      <c r="AP375" s="807"/>
      <c r="AQ375" s="807"/>
      <c r="AR375" s="807"/>
      <c r="AS375" s="807"/>
      <c r="AT375" s="807"/>
    </row>
    <row r="376" spans="2:57" x14ac:dyDescent="0.25">
      <c r="B376" s="831" t="s">
        <v>449</v>
      </c>
      <c r="C376" s="178">
        <v>0</v>
      </c>
      <c r="D376" s="178">
        <v>0</v>
      </c>
      <c r="E376" s="178">
        <v>0</v>
      </c>
      <c r="F376" s="178">
        <v>0</v>
      </c>
      <c r="G376" s="268">
        <f>G300</f>
        <v>4318236.9614306372</v>
      </c>
      <c r="H376" s="268">
        <f t="shared" ref="H376:AT376" si="270">H300</f>
        <v>4432937.8249451816</v>
      </c>
      <c r="I376" s="268">
        <f t="shared" si="270"/>
        <v>4536875.1815609755</v>
      </c>
      <c r="J376" s="268">
        <f t="shared" si="270"/>
        <v>4643311.9130354663</v>
      </c>
      <c r="K376" s="268">
        <f t="shared" si="270"/>
        <v>11617904.705841476</v>
      </c>
      <c r="L376" s="268">
        <f t="shared" si="270"/>
        <v>4863931.4676566217</v>
      </c>
      <c r="M376" s="268">
        <f t="shared" si="270"/>
        <v>4978242.2002252238</v>
      </c>
      <c r="N376" s="268">
        <f t="shared" si="270"/>
        <v>5095308.2077043382</v>
      </c>
      <c r="O376" s="268">
        <f t="shared" si="270"/>
        <v>5215197.5552692544</v>
      </c>
      <c r="P376" s="268">
        <f t="shared" si="270"/>
        <v>12881550.570299722</v>
      </c>
      <c r="Q376" s="268">
        <f t="shared" si="270"/>
        <v>5463727.1811422799</v>
      </c>
      <c r="R376" s="268">
        <f t="shared" si="270"/>
        <v>5592512.3741521444</v>
      </c>
      <c r="S376" s="268">
        <f t="shared" si="270"/>
        <v>5724410.8291271329</v>
      </c>
      <c r="T376" s="268">
        <f t="shared" si="270"/>
        <v>5859499.6730848122</v>
      </c>
      <c r="U376" s="268">
        <f t="shared" si="270"/>
        <v>14286356.439628357</v>
      </c>
      <c r="V376" s="268">
        <f t="shared" si="270"/>
        <v>6139566.8637729799</v>
      </c>
      <c r="W376" s="268">
        <f t="shared" si="270"/>
        <v>6284709.445565287</v>
      </c>
      <c r="X376" s="268">
        <f t="shared" si="270"/>
        <v>6433370.9918016</v>
      </c>
      <c r="Y376" s="268">
        <f t="shared" si="270"/>
        <v>6585638.926612027</v>
      </c>
      <c r="Z376" s="268">
        <f t="shared" si="270"/>
        <v>15848593.767328328</v>
      </c>
      <c r="AA376" s="268">
        <f t="shared" si="270"/>
        <v>6901354.8280941052</v>
      </c>
      <c r="AB376" s="268">
        <f t="shared" si="270"/>
        <v>7064988.9872727636</v>
      </c>
      <c r="AC376" s="268">
        <f t="shared" si="270"/>
        <v>7232602.0400624331</v>
      </c>
      <c r="AD376" s="268">
        <f t="shared" si="270"/>
        <v>7404293.1149919936</v>
      </c>
      <c r="AE376" s="268">
        <f t="shared" si="270"/>
        <v>17586476.742962986</v>
      </c>
      <c r="AF376" s="268">
        <f t="shared" si="270"/>
        <v>7760318.5440044012</v>
      </c>
      <c r="AG376" s="268">
        <f t="shared" si="270"/>
        <v>7944864.0527799763</v>
      </c>
      <c r="AH376" s="268">
        <f t="shared" si="270"/>
        <v>8133910.0298752068</v>
      </c>
      <c r="AI376" s="268">
        <f t="shared" si="270"/>
        <v>8327568.9119321909</v>
      </c>
      <c r="AJ376" s="268">
        <f t="shared" si="270"/>
        <v>19520403.065015338</v>
      </c>
      <c r="AK376" s="268">
        <f t="shared" si="270"/>
        <v>8729189.5788463596</v>
      </c>
      <c r="AL376" s="268">
        <f t="shared" si="270"/>
        <v>8937390.9052098654</v>
      </c>
      <c r="AM376" s="268">
        <f t="shared" si="270"/>
        <v>9150684.3755010031</v>
      </c>
      <c r="AN376" s="268">
        <f t="shared" si="270"/>
        <v>9369197.5625528172</v>
      </c>
      <c r="AO376" s="268">
        <f t="shared" si="270"/>
        <v>21673225.690419316</v>
      </c>
      <c r="AP376" s="268">
        <f t="shared" si="270"/>
        <v>9822409.8065093718</v>
      </c>
      <c r="AQ376" s="268">
        <f t="shared" si="270"/>
        <v>10057380.696025331</v>
      </c>
      <c r="AR376" s="268">
        <f t="shared" si="270"/>
        <v>10298115.14536953</v>
      </c>
      <c r="AS376" s="268">
        <f t="shared" si="270"/>
        <v>10544757.947980508</v>
      </c>
      <c r="AT376" s="268">
        <f t="shared" si="270"/>
        <v>24070559.689610455</v>
      </c>
    </row>
    <row r="377" spans="2:57" x14ac:dyDescent="0.25">
      <c r="B377" s="832" t="s">
        <v>379</v>
      </c>
      <c r="C377" s="178">
        <v>0</v>
      </c>
      <c r="D377" s="178">
        <v>0</v>
      </c>
      <c r="E377" s="178">
        <v>0</v>
      </c>
      <c r="F377" s="178">
        <v>0</v>
      </c>
      <c r="G377" s="758">
        <f>DEMANDA!C51*PARAMETROS!$C$61</f>
        <v>5254725</v>
      </c>
      <c r="H377" s="758">
        <f>DEMANDA!D51*PARAMETROS!$C$61</f>
        <v>7006300</v>
      </c>
      <c r="I377" s="758">
        <f>DEMANDA!E51*PARAMETROS!$C$61</f>
        <v>7069813.333333333</v>
      </c>
      <c r="J377" s="758">
        <f>DEMANDA!F51*PARAMETROS!$C$61</f>
        <v>7133326.666666667</v>
      </c>
      <c r="K377" s="758">
        <f>DEMANDA!G51*PARAMETROS!$C$61</f>
        <v>7196840.0000000009</v>
      </c>
      <c r="L377" s="758">
        <f>DEMANDA!H51*PARAMETROS!$C$61</f>
        <v>7260353.3333333349</v>
      </c>
      <c r="M377" s="758">
        <f>DEMANDA!I51*PARAMETROS!$C$61</f>
        <v>7323866.666666667</v>
      </c>
      <c r="N377" s="758">
        <f>DEMANDA!J51*PARAMETROS!$C$61</f>
        <v>7364044.1464247685</v>
      </c>
      <c r="O377" s="758">
        <f>DEMANDA!K51*PARAMETROS!$C$61</f>
        <v>7404221.6261828691</v>
      </c>
      <c r="P377" s="758">
        <f>DEMANDA!L51*PARAMETROS!$C$61</f>
        <v>7444399.1059409697</v>
      </c>
      <c r="Q377" s="758">
        <f>DEMANDA!M51*PARAMETROS!$C$61</f>
        <v>7484576.5856990702</v>
      </c>
      <c r="R377" s="758">
        <f>DEMANDA!N51*PARAMETROS!$C$61</f>
        <v>7524754.0654571755</v>
      </c>
      <c r="S377" s="758">
        <f>DEMANDA!O51*PARAMETROS!$C$61</f>
        <v>7521134.0533454968</v>
      </c>
      <c r="T377" s="758">
        <f>DEMANDA!P51*PARAMETROS!$C$61</f>
        <v>7517514.041233819</v>
      </c>
      <c r="U377" s="758">
        <f>DEMANDA!Q51*PARAMETROS!$C$61</f>
        <v>7513894.0291221412</v>
      </c>
      <c r="V377" s="758">
        <f>DEMANDA!R51*PARAMETROS!$C$61</f>
        <v>7510274.0170104625</v>
      </c>
      <c r="W377" s="758">
        <f>DEMANDA!S51*PARAMETROS!$C$61</f>
        <v>7506654.0048987884</v>
      </c>
      <c r="X377" s="758">
        <f>DEMANDA!T51*PARAMETROS!$C$61</f>
        <v>7557733.2257504649</v>
      </c>
      <c r="Y377" s="758">
        <f>DEMANDA!U51*PARAMETROS!$C$61</f>
        <v>7608812.4466021424</v>
      </c>
      <c r="Z377" s="758">
        <f>DEMANDA!V51*PARAMETROS!$C$61</f>
        <v>7659891.667453818</v>
      </c>
      <c r="AA377" s="758">
        <f>DEMANDA!W51*PARAMETROS!$C$61</f>
        <v>7710970.8883054955</v>
      </c>
      <c r="AB377" s="758">
        <f>DEMANDA!X51*PARAMETROS!$C$61</f>
        <v>7762050.1091571692</v>
      </c>
      <c r="AC377" s="758">
        <f>DEMANDA!Y51*PARAMETROS!$C$61</f>
        <v>7762050.1091571692</v>
      </c>
      <c r="AD377" s="758">
        <f>DEMANDA!Z51*PARAMETROS!$C$61</f>
        <v>7762050.1091571692</v>
      </c>
      <c r="AE377" s="758">
        <f>DEMANDA!AA51*PARAMETROS!$C$61</f>
        <v>7762050.1091571692</v>
      </c>
      <c r="AF377" s="758">
        <f>DEMANDA!AB51*PARAMETROS!$C$61</f>
        <v>7762050.1091571692</v>
      </c>
      <c r="AG377" s="758">
        <f>DEMANDA!AC51*PARAMETROS!$C$61</f>
        <v>7762050.1091571692</v>
      </c>
      <c r="AH377" s="758">
        <f>DEMANDA!AD51*PARAMETROS!$C$61</f>
        <v>7762050.1091571692</v>
      </c>
      <c r="AI377" s="758">
        <f>DEMANDA!AE51*PARAMETROS!$C$61</f>
        <v>7762050.1091571692</v>
      </c>
      <c r="AJ377" s="758">
        <f>DEMANDA!AF51*PARAMETROS!$C$61</f>
        <v>7762050.1091571692</v>
      </c>
      <c r="AK377" s="758">
        <f>DEMANDA!AG51*PARAMETROS!$C$61</f>
        <v>7762050.1091571692</v>
      </c>
      <c r="AL377" s="758">
        <f>DEMANDA!AH51*PARAMETROS!$C$61</f>
        <v>7762050.1091571692</v>
      </c>
      <c r="AM377" s="758">
        <f>DEMANDA!AI51*PARAMETROS!$C$61</f>
        <v>7762050.1091571692</v>
      </c>
      <c r="AN377" s="758">
        <f>DEMANDA!AJ51*PARAMETROS!$C$61</f>
        <v>7762050.1091571692</v>
      </c>
      <c r="AO377" s="758">
        <f>DEMANDA!AK51*PARAMETROS!$C$61</f>
        <v>7762050.1091571692</v>
      </c>
      <c r="AP377" s="758">
        <f>DEMANDA!AL51*PARAMETROS!$C$61</f>
        <v>7762050.1091571692</v>
      </c>
      <c r="AQ377" s="758">
        <f>DEMANDA!AM51*PARAMETROS!$C$61</f>
        <v>7762050.1091571692</v>
      </c>
      <c r="AR377" s="758">
        <f>DEMANDA!AN51*PARAMETROS!$C$61</f>
        <v>7762050.1091571692</v>
      </c>
      <c r="AS377" s="758">
        <f>DEMANDA!AO51*PARAMETROS!$C$61</f>
        <v>7762050.1091571692</v>
      </c>
      <c r="AT377" s="758">
        <f>DEMANDA!AP51*PARAMETROS!$C$61</f>
        <v>7762050.1091571692</v>
      </c>
    </row>
    <row r="378" spans="2:57" x14ac:dyDescent="0.25">
      <c r="B378" s="832" t="s">
        <v>395</v>
      </c>
      <c r="C378" s="178">
        <v>0</v>
      </c>
      <c r="D378" s="178">
        <v>0</v>
      </c>
      <c r="E378" s="178">
        <v>0</v>
      </c>
      <c r="F378" s="178">
        <v>0</v>
      </c>
      <c r="G378" s="758">
        <f>'INGRESOS de pasajeros'!C59*PARAMETROS!$C$61</f>
        <v>6581617.3500000006</v>
      </c>
      <c r="H378" s="758">
        <f>'INGRESOS de pasajeros'!D59*PARAMETROS!$C$61</f>
        <v>8775489.8000000007</v>
      </c>
      <c r="I378" s="758">
        <f>'INGRESOS de pasajeros'!E59*PARAMETROS!$C$61</f>
        <v>9271937.4801899996</v>
      </c>
      <c r="J378" s="758">
        <f>'INGRESOS de pasajeros'!F59*PARAMETROS!$C$61</f>
        <v>9369100.3744799979</v>
      </c>
      <c r="K378" s="758">
        <f>'INGRESOS de pasajeros'!G59*PARAMETROS!$C$61</f>
        <v>9848700.3048283067</v>
      </c>
      <c r="L378" s="758">
        <f>'INGRESOS de pasajeros'!H59*PARAMETROS!$C$61</f>
        <v>9949788.5800476242</v>
      </c>
      <c r="M378" s="758">
        <f>'INGRESOS de pasajeros'!I59*PARAMETROS!$C$61</f>
        <v>10456932.280219726</v>
      </c>
      <c r="N378" s="758">
        <f>'INGRESOS de pasajeros'!J59*PARAMETROS!$C$61</f>
        <v>10509041.51577254</v>
      </c>
      <c r="O378" s="758">
        <f>'INGRESOS de pasajeros'!K59*PARAMETROS!$C$61</f>
        <v>10987821.241678899</v>
      </c>
      <c r="P378" s="758">
        <f>'INGRESOS de pasajeros'!L59*PARAMETROS!$C$61</f>
        <v>11042035.69034805</v>
      </c>
      <c r="Q378" s="758">
        <f>'INGRESOS de pasajeros'!M59*PARAMETROS!$C$61</f>
        <v>11544538.644633492</v>
      </c>
      <c r="R378" s="758">
        <f>'INGRESOS de pasajeros'!N59*PARAMETROS!$C$61</f>
        <v>11600943.357028881</v>
      </c>
      <c r="S378" s="758">
        <f>'INGRESOS de pasajeros'!O59*PARAMETROS!$C$61</f>
        <v>12072760.998770945</v>
      </c>
      <c r="T378" s="758">
        <f>'INGRESOS de pasajeros'!P59*PARAMETROS!$C$61</f>
        <v>12075900.528889041</v>
      </c>
      <c r="U378" s="758">
        <f>'INGRESOS de pasajeros'!Q59*PARAMETROS!$C$61</f>
        <v>12567033.277391024</v>
      </c>
      <c r="V378" s="758">
        <f>'INGRESOS de pasajeros'!R59*PARAMETROS!$C$61</f>
        <v>12570299.644525893</v>
      </c>
      <c r="W378" s="758">
        <f>'INGRESOS de pasajeros'!S59*PARAMETROS!$C$61</f>
        <v>13081538.078531852</v>
      </c>
      <c r="X378" s="758">
        <f>'INGRESOS de pasajeros'!T59*PARAMETROS!$C$61</f>
        <v>13178586.923607837</v>
      </c>
      <c r="Y378" s="758">
        <f>'INGRESOS de pasajeros'!U59*PARAMETROS!$C$61</f>
        <v>13811971.453738654</v>
      </c>
      <c r="Z378" s="758">
        <f>'INGRESOS de pasajeros'!V59*PARAMETROS!$C$61</f>
        <v>13912941.07215571</v>
      </c>
      <c r="AA378" s="758">
        <f>'INGRESOS de pasajeros'!W59*PARAMETROS!$C$61</f>
        <v>14580072.682471901</v>
      </c>
      <c r="AB378" s="758">
        <f>'INGRESOS de pasajeros'!X59*PARAMETROS!$C$61</f>
        <v>14685121.473473005</v>
      </c>
      <c r="AC378" s="758">
        <f>'INGRESOS de pasajeros'!Y59*PARAMETROS!$C$61</f>
        <v>15278400.381001314</v>
      </c>
      <c r="AD378" s="758">
        <f>'INGRESOS de pasajeros'!Z59*PARAMETROS!$C$61</f>
        <v>15278400.381001314</v>
      </c>
      <c r="AE378" s="758">
        <f>'INGRESOS de pasajeros'!AA59*PARAMETROS!$C$61</f>
        <v>15895647.756393766</v>
      </c>
      <c r="AF378" s="758">
        <f>'INGRESOS de pasajeros'!AB59*PARAMETROS!$C$61</f>
        <v>15895647.756393766</v>
      </c>
      <c r="AG378" s="758">
        <f>'INGRESOS de pasajeros'!AC59*PARAMETROS!$C$61</f>
        <v>16537831.925752074</v>
      </c>
      <c r="AH378" s="758">
        <f>'INGRESOS de pasajeros'!AD59*PARAMETROS!$C$61</f>
        <v>16537831.925752074</v>
      </c>
      <c r="AI378" s="758">
        <f>'INGRESOS de pasajeros'!AE59*PARAMETROS!$C$61</f>
        <v>17205960.335552454</v>
      </c>
      <c r="AJ378" s="758">
        <f>'INGRESOS de pasajeros'!AF59*PARAMETROS!$C$61</f>
        <v>17205960.335552454</v>
      </c>
      <c r="AK378" s="758">
        <f>'INGRESOS de pasajeros'!AG59*PARAMETROS!$C$61</f>
        <v>17901081.133108776</v>
      </c>
      <c r="AL378" s="758">
        <f>'INGRESOS de pasajeros'!AH59*PARAMETROS!$C$61</f>
        <v>17901081.133108776</v>
      </c>
      <c r="AM378" s="758">
        <f>'INGRESOS de pasajeros'!AI59*PARAMETROS!$C$61</f>
        <v>18624284.810886368</v>
      </c>
      <c r="AN378" s="758">
        <f>'INGRESOS de pasajeros'!AJ59*PARAMETROS!$C$61</f>
        <v>18624284.810886368</v>
      </c>
      <c r="AO378" s="758">
        <f>'INGRESOS de pasajeros'!AK59*PARAMETROS!$C$61</f>
        <v>19376705.917246182</v>
      </c>
      <c r="AP378" s="758">
        <f>'INGRESOS de pasajeros'!AL59*PARAMETROS!$C$61</f>
        <v>19376705.917246182</v>
      </c>
      <c r="AQ378" s="758">
        <f>'INGRESOS de pasajeros'!AM59*PARAMETROS!$C$61</f>
        <v>20159524.836302929</v>
      </c>
      <c r="AR378" s="758">
        <f>'INGRESOS de pasajeros'!AN59*PARAMETROS!$C$61</f>
        <v>20159524.836302929</v>
      </c>
      <c r="AS378" s="758">
        <f>'INGRESOS de pasajeros'!AO59*PARAMETROS!$C$61</f>
        <v>20973969.639689565</v>
      </c>
      <c r="AT378" s="758">
        <f>'INGRESOS de pasajeros'!AP59*PARAMETROS!$C$61</f>
        <v>20973969.639689565</v>
      </c>
    </row>
    <row r="379" spans="2:57" x14ac:dyDescent="0.25">
      <c r="B379" s="832" t="s">
        <v>396</v>
      </c>
      <c r="C379" s="178">
        <v>0</v>
      </c>
      <c r="D379" s="178">
        <v>0</v>
      </c>
      <c r="E379" s="178">
        <v>0</v>
      </c>
      <c r="F379" s="178">
        <v>0</v>
      </c>
      <c r="G379" s="178">
        <f>$C$14*$C$15*12</f>
        <v>420000</v>
      </c>
      <c r="H379" s="178">
        <f t="shared" ref="H379:AT379" si="271">$G$75*((1+$C$25)^G373)</f>
        <v>428400</v>
      </c>
      <c r="I379" s="178">
        <f t="shared" si="271"/>
        <v>436968</v>
      </c>
      <c r="J379" s="178">
        <f t="shared" si="271"/>
        <v>445707.36</v>
      </c>
      <c r="K379" s="178">
        <f t="shared" si="271"/>
        <v>454621.50719999999</v>
      </c>
      <c r="L379" s="178">
        <f t="shared" si="271"/>
        <v>463713.93734400003</v>
      </c>
      <c r="M379" s="178">
        <f t="shared" si="271"/>
        <v>472988.21609088004</v>
      </c>
      <c r="N379" s="178">
        <f t="shared" si="271"/>
        <v>482447.98041269754</v>
      </c>
      <c r="O379" s="178">
        <f t="shared" si="271"/>
        <v>492096.9400209515</v>
      </c>
      <c r="P379" s="178">
        <f t="shared" si="271"/>
        <v>501938.87882137054</v>
      </c>
      <c r="Q379" s="178">
        <f t="shared" si="271"/>
        <v>511977.65639779798</v>
      </c>
      <c r="R379" s="178">
        <f t="shared" si="271"/>
        <v>522217.20952575386</v>
      </c>
      <c r="S379" s="178">
        <f t="shared" si="271"/>
        <v>532661.55371626897</v>
      </c>
      <c r="T379" s="178">
        <f t="shared" si="271"/>
        <v>543314.78479059436</v>
      </c>
      <c r="U379" s="178">
        <f t="shared" si="271"/>
        <v>554181.08048640634</v>
      </c>
      <c r="V379" s="178">
        <f t="shared" si="271"/>
        <v>565264.70209613431</v>
      </c>
      <c r="W379" s="178">
        <f t="shared" si="271"/>
        <v>576569.99613805709</v>
      </c>
      <c r="X379" s="178">
        <f t="shared" si="271"/>
        <v>588101.39606081822</v>
      </c>
      <c r="Y379" s="178">
        <f t="shared" si="271"/>
        <v>599863.42398203455</v>
      </c>
      <c r="Z379" s="178">
        <f t="shared" si="271"/>
        <v>611860.69246167527</v>
      </c>
      <c r="AA379" s="178">
        <f t="shared" si="271"/>
        <v>624097.90631090873</v>
      </c>
      <c r="AB379" s="178">
        <f t="shared" si="271"/>
        <v>636579.8644371269</v>
      </c>
      <c r="AC379" s="178">
        <f t="shared" si="271"/>
        <v>649311.46172586945</v>
      </c>
      <c r="AD379" s="178">
        <f t="shared" si="271"/>
        <v>662297.69096038677</v>
      </c>
      <c r="AE379" s="178">
        <f t="shared" si="271"/>
        <v>675543.6447795945</v>
      </c>
      <c r="AF379" s="178">
        <f t="shared" si="271"/>
        <v>689054.51767518639</v>
      </c>
      <c r="AG379" s="178">
        <f t="shared" si="271"/>
        <v>702835.60802869021</v>
      </c>
      <c r="AH379" s="178">
        <f t="shared" si="271"/>
        <v>716892.3201892639</v>
      </c>
      <c r="AI379" s="178">
        <f t="shared" si="271"/>
        <v>731230.1665930493</v>
      </c>
      <c r="AJ379" s="178">
        <f t="shared" si="271"/>
        <v>745854.76992491016</v>
      </c>
      <c r="AK379" s="178">
        <f t="shared" si="271"/>
        <v>760771.86532340851</v>
      </c>
      <c r="AL379" s="178">
        <f t="shared" si="271"/>
        <v>775987.30262987642</v>
      </c>
      <c r="AM379" s="178">
        <f t="shared" si="271"/>
        <v>791507.04868247418</v>
      </c>
      <c r="AN379" s="178">
        <f t="shared" si="271"/>
        <v>807337.18965612364</v>
      </c>
      <c r="AO379" s="178">
        <f t="shared" si="271"/>
        <v>823483.93344924611</v>
      </c>
      <c r="AP379" s="178">
        <f t="shared" si="271"/>
        <v>839953.61211823102</v>
      </c>
      <c r="AQ379" s="178">
        <f t="shared" si="271"/>
        <v>856752.68436059554</v>
      </c>
      <c r="AR379" s="178">
        <f t="shared" si="271"/>
        <v>873887.73804780759</v>
      </c>
      <c r="AS379" s="178">
        <f t="shared" si="271"/>
        <v>891365.49280876387</v>
      </c>
      <c r="AT379" s="178">
        <f t="shared" si="271"/>
        <v>909192.80266493873</v>
      </c>
    </row>
    <row r="380" spans="2:57" x14ac:dyDescent="0.25">
      <c r="B380" s="832"/>
      <c r="C380" s="178"/>
      <c r="D380" s="178"/>
      <c r="E380" s="178"/>
      <c r="F380" s="178"/>
      <c r="G380" s="178"/>
      <c r="H380" s="178"/>
      <c r="I380" s="178"/>
      <c r="J380" s="178"/>
      <c r="K380" s="178"/>
      <c r="L380" s="178"/>
      <c r="M380" s="178"/>
      <c r="N380" s="178"/>
      <c r="O380" s="178"/>
      <c r="P380" s="178"/>
      <c r="Q380" s="178"/>
      <c r="R380" s="178"/>
      <c r="S380" s="178"/>
      <c r="T380" s="178"/>
      <c r="U380" s="178"/>
      <c r="V380" s="178"/>
      <c r="W380" s="178"/>
      <c r="X380" s="178"/>
      <c r="Y380" s="178"/>
      <c r="Z380" s="178"/>
      <c r="AA380" s="178"/>
      <c r="AB380" s="178"/>
      <c r="AC380" s="178"/>
      <c r="AD380" s="178"/>
      <c r="AE380" s="178"/>
      <c r="AF380" s="178"/>
      <c r="AG380" s="178"/>
      <c r="AH380" s="178"/>
      <c r="AI380" s="178"/>
      <c r="AJ380" s="178"/>
      <c r="AK380" s="178"/>
      <c r="AL380" s="178"/>
      <c r="AM380" s="178"/>
      <c r="AN380" s="178"/>
      <c r="AO380" s="178"/>
      <c r="AP380" s="178"/>
      <c r="AQ380" s="178"/>
      <c r="AR380" s="178"/>
      <c r="AS380" s="178"/>
      <c r="AT380" s="178"/>
    </row>
    <row r="381" spans="2:57" x14ac:dyDescent="0.25">
      <c r="B381" s="831" t="str">
        <f>B77</f>
        <v>Activos iniciales - Depreciacion 50 años</v>
      </c>
      <c r="C381" s="965">
        <f t="shared" ref="C381:AT381" si="272">C77</f>
        <v>0</v>
      </c>
      <c r="D381" s="965">
        <f t="shared" si="272"/>
        <v>0</v>
      </c>
      <c r="E381" s="965">
        <f t="shared" si="272"/>
        <v>0</v>
      </c>
      <c r="F381" s="965">
        <f t="shared" si="272"/>
        <v>0</v>
      </c>
      <c r="G381" s="965">
        <f t="shared" si="272"/>
        <v>-839011.57800246822</v>
      </c>
      <c r="H381" s="965">
        <f t="shared" si="272"/>
        <v>-839011.57800246822</v>
      </c>
      <c r="I381" s="965">
        <f t="shared" si="272"/>
        <v>-839011.57800246822</v>
      </c>
      <c r="J381" s="965">
        <f t="shared" si="272"/>
        <v>-839011.57800246822</v>
      </c>
      <c r="K381" s="965">
        <f t="shared" si="272"/>
        <v>-839011.57800246822</v>
      </c>
      <c r="L381" s="965">
        <f t="shared" si="272"/>
        <v>-839011.57800246822</v>
      </c>
      <c r="M381" s="965">
        <f t="shared" si="272"/>
        <v>-839011.57800246822</v>
      </c>
      <c r="N381" s="965">
        <f t="shared" si="272"/>
        <v>-839011.57800246822</v>
      </c>
      <c r="O381" s="965">
        <f t="shared" si="272"/>
        <v>-839011.57800246822</v>
      </c>
      <c r="P381" s="965">
        <f t="shared" si="272"/>
        <v>-839011.57800246822</v>
      </c>
      <c r="Q381" s="965">
        <f t="shared" si="272"/>
        <v>-839011.57800246822</v>
      </c>
      <c r="R381" s="965">
        <f t="shared" si="272"/>
        <v>-839011.57800246822</v>
      </c>
      <c r="S381" s="965">
        <f t="shared" si="272"/>
        <v>-839011.57800246822</v>
      </c>
      <c r="T381" s="965">
        <f t="shared" si="272"/>
        <v>-839011.57800246822</v>
      </c>
      <c r="U381" s="965">
        <f t="shared" si="272"/>
        <v>-839011.57800246822</v>
      </c>
      <c r="V381" s="965">
        <f t="shared" si="272"/>
        <v>-839011.57800246822</v>
      </c>
      <c r="W381" s="965">
        <f t="shared" si="272"/>
        <v>-839011.57800246822</v>
      </c>
      <c r="X381" s="965">
        <f t="shared" si="272"/>
        <v>-839011.57800246822</v>
      </c>
      <c r="Y381" s="965">
        <f t="shared" si="272"/>
        <v>-839011.57800246822</v>
      </c>
      <c r="Z381" s="965">
        <f t="shared" si="272"/>
        <v>-839011.57800246822</v>
      </c>
      <c r="AA381" s="965">
        <f t="shared" si="272"/>
        <v>-839011.57800246822</v>
      </c>
      <c r="AB381" s="965">
        <f t="shared" si="272"/>
        <v>-839011.57800246822</v>
      </c>
      <c r="AC381" s="965">
        <f t="shared" si="272"/>
        <v>-839011.57800246822</v>
      </c>
      <c r="AD381" s="965">
        <f t="shared" si="272"/>
        <v>-839011.57800246822</v>
      </c>
      <c r="AE381" s="965">
        <f t="shared" si="272"/>
        <v>-839011.57800246822</v>
      </c>
      <c r="AF381" s="965">
        <f t="shared" si="272"/>
        <v>-839011.57800246822</v>
      </c>
      <c r="AG381" s="965">
        <f t="shared" si="272"/>
        <v>-839011.57800246822</v>
      </c>
      <c r="AH381" s="965">
        <f t="shared" si="272"/>
        <v>-839011.57800246822</v>
      </c>
      <c r="AI381" s="965">
        <f t="shared" si="272"/>
        <v>-839011.57800246822</v>
      </c>
      <c r="AJ381" s="965">
        <f t="shared" si="272"/>
        <v>-839011.57800246822</v>
      </c>
      <c r="AK381" s="965">
        <f t="shared" si="272"/>
        <v>-839011.57800246822</v>
      </c>
      <c r="AL381" s="965">
        <f t="shared" si="272"/>
        <v>-839011.57800246822</v>
      </c>
      <c r="AM381" s="965">
        <f t="shared" si="272"/>
        <v>-839011.57800246822</v>
      </c>
      <c r="AN381" s="965">
        <f t="shared" si="272"/>
        <v>-839011.57800246822</v>
      </c>
      <c r="AO381" s="965">
        <f t="shared" si="272"/>
        <v>-839011.57800246822</v>
      </c>
      <c r="AP381" s="965">
        <f t="shared" si="272"/>
        <v>-839011.57800246822</v>
      </c>
      <c r="AQ381" s="965">
        <f t="shared" si="272"/>
        <v>-839011.57800246822</v>
      </c>
      <c r="AR381" s="965">
        <f t="shared" si="272"/>
        <v>-839011.57800246822</v>
      </c>
      <c r="AS381" s="965">
        <f t="shared" si="272"/>
        <v>-839011.57800246822</v>
      </c>
      <c r="AT381" s="965">
        <f t="shared" si="272"/>
        <v>-839011.57800246822</v>
      </c>
    </row>
    <row r="382" spans="2:57" x14ac:dyDescent="0.25">
      <c r="B382" s="831" t="str">
        <f t="shared" ref="B382:AT382" si="273">B78</f>
        <v>Activos iniciales - Depreciacion 40 años</v>
      </c>
      <c r="C382" s="965">
        <f t="shared" si="273"/>
        <v>0</v>
      </c>
      <c r="D382" s="965">
        <f t="shared" si="273"/>
        <v>0</v>
      </c>
      <c r="E382" s="965">
        <f t="shared" si="273"/>
        <v>0</v>
      </c>
      <c r="F382" s="965">
        <f t="shared" si="273"/>
        <v>0</v>
      </c>
      <c r="G382" s="965">
        <f t="shared" si="273"/>
        <v>-1763216.5038117287</v>
      </c>
      <c r="H382" s="965">
        <f t="shared" si="273"/>
        <v>-1763216.5038117287</v>
      </c>
      <c r="I382" s="965">
        <f t="shared" si="273"/>
        <v>-1763216.5038117287</v>
      </c>
      <c r="J382" s="965">
        <f t="shared" si="273"/>
        <v>-1763216.5038117287</v>
      </c>
      <c r="K382" s="965">
        <f t="shared" si="273"/>
        <v>-1763216.5038117287</v>
      </c>
      <c r="L382" s="965">
        <f t="shared" si="273"/>
        <v>-1763216.5038117287</v>
      </c>
      <c r="M382" s="965">
        <f t="shared" si="273"/>
        <v>-1763216.5038117287</v>
      </c>
      <c r="N382" s="965">
        <f t="shared" si="273"/>
        <v>-1763216.5038117287</v>
      </c>
      <c r="O382" s="965">
        <f t="shared" si="273"/>
        <v>-1763216.5038117287</v>
      </c>
      <c r="P382" s="965">
        <f t="shared" si="273"/>
        <v>-1763216.5038117287</v>
      </c>
      <c r="Q382" s="965">
        <f t="shared" si="273"/>
        <v>-1763216.5038117287</v>
      </c>
      <c r="R382" s="965">
        <f t="shared" si="273"/>
        <v>-1763216.5038117287</v>
      </c>
      <c r="S382" s="965">
        <f t="shared" si="273"/>
        <v>-1763216.5038117287</v>
      </c>
      <c r="T382" s="965">
        <f t="shared" si="273"/>
        <v>-1763216.5038117287</v>
      </c>
      <c r="U382" s="965">
        <f t="shared" si="273"/>
        <v>-1763216.5038117287</v>
      </c>
      <c r="V382" s="965">
        <f t="shared" si="273"/>
        <v>-1763216.5038117287</v>
      </c>
      <c r="W382" s="965">
        <f t="shared" si="273"/>
        <v>-1763216.5038117287</v>
      </c>
      <c r="X382" s="965">
        <f t="shared" si="273"/>
        <v>-1763216.5038117287</v>
      </c>
      <c r="Y382" s="965">
        <f t="shared" si="273"/>
        <v>-1763216.5038117287</v>
      </c>
      <c r="Z382" s="965">
        <f t="shared" si="273"/>
        <v>-1763216.5038117287</v>
      </c>
      <c r="AA382" s="965">
        <f t="shared" si="273"/>
        <v>-1763216.5038117287</v>
      </c>
      <c r="AB382" s="965">
        <f t="shared" si="273"/>
        <v>-1763216.5038117287</v>
      </c>
      <c r="AC382" s="965">
        <f t="shared" si="273"/>
        <v>-1763216.5038117287</v>
      </c>
      <c r="AD382" s="965">
        <f t="shared" si="273"/>
        <v>-1763216.5038117287</v>
      </c>
      <c r="AE382" s="965">
        <f t="shared" si="273"/>
        <v>-1763216.5038117287</v>
      </c>
      <c r="AF382" s="965">
        <f t="shared" si="273"/>
        <v>-1763216.5038117287</v>
      </c>
      <c r="AG382" s="965">
        <f t="shared" si="273"/>
        <v>-1763216.5038117287</v>
      </c>
      <c r="AH382" s="965">
        <f t="shared" si="273"/>
        <v>-1763216.5038117287</v>
      </c>
      <c r="AI382" s="965">
        <f t="shared" si="273"/>
        <v>-1763216.5038117287</v>
      </c>
      <c r="AJ382" s="965">
        <f t="shared" si="273"/>
        <v>-1763216.5038117287</v>
      </c>
      <c r="AK382" s="965">
        <f t="shared" si="273"/>
        <v>-1763216.5038117287</v>
      </c>
      <c r="AL382" s="965">
        <f t="shared" si="273"/>
        <v>-1763216.5038117287</v>
      </c>
      <c r="AM382" s="965">
        <f t="shared" si="273"/>
        <v>-1763216.5038117287</v>
      </c>
      <c r="AN382" s="965">
        <f t="shared" si="273"/>
        <v>-1763216.5038117287</v>
      </c>
      <c r="AO382" s="965">
        <f t="shared" si="273"/>
        <v>-1763216.5038117287</v>
      </c>
      <c r="AP382" s="965">
        <f t="shared" si="273"/>
        <v>-1763216.5038117287</v>
      </c>
      <c r="AQ382" s="965">
        <f t="shared" si="273"/>
        <v>-1763216.5038117287</v>
      </c>
      <c r="AR382" s="965">
        <f t="shared" si="273"/>
        <v>-1763216.5038117287</v>
      </c>
      <c r="AS382" s="965">
        <f t="shared" si="273"/>
        <v>-1763216.5038117287</v>
      </c>
      <c r="AT382" s="965">
        <f t="shared" si="273"/>
        <v>-1763216.5038117287</v>
      </c>
    </row>
    <row r="383" spans="2:57" x14ac:dyDescent="0.25">
      <c r="B383" s="831" t="str">
        <f t="shared" ref="B383:AT383" si="274">B79</f>
        <v>Activos iniciales - Depreciacion 15 años</v>
      </c>
      <c r="C383" s="965">
        <f t="shared" si="274"/>
        <v>0</v>
      </c>
      <c r="D383" s="965">
        <f t="shared" si="274"/>
        <v>0</v>
      </c>
      <c r="E383" s="965">
        <f t="shared" si="274"/>
        <v>0</v>
      </c>
      <c r="F383" s="965">
        <f t="shared" si="274"/>
        <v>0</v>
      </c>
      <c r="G383" s="965">
        <f t="shared" si="274"/>
        <v>-1033960.8285917911</v>
      </c>
      <c r="H383" s="965">
        <f t="shared" si="274"/>
        <v>-1033960.8285917911</v>
      </c>
      <c r="I383" s="965">
        <f t="shared" si="274"/>
        <v>-1033960.8285917911</v>
      </c>
      <c r="J383" s="965">
        <f t="shared" si="274"/>
        <v>-1033960.8285917911</v>
      </c>
      <c r="K383" s="965">
        <f t="shared" si="274"/>
        <v>-1033960.8285917911</v>
      </c>
      <c r="L383" s="965">
        <f t="shared" si="274"/>
        <v>-1033960.8285917911</v>
      </c>
      <c r="M383" s="965">
        <f t="shared" si="274"/>
        <v>-1033960.8285917911</v>
      </c>
      <c r="N383" s="965">
        <f t="shared" si="274"/>
        <v>-1033960.8285917911</v>
      </c>
      <c r="O383" s="965">
        <f t="shared" si="274"/>
        <v>-1033960.8285917911</v>
      </c>
      <c r="P383" s="965">
        <f t="shared" si="274"/>
        <v>-1033960.8285917911</v>
      </c>
      <c r="Q383" s="965">
        <f t="shared" si="274"/>
        <v>-1033960.8285917911</v>
      </c>
      <c r="R383" s="965">
        <f t="shared" si="274"/>
        <v>-1033960.8285917911</v>
      </c>
      <c r="S383" s="965">
        <f t="shared" si="274"/>
        <v>-1033960.8285917911</v>
      </c>
      <c r="T383" s="965">
        <f t="shared" si="274"/>
        <v>-1033960.8285917911</v>
      </c>
      <c r="U383" s="965">
        <f t="shared" si="274"/>
        <v>-1033960.8285917911</v>
      </c>
      <c r="V383" s="965">
        <f t="shared" si="274"/>
        <v>0</v>
      </c>
      <c r="W383" s="965">
        <f t="shared" si="274"/>
        <v>0</v>
      </c>
      <c r="X383" s="965">
        <f t="shared" si="274"/>
        <v>0</v>
      </c>
      <c r="Y383" s="965">
        <f t="shared" si="274"/>
        <v>0</v>
      </c>
      <c r="Z383" s="965">
        <f t="shared" si="274"/>
        <v>0</v>
      </c>
      <c r="AA383" s="965">
        <f t="shared" si="274"/>
        <v>0</v>
      </c>
      <c r="AB383" s="965">
        <f t="shared" si="274"/>
        <v>0</v>
      </c>
      <c r="AC383" s="965">
        <f t="shared" si="274"/>
        <v>0</v>
      </c>
      <c r="AD383" s="965">
        <f t="shared" si="274"/>
        <v>0</v>
      </c>
      <c r="AE383" s="965">
        <f t="shared" si="274"/>
        <v>0</v>
      </c>
      <c r="AF383" s="965">
        <f t="shared" si="274"/>
        <v>0</v>
      </c>
      <c r="AG383" s="965">
        <f t="shared" si="274"/>
        <v>0</v>
      </c>
      <c r="AH383" s="965">
        <f t="shared" si="274"/>
        <v>0</v>
      </c>
      <c r="AI383" s="965">
        <f t="shared" si="274"/>
        <v>0</v>
      </c>
      <c r="AJ383" s="965">
        <f t="shared" si="274"/>
        <v>0</v>
      </c>
      <c r="AK383" s="965">
        <f t="shared" si="274"/>
        <v>0</v>
      </c>
      <c r="AL383" s="965">
        <f t="shared" si="274"/>
        <v>0</v>
      </c>
      <c r="AM383" s="965">
        <f t="shared" si="274"/>
        <v>0</v>
      </c>
      <c r="AN383" s="965">
        <f t="shared" si="274"/>
        <v>0</v>
      </c>
      <c r="AO383" s="965">
        <f t="shared" si="274"/>
        <v>0</v>
      </c>
      <c r="AP383" s="965">
        <f t="shared" si="274"/>
        <v>0</v>
      </c>
      <c r="AQ383" s="965">
        <f t="shared" si="274"/>
        <v>0</v>
      </c>
      <c r="AR383" s="965">
        <f t="shared" si="274"/>
        <v>0</v>
      </c>
      <c r="AS383" s="965">
        <f t="shared" si="274"/>
        <v>0</v>
      </c>
      <c r="AT383" s="965">
        <f t="shared" si="274"/>
        <v>0</v>
      </c>
    </row>
    <row r="384" spans="2:57" x14ac:dyDescent="0.25">
      <c r="B384" s="831" t="str">
        <f t="shared" ref="B384:AT384" si="275">B80</f>
        <v>Activos iniciales - Depreciacion 10 años</v>
      </c>
      <c r="C384" s="965">
        <f t="shared" si="275"/>
        <v>0</v>
      </c>
      <c r="D384" s="965">
        <f t="shared" si="275"/>
        <v>0</v>
      </c>
      <c r="E384" s="965">
        <f t="shared" si="275"/>
        <v>0</v>
      </c>
      <c r="F384" s="965">
        <f t="shared" si="275"/>
        <v>0</v>
      </c>
      <c r="G384" s="965">
        <f t="shared" si="275"/>
        <v>-590377.75688031956</v>
      </c>
      <c r="H384" s="965">
        <f t="shared" si="275"/>
        <v>-590377.75688031956</v>
      </c>
      <c r="I384" s="965">
        <f t="shared" si="275"/>
        <v>-590377.75688031956</v>
      </c>
      <c r="J384" s="965">
        <f t="shared" si="275"/>
        <v>-590377.75688031956</v>
      </c>
      <c r="K384" s="965">
        <f t="shared" si="275"/>
        <v>-590377.75688031956</v>
      </c>
      <c r="L384" s="965">
        <f t="shared" si="275"/>
        <v>-590377.75688031956</v>
      </c>
      <c r="M384" s="965">
        <f t="shared" si="275"/>
        <v>-590377.75688031956</v>
      </c>
      <c r="N384" s="965">
        <f t="shared" si="275"/>
        <v>-590377.75688031956</v>
      </c>
      <c r="O384" s="965">
        <f t="shared" si="275"/>
        <v>-590377.75688031956</v>
      </c>
      <c r="P384" s="965">
        <f t="shared" si="275"/>
        <v>-590377.75688031956</v>
      </c>
      <c r="Q384" s="965">
        <f t="shared" si="275"/>
        <v>0</v>
      </c>
      <c r="R384" s="965">
        <f t="shared" si="275"/>
        <v>0</v>
      </c>
      <c r="S384" s="965">
        <f t="shared" si="275"/>
        <v>0</v>
      </c>
      <c r="T384" s="965">
        <f t="shared" si="275"/>
        <v>0</v>
      </c>
      <c r="U384" s="965">
        <f t="shared" si="275"/>
        <v>0</v>
      </c>
      <c r="V384" s="965">
        <f t="shared" si="275"/>
        <v>0</v>
      </c>
      <c r="W384" s="965">
        <f t="shared" si="275"/>
        <v>0</v>
      </c>
      <c r="X384" s="965">
        <f t="shared" si="275"/>
        <v>0</v>
      </c>
      <c r="Y384" s="965">
        <f t="shared" si="275"/>
        <v>0</v>
      </c>
      <c r="Z384" s="965">
        <f t="shared" si="275"/>
        <v>0</v>
      </c>
      <c r="AA384" s="965">
        <f t="shared" si="275"/>
        <v>0</v>
      </c>
      <c r="AB384" s="965">
        <f t="shared" si="275"/>
        <v>0</v>
      </c>
      <c r="AC384" s="965">
        <f t="shared" si="275"/>
        <v>0</v>
      </c>
      <c r="AD384" s="965">
        <f t="shared" si="275"/>
        <v>0</v>
      </c>
      <c r="AE384" s="965">
        <f t="shared" si="275"/>
        <v>0</v>
      </c>
      <c r="AF384" s="965">
        <f t="shared" si="275"/>
        <v>0</v>
      </c>
      <c r="AG384" s="965">
        <f t="shared" si="275"/>
        <v>0</v>
      </c>
      <c r="AH384" s="965">
        <f t="shared" si="275"/>
        <v>0</v>
      </c>
      <c r="AI384" s="965">
        <f t="shared" si="275"/>
        <v>0</v>
      </c>
      <c r="AJ384" s="965">
        <f t="shared" si="275"/>
        <v>0</v>
      </c>
      <c r="AK384" s="965">
        <f t="shared" si="275"/>
        <v>0</v>
      </c>
      <c r="AL384" s="965">
        <f t="shared" si="275"/>
        <v>0</v>
      </c>
      <c r="AM384" s="965">
        <f t="shared" si="275"/>
        <v>0</v>
      </c>
      <c r="AN384" s="965">
        <f t="shared" si="275"/>
        <v>0</v>
      </c>
      <c r="AO384" s="965">
        <f t="shared" si="275"/>
        <v>0</v>
      </c>
      <c r="AP384" s="965">
        <f t="shared" si="275"/>
        <v>0</v>
      </c>
      <c r="AQ384" s="965">
        <f t="shared" si="275"/>
        <v>0</v>
      </c>
      <c r="AR384" s="965">
        <f t="shared" si="275"/>
        <v>0</v>
      </c>
      <c r="AS384" s="965">
        <f t="shared" si="275"/>
        <v>0</v>
      </c>
      <c r="AT384" s="965">
        <f t="shared" si="275"/>
        <v>0</v>
      </c>
    </row>
    <row r="385" spans="2:46" x14ac:dyDescent="0.25">
      <c r="B385" s="831" t="str">
        <f t="shared" ref="B385:AT385" si="276">B81</f>
        <v>Activos iniciales - Depreciacion 5 años</v>
      </c>
      <c r="C385" s="965">
        <f t="shared" si="276"/>
        <v>0</v>
      </c>
      <c r="D385" s="965">
        <f t="shared" si="276"/>
        <v>0</v>
      </c>
      <c r="E385" s="965">
        <f t="shared" si="276"/>
        <v>0</v>
      </c>
      <c r="F385" s="965">
        <f t="shared" si="276"/>
        <v>0</v>
      </c>
      <c r="G385" s="965">
        <f t="shared" si="276"/>
        <v>-249751.95009344042</v>
      </c>
      <c r="H385" s="965">
        <f t="shared" si="276"/>
        <v>-249751.95009344042</v>
      </c>
      <c r="I385" s="965">
        <f t="shared" si="276"/>
        <v>-249751.95009344042</v>
      </c>
      <c r="J385" s="965">
        <f t="shared" si="276"/>
        <v>-249751.95009344042</v>
      </c>
      <c r="K385" s="965">
        <f t="shared" si="276"/>
        <v>-249751.95009344042</v>
      </c>
      <c r="L385" s="965">
        <f t="shared" si="276"/>
        <v>0</v>
      </c>
      <c r="M385" s="965">
        <f t="shared" si="276"/>
        <v>0</v>
      </c>
      <c r="N385" s="965">
        <f t="shared" si="276"/>
        <v>0</v>
      </c>
      <c r="O385" s="965">
        <f t="shared" si="276"/>
        <v>0</v>
      </c>
      <c r="P385" s="965">
        <f t="shared" si="276"/>
        <v>0</v>
      </c>
      <c r="Q385" s="965">
        <f t="shared" si="276"/>
        <v>0</v>
      </c>
      <c r="R385" s="965">
        <f t="shared" si="276"/>
        <v>0</v>
      </c>
      <c r="S385" s="965">
        <f t="shared" si="276"/>
        <v>0</v>
      </c>
      <c r="T385" s="965">
        <f t="shared" si="276"/>
        <v>0</v>
      </c>
      <c r="U385" s="965">
        <f t="shared" si="276"/>
        <v>0</v>
      </c>
      <c r="V385" s="965">
        <f t="shared" si="276"/>
        <v>0</v>
      </c>
      <c r="W385" s="965">
        <f t="shared" si="276"/>
        <v>0</v>
      </c>
      <c r="X385" s="965">
        <f t="shared" si="276"/>
        <v>0</v>
      </c>
      <c r="Y385" s="965">
        <f t="shared" si="276"/>
        <v>0</v>
      </c>
      <c r="Z385" s="965">
        <f t="shared" si="276"/>
        <v>0</v>
      </c>
      <c r="AA385" s="965">
        <f t="shared" si="276"/>
        <v>0</v>
      </c>
      <c r="AB385" s="965">
        <f t="shared" si="276"/>
        <v>0</v>
      </c>
      <c r="AC385" s="965">
        <f t="shared" si="276"/>
        <v>0</v>
      </c>
      <c r="AD385" s="965">
        <f t="shared" si="276"/>
        <v>0</v>
      </c>
      <c r="AE385" s="965">
        <f t="shared" si="276"/>
        <v>0</v>
      </c>
      <c r="AF385" s="965">
        <f t="shared" si="276"/>
        <v>0</v>
      </c>
      <c r="AG385" s="965">
        <f t="shared" si="276"/>
        <v>0</v>
      </c>
      <c r="AH385" s="965">
        <f t="shared" si="276"/>
        <v>0</v>
      </c>
      <c r="AI385" s="965">
        <f t="shared" si="276"/>
        <v>0</v>
      </c>
      <c r="AJ385" s="965">
        <f t="shared" si="276"/>
        <v>0</v>
      </c>
      <c r="AK385" s="965">
        <f t="shared" si="276"/>
        <v>0</v>
      </c>
      <c r="AL385" s="965">
        <f t="shared" si="276"/>
        <v>0</v>
      </c>
      <c r="AM385" s="965">
        <f t="shared" si="276"/>
        <v>0</v>
      </c>
      <c r="AN385" s="965">
        <f t="shared" si="276"/>
        <v>0</v>
      </c>
      <c r="AO385" s="965">
        <f t="shared" si="276"/>
        <v>0</v>
      </c>
      <c r="AP385" s="965">
        <f t="shared" si="276"/>
        <v>0</v>
      </c>
      <c r="AQ385" s="965">
        <f t="shared" si="276"/>
        <v>0</v>
      </c>
      <c r="AR385" s="965">
        <f t="shared" si="276"/>
        <v>0</v>
      </c>
      <c r="AS385" s="965">
        <f t="shared" si="276"/>
        <v>0</v>
      </c>
      <c r="AT385" s="965">
        <f t="shared" si="276"/>
        <v>0</v>
      </c>
    </row>
    <row r="386" spans="2:46" x14ac:dyDescent="0.25">
      <c r="B386" s="831" t="str">
        <f t="shared" ref="B386:AT386" si="277">B82</f>
        <v>Activos iniciales - Valor residual</v>
      </c>
      <c r="C386" s="965">
        <f t="shared" si="277"/>
        <v>0</v>
      </c>
      <c r="D386" s="965">
        <f t="shared" si="277"/>
        <v>0</v>
      </c>
      <c r="E386" s="965">
        <f t="shared" si="277"/>
        <v>0</v>
      </c>
      <c r="F386" s="965">
        <f t="shared" si="277"/>
        <v>0</v>
      </c>
      <c r="G386" s="965">
        <f t="shared" si="277"/>
        <v>151074474.56595954</v>
      </c>
      <c r="H386" s="965">
        <f t="shared" si="277"/>
        <v>146598155.94857979</v>
      </c>
      <c r="I386" s="965">
        <f t="shared" si="277"/>
        <v>142121837.33120003</v>
      </c>
      <c r="J386" s="965">
        <f t="shared" si="277"/>
        <v>137645518.71382028</v>
      </c>
      <c r="K386" s="965">
        <f t="shared" si="277"/>
        <v>133169200.09644052</v>
      </c>
      <c r="L386" s="965">
        <f t="shared" si="277"/>
        <v>128942633.42915422</v>
      </c>
      <c r="M386" s="965">
        <f t="shared" si="277"/>
        <v>124716066.76186791</v>
      </c>
      <c r="N386" s="965">
        <f t="shared" si="277"/>
        <v>120489500.0945816</v>
      </c>
      <c r="O386" s="965">
        <f t="shared" si="277"/>
        <v>116262933.4272953</v>
      </c>
      <c r="P386" s="965">
        <f t="shared" si="277"/>
        <v>112036366.76000899</v>
      </c>
      <c r="Q386" s="965">
        <f t="shared" si="277"/>
        <v>108400177.849603</v>
      </c>
      <c r="R386" s="965">
        <f t="shared" si="277"/>
        <v>104763988.939197</v>
      </c>
      <c r="S386" s="965">
        <f t="shared" si="277"/>
        <v>101127800.02879101</v>
      </c>
      <c r="T386" s="965">
        <f t="shared" si="277"/>
        <v>97491611.118385017</v>
      </c>
      <c r="U386" s="965">
        <f t="shared" si="277"/>
        <v>93855422.207979023</v>
      </c>
      <c r="V386" s="965">
        <f t="shared" si="277"/>
        <v>91253194.126164824</v>
      </c>
      <c r="W386" s="965">
        <f t="shared" si="277"/>
        <v>88650966.044350624</v>
      </c>
      <c r="X386" s="965">
        <f t="shared" si="277"/>
        <v>86048737.962536424</v>
      </c>
      <c r="Y386" s="965">
        <f t="shared" si="277"/>
        <v>83446509.880722225</v>
      </c>
      <c r="Z386" s="965">
        <f t="shared" si="277"/>
        <v>80844281.798908025</v>
      </c>
      <c r="AA386" s="965">
        <f t="shared" si="277"/>
        <v>78242053.717093825</v>
      </c>
      <c r="AB386" s="965">
        <f t="shared" si="277"/>
        <v>75639825.635279626</v>
      </c>
      <c r="AC386" s="965">
        <f t="shared" si="277"/>
        <v>73037597.553465426</v>
      </c>
      <c r="AD386" s="965">
        <f t="shared" si="277"/>
        <v>70435369.471651226</v>
      </c>
      <c r="AE386" s="965">
        <f t="shared" si="277"/>
        <v>67833141.389837027</v>
      </c>
      <c r="AF386" s="965">
        <f t="shared" si="277"/>
        <v>65230913.308022827</v>
      </c>
      <c r="AG386" s="965">
        <f t="shared" si="277"/>
        <v>62628685.226208627</v>
      </c>
      <c r="AH386" s="965">
        <f t="shared" si="277"/>
        <v>60026457.144394428</v>
      </c>
      <c r="AI386" s="965">
        <f t="shared" si="277"/>
        <v>57424229.062580228</v>
      </c>
      <c r="AJ386" s="965">
        <f t="shared" si="277"/>
        <v>54822000.980766028</v>
      </c>
      <c r="AK386" s="965">
        <f t="shared" si="277"/>
        <v>52219772.898951828</v>
      </c>
      <c r="AL386" s="965">
        <f t="shared" si="277"/>
        <v>49617544.817137629</v>
      </c>
      <c r="AM386" s="965">
        <f t="shared" si="277"/>
        <v>47015316.735323429</v>
      </c>
      <c r="AN386" s="965">
        <f t="shared" si="277"/>
        <v>44413088.653509229</v>
      </c>
      <c r="AO386" s="965">
        <f t="shared" si="277"/>
        <v>41810860.57169503</v>
      </c>
      <c r="AP386" s="965">
        <f t="shared" si="277"/>
        <v>39208632.48988083</v>
      </c>
      <c r="AQ386" s="965">
        <f t="shared" si="277"/>
        <v>36606404.40806663</v>
      </c>
      <c r="AR386" s="965">
        <f t="shared" si="277"/>
        <v>34004176.326252431</v>
      </c>
      <c r="AS386" s="965">
        <f t="shared" si="277"/>
        <v>31401948.244438235</v>
      </c>
      <c r="AT386" s="965">
        <f t="shared" si="277"/>
        <v>28799720.162624039</v>
      </c>
    </row>
    <row r="387" spans="2:46" x14ac:dyDescent="0.25">
      <c r="B387" s="831" t="str">
        <f t="shared" ref="B387:AT387" si="278">B83</f>
        <v>Activos nuevos 1 - Depreciacion 10 años</v>
      </c>
      <c r="C387" s="965">
        <f t="shared" si="278"/>
        <v>0</v>
      </c>
      <c r="D387" s="965">
        <f t="shared" si="278"/>
        <v>0</v>
      </c>
      <c r="E387" s="965">
        <f t="shared" si="278"/>
        <v>0</v>
      </c>
      <c r="F387" s="965">
        <f t="shared" si="278"/>
        <v>0</v>
      </c>
      <c r="G387" s="965">
        <f t="shared" si="278"/>
        <v>0</v>
      </c>
      <c r="H387" s="965">
        <f t="shared" si="278"/>
        <v>0</v>
      </c>
      <c r="I387" s="965">
        <f t="shared" si="278"/>
        <v>0</v>
      </c>
      <c r="J387" s="965">
        <f t="shared" si="278"/>
        <v>0</v>
      </c>
      <c r="K387" s="965">
        <f t="shared" si="278"/>
        <v>0</v>
      </c>
      <c r="L387" s="965">
        <f t="shared" si="278"/>
        <v>0</v>
      </c>
      <c r="M387" s="965">
        <f t="shared" si="278"/>
        <v>0</v>
      </c>
      <c r="N387" s="965">
        <f t="shared" si="278"/>
        <v>0</v>
      </c>
      <c r="O387" s="965">
        <f t="shared" si="278"/>
        <v>0</v>
      </c>
      <c r="P387" s="965">
        <f t="shared" si="278"/>
        <v>0</v>
      </c>
      <c r="Q387" s="965">
        <f t="shared" si="278"/>
        <v>0</v>
      </c>
      <c r="R387" s="965">
        <f t="shared" si="278"/>
        <v>-728389.33338023908</v>
      </c>
      <c r="S387" s="965">
        <f t="shared" si="278"/>
        <v>-728389.33338023908</v>
      </c>
      <c r="T387" s="965">
        <f t="shared" si="278"/>
        <v>-728389.33338023908</v>
      </c>
      <c r="U387" s="965">
        <f t="shared" si="278"/>
        <v>-728389.33338023908</v>
      </c>
      <c r="V387" s="965">
        <f t="shared" si="278"/>
        <v>-728389.33338023908</v>
      </c>
      <c r="W387" s="965">
        <f t="shared" si="278"/>
        <v>-728389.33338023908</v>
      </c>
      <c r="X387" s="965">
        <f t="shared" si="278"/>
        <v>-728389.33338023908</v>
      </c>
      <c r="Y387" s="965">
        <f t="shared" si="278"/>
        <v>-728389.33338023908</v>
      </c>
      <c r="Z387" s="965">
        <f t="shared" si="278"/>
        <v>-728389.33338023908</v>
      </c>
      <c r="AA387" s="965">
        <f t="shared" si="278"/>
        <v>-728389.33338023908</v>
      </c>
      <c r="AB387" s="965">
        <f t="shared" si="278"/>
        <v>-728389.33338023908</v>
      </c>
      <c r="AC387" s="965">
        <f t="shared" si="278"/>
        <v>0</v>
      </c>
      <c r="AD387" s="965">
        <f t="shared" si="278"/>
        <v>0</v>
      </c>
      <c r="AE387" s="965">
        <f t="shared" si="278"/>
        <v>0</v>
      </c>
      <c r="AF387" s="965">
        <f t="shared" si="278"/>
        <v>0</v>
      </c>
      <c r="AG387" s="965">
        <f t="shared" si="278"/>
        <v>0</v>
      </c>
      <c r="AH387" s="965">
        <f t="shared" si="278"/>
        <v>0</v>
      </c>
      <c r="AI387" s="965">
        <f t="shared" si="278"/>
        <v>0</v>
      </c>
      <c r="AJ387" s="965">
        <f t="shared" si="278"/>
        <v>0</v>
      </c>
      <c r="AK387" s="965">
        <f t="shared" si="278"/>
        <v>0</v>
      </c>
      <c r="AL387" s="965">
        <f t="shared" si="278"/>
        <v>0</v>
      </c>
      <c r="AM387" s="965">
        <f t="shared" si="278"/>
        <v>0</v>
      </c>
      <c r="AN387" s="965">
        <f t="shared" si="278"/>
        <v>0</v>
      </c>
      <c r="AO387" s="965">
        <f t="shared" si="278"/>
        <v>0</v>
      </c>
      <c r="AP387" s="965">
        <f t="shared" si="278"/>
        <v>0</v>
      </c>
      <c r="AQ387" s="965">
        <f t="shared" si="278"/>
        <v>0</v>
      </c>
      <c r="AR387" s="965">
        <f t="shared" si="278"/>
        <v>0</v>
      </c>
      <c r="AS387" s="965">
        <f t="shared" si="278"/>
        <v>0</v>
      </c>
      <c r="AT387" s="965">
        <f t="shared" si="278"/>
        <v>0</v>
      </c>
    </row>
    <row r="388" spans="2:46" x14ac:dyDescent="0.25">
      <c r="B388" s="831" t="str">
        <f t="shared" ref="B388:AT388" si="279">B84</f>
        <v>Activos nuevos 1 - Valor residual</v>
      </c>
      <c r="C388" s="965">
        <f t="shared" si="279"/>
        <v>0</v>
      </c>
      <c r="D388" s="965">
        <f t="shared" si="279"/>
        <v>0</v>
      </c>
      <c r="E388" s="965">
        <f t="shared" si="279"/>
        <v>0</v>
      </c>
      <c r="F388" s="965">
        <f t="shared" si="279"/>
        <v>0</v>
      </c>
      <c r="G388" s="965">
        <f t="shared" si="279"/>
        <v>0</v>
      </c>
      <c r="H388" s="965">
        <f t="shared" si="279"/>
        <v>0</v>
      </c>
      <c r="I388" s="965">
        <f t="shared" si="279"/>
        <v>0</v>
      </c>
      <c r="J388" s="965">
        <f t="shared" si="279"/>
        <v>0</v>
      </c>
      <c r="K388" s="965">
        <f t="shared" si="279"/>
        <v>0</v>
      </c>
      <c r="L388" s="965">
        <f t="shared" si="279"/>
        <v>0</v>
      </c>
      <c r="M388" s="965">
        <f t="shared" si="279"/>
        <v>0</v>
      </c>
      <c r="N388" s="965">
        <f t="shared" si="279"/>
        <v>0</v>
      </c>
      <c r="O388" s="965">
        <f t="shared" si="279"/>
        <v>0</v>
      </c>
      <c r="P388" s="965">
        <f t="shared" si="279"/>
        <v>0</v>
      </c>
      <c r="Q388" s="965">
        <f t="shared" si="279"/>
        <v>0</v>
      </c>
      <c r="R388" s="965">
        <f t="shared" si="279"/>
        <v>7283893.3338023908</v>
      </c>
      <c r="S388" s="965">
        <f t="shared" si="279"/>
        <v>6555504.0004221518</v>
      </c>
      <c r="T388" s="965">
        <f t="shared" si="279"/>
        <v>5827114.6670419127</v>
      </c>
      <c r="U388" s="965">
        <f t="shared" si="279"/>
        <v>5098725.3336616736</v>
      </c>
      <c r="V388" s="965">
        <f t="shared" si="279"/>
        <v>4370336.0002814345</v>
      </c>
      <c r="W388" s="965">
        <f t="shared" si="279"/>
        <v>3641946.6669011954</v>
      </c>
      <c r="X388" s="965">
        <f t="shared" si="279"/>
        <v>2913557.3335209563</v>
      </c>
      <c r="Y388" s="965">
        <f t="shared" si="279"/>
        <v>2185168.0001407173</v>
      </c>
      <c r="Z388" s="965">
        <f t="shared" si="279"/>
        <v>1456778.6667604782</v>
      </c>
      <c r="AA388" s="965">
        <f t="shared" si="279"/>
        <v>728389.33338023908</v>
      </c>
      <c r="AB388" s="965">
        <f t="shared" si="279"/>
        <v>0</v>
      </c>
      <c r="AC388" s="965">
        <f t="shared" si="279"/>
        <v>0</v>
      </c>
      <c r="AD388" s="965">
        <f t="shared" si="279"/>
        <v>0</v>
      </c>
      <c r="AE388" s="965">
        <f t="shared" si="279"/>
        <v>0</v>
      </c>
      <c r="AF388" s="965">
        <f t="shared" si="279"/>
        <v>0</v>
      </c>
      <c r="AG388" s="965">
        <f t="shared" si="279"/>
        <v>0</v>
      </c>
      <c r="AH388" s="965">
        <f t="shared" si="279"/>
        <v>0</v>
      </c>
      <c r="AI388" s="965">
        <f t="shared" si="279"/>
        <v>0</v>
      </c>
      <c r="AJ388" s="965">
        <f t="shared" si="279"/>
        <v>0</v>
      </c>
      <c r="AK388" s="965">
        <f t="shared" si="279"/>
        <v>0</v>
      </c>
      <c r="AL388" s="965">
        <f t="shared" si="279"/>
        <v>0</v>
      </c>
      <c r="AM388" s="965">
        <f t="shared" si="279"/>
        <v>0</v>
      </c>
      <c r="AN388" s="965">
        <f t="shared" si="279"/>
        <v>0</v>
      </c>
      <c r="AO388" s="965">
        <f t="shared" si="279"/>
        <v>0</v>
      </c>
      <c r="AP388" s="965">
        <f t="shared" si="279"/>
        <v>0</v>
      </c>
      <c r="AQ388" s="965">
        <f t="shared" si="279"/>
        <v>0</v>
      </c>
      <c r="AR388" s="965">
        <f t="shared" si="279"/>
        <v>0</v>
      </c>
      <c r="AS388" s="965">
        <f t="shared" si="279"/>
        <v>0</v>
      </c>
      <c r="AT388" s="965">
        <f t="shared" si="279"/>
        <v>0</v>
      </c>
    </row>
    <row r="389" spans="2:46" x14ac:dyDescent="0.25">
      <c r="B389" s="831" t="str">
        <f t="shared" ref="B389:AT389" si="280">B85</f>
        <v>Activos nuevos 2 - Depreciacion 15 años</v>
      </c>
      <c r="C389" s="965">
        <f t="shared" si="280"/>
        <v>0</v>
      </c>
      <c r="D389" s="965">
        <f t="shared" si="280"/>
        <v>0</v>
      </c>
      <c r="E389" s="965">
        <f t="shared" si="280"/>
        <v>0</v>
      </c>
      <c r="F389" s="965">
        <f t="shared" si="280"/>
        <v>0</v>
      </c>
      <c r="G389" s="965">
        <f t="shared" si="280"/>
        <v>0</v>
      </c>
      <c r="H389" s="965">
        <f t="shared" si="280"/>
        <v>0</v>
      </c>
      <c r="I389" s="965">
        <f t="shared" si="280"/>
        <v>0</v>
      </c>
      <c r="J389" s="965">
        <f t="shared" si="280"/>
        <v>0</v>
      </c>
      <c r="K389" s="965">
        <f t="shared" si="280"/>
        <v>0</v>
      </c>
      <c r="L389" s="965">
        <f t="shared" si="280"/>
        <v>0</v>
      </c>
      <c r="M389" s="965">
        <f t="shared" si="280"/>
        <v>0</v>
      </c>
      <c r="N389" s="965">
        <f t="shared" si="280"/>
        <v>0</v>
      </c>
      <c r="O389" s="965">
        <f t="shared" si="280"/>
        <v>0</v>
      </c>
      <c r="P389" s="965">
        <f t="shared" si="280"/>
        <v>0</v>
      </c>
      <c r="Q389" s="965">
        <f t="shared" si="280"/>
        <v>0</v>
      </c>
      <c r="R389" s="965">
        <f t="shared" si="280"/>
        <v>0</v>
      </c>
      <c r="S389" s="965">
        <f t="shared" si="280"/>
        <v>0</v>
      </c>
      <c r="T389" s="965">
        <f t="shared" si="280"/>
        <v>0</v>
      </c>
      <c r="U389" s="965">
        <f t="shared" si="280"/>
        <v>0</v>
      </c>
      <c r="V389" s="965">
        <f t="shared" si="280"/>
        <v>0</v>
      </c>
      <c r="W389" s="965">
        <f t="shared" si="280"/>
        <v>0</v>
      </c>
      <c r="X389" s="965">
        <f t="shared" si="280"/>
        <v>-1453440.5611895286</v>
      </c>
      <c r="Y389" s="965">
        <f t="shared" si="280"/>
        <v>-1453440.5611895286</v>
      </c>
      <c r="Z389" s="965">
        <f t="shared" si="280"/>
        <v>-1453440.5611895286</v>
      </c>
      <c r="AA389" s="965">
        <f t="shared" si="280"/>
        <v>-1453440.5611895286</v>
      </c>
      <c r="AB389" s="965">
        <f t="shared" si="280"/>
        <v>-1453440.5611895286</v>
      </c>
      <c r="AC389" s="965">
        <f t="shared" si="280"/>
        <v>-1453440.5611895286</v>
      </c>
      <c r="AD389" s="965">
        <f t="shared" si="280"/>
        <v>-1453440.5611895286</v>
      </c>
      <c r="AE389" s="965">
        <f t="shared" si="280"/>
        <v>-1453440.5611895286</v>
      </c>
      <c r="AF389" s="965">
        <f t="shared" si="280"/>
        <v>-1453440.5611895286</v>
      </c>
      <c r="AG389" s="965">
        <f t="shared" si="280"/>
        <v>-1453440.5611895286</v>
      </c>
      <c r="AH389" s="965">
        <f t="shared" si="280"/>
        <v>-1453440.5611895286</v>
      </c>
      <c r="AI389" s="965">
        <f t="shared" si="280"/>
        <v>-1453440.5611895286</v>
      </c>
      <c r="AJ389" s="965">
        <f t="shared" si="280"/>
        <v>-1453440.5611895286</v>
      </c>
      <c r="AK389" s="965">
        <f t="shared" si="280"/>
        <v>-1453440.5611895286</v>
      </c>
      <c r="AL389" s="965">
        <f t="shared" si="280"/>
        <v>-1453440.5611895286</v>
      </c>
      <c r="AM389" s="965">
        <f t="shared" si="280"/>
        <v>0</v>
      </c>
      <c r="AN389" s="965">
        <f t="shared" si="280"/>
        <v>0</v>
      </c>
      <c r="AO389" s="965">
        <f t="shared" si="280"/>
        <v>0</v>
      </c>
      <c r="AP389" s="965">
        <f t="shared" si="280"/>
        <v>0</v>
      </c>
      <c r="AQ389" s="965">
        <f t="shared" si="280"/>
        <v>0</v>
      </c>
      <c r="AR389" s="965">
        <f t="shared" si="280"/>
        <v>0</v>
      </c>
      <c r="AS389" s="965">
        <f t="shared" si="280"/>
        <v>0</v>
      </c>
      <c r="AT389" s="965">
        <f t="shared" si="280"/>
        <v>0</v>
      </c>
    </row>
    <row r="390" spans="2:46" x14ac:dyDescent="0.25">
      <c r="B390" s="831" t="str">
        <f t="shared" ref="B390:AT390" si="281">B86</f>
        <v>Activos nuevos 2 - Valor residual</v>
      </c>
      <c r="C390" s="965">
        <f t="shared" si="281"/>
        <v>0</v>
      </c>
      <c r="D390" s="965">
        <f t="shared" si="281"/>
        <v>0</v>
      </c>
      <c r="E390" s="965">
        <f t="shared" si="281"/>
        <v>0</v>
      </c>
      <c r="F390" s="965">
        <f t="shared" si="281"/>
        <v>0</v>
      </c>
      <c r="G390" s="965">
        <f t="shared" si="281"/>
        <v>0</v>
      </c>
      <c r="H390" s="965">
        <f t="shared" si="281"/>
        <v>0</v>
      </c>
      <c r="I390" s="965">
        <f t="shared" si="281"/>
        <v>0</v>
      </c>
      <c r="J390" s="965">
        <f t="shared" si="281"/>
        <v>0</v>
      </c>
      <c r="K390" s="965">
        <f t="shared" si="281"/>
        <v>0</v>
      </c>
      <c r="L390" s="965">
        <f t="shared" si="281"/>
        <v>0</v>
      </c>
      <c r="M390" s="965">
        <f t="shared" si="281"/>
        <v>0</v>
      </c>
      <c r="N390" s="965">
        <f t="shared" si="281"/>
        <v>0</v>
      </c>
      <c r="O390" s="965">
        <f t="shared" si="281"/>
        <v>0</v>
      </c>
      <c r="P390" s="965">
        <f t="shared" si="281"/>
        <v>0</v>
      </c>
      <c r="Q390" s="965">
        <f t="shared" si="281"/>
        <v>0</v>
      </c>
      <c r="R390" s="965">
        <f t="shared" si="281"/>
        <v>0</v>
      </c>
      <c r="S390" s="965">
        <f t="shared" si="281"/>
        <v>0</v>
      </c>
      <c r="T390" s="965">
        <f t="shared" si="281"/>
        <v>0</v>
      </c>
      <c r="U390" s="965">
        <f t="shared" si="281"/>
        <v>0</v>
      </c>
      <c r="V390" s="965">
        <f t="shared" si="281"/>
        <v>0</v>
      </c>
      <c r="W390" s="965">
        <f t="shared" si="281"/>
        <v>0</v>
      </c>
      <c r="X390" s="965">
        <f t="shared" si="281"/>
        <v>20348167.8566534</v>
      </c>
      <c r="Y390" s="965">
        <f t="shared" si="281"/>
        <v>18894727.295463871</v>
      </c>
      <c r="Z390" s="965">
        <f t="shared" si="281"/>
        <v>17441286.734274343</v>
      </c>
      <c r="AA390" s="965">
        <f t="shared" si="281"/>
        <v>15987846.173084814</v>
      </c>
      <c r="AB390" s="965">
        <f t="shared" si="281"/>
        <v>14534405.611895286</v>
      </c>
      <c r="AC390" s="965">
        <f t="shared" si="281"/>
        <v>13080965.050705757</v>
      </c>
      <c r="AD390" s="965">
        <f t="shared" si="281"/>
        <v>11627524.489516228</v>
      </c>
      <c r="AE390" s="965">
        <f t="shared" si="281"/>
        <v>10174083.9283267</v>
      </c>
      <c r="AF390" s="965">
        <f t="shared" si="281"/>
        <v>8720643.3671371713</v>
      </c>
      <c r="AG390" s="965">
        <f t="shared" si="281"/>
        <v>7267202.8059476428</v>
      </c>
      <c r="AH390" s="965">
        <f t="shared" si="281"/>
        <v>5813762.2447581142</v>
      </c>
      <c r="AI390" s="965">
        <f t="shared" si="281"/>
        <v>4360321.6835685857</v>
      </c>
      <c r="AJ390" s="965">
        <f t="shared" si="281"/>
        <v>2906881.1223790571</v>
      </c>
      <c r="AK390" s="965">
        <f t="shared" si="281"/>
        <v>1453440.5611895286</v>
      </c>
      <c r="AL390" s="965">
        <f t="shared" si="281"/>
        <v>0</v>
      </c>
      <c r="AM390" s="965">
        <f t="shared" si="281"/>
        <v>0</v>
      </c>
      <c r="AN390" s="965">
        <f t="shared" si="281"/>
        <v>0</v>
      </c>
      <c r="AO390" s="965">
        <f t="shared" si="281"/>
        <v>0</v>
      </c>
      <c r="AP390" s="965">
        <f t="shared" si="281"/>
        <v>0</v>
      </c>
      <c r="AQ390" s="965">
        <f t="shared" si="281"/>
        <v>0</v>
      </c>
      <c r="AR390" s="965">
        <f t="shared" si="281"/>
        <v>0</v>
      </c>
      <c r="AS390" s="965">
        <f t="shared" si="281"/>
        <v>0</v>
      </c>
      <c r="AT390" s="965">
        <f t="shared" si="281"/>
        <v>0</v>
      </c>
    </row>
    <row r="391" spans="2:46" x14ac:dyDescent="0.25">
      <c r="B391" s="831" t="str">
        <f t="shared" ref="B391:AT391" si="282">B87</f>
        <v>Activos nuevos 3 - Depreciacion 10 años</v>
      </c>
      <c r="C391" s="965">
        <f t="shared" si="282"/>
        <v>0</v>
      </c>
      <c r="D391" s="965">
        <f t="shared" si="282"/>
        <v>0</v>
      </c>
      <c r="E391" s="965">
        <f t="shared" si="282"/>
        <v>0</v>
      </c>
      <c r="F391" s="965">
        <f t="shared" si="282"/>
        <v>0</v>
      </c>
      <c r="G391" s="965">
        <f t="shared" si="282"/>
        <v>0</v>
      </c>
      <c r="H391" s="965">
        <f t="shared" si="282"/>
        <v>0</v>
      </c>
      <c r="I391" s="965">
        <f t="shared" si="282"/>
        <v>0</v>
      </c>
      <c r="J391" s="965">
        <f t="shared" si="282"/>
        <v>0</v>
      </c>
      <c r="K391" s="965">
        <f t="shared" si="282"/>
        <v>0</v>
      </c>
      <c r="L391" s="965">
        <f t="shared" si="282"/>
        <v>0</v>
      </c>
      <c r="M391" s="965">
        <f t="shared" si="282"/>
        <v>0</v>
      </c>
      <c r="N391" s="965">
        <f t="shared" si="282"/>
        <v>0</v>
      </c>
      <c r="O391" s="965">
        <f t="shared" si="282"/>
        <v>0</v>
      </c>
      <c r="P391" s="965">
        <f t="shared" si="282"/>
        <v>0</v>
      </c>
      <c r="Q391" s="965">
        <f t="shared" si="282"/>
        <v>0</v>
      </c>
      <c r="R391" s="965">
        <f t="shared" si="282"/>
        <v>0</v>
      </c>
      <c r="S391" s="965">
        <f t="shared" si="282"/>
        <v>0</v>
      </c>
      <c r="T391" s="965">
        <f t="shared" si="282"/>
        <v>0</v>
      </c>
      <c r="U391" s="965">
        <f t="shared" si="282"/>
        <v>0</v>
      </c>
      <c r="V391" s="965">
        <f t="shared" si="282"/>
        <v>0</v>
      </c>
      <c r="W391" s="965">
        <f t="shared" si="282"/>
        <v>0</v>
      </c>
      <c r="X391" s="965">
        <f t="shared" si="282"/>
        <v>0</v>
      </c>
      <c r="Y391" s="965">
        <f t="shared" si="282"/>
        <v>0</v>
      </c>
      <c r="Z391" s="965">
        <f t="shared" si="282"/>
        <v>0</v>
      </c>
      <c r="AA391" s="965">
        <f t="shared" si="282"/>
        <v>0</v>
      </c>
      <c r="AB391" s="965">
        <f t="shared" si="282"/>
        <v>0</v>
      </c>
      <c r="AC391" s="965">
        <f t="shared" si="282"/>
        <v>-903839.85404605814</v>
      </c>
      <c r="AD391" s="965">
        <f t="shared" si="282"/>
        <v>-903839.85404605814</v>
      </c>
      <c r="AE391" s="965">
        <f t="shared" si="282"/>
        <v>-903839.85404605814</v>
      </c>
      <c r="AF391" s="965">
        <f t="shared" si="282"/>
        <v>-903839.85404605814</v>
      </c>
      <c r="AG391" s="965">
        <f t="shared" si="282"/>
        <v>-903839.85404605814</v>
      </c>
      <c r="AH391" s="965">
        <f t="shared" si="282"/>
        <v>-903839.85404605814</v>
      </c>
      <c r="AI391" s="965">
        <f t="shared" si="282"/>
        <v>-903839.85404605814</v>
      </c>
      <c r="AJ391" s="965">
        <f t="shared" si="282"/>
        <v>-903839.85404605814</v>
      </c>
      <c r="AK391" s="965">
        <f t="shared" si="282"/>
        <v>-903839.85404605814</v>
      </c>
      <c r="AL391" s="965">
        <f t="shared" si="282"/>
        <v>-903839.85404605814</v>
      </c>
      <c r="AM391" s="965">
        <f t="shared" si="282"/>
        <v>-903839.85404605814</v>
      </c>
      <c r="AN391" s="965">
        <f t="shared" si="282"/>
        <v>0</v>
      </c>
      <c r="AO391" s="965">
        <f t="shared" si="282"/>
        <v>0</v>
      </c>
      <c r="AP391" s="965">
        <f t="shared" si="282"/>
        <v>0</v>
      </c>
      <c r="AQ391" s="965">
        <f t="shared" si="282"/>
        <v>0</v>
      </c>
      <c r="AR391" s="965">
        <f t="shared" si="282"/>
        <v>0</v>
      </c>
      <c r="AS391" s="965">
        <f t="shared" si="282"/>
        <v>0</v>
      </c>
      <c r="AT391" s="965">
        <f t="shared" si="282"/>
        <v>0</v>
      </c>
    </row>
    <row r="392" spans="2:46" x14ac:dyDescent="0.25">
      <c r="B392" s="831" t="str">
        <f t="shared" ref="B392:AT392" si="283">B88</f>
        <v>Activos nuevos 3 - Valor residual</v>
      </c>
      <c r="C392" s="965">
        <f t="shared" si="283"/>
        <v>0</v>
      </c>
      <c r="D392" s="965">
        <f t="shared" si="283"/>
        <v>0</v>
      </c>
      <c r="E392" s="965">
        <f t="shared" si="283"/>
        <v>0</v>
      </c>
      <c r="F392" s="965">
        <f t="shared" si="283"/>
        <v>0</v>
      </c>
      <c r="G392" s="965">
        <f t="shared" si="283"/>
        <v>0</v>
      </c>
      <c r="H392" s="965">
        <f t="shared" si="283"/>
        <v>0</v>
      </c>
      <c r="I392" s="965">
        <f t="shared" si="283"/>
        <v>0</v>
      </c>
      <c r="J392" s="965">
        <f t="shared" si="283"/>
        <v>0</v>
      </c>
      <c r="K392" s="965">
        <f t="shared" si="283"/>
        <v>0</v>
      </c>
      <c r="L392" s="965">
        <f t="shared" si="283"/>
        <v>0</v>
      </c>
      <c r="M392" s="965">
        <f t="shared" si="283"/>
        <v>0</v>
      </c>
      <c r="N392" s="965">
        <f t="shared" si="283"/>
        <v>0</v>
      </c>
      <c r="O392" s="965">
        <f t="shared" si="283"/>
        <v>0</v>
      </c>
      <c r="P392" s="965">
        <f t="shared" si="283"/>
        <v>0</v>
      </c>
      <c r="Q392" s="965">
        <f t="shared" si="283"/>
        <v>0</v>
      </c>
      <c r="R392" s="965">
        <f t="shared" si="283"/>
        <v>0</v>
      </c>
      <c r="S392" s="965">
        <f t="shared" si="283"/>
        <v>0</v>
      </c>
      <c r="T392" s="965">
        <f t="shared" si="283"/>
        <v>0</v>
      </c>
      <c r="U392" s="965">
        <f t="shared" si="283"/>
        <v>0</v>
      </c>
      <c r="V392" s="965">
        <f t="shared" si="283"/>
        <v>0</v>
      </c>
      <c r="W392" s="965">
        <f t="shared" si="283"/>
        <v>0</v>
      </c>
      <c r="X392" s="965">
        <f t="shared" si="283"/>
        <v>0</v>
      </c>
      <c r="Y392" s="965">
        <f t="shared" si="283"/>
        <v>0</v>
      </c>
      <c r="Z392" s="965">
        <f t="shared" si="283"/>
        <v>0</v>
      </c>
      <c r="AA392" s="965">
        <f t="shared" si="283"/>
        <v>0</v>
      </c>
      <c r="AB392" s="965">
        <f t="shared" si="283"/>
        <v>0</v>
      </c>
      <c r="AC392" s="965">
        <f t="shared" si="283"/>
        <v>9038398.540460581</v>
      </c>
      <c r="AD392" s="965">
        <f t="shared" si="283"/>
        <v>8134558.6864145231</v>
      </c>
      <c r="AE392" s="965">
        <f t="shared" si="283"/>
        <v>7230718.8323684651</v>
      </c>
      <c r="AF392" s="965">
        <f t="shared" si="283"/>
        <v>6326878.9783224072</v>
      </c>
      <c r="AG392" s="965">
        <f t="shared" si="283"/>
        <v>5423039.1242763493</v>
      </c>
      <c r="AH392" s="965">
        <f t="shared" si="283"/>
        <v>4519199.2702302914</v>
      </c>
      <c r="AI392" s="965">
        <f t="shared" si="283"/>
        <v>3615359.4161842335</v>
      </c>
      <c r="AJ392" s="965">
        <f t="shared" si="283"/>
        <v>2711519.5621381756</v>
      </c>
      <c r="AK392" s="965">
        <f t="shared" si="283"/>
        <v>1807679.7080921174</v>
      </c>
      <c r="AL392" s="965">
        <f t="shared" si="283"/>
        <v>903839.85404605931</v>
      </c>
      <c r="AM392" s="965">
        <f t="shared" si="283"/>
        <v>1.1641532182693481E-9</v>
      </c>
      <c r="AN392" s="965">
        <f t="shared" si="283"/>
        <v>0</v>
      </c>
      <c r="AO392" s="965">
        <f t="shared" si="283"/>
        <v>0</v>
      </c>
      <c r="AP392" s="965">
        <f t="shared" si="283"/>
        <v>0</v>
      </c>
      <c r="AQ392" s="965">
        <f t="shared" si="283"/>
        <v>0</v>
      </c>
      <c r="AR392" s="965">
        <f t="shared" si="283"/>
        <v>0</v>
      </c>
      <c r="AS392" s="965">
        <f t="shared" si="283"/>
        <v>0</v>
      </c>
      <c r="AT392" s="965">
        <f t="shared" si="283"/>
        <v>0</v>
      </c>
    </row>
    <row r="393" spans="2:46" x14ac:dyDescent="0.25">
      <c r="B393" s="831" t="str">
        <f t="shared" ref="B393:AT393" si="284">B89</f>
        <v>Activos nuevos 4 - Depreciacion 15 años</v>
      </c>
      <c r="C393" s="965">
        <f t="shared" si="284"/>
        <v>0</v>
      </c>
      <c r="D393" s="965">
        <f t="shared" si="284"/>
        <v>0</v>
      </c>
      <c r="E393" s="965">
        <f t="shared" si="284"/>
        <v>0</v>
      </c>
      <c r="F393" s="965">
        <f t="shared" si="284"/>
        <v>0</v>
      </c>
      <c r="G393" s="965">
        <f t="shared" si="284"/>
        <v>0</v>
      </c>
      <c r="H393" s="965">
        <f t="shared" si="284"/>
        <v>0</v>
      </c>
      <c r="I393" s="965">
        <f t="shared" si="284"/>
        <v>0</v>
      </c>
      <c r="J393" s="965">
        <f t="shared" si="284"/>
        <v>0</v>
      </c>
      <c r="K393" s="965">
        <f t="shared" si="284"/>
        <v>0</v>
      </c>
      <c r="L393" s="965">
        <f t="shared" si="284"/>
        <v>0</v>
      </c>
      <c r="M393" s="965">
        <f t="shared" si="284"/>
        <v>0</v>
      </c>
      <c r="N393" s="965">
        <f t="shared" si="284"/>
        <v>0</v>
      </c>
      <c r="O393" s="965">
        <f t="shared" si="284"/>
        <v>0</v>
      </c>
      <c r="P393" s="965">
        <f t="shared" si="284"/>
        <v>0</v>
      </c>
      <c r="Q393" s="965">
        <f t="shared" si="284"/>
        <v>0</v>
      </c>
      <c r="R393" s="965">
        <f t="shared" si="284"/>
        <v>0</v>
      </c>
      <c r="S393" s="965">
        <f t="shared" si="284"/>
        <v>0</v>
      </c>
      <c r="T393" s="965">
        <f t="shared" si="284"/>
        <v>0</v>
      </c>
      <c r="U393" s="965">
        <f t="shared" si="284"/>
        <v>0</v>
      </c>
      <c r="V393" s="965">
        <f t="shared" si="284"/>
        <v>0</v>
      </c>
      <c r="W393" s="965">
        <f t="shared" si="284"/>
        <v>0</v>
      </c>
      <c r="X393" s="965">
        <f t="shared" si="284"/>
        <v>0</v>
      </c>
      <c r="Y393" s="965">
        <f t="shared" si="284"/>
        <v>0</v>
      </c>
      <c r="Z393" s="965">
        <f t="shared" si="284"/>
        <v>0</v>
      </c>
      <c r="AA393" s="965">
        <f t="shared" si="284"/>
        <v>0</v>
      </c>
      <c r="AB393" s="965">
        <f t="shared" si="284"/>
        <v>0</v>
      </c>
      <c r="AC393" s="965">
        <f t="shared" si="284"/>
        <v>0</v>
      </c>
      <c r="AD393" s="965">
        <f t="shared" si="284"/>
        <v>0</v>
      </c>
      <c r="AE393" s="965">
        <f t="shared" si="284"/>
        <v>0</v>
      </c>
      <c r="AF393" s="965">
        <f t="shared" si="284"/>
        <v>0</v>
      </c>
      <c r="AG393" s="965">
        <f t="shared" si="284"/>
        <v>0</v>
      </c>
      <c r="AH393" s="965">
        <f t="shared" si="284"/>
        <v>0</v>
      </c>
      <c r="AI393" s="965">
        <f t="shared" si="284"/>
        <v>0</v>
      </c>
      <c r="AJ393" s="965">
        <f t="shared" si="284"/>
        <v>0</v>
      </c>
      <c r="AK393" s="965">
        <f t="shared" si="284"/>
        <v>0</v>
      </c>
      <c r="AL393" s="965">
        <f t="shared" si="284"/>
        <v>0</v>
      </c>
      <c r="AM393" s="965">
        <f t="shared" si="284"/>
        <v>0</v>
      </c>
      <c r="AN393" s="965">
        <f t="shared" si="284"/>
        <v>0</v>
      </c>
      <c r="AO393" s="965">
        <f t="shared" si="284"/>
        <v>-2934984.6362588019</v>
      </c>
      <c r="AP393" s="965">
        <f t="shared" si="284"/>
        <v>-2934984.6362588019</v>
      </c>
      <c r="AQ393" s="965">
        <f t="shared" si="284"/>
        <v>-2934984.6362588019</v>
      </c>
      <c r="AR393" s="965">
        <f t="shared" si="284"/>
        <v>-2934984.6362588019</v>
      </c>
      <c r="AS393" s="965">
        <f t="shared" si="284"/>
        <v>-2934984.6362588019</v>
      </c>
      <c r="AT393" s="965">
        <f t="shared" si="284"/>
        <v>-2934984.6362588019</v>
      </c>
    </row>
    <row r="394" spans="2:46" x14ac:dyDescent="0.25">
      <c r="B394" s="846" t="str">
        <f t="shared" ref="B394:AT394" si="285">B90</f>
        <v>Activos nuevos 4 - Valor residual</v>
      </c>
      <c r="C394" s="968">
        <f t="shared" si="285"/>
        <v>0</v>
      </c>
      <c r="D394" s="968">
        <f t="shared" si="285"/>
        <v>0</v>
      </c>
      <c r="E394" s="968">
        <f t="shared" si="285"/>
        <v>0</v>
      </c>
      <c r="F394" s="968">
        <f t="shared" si="285"/>
        <v>0</v>
      </c>
      <c r="G394" s="968">
        <f t="shared" si="285"/>
        <v>0</v>
      </c>
      <c r="H394" s="968">
        <f t="shared" si="285"/>
        <v>0</v>
      </c>
      <c r="I394" s="968">
        <f t="shared" si="285"/>
        <v>0</v>
      </c>
      <c r="J394" s="968">
        <f t="shared" si="285"/>
        <v>0</v>
      </c>
      <c r="K394" s="968">
        <f t="shared" si="285"/>
        <v>0</v>
      </c>
      <c r="L394" s="968">
        <f t="shared" si="285"/>
        <v>0</v>
      </c>
      <c r="M394" s="968">
        <f t="shared" si="285"/>
        <v>0</v>
      </c>
      <c r="N394" s="968">
        <f t="shared" si="285"/>
        <v>0</v>
      </c>
      <c r="O394" s="968">
        <f t="shared" si="285"/>
        <v>0</v>
      </c>
      <c r="P394" s="968">
        <f t="shared" si="285"/>
        <v>0</v>
      </c>
      <c r="Q394" s="968">
        <f t="shared" si="285"/>
        <v>0</v>
      </c>
      <c r="R394" s="968">
        <f t="shared" si="285"/>
        <v>0</v>
      </c>
      <c r="S394" s="968">
        <f t="shared" si="285"/>
        <v>0</v>
      </c>
      <c r="T394" s="968">
        <f t="shared" si="285"/>
        <v>0</v>
      </c>
      <c r="U394" s="968">
        <f t="shared" si="285"/>
        <v>0</v>
      </c>
      <c r="V394" s="968">
        <f t="shared" si="285"/>
        <v>0</v>
      </c>
      <c r="W394" s="968">
        <f t="shared" si="285"/>
        <v>0</v>
      </c>
      <c r="X394" s="968">
        <f t="shared" si="285"/>
        <v>0</v>
      </c>
      <c r="Y394" s="968">
        <f t="shared" si="285"/>
        <v>0</v>
      </c>
      <c r="Z394" s="968">
        <f t="shared" si="285"/>
        <v>0</v>
      </c>
      <c r="AA394" s="968">
        <f t="shared" si="285"/>
        <v>0</v>
      </c>
      <c r="AB394" s="968">
        <f t="shared" si="285"/>
        <v>0</v>
      </c>
      <c r="AC394" s="968">
        <f t="shared" si="285"/>
        <v>0</v>
      </c>
      <c r="AD394" s="968">
        <f t="shared" si="285"/>
        <v>0</v>
      </c>
      <c r="AE394" s="968">
        <f t="shared" si="285"/>
        <v>0</v>
      </c>
      <c r="AF394" s="968">
        <f t="shared" si="285"/>
        <v>0</v>
      </c>
      <c r="AG394" s="968">
        <f t="shared" si="285"/>
        <v>0</v>
      </c>
      <c r="AH394" s="968">
        <f t="shared" si="285"/>
        <v>0</v>
      </c>
      <c r="AI394" s="968">
        <f t="shared" si="285"/>
        <v>0</v>
      </c>
      <c r="AJ394" s="968">
        <f t="shared" si="285"/>
        <v>0</v>
      </c>
      <c r="AK394" s="968">
        <f t="shared" si="285"/>
        <v>0</v>
      </c>
      <c r="AL394" s="968">
        <f t="shared" si="285"/>
        <v>0</v>
      </c>
      <c r="AM394" s="968">
        <f t="shared" si="285"/>
        <v>0</v>
      </c>
      <c r="AN394" s="968">
        <f t="shared" si="285"/>
        <v>0</v>
      </c>
      <c r="AO394" s="968">
        <f t="shared" si="285"/>
        <v>44024769.543882027</v>
      </c>
      <c r="AP394" s="968">
        <f t="shared" si="285"/>
        <v>41089784.907623224</v>
      </c>
      <c r="AQ394" s="968">
        <f t="shared" si="285"/>
        <v>38154800.271364421</v>
      </c>
      <c r="AR394" s="968">
        <f t="shared" si="285"/>
        <v>35219815.635105617</v>
      </c>
      <c r="AS394" s="968">
        <f t="shared" si="285"/>
        <v>32284830.998846814</v>
      </c>
      <c r="AT394" s="968">
        <f t="shared" si="285"/>
        <v>29349846.362588011</v>
      </c>
    </row>
    <row r="395" spans="2:46" x14ac:dyDescent="0.25">
      <c r="B395" s="845" t="s">
        <v>441</v>
      </c>
      <c r="C395" s="824">
        <v>0</v>
      </c>
      <c r="D395" s="824">
        <v>0</v>
      </c>
      <c r="E395" s="824">
        <v>0</v>
      </c>
      <c r="F395" s="824">
        <v>0</v>
      </c>
      <c r="G395" s="824">
        <f>SUM(G381:G385)+G387+G389+G391+G393</f>
        <v>-4476318.6173797483</v>
      </c>
      <c r="H395" s="824">
        <f t="shared" ref="H395:AT395" si="286">SUM(H381:H385)+H387+H389+H391+H393</f>
        <v>-4476318.6173797483</v>
      </c>
      <c r="I395" s="824">
        <f t="shared" si="286"/>
        <v>-4476318.6173797483</v>
      </c>
      <c r="J395" s="824">
        <f t="shared" si="286"/>
        <v>-4476318.6173797483</v>
      </c>
      <c r="K395" s="824">
        <f t="shared" si="286"/>
        <v>-4476318.6173797483</v>
      </c>
      <c r="L395" s="824">
        <f t="shared" si="286"/>
        <v>-4226566.6672863076</v>
      </c>
      <c r="M395" s="824">
        <f t="shared" si="286"/>
        <v>-4226566.6672863076</v>
      </c>
      <c r="N395" s="824">
        <f t="shared" si="286"/>
        <v>-4226566.6672863076</v>
      </c>
      <c r="O395" s="824">
        <f t="shared" si="286"/>
        <v>-4226566.6672863076</v>
      </c>
      <c r="P395" s="824">
        <f t="shared" si="286"/>
        <v>-4226566.6672863076</v>
      </c>
      <c r="Q395" s="824">
        <f t="shared" si="286"/>
        <v>-3636188.9104059879</v>
      </c>
      <c r="R395" s="824">
        <f t="shared" si="286"/>
        <v>-4364578.243786227</v>
      </c>
      <c r="S395" s="824">
        <f t="shared" si="286"/>
        <v>-4364578.243786227</v>
      </c>
      <c r="T395" s="824">
        <f t="shared" si="286"/>
        <v>-4364578.243786227</v>
      </c>
      <c r="U395" s="824">
        <f t="shared" si="286"/>
        <v>-4364578.243786227</v>
      </c>
      <c r="V395" s="824">
        <f t="shared" si="286"/>
        <v>-3330617.415194436</v>
      </c>
      <c r="W395" s="824">
        <f t="shared" si="286"/>
        <v>-3330617.415194436</v>
      </c>
      <c r="X395" s="824">
        <f t="shared" si="286"/>
        <v>-4784057.9763839645</v>
      </c>
      <c r="Y395" s="824">
        <f t="shared" si="286"/>
        <v>-4784057.9763839645</v>
      </c>
      <c r="Z395" s="824">
        <f t="shared" si="286"/>
        <v>-4784057.9763839645</v>
      </c>
      <c r="AA395" s="824">
        <f t="shared" si="286"/>
        <v>-4784057.9763839645</v>
      </c>
      <c r="AB395" s="824">
        <f t="shared" si="286"/>
        <v>-4784057.9763839645</v>
      </c>
      <c r="AC395" s="824">
        <f t="shared" si="286"/>
        <v>-4959508.4970497834</v>
      </c>
      <c r="AD395" s="824">
        <f t="shared" si="286"/>
        <v>-4959508.4970497834</v>
      </c>
      <c r="AE395" s="824">
        <f t="shared" si="286"/>
        <v>-4959508.4970497834</v>
      </c>
      <c r="AF395" s="824">
        <f t="shared" si="286"/>
        <v>-4959508.4970497834</v>
      </c>
      <c r="AG395" s="824">
        <f t="shared" si="286"/>
        <v>-4959508.4970497834</v>
      </c>
      <c r="AH395" s="824">
        <f t="shared" si="286"/>
        <v>-4959508.4970497834</v>
      </c>
      <c r="AI395" s="824">
        <f t="shared" si="286"/>
        <v>-4959508.4970497834</v>
      </c>
      <c r="AJ395" s="824">
        <f t="shared" si="286"/>
        <v>-4959508.4970497834</v>
      </c>
      <c r="AK395" s="824">
        <f t="shared" si="286"/>
        <v>-4959508.4970497834</v>
      </c>
      <c r="AL395" s="824">
        <f t="shared" si="286"/>
        <v>-4959508.4970497834</v>
      </c>
      <c r="AM395" s="824">
        <f t="shared" si="286"/>
        <v>-3506067.9358602548</v>
      </c>
      <c r="AN395" s="824">
        <f t="shared" si="286"/>
        <v>-2602228.0818141969</v>
      </c>
      <c r="AO395" s="824">
        <f t="shared" si="286"/>
        <v>-5537212.7180729993</v>
      </c>
      <c r="AP395" s="824">
        <f t="shared" si="286"/>
        <v>-5537212.7180729993</v>
      </c>
      <c r="AQ395" s="824">
        <f t="shared" si="286"/>
        <v>-5537212.7180729993</v>
      </c>
      <c r="AR395" s="824">
        <f t="shared" si="286"/>
        <v>-5537212.7180729993</v>
      </c>
      <c r="AS395" s="824">
        <f t="shared" si="286"/>
        <v>-5537212.7180729993</v>
      </c>
      <c r="AT395" s="824">
        <f t="shared" si="286"/>
        <v>-5537212.7180729993</v>
      </c>
    </row>
    <row r="396" spans="2:46" x14ac:dyDescent="0.25">
      <c r="B396" s="833" t="s">
        <v>435</v>
      </c>
      <c r="C396" s="824">
        <f>C386+C390+C394</f>
        <v>0</v>
      </c>
      <c r="D396" s="824">
        <f t="shared" ref="D396:F396" si="287">D386+D390+D394</f>
        <v>0</v>
      </c>
      <c r="E396" s="824">
        <f t="shared" si="287"/>
        <v>0</v>
      </c>
      <c r="F396" s="824">
        <f t="shared" si="287"/>
        <v>0</v>
      </c>
      <c r="G396" s="824">
        <f>G386+G388+G390+G392+G394</f>
        <v>151074474.56595954</v>
      </c>
      <c r="H396" s="824">
        <f t="shared" ref="H396:AT396" si="288">H386+H388+H390+H392+H394</f>
        <v>146598155.94857979</v>
      </c>
      <c r="I396" s="824">
        <f t="shared" si="288"/>
        <v>142121837.33120003</v>
      </c>
      <c r="J396" s="824">
        <f t="shared" si="288"/>
        <v>137645518.71382028</v>
      </c>
      <c r="K396" s="824">
        <f t="shared" si="288"/>
        <v>133169200.09644052</v>
      </c>
      <c r="L396" s="824">
        <f t="shared" si="288"/>
        <v>128942633.42915422</v>
      </c>
      <c r="M396" s="824">
        <f t="shared" si="288"/>
        <v>124716066.76186791</v>
      </c>
      <c r="N396" s="824">
        <f t="shared" si="288"/>
        <v>120489500.0945816</v>
      </c>
      <c r="O396" s="824">
        <f t="shared" si="288"/>
        <v>116262933.4272953</v>
      </c>
      <c r="P396" s="824">
        <f t="shared" si="288"/>
        <v>112036366.76000899</v>
      </c>
      <c r="Q396" s="824">
        <f t="shared" si="288"/>
        <v>108400177.849603</v>
      </c>
      <c r="R396" s="824">
        <f t="shared" si="288"/>
        <v>112047882.27299939</v>
      </c>
      <c r="S396" s="824">
        <f t="shared" si="288"/>
        <v>107683304.02921316</v>
      </c>
      <c r="T396" s="824">
        <f t="shared" si="288"/>
        <v>103318725.78542693</v>
      </c>
      <c r="U396" s="824">
        <f t="shared" si="288"/>
        <v>98954147.541640699</v>
      </c>
      <c r="V396" s="824">
        <f t="shared" si="288"/>
        <v>95623530.126446262</v>
      </c>
      <c r="W396" s="824">
        <f t="shared" si="288"/>
        <v>92292912.711251825</v>
      </c>
      <c r="X396" s="824">
        <f t="shared" si="288"/>
        <v>109310463.15271077</v>
      </c>
      <c r="Y396" s="824">
        <f t="shared" si="288"/>
        <v>104526405.17632681</v>
      </c>
      <c r="Z396" s="824">
        <f t="shared" si="288"/>
        <v>99742347.199942842</v>
      </c>
      <c r="AA396" s="824">
        <f t="shared" si="288"/>
        <v>94958289.223558873</v>
      </c>
      <c r="AB396" s="824">
        <f t="shared" si="288"/>
        <v>90174231.247174919</v>
      </c>
      <c r="AC396" s="824">
        <f t="shared" si="288"/>
        <v>95156961.144631773</v>
      </c>
      <c r="AD396" s="824">
        <f t="shared" si="288"/>
        <v>90197452.64758198</v>
      </c>
      <c r="AE396" s="824">
        <f t="shared" si="288"/>
        <v>85237944.150532186</v>
      </c>
      <c r="AF396" s="824">
        <f t="shared" si="288"/>
        <v>80278435.653482392</v>
      </c>
      <c r="AG396" s="824">
        <f t="shared" si="288"/>
        <v>75318927.156432629</v>
      </c>
      <c r="AH396" s="824">
        <f t="shared" si="288"/>
        <v>70359418.659382835</v>
      </c>
      <c r="AI396" s="824">
        <f t="shared" si="288"/>
        <v>65399910.162333041</v>
      </c>
      <c r="AJ396" s="824">
        <f t="shared" si="288"/>
        <v>60440401.665283263</v>
      </c>
      <c r="AK396" s="824">
        <f t="shared" si="288"/>
        <v>55480893.168233477</v>
      </c>
      <c r="AL396" s="824">
        <f t="shared" si="288"/>
        <v>50521384.67118369</v>
      </c>
      <c r="AM396" s="824">
        <f t="shared" si="288"/>
        <v>47015316.735323429</v>
      </c>
      <c r="AN396" s="824">
        <f t="shared" si="288"/>
        <v>44413088.653509229</v>
      </c>
      <c r="AO396" s="824">
        <f t="shared" si="288"/>
        <v>85835630.115577057</v>
      </c>
      <c r="AP396" s="824">
        <f t="shared" si="288"/>
        <v>80298417.397504061</v>
      </c>
      <c r="AQ396" s="824">
        <f t="shared" si="288"/>
        <v>74761204.679431051</v>
      </c>
      <c r="AR396" s="824">
        <f t="shared" si="288"/>
        <v>69223991.961358041</v>
      </c>
      <c r="AS396" s="824">
        <f t="shared" si="288"/>
        <v>63686779.243285045</v>
      </c>
      <c r="AT396" s="824">
        <f t="shared" si="288"/>
        <v>58149566.525212049</v>
      </c>
    </row>
    <row r="397" spans="2:46" x14ac:dyDescent="0.25">
      <c r="B397" s="481"/>
      <c r="C397" s="382"/>
      <c r="D397" s="382"/>
      <c r="E397" s="382"/>
      <c r="F397" s="382"/>
      <c r="G397" s="382"/>
      <c r="H397" s="382"/>
      <c r="I397" s="382"/>
      <c r="J397" s="382"/>
      <c r="K397" s="382"/>
      <c r="L397" s="382"/>
      <c r="M397" s="382"/>
      <c r="N397" s="382"/>
      <c r="O397" s="382"/>
      <c r="P397" s="382"/>
      <c r="Q397" s="382"/>
      <c r="R397" s="382"/>
      <c r="S397" s="382"/>
      <c r="T397" s="382"/>
      <c r="U397" s="382"/>
      <c r="V397" s="382"/>
      <c r="W397" s="382"/>
      <c r="X397" s="382"/>
      <c r="Y397" s="382"/>
      <c r="Z397" s="382"/>
      <c r="AA397" s="382"/>
      <c r="AB397" s="382"/>
      <c r="AC397" s="382"/>
      <c r="AD397" s="382"/>
      <c r="AE397" s="382"/>
      <c r="AF397" s="382"/>
      <c r="AG397" s="382"/>
      <c r="AH397" s="382"/>
      <c r="AI397" s="382"/>
      <c r="AJ397" s="382"/>
      <c r="AK397" s="382"/>
      <c r="AL397" s="382"/>
      <c r="AM397" s="382"/>
      <c r="AN397" s="382"/>
      <c r="AO397" s="382"/>
      <c r="AP397" s="382"/>
      <c r="AQ397" s="382"/>
      <c r="AR397" s="382"/>
      <c r="AS397" s="382"/>
      <c r="AT397" s="382"/>
    </row>
    <row r="398" spans="2:46" ht="13.8" thickBot="1" x14ac:dyDescent="0.3">
      <c r="B398" s="834"/>
      <c r="C398" s="178"/>
      <c r="D398" s="178"/>
      <c r="E398" s="178"/>
      <c r="F398" s="178"/>
      <c r="G398" s="178"/>
      <c r="H398" s="178"/>
      <c r="I398" s="178"/>
      <c r="J398" s="178"/>
      <c r="K398" s="178"/>
      <c r="L398" s="178"/>
      <c r="M398" s="178"/>
      <c r="N398" s="178"/>
      <c r="O398" s="178"/>
      <c r="P398" s="178"/>
      <c r="Q398" s="178"/>
      <c r="R398" s="178"/>
      <c r="S398" s="178"/>
      <c r="T398" s="178"/>
      <c r="U398" s="178"/>
      <c r="V398" s="178"/>
      <c r="W398" s="178"/>
      <c r="X398" s="178"/>
      <c r="Y398" s="178"/>
      <c r="Z398" s="178"/>
      <c r="AA398" s="178"/>
      <c r="AB398" s="178"/>
      <c r="AC398" s="178"/>
      <c r="AD398" s="178"/>
      <c r="AE398" s="178"/>
      <c r="AF398" s="178"/>
      <c r="AG398" s="178"/>
      <c r="AH398" s="178"/>
      <c r="AI398" s="178"/>
      <c r="AJ398" s="178"/>
      <c r="AK398" s="178"/>
      <c r="AL398" s="178"/>
      <c r="AM398" s="178"/>
      <c r="AN398" s="178"/>
      <c r="AO398" s="178"/>
      <c r="AP398" s="178"/>
      <c r="AQ398" s="178"/>
      <c r="AR398" s="178"/>
      <c r="AS398" s="178"/>
      <c r="AT398" s="178"/>
    </row>
    <row r="399" spans="2:46" ht="14.4" x14ac:dyDescent="0.25">
      <c r="B399" s="835" t="s">
        <v>390</v>
      </c>
      <c r="C399" s="818"/>
      <c r="D399" s="818"/>
      <c r="E399" s="818"/>
      <c r="F399" s="818"/>
      <c r="G399" s="818"/>
      <c r="H399" s="818"/>
      <c r="I399" s="818"/>
      <c r="J399" s="818"/>
      <c r="K399" s="818"/>
      <c r="L399" s="818"/>
      <c r="M399" s="818"/>
      <c r="N399" s="818"/>
      <c r="O399" s="818"/>
      <c r="P399" s="818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  <c r="AA399" s="818"/>
      <c r="AB399" s="818"/>
      <c r="AC399" s="818"/>
      <c r="AD399" s="818"/>
      <c r="AE399" s="818"/>
      <c r="AF399" s="818"/>
      <c r="AG399" s="818"/>
      <c r="AH399" s="818"/>
      <c r="AI399" s="818"/>
      <c r="AJ399" s="818"/>
      <c r="AK399" s="818"/>
      <c r="AL399" s="818"/>
      <c r="AM399" s="818"/>
      <c r="AN399" s="818"/>
      <c r="AO399" s="818"/>
      <c r="AP399" s="818"/>
      <c r="AQ399" s="818"/>
      <c r="AR399" s="818"/>
      <c r="AS399" s="818"/>
      <c r="AT399" s="819"/>
    </row>
    <row r="400" spans="2:46" x14ac:dyDescent="0.25">
      <c r="B400" s="836" t="s">
        <v>391</v>
      </c>
      <c r="C400" s="268">
        <v>0</v>
      </c>
      <c r="D400" s="268">
        <v>0</v>
      </c>
      <c r="E400" s="268">
        <v>0</v>
      </c>
      <c r="F400" s="268">
        <v>0</v>
      </c>
      <c r="G400" s="268">
        <f>-G376</f>
        <v>-4318236.9614306372</v>
      </c>
      <c r="H400" s="268">
        <f t="shared" ref="H400:AT400" si="289">-H376</f>
        <v>-4432937.8249451816</v>
      </c>
      <c r="I400" s="268">
        <f t="shared" si="289"/>
        <v>-4536875.1815609755</v>
      </c>
      <c r="J400" s="268">
        <f t="shared" si="289"/>
        <v>-4643311.9130354663</v>
      </c>
      <c r="K400" s="268">
        <f t="shared" si="289"/>
        <v>-11617904.705841476</v>
      </c>
      <c r="L400" s="268">
        <f t="shared" si="289"/>
        <v>-4863931.4676566217</v>
      </c>
      <c r="M400" s="268">
        <f t="shared" si="289"/>
        <v>-4978242.2002252238</v>
      </c>
      <c r="N400" s="268">
        <f t="shared" si="289"/>
        <v>-5095308.2077043382</v>
      </c>
      <c r="O400" s="268">
        <f t="shared" si="289"/>
        <v>-5215197.5552692544</v>
      </c>
      <c r="P400" s="268">
        <f t="shared" si="289"/>
        <v>-12881550.570299722</v>
      </c>
      <c r="Q400" s="268">
        <f t="shared" si="289"/>
        <v>-5463727.1811422799</v>
      </c>
      <c r="R400" s="268">
        <f t="shared" si="289"/>
        <v>-5592512.3741521444</v>
      </c>
      <c r="S400" s="268">
        <f t="shared" si="289"/>
        <v>-5724410.8291271329</v>
      </c>
      <c r="T400" s="268">
        <f t="shared" si="289"/>
        <v>-5859499.6730848122</v>
      </c>
      <c r="U400" s="268">
        <f t="shared" si="289"/>
        <v>-14286356.439628357</v>
      </c>
      <c r="V400" s="268">
        <f t="shared" si="289"/>
        <v>-6139566.8637729799</v>
      </c>
      <c r="W400" s="268">
        <f t="shared" si="289"/>
        <v>-6284709.445565287</v>
      </c>
      <c r="X400" s="268">
        <f t="shared" si="289"/>
        <v>-6433370.9918016</v>
      </c>
      <c r="Y400" s="268">
        <f t="shared" si="289"/>
        <v>-6585638.926612027</v>
      </c>
      <c r="Z400" s="268">
        <f t="shared" si="289"/>
        <v>-15848593.767328328</v>
      </c>
      <c r="AA400" s="268">
        <f t="shared" si="289"/>
        <v>-6901354.8280941052</v>
      </c>
      <c r="AB400" s="268">
        <f t="shared" si="289"/>
        <v>-7064988.9872727636</v>
      </c>
      <c r="AC400" s="268">
        <f t="shared" si="289"/>
        <v>-7232602.0400624331</v>
      </c>
      <c r="AD400" s="268">
        <f t="shared" si="289"/>
        <v>-7404293.1149919936</v>
      </c>
      <c r="AE400" s="268">
        <f t="shared" si="289"/>
        <v>-17586476.742962986</v>
      </c>
      <c r="AF400" s="268">
        <f t="shared" si="289"/>
        <v>-7760318.5440044012</v>
      </c>
      <c r="AG400" s="268">
        <f t="shared" si="289"/>
        <v>-7944864.0527799763</v>
      </c>
      <c r="AH400" s="268">
        <f t="shared" si="289"/>
        <v>-8133910.0298752068</v>
      </c>
      <c r="AI400" s="268">
        <f t="shared" si="289"/>
        <v>-8327568.9119321909</v>
      </c>
      <c r="AJ400" s="268">
        <f t="shared" si="289"/>
        <v>-19520403.065015338</v>
      </c>
      <c r="AK400" s="268">
        <f t="shared" si="289"/>
        <v>-8729189.5788463596</v>
      </c>
      <c r="AL400" s="268">
        <f t="shared" si="289"/>
        <v>-8937390.9052098654</v>
      </c>
      <c r="AM400" s="268">
        <f t="shared" si="289"/>
        <v>-9150684.3755010031</v>
      </c>
      <c r="AN400" s="268">
        <f t="shared" si="289"/>
        <v>-9369197.5625528172</v>
      </c>
      <c r="AO400" s="268">
        <f t="shared" si="289"/>
        <v>-21673225.690419316</v>
      </c>
      <c r="AP400" s="268">
        <f t="shared" si="289"/>
        <v>-9822409.8065093718</v>
      </c>
      <c r="AQ400" s="268">
        <f t="shared" si="289"/>
        <v>-10057380.696025331</v>
      </c>
      <c r="AR400" s="268">
        <f t="shared" si="289"/>
        <v>-10298115.14536953</v>
      </c>
      <c r="AS400" s="268">
        <f t="shared" si="289"/>
        <v>-10544757.947980508</v>
      </c>
      <c r="AT400" s="799">
        <f t="shared" si="289"/>
        <v>-24070559.689610455</v>
      </c>
    </row>
    <row r="401" spans="2:46" ht="15" thickBot="1" x14ac:dyDescent="0.3">
      <c r="B401" s="842" t="s">
        <v>389</v>
      </c>
      <c r="C401" s="820"/>
      <c r="D401" s="820"/>
      <c r="E401" s="820"/>
      <c r="F401" s="820"/>
      <c r="G401" s="820">
        <f>G400</f>
        <v>-4318236.9614306372</v>
      </c>
      <c r="H401" s="820">
        <f t="shared" ref="H401:AT401" si="290">H400</f>
        <v>-4432937.8249451816</v>
      </c>
      <c r="I401" s="820">
        <f t="shared" si="290"/>
        <v>-4536875.1815609755</v>
      </c>
      <c r="J401" s="820">
        <f t="shared" si="290"/>
        <v>-4643311.9130354663</v>
      </c>
      <c r="K401" s="820">
        <f t="shared" si="290"/>
        <v>-11617904.705841476</v>
      </c>
      <c r="L401" s="820">
        <f t="shared" si="290"/>
        <v>-4863931.4676566217</v>
      </c>
      <c r="M401" s="820">
        <f t="shared" si="290"/>
        <v>-4978242.2002252238</v>
      </c>
      <c r="N401" s="820">
        <f t="shared" si="290"/>
        <v>-5095308.2077043382</v>
      </c>
      <c r="O401" s="820">
        <f t="shared" si="290"/>
        <v>-5215197.5552692544</v>
      </c>
      <c r="P401" s="820">
        <f t="shared" si="290"/>
        <v>-12881550.570299722</v>
      </c>
      <c r="Q401" s="820">
        <f t="shared" si="290"/>
        <v>-5463727.1811422799</v>
      </c>
      <c r="R401" s="820">
        <f t="shared" si="290"/>
        <v>-5592512.3741521444</v>
      </c>
      <c r="S401" s="820">
        <f t="shared" si="290"/>
        <v>-5724410.8291271329</v>
      </c>
      <c r="T401" s="820">
        <f t="shared" si="290"/>
        <v>-5859499.6730848122</v>
      </c>
      <c r="U401" s="820">
        <f t="shared" si="290"/>
        <v>-14286356.439628357</v>
      </c>
      <c r="V401" s="820">
        <f t="shared" si="290"/>
        <v>-6139566.8637729799</v>
      </c>
      <c r="W401" s="820">
        <f t="shared" si="290"/>
        <v>-6284709.445565287</v>
      </c>
      <c r="X401" s="820">
        <f t="shared" si="290"/>
        <v>-6433370.9918016</v>
      </c>
      <c r="Y401" s="820">
        <f t="shared" si="290"/>
        <v>-6585638.926612027</v>
      </c>
      <c r="Z401" s="820">
        <f t="shared" si="290"/>
        <v>-15848593.767328328</v>
      </c>
      <c r="AA401" s="820">
        <f t="shared" si="290"/>
        <v>-6901354.8280941052</v>
      </c>
      <c r="AB401" s="820">
        <f t="shared" si="290"/>
        <v>-7064988.9872727636</v>
      </c>
      <c r="AC401" s="820">
        <f t="shared" si="290"/>
        <v>-7232602.0400624331</v>
      </c>
      <c r="AD401" s="820">
        <f t="shared" si="290"/>
        <v>-7404293.1149919936</v>
      </c>
      <c r="AE401" s="820">
        <f t="shared" si="290"/>
        <v>-17586476.742962986</v>
      </c>
      <c r="AF401" s="820">
        <f t="shared" si="290"/>
        <v>-7760318.5440044012</v>
      </c>
      <c r="AG401" s="820">
        <f t="shared" si="290"/>
        <v>-7944864.0527799763</v>
      </c>
      <c r="AH401" s="820">
        <f t="shared" si="290"/>
        <v>-8133910.0298752068</v>
      </c>
      <c r="AI401" s="820">
        <f t="shared" si="290"/>
        <v>-8327568.9119321909</v>
      </c>
      <c r="AJ401" s="820">
        <f t="shared" si="290"/>
        <v>-19520403.065015338</v>
      </c>
      <c r="AK401" s="820">
        <f t="shared" si="290"/>
        <v>-8729189.5788463596</v>
      </c>
      <c r="AL401" s="820">
        <f t="shared" si="290"/>
        <v>-8937390.9052098654</v>
      </c>
      <c r="AM401" s="820">
        <f t="shared" si="290"/>
        <v>-9150684.3755010031</v>
      </c>
      <c r="AN401" s="820">
        <f t="shared" si="290"/>
        <v>-9369197.5625528172</v>
      </c>
      <c r="AO401" s="820">
        <f t="shared" si="290"/>
        <v>-21673225.690419316</v>
      </c>
      <c r="AP401" s="820">
        <f t="shared" si="290"/>
        <v>-9822409.8065093718</v>
      </c>
      <c r="AQ401" s="820">
        <f t="shared" si="290"/>
        <v>-10057380.696025331</v>
      </c>
      <c r="AR401" s="820">
        <f t="shared" si="290"/>
        <v>-10298115.14536953</v>
      </c>
      <c r="AS401" s="820">
        <f t="shared" si="290"/>
        <v>-10544757.947980508</v>
      </c>
      <c r="AT401" s="821">
        <f t="shared" si="290"/>
        <v>-24070559.689610455</v>
      </c>
    </row>
    <row r="402" spans="2:46" ht="15" thickBot="1" x14ac:dyDescent="0.3">
      <c r="B402" s="837"/>
      <c r="C402" s="824"/>
      <c r="D402" s="824"/>
      <c r="E402" s="824"/>
      <c r="F402" s="824"/>
      <c r="G402" s="824"/>
      <c r="H402" s="824"/>
      <c r="I402" s="824"/>
      <c r="J402" s="824"/>
      <c r="K402" s="824"/>
      <c r="L402" s="824"/>
      <c r="M402" s="824"/>
      <c r="N402" s="824"/>
      <c r="O402" s="824"/>
      <c r="P402" s="824"/>
      <c r="Q402" s="824"/>
      <c r="R402" s="824"/>
      <c r="S402" s="824"/>
      <c r="T402" s="824"/>
      <c r="U402" s="824"/>
      <c r="V402" s="824"/>
      <c r="W402" s="824"/>
      <c r="X402" s="824"/>
      <c r="Y402" s="824"/>
      <c r="Z402" s="824"/>
      <c r="AA402" s="824"/>
      <c r="AB402" s="824"/>
      <c r="AC402" s="824"/>
      <c r="AD402" s="824"/>
      <c r="AE402" s="824"/>
      <c r="AF402" s="824"/>
      <c r="AG402" s="824"/>
      <c r="AH402" s="824"/>
      <c r="AI402" s="824"/>
      <c r="AJ402" s="824"/>
      <c r="AK402" s="824"/>
      <c r="AL402" s="824"/>
      <c r="AM402" s="824"/>
      <c r="AN402" s="824"/>
      <c r="AO402" s="824"/>
      <c r="AP402" s="824"/>
      <c r="AQ402" s="824"/>
      <c r="AR402" s="824"/>
      <c r="AS402" s="824"/>
      <c r="AT402" s="824"/>
    </row>
    <row r="403" spans="2:46" ht="14.4" x14ac:dyDescent="0.25">
      <c r="B403" s="835" t="s">
        <v>392</v>
      </c>
      <c r="C403" s="818"/>
      <c r="D403" s="818"/>
      <c r="E403" s="818"/>
      <c r="F403" s="818"/>
      <c r="G403" s="818"/>
      <c r="H403" s="818"/>
      <c r="I403" s="818"/>
      <c r="J403" s="818"/>
      <c r="K403" s="818"/>
      <c r="L403" s="818"/>
      <c r="M403" s="818"/>
      <c r="N403" s="818"/>
      <c r="O403" s="818"/>
      <c r="P403" s="818"/>
      <c r="Q403" s="818"/>
      <c r="R403" s="818"/>
      <c r="S403" s="818"/>
      <c r="T403" s="818"/>
      <c r="U403" s="818"/>
      <c r="V403" s="818"/>
      <c r="W403" s="818"/>
      <c r="X403" s="818"/>
      <c r="Y403" s="818"/>
      <c r="Z403" s="818"/>
      <c r="AA403" s="818"/>
      <c r="AB403" s="818"/>
      <c r="AC403" s="818"/>
      <c r="AD403" s="818"/>
      <c r="AE403" s="818"/>
      <c r="AF403" s="818"/>
      <c r="AG403" s="818"/>
      <c r="AH403" s="818"/>
      <c r="AI403" s="818"/>
      <c r="AJ403" s="818"/>
      <c r="AK403" s="818"/>
      <c r="AL403" s="818"/>
      <c r="AM403" s="818"/>
      <c r="AN403" s="818"/>
      <c r="AO403" s="818"/>
      <c r="AP403" s="818"/>
      <c r="AQ403" s="818"/>
      <c r="AR403" s="818"/>
      <c r="AS403" s="818"/>
      <c r="AT403" s="819"/>
    </row>
    <row r="404" spans="2:46" x14ac:dyDescent="0.25">
      <c r="B404" s="836" t="s">
        <v>393</v>
      </c>
      <c r="C404" s="268">
        <v>0</v>
      </c>
      <c r="D404" s="268">
        <v>0</v>
      </c>
      <c r="E404" s="268">
        <v>0</v>
      </c>
      <c r="F404" s="268">
        <v>0</v>
      </c>
      <c r="G404" s="178">
        <f t="shared" ref="G404:AT404" si="291">G378</f>
        <v>6581617.3500000006</v>
      </c>
      <c r="H404" s="178">
        <f t="shared" si="291"/>
        <v>8775489.8000000007</v>
      </c>
      <c r="I404" s="178">
        <f t="shared" si="291"/>
        <v>9271937.4801899996</v>
      </c>
      <c r="J404" s="178">
        <f t="shared" si="291"/>
        <v>9369100.3744799979</v>
      </c>
      <c r="K404" s="178">
        <f t="shared" si="291"/>
        <v>9848700.3048283067</v>
      </c>
      <c r="L404" s="178">
        <f t="shared" si="291"/>
        <v>9949788.5800476242</v>
      </c>
      <c r="M404" s="178">
        <f t="shared" si="291"/>
        <v>10456932.280219726</v>
      </c>
      <c r="N404" s="178">
        <f t="shared" si="291"/>
        <v>10509041.51577254</v>
      </c>
      <c r="O404" s="178">
        <f t="shared" si="291"/>
        <v>10987821.241678899</v>
      </c>
      <c r="P404" s="178">
        <f t="shared" si="291"/>
        <v>11042035.69034805</v>
      </c>
      <c r="Q404" s="178">
        <f t="shared" si="291"/>
        <v>11544538.644633492</v>
      </c>
      <c r="R404" s="178">
        <f t="shared" si="291"/>
        <v>11600943.357028881</v>
      </c>
      <c r="S404" s="178">
        <f t="shared" si="291"/>
        <v>12072760.998770945</v>
      </c>
      <c r="T404" s="178">
        <f t="shared" si="291"/>
        <v>12075900.528889041</v>
      </c>
      <c r="U404" s="178">
        <f t="shared" si="291"/>
        <v>12567033.277391024</v>
      </c>
      <c r="V404" s="178">
        <f t="shared" si="291"/>
        <v>12570299.644525893</v>
      </c>
      <c r="W404" s="178">
        <f t="shared" si="291"/>
        <v>13081538.078531852</v>
      </c>
      <c r="X404" s="178">
        <f t="shared" si="291"/>
        <v>13178586.923607837</v>
      </c>
      <c r="Y404" s="178">
        <f t="shared" si="291"/>
        <v>13811971.453738654</v>
      </c>
      <c r="Z404" s="178">
        <f t="shared" si="291"/>
        <v>13912941.07215571</v>
      </c>
      <c r="AA404" s="178">
        <f t="shared" si="291"/>
        <v>14580072.682471901</v>
      </c>
      <c r="AB404" s="178">
        <f t="shared" si="291"/>
        <v>14685121.473473005</v>
      </c>
      <c r="AC404" s="178">
        <f t="shared" si="291"/>
        <v>15278400.381001314</v>
      </c>
      <c r="AD404" s="178">
        <f t="shared" si="291"/>
        <v>15278400.381001314</v>
      </c>
      <c r="AE404" s="178">
        <f t="shared" si="291"/>
        <v>15895647.756393766</v>
      </c>
      <c r="AF404" s="178">
        <f t="shared" si="291"/>
        <v>15895647.756393766</v>
      </c>
      <c r="AG404" s="178">
        <f t="shared" si="291"/>
        <v>16537831.925752074</v>
      </c>
      <c r="AH404" s="178">
        <f t="shared" si="291"/>
        <v>16537831.925752074</v>
      </c>
      <c r="AI404" s="178">
        <f t="shared" si="291"/>
        <v>17205960.335552454</v>
      </c>
      <c r="AJ404" s="178">
        <f t="shared" si="291"/>
        <v>17205960.335552454</v>
      </c>
      <c r="AK404" s="178">
        <f t="shared" si="291"/>
        <v>17901081.133108776</v>
      </c>
      <c r="AL404" s="178">
        <f t="shared" si="291"/>
        <v>17901081.133108776</v>
      </c>
      <c r="AM404" s="178">
        <f t="shared" si="291"/>
        <v>18624284.810886368</v>
      </c>
      <c r="AN404" s="178">
        <f t="shared" si="291"/>
        <v>18624284.810886368</v>
      </c>
      <c r="AO404" s="178">
        <f t="shared" si="291"/>
        <v>19376705.917246182</v>
      </c>
      <c r="AP404" s="178">
        <f t="shared" si="291"/>
        <v>19376705.917246182</v>
      </c>
      <c r="AQ404" s="178">
        <f t="shared" si="291"/>
        <v>20159524.836302929</v>
      </c>
      <c r="AR404" s="178">
        <f t="shared" si="291"/>
        <v>20159524.836302929</v>
      </c>
      <c r="AS404" s="178">
        <f t="shared" si="291"/>
        <v>20973969.639689565</v>
      </c>
      <c r="AT404" s="265">
        <f t="shared" si="291"/>
        <v>20973969.639689565</v>
      </c>
    </row>
    <row r="405" spans="2:46" x14ac:dyDescent="0.25">
      <c r="B405" s="836" t="s">
        <v>394</v>
      </c>
      <c r="C405" s="268">
        <v>0</v>
      </c>
      <c r="D405" s="268">
        <v>0</v>
      </c>
      <c r="E405" s="268">
        <v>0</v>
      </c>
      <c r="F405" s="268">
        <v>0</v>
      </c>
      <c r="G405" s="178">
        <f t="shared" ref="G405:AT405" si="292">G379</f>
        <v>420000</v>
      </c>
      <c r="H405" s="178">
        <f t="shared" si="292"/>
        <v>428400</v>
      </c>
      <c r="I405" s="178">
        <f t="shared" si="292"/>
        <v>436968</v>
      </c>
      <c r="J405" s="178">
        <f t="shared" si="292"/>
        <v>445707.36</v>
      </c>
      <c r="K405" s="178">
        <f t="shared" si="292"/>
        <v>454621.50719999999</v>
      </c>
      <c r="L405" s="178">
        <f t="shared" si="292"/>
        <v>463713.93734400003</v>
      </c>
      <c r="M405" s="178">
        <f t="shared" si="292"/>
        <v>472988.21609088004</v>
      </c>
      <c r="N405" s="178">
        <f t="shared" si="292"/>
        <v>482447.98041269754</v>
      </c>
      <c r="O405" s="178">
        <f t="shared" si="292"/>
        <v>492096.9400209515</v>
      </c>
      <c r="P405" s="178">
        <f t="shared" si="292"/>
        <v>501938.87882137054</v>
      </c>
      <c r="Q405" s="178">
        <f t="shared" si="292"/>
        <v>511977.65639779798</v>
      </c>
      <c r="R405" s="178">
        <f t="shared" si="292"/>
        <v>522217.20952575386</v>
      </c>
      <c r="S405" s="178">
        <f t="shared" si="292"/>
        <v>532661.55371626897</v>
      </c>
      <c r="T405" s="178">
        <f t="shared" si="292"/>
        <v>543314.78479059436</v>
      </c>
      <c r="U405" s="178">
        <f t="shared" si="292"/>
        <v>554181.08048640634</v>
      </c>
      <c r="V405" s="178">
        <f t="shared" si="292"/>
        <v>565264.70209613431</v>
      </c>
      <c r="W405" s="178">
        <f t="shared" si="292"/>
        <v>576569.99613805709</v>
      </c>
      <c r="X405" s="178">
        <f t="shared" si="292"/>
        <v>588101.39606081822</v>
      </c>
      <c r="Y405" s="178">
        <f t="shared" si="292"/>
        <v>599863.42398203455</v>
      </c>
      <c r="Z405" s="178">
        <f t="shared" si="292"/>
        <v>611860.69246167527</v>
      </c>
      <c r="AA405" s="178">
        <f t="shared" si="292"/>
        <v>624097.90631090873</v>
      </c>
      <c r="AB405" s="178">
        <f t="shared" si="292"/>
        <v>636579.8644371269</v>
      </c>
      <c r="AC405" s="178">
        <f t="shared" si="292"/>
        <v>649311.46172586945</v>
      </c>
      <c r="AD405" s="178">
        <f t="shared" si="292"/>
        <v>662297.69096038677</v>
      </c>
      <c r="AE405" s="178">
        <f t="shared" si="292"/>
        <v>675543.6447795945</v>
      </c>
      <c r="AF405" s="178">
        <f t="shared" si="292"/>
        <v>689054.51767518639</v>
      </c>
      <c r="AG405" s="178">
        <f t="shared" si="292"/>
        <v>702835.60802869021</v>
      </c>
      <c r="AH405" s="178">
        <f t="shared" si="292"/>
        <v>716892.3201892639</v>
      </c>
      <c r="AI405" s="178">
        <f t="shared" si="292"/>
        <v>731230.1665930493</v>
      </c>
      <c r="AJ405" s="178">
        <f t="shared" si="292"/>
        <v>745854.76992491016</v>
      </c>
      <c r="AK405" s="178">
        <f t="shared" si="292"/>
        <v>760771.86532340851</v>
      </c>
      <c r="AL405" s="178">
        <f t="shared" si="292"/>
        <v>775987.30262987642</v>
      </c>
      <c r="AM405" s="178">
        <f t="shared" si="292"/>
        <v>791507.04868247418</v>
      </c>
      <c r="AN405" s="178">
        <f t="shared" si="292"/>
        <v>807337.18965612364</v>
      </c>
      <c r="AO405" s="178">
        <f t="shared" si="292"/>
        <v>823483.93344924611</v>
      </c>
      <c r="AP405" s="178">
        <f t="shared" si="292"/>
        <v>839953.61211823102</v>
      </c>
      <c r="AQ405" s="178">
        <f t="shared" si="292"/>
        <v>856752.68436059554</v>
      </c>
      <c r="AR405" s="178">
        <f t="shared" si="292"/>
        <v>873887.73804780759</v>
      </c>
      <c r="AS405" s="178">
        <f t="shared" si="292"/>
        <v>891365.49280876387</v>
      </c>
      <c r="AT405" s="265">
        <f t="shared" si="292"/>
        <v>909192.80266493873</v>
      </c>
    </row>
    <row r="406" spans="2:46" ht="15" thickBot="1" x14ac:dyDescent="0.3">
      <c r="B406" s="842" t="s">
        <v>388</v>
      </c>
      <c r="C406" s="822">
        <v>0</v>
      </c>
      <c r="D406" s="822">
        <v>0</v>
      </c>
      <c r="E406" s="822">
        <v>0</v>
      </c>
      <c r="F406" s="822">
        <v>0</v>
      </c>
      <c r="G406" s="822">
        <f>G404+G405</f>
        <v>7001617.3500000006</v>
      </c>
      <c r="H406" s="822">
        <f t="shared" ref="H406:AT406" si="293">H404+H405</f>
        <v>9203889.8000000007</v>
      </c>
      <c r="I406" s="822">
        <f t="shared" si="293"/>
        <v>9708905.4801899996</v>
      </c>
      <c r="J406" s="822">
        <f t="shared" si="293"/>
        <v>9814807.7344799973</v>
      </c>
      <c r="K406" s="822">
        <f t="shared" si="293"/>
        <v>10303321.812028307</v>
      </c>
      <c r="L406" s="822">
        <f t="shared" si="293"/>
        <v>10413502.517391624</v>
      </c>
      <c r="M406" s="822">
        <f t="shared" si="293"/>
        <v>10929920.496310607</v>
      </c>
      <c r="N406" s="822">
        <f t="shared" si="293"/>
        <v>10991489.496185238</v>
      </c>
      <c r="O406" s="822">
        <f t="shared" si="293"/>
        <v>11479918.181699852</v>
      </c>
      <c r="P406" s="822">
        <f t="shared" si="293"/>
        <v>11543974.569169421</v>
      </c>
      <c r="Q406" s="822">
        <f t="shared" si="293"/>
        <v>12056516.30103129</v>
      </c>
      <c r="R406" s="822">
        <f t="shared" si="293"/>
        <v>12123160.566554636</v>
      </c>
      <c r="S406" s="822">
        <f t="shared" si="293"/>
        <v>12605422.552487213</v>
      </c>
      <c r="T406" s="822">
        <f t="shared" si="293"/>
        <v>12619215.313679636</v>
      </c>
      <c r="U406" s="822">
        <f t="shared" si="293"/>
        <v>13121214.35787743</v>
      </c>
      <c r="V406" s="822">
        <f t="shared" si="293"/>
        <v>13135564.346622027</v>
      </c>
      <c r="W406" s="822">
        <f t="shared" si="293"/>
        <v>13658108.074669909</v>
      </c>
      <c r="X406" s="822">
        <f t="shared" si="293"/>
        <v>13766688.319668656</v>
      </c>
      <c r="Y406" s="822">
        <f t="shared" si="293"/>
        <v>14411834.877720689</v>
      </c>
      <c r="Z406" s="822">
        <f t="shared" si="293"/>
        <v>14524801.764617385</v>
      </c>
      <c r="AA406" s="822">
        <f t="shared" si="293"/>
        <v>15204170.58878281</v>
      </c>
      <c r="AB406" s="822">
        <f t="shared" si="293"/>
        <v>15321701.337910132</v>
      </c>
      <c r="AC406" s="822">
        <f t="shared" si="293"/>
        <v>15927711.842727184</v>
      </c>
      <c r="AD406" s="822">
        <f t="shared" si="293"/>
        <v>15940698.071961701</v>
      </c>
      <c r="AE406" s="822">
        <f t="shared" si="293"/>
        <v>16571191.401173361</v>
      </c>
      <c r="AF406" s="822">
        <f t="shared" si="293"/>
        <v>16584702.274068952</v>
      </c>
      <c r="AG406" s="822">
        <f t="shared" si="293"/>
        <v>17240667.533780765</v>
      </c>
      <c r="AH406" s="822">
        <f t="shared" si="293"/>
        <v>17254724.245941337</v>
      </c>
      <c r="AI406" s="822">
        <f t="shared" si="293"/>
        <v>17937190.502145503</v>
      </c>
      <c r="AJ406" s="822">
        <f t="shared" si="293"/>
        <v>17951815.105477363</v>
      </c>
      <c r="AK406" s="822">
        <f t="shared" si="293"/>
        <v>18661852.998432186</v>
      </c>
      <c r="AL406" s="822">
        <f t="shared" si="293"/>
        <v>18677068.435738653</v>
      </c>
      <c r="AM406" s="822">
        <f t="shared" si="293"/>
        <v>19415791.859568842</v>
      </c>
      <c r="AN406" s="822">
        <f t="shared" si="293"/>
        <v>19431622.000542492</v>
      </c>
      <c r="AO406" s="822">
        <f t="shared" si="293"/>
        <v>20200189.850695428</v>
      </c>
      <c r="AP406" s="822">
        <f t="shared" si="293"/>
        <v>20216659.529364411</v>
      </c>
      <c r="AQ406" s="822">
        <f t="shared" si="293"/>
        <v>21016277.520663526</v>
      </c>
      <c r="AR406" s="822">
        <f t="shared" si="293"/>
        <v>21033412.574350737</v>
      </c>
      <c r="AS406" s="822">
        <f t="shared" si="293"/>
        <v>21865335.132498328</v>
      </c>
      <c r="AT406" s="823">
        <f t="shared" si="293"/>
        <v>21883162.442354504</v>
      </c>
    </row>
    <row r="407" spans="2:46" ht="15" thickBot="1" x14ac:dyDescent="0.3">
      <c r="B407" s="838"/>
      <c r="C407" s="178"/>
      <c r="D407" s="178"/>
      <c r="E407" s="178"/>
      <c r="F407" s="178"/>
      <c r="G407" s="178"/>
      <c r="H407" s="178"/>
      <c r="I407" s="178"/>
      <c r="J407" s="178"/>
      <c r="K407" s="178"/>
      <c r="L407" s="178"/>
      <c r="M407" s="178"/>
      <c r="N407" s="178"/>
      <c r="O407" s="178"/>
      <c r="P407" s="178"/>
      <c r="Q407" s="178"/>
      <c r="R407" s="178"/>
      <c r="S407" s="178"/>
      <c r="T407" s="178"/>
      <c r="U407" s="178"/>
      <c r="V407" s="178"/>
      <c r="W407" s="178"/>
      <c r="X407" s="178"/>
      <c r="Y407" s="178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/>
      <c r="AS407" s="178"/>
      <c r="AT407" s="178"/>
    </row>
    <row r="408" spans="2:46" ht="15" thickBot="1" x14ac:dyDescent="0.3">
      <c r="B408" s="843" t="s">
        <v>387</v>
      </c>
      <c r="C408" s="825"/>
      <c r="D408" s="825"/>
      <c r="E408" s="825"/>
      <c r="F408" s="825"/>
      <c r="G408" s="826">
        <f>G406+G401</f>
        <v>2683380.3885693634</v>
      </c>
      <c r="H408" s="826">
        <f t="shared" ref="H408:AT408" si="294">H406+H401</f>
        <v>4770951.9750548191</v>
      </c>
      <c r="I408" s="826">
        <f t="shared" si="294"/>
        <v>5172030.2986290241</v>
      </c>
      <c r="J408" s="826">
        <f t="shared" si="294"/>
        <v>5171495.821444531</v>
      </c>
      <c r="K408" s="826">
        <f t="shared" si="294"/>
        <v>-1314582.8938131686</v>
      </c>
      <c r="L408" s="826">
        <f t="shared" si="294"/>
        <v>5549571.0497350022</v>
      </c>
      <c r="M408" s="826">
        <f t="shared" si="294"/>
        <v>5951678.2960853828</v>
      </c>
      <c r="N408" s="826">
        <f t="shared" si="294"/>
        <v>5896181.2884808993</v>
      </c>
      <c r="O408" s="826">
        <f t="shared" si="294"/>
        <v>6264720.6264305972</v>
      </c>
      <c r="P408" s="826">
        <f t="shared" si="294"/>
        <v>-1337576.0011303015</v>
      </c>
      <c r="Q408" s="826">
        <f t="shared" si="294"/>
        <v>6592789.1198890097</v>
      </c>
      <c r="R408" s="826">
        <f t="shared" si="294"/>
        <v>6530648.1924024913</v>
      </c>
      <c r="S408" s="826">
        <f t="shared" si="294"/>
        <v>6881011.7233600803</v>
      </c>
      <c r="T408" s="826">
        <f t="shared" si="294"/>
        <v>6759715.6405948233</v>
      </c>
      <c r="U408" s="826">
        <f t="shared" si="294"/>
        <v>-1165142.0817509275</v>
      </c>
      <c r="V408" s="826">
        <f t="shared" si="294"/>
        <v>6995997.4828490475</v>
      </c>
      <c r="W408" s="826">
        <f t="shared" si="294"/>
        <v>7373398.6291046217</v>
      </c>
      <c r="X408" s="826">
        <f t="shared" si="294"/>
        <v>7333317.3278670562</v>
      </c>
      <c r="Y408" s="826">
        <f t="shared" si="294"/>
        <v>7826195.9511086624</v>
      </c>
      <c r="Z408" s="826">
        <f t="shared" si="294"/>
        <v>-1323792.0027109422</v>
      </c>
      <c r="AA408" s="826">
        <f t="shared" si="294"/>
        <v>8302815.7606887044</v>
      </c>
      <c r="AB408" s="826">
        <f t="shared" si="294"/>
        <v>8256712.3506373689</v>
      </c>
      <c r="AC408" s="826">
        <f t="shared" si="294"/>
        <v>8695109.8026647512</v>
      </c>
      <c r="AD408" s="826">
        <f t="shared" si="294"/>
        <v>8536404.9569697082</v>
      </c>
      <c r="AE408" s="826">
        <f t="shared" si="294"/>
        <v>-1015285.3417896256</v>
      </c>
      <c r="AF408" s="826">
        <f t="shared" si="294"/>
        <v>8824383.7300645504</v>
      </c>
      <c r="AG408" s="826">
        <f t="shared" si="294"/>
        <v>9295803.4810007885</v>
      </c>
      <c r="AH408" s="826">
        <f t="shared" si="294"/>
        <v>9120814.2160661295</v>
      </c>
      <c r="AI408" s="826">
        <f t="shared" si="294"/>
        <v>9609621.5902133118</v>
      </c>
      <c r="AJ408" s="826">
        <f t="shared" si="294"/>
        <v>-1568587.9595379755</v>
      </c>
      <c r="AK408" s="826">
        <f t="shared" si="294"/>
        <v>9932663.4195858259</v>
      </c>
      <c r="AL408" s="826">
        <f t="shared" si="294"/>
        <v>9739677.5305287875</v>
      </c>
      <c r="AM408" s="826">
        <f t="shared" si="294"/>
        <v>10265107.484067839</v>
      </c>
      <c r="AN408" s="826">
        <f t="shared" si="294"/>
        <v>10062424.437989675</v>
      </c>
      <c r="AO408" s="826">
        <f t="shared" si="294"/>
        <v>-1473035.8397238888</v>
      </c>
      <c r="AP408" s="826">
        <f t="shared" si="294"/>
        <v>10394249.722855039</v>
      </c>
      <c r="AQ408" s="826">
        <f t="shared" si="294"/>
        <v>10958896.824638195</v>
      </c>
      <c r="AR408" s="826">
        <f t="shared" si="294"/>
        <v>10735297.428981207</v>
      </c>
      <c r="AS408" s="826">
        <f t="shared" si="294"/>
        <v>11320577.184517819</v>
      </c>
      <c r="AT408" s="827">
        <f t="shared" si="294"/>
        <v>-2187397.2472559512</v>
      </c>
    </row>
    <row r="409" spans="2:46" ht="15" thickBot="1" x14ac:dyDescent="0.3">
      <c r="B409" s="839"/>
      <c r="C409" s="801"/>
      <c r="D409" s="801"/>
      <c r="E409" s="801"/>
      <c r="F409" s="801"/>
      <c r="G409" s="824"/>
      <c r="H409" s="824"/>
      <c r="I409" s="824"/>
      <c r="J409" s="824"/>
      <c r="K409" s="824"/>
      <c r="L409" s="824"/>
      <c r="M409" s="824"/>
      <c r="N409" s="824"/>
      <c r="O409" s="824"/>
      <c r="P409" s="824"/>
      <c r="Q409" s="824"/>
      <c r="R409" s="824"/>
      <c r="S409" s="824"/>
      <c r="T409" s="824"/>
      <c r="U409" s="824"/>
      <c r="V409" s="824"/>
      <c r="W409" s="824"/>
      <c r="X409" s="824"/>
      <c r="Y409" s="824"/>
      <c r="Z409" s="824"/>
      <c r="AA409" s="824"/>
      <c r="AB409" s="824"/>
      <c r="AC409" s="824"/>
      <c r="AD409" s="824"/>
      <c r="AE409" s="824"/>
      <c r="AF409" s="824"/>
      <c r="AG409" s="824"/>
      <c r="AH409" s="824"/>
      <c r="AI409" s="824"/>
      <c r="AJ409" s="824"/>
      <c r="AK409" s="824"/>
      <c r="AL409" s="824"/>
      <c r="AM409" s="824"/>
      <c r="AN409" s="824"/>
      <c r="AO409" s="824"/>
      <c r="AP409" s="824"/>
      <c r="AQ409" s="824"/>
      <c r="AR409" s="824"/>
      <c r="AS409" s="824"/>
      <c r="AT409" s="824"/>
    </row>
    <row r="410" spans="2:46" ht="14.4" x14ac:dyDescent="0.25">
      <c r="B410" s="835" t="s">
        <v>397</v>
      </c>
      <c r="C410" s="818"/>
      <c r="D410" s="818"/>
      <c r="E410" s="818"/>
      <c r="F410" s="818"/>
      <c r="G410" s="818"/>
      <c r="H410" s="818"/>
      <c r="I410" s="818"/>
      <c r="J410" s="818"/>
      <c r="K410" s="818"/>
      <c r="L410" s="818"/>
      <c r="M410" s="818"/>
      <c r="N410" s="818"/>
      <c r="O410" s="818"/>
      <c r="P410" s="818"/>
      <c r="Q410" s="818"/>
      <c r="R410" s="818"/>
      <c r="S410" s="818"/>
      <c r="T410" s="818"/>
      <c r="U410" s="818"/>
      <c r="V410" s="818"/>
      <c r="W410" s="818"/>
      <c r="X410" s="818"/>
      <c r="Y410" s="818"/>
      <c r="Z410" s="818"/>
      <c r="AA410" s="818"/>
      <c r="AB410" s="818"/>
      <c r="AC410" s="818"/>
      <c r="AD410" s="818"/>
      <c r="AE410" s="818"/>
      <c r="AF410" s="818"/>
      <c r="AG410" s="818"/>
      <c r="AH410" s="818"/>
      <c r="AI410" s="818"/>
      <c r="AJ410" s="818"/>
      <c r="AK410" s="818"/>
      <c r="AL410" s="818"/>
      <c r="AM410" s="818"/>
      <c r="AN410" s="818"/>
      <c r="AO410" s="818"/>
      <c r="AP410" s="818"/>
      <c r="AQ410" s="818"/>
      <c r="AR410" s="818"/>
      <c r="AS410" s="818"/>
      <c r="AT410" s="819"/>
    </row>
    <row r="411" spans="2:46" x14ac:dyDescent="0.25">
      <c r="B411" s="836" t="s">
        <v>442</v>
      </c>
      <c r="C411" s="268">
        <v>0</v>
      </c>
      <c r="D411" s="268">
        <v>0</v>
      </c>
      <c r="E411" s="268">
        <v>0</v>
      </c>
      <c r="F411" s="268">
        <v>0</v>
      </c>
      <c r="G411" s="178">
        <f>G408</f>
        <v>2683380.3885693634</v>
      </c>
      <c r="H411" s="178">
        <f t="shared" ref="H411:AT411" si="295">H408</f>
        <v>4770951.9750548191</v>
      </c>
      <c r="I411" s="178">
        <f t="shared" si="295"/>
        <v>5172030.2986290241</v>
      </c>
      <c r="J411" s="178">
        <f t="shared" si="295"/>
        <v>5171495.821444531</v>
      </c>
      <c r="K411" s="178">
        <f t="shared" si="295"/>
        <v>-1314582.8938131686</v>
      </c>
      <c r="L411" s="178">
        <f t="shared" si="295"/>
        <v>5549571.0497350022</v>
      </c>
      <c r="M411" s="178">
        <f t="shared" si="295"/>
        <v>5951678.2960853828</v>
      </c>
      <c r="N411" s="178">
        <f t="shared" si="295"/>
        <v>5896181.2884808993</v>
      </c>
      <c r="O411" s="178">
        <f t="shared" si="295"/>
        <v>6264720.6264305972</v>
      </c>
      <c r="P411" s="178">
        <f t="shared" si="295"/>
        <v>-1337576.0011303015</v>
      </c>
      <c r="Q411" s="178">
        <f t="shared" si="295"/>
        <v>6592789.1198890097</v>
      </c>
      <c r="R411" s="178">
        <f t="shared" si="295"/>
        <v>6530648.1924024913</v>
      </c>
      <c r="S411" s="178">
        <f t="shared" si="295"/>
        <v>6881011.7233600803</v>
      </c>
      <c r="T411" s="178">
        <f t="shared" si="295"/>
        <v>6759715.6405948233</v>
      </c>
      <c r="U411" s="178">
        <f t="shared" si="295"/>
        <v>-1165142.0817509275</v>
      </c>
      <c r="V411" s="178">
        <f t="shared" si="295"/>
        <v>6995997.4828490475</v>
      </c>
      <c r="W411" s="178">
        <f t="shared" si="295"/>
        <v>7373398.6291046217</v>
      </c>
      <c r="X411" s="178">
        <f t="shared" si="295"/>
        <v>7333317.3278670562</v>
      </c>
      <c r="Y411" s="178">
        <f t="shared" si="295"/>
        <v>7826195.9511086624</v>
      </c>
      <c r="Z411" s="178">
        <f t="shared" si="295"/>
        <v>-1323792.0027109422</v>
      </c>
      <c r="AA411" s="178">
        <f t="shared" si="295"/>
        <v>8302815.7606887044</v>
      </c>
      <c r="AB411" s="178">
        <f t="shared" si="295"/>
        <v>8256712.3506373689</v>
      </c>
      <c r="AC411" s="178">
        <f t="shared" si="295"/>
        <v>8695109.8026647512</v>
      </c>
      <c r="AD411" s="178">
        <f t="shared" si="295"/>
        <v>8536404.9569697082</v>
      </c>
      <c r="AE411" s="178">
        <f t="shared" si="295"/>
        <v>-1015285.3417896256</v>
      </c>
      <c r="AF411" s="178">
        <f t="shared" si="295"/>
        <v>8824383.7300645504</v>
      </c>
      <c r="AG411" s="178">
        <f t="shared" si="295"/>
        <v>9295803.4810007885</v>
      </c>
      <c r="AH411" s="178">
        <f t="shared" si="295"/>
        <v>9120814.2160661295</v>
      </c>
      <c r="AI411" s="178">
        <f t="shared" si="295"/>
        <v>9609621.5902133118</v>
      </c>
      <c r="AJ411" s="178">
        <f t="shared" si="295"/>
        <v>-1568587.9595379755</v>
      </c>
      <c r="AK411" s="178">
        <f t="shared" si="295"/>
        <v>9932663.4195858259</v>
      </c>
      <c r="AL411" s="178">
        <f t="shared" si="295"/>
        <v>9739677.5305287875</v>
      </c>
      <c r="AM411" s="178">
        <f t="shared" si="295"/>
        <v>10265107.484067839</v>
      </c>
      <c r="AN411" s="178">
        <f t="shared" si="295"/>
        <v>10062424.437989675</v>
      </c>
      <c r="AO411" s="178">
        <f t="shared" si="295"/>
        <v>-1473035.8397238888</v>
      </c>
      <c r="AP411" s="178">
        <f t="shared" si="295"/>
        <v>10394249.722855039</v>
      </c>
      <c r="AQ411" s="178">
        <f t="shared" si="295"/>
        <v>10958896.824638195</v>
      </c>
      <c r="AR411" s="178">
        <f t="shared" si="295"/>
        <v>10735297.428981207</v>
      </c>
      <c r="AS411" s="178">
        <f t="shared" si="295"/>
        <v>11320577.184517819</v>
      </c>
      <c r="AT411" s="265">
        <f t="shared" si="295"/>
        <v>-2187397.2472559512</v>
      </c>
    </row>
    <row r="412" spans="2:46" x14ac:dyDescent="0.25">
      <c r="B412" s="836" t="s">
        <v>440</v>
      </c>
      <c r="C412" s="268">
        <v>0</v>
      </c>
      <c r="D412" s="268">
        <v>0</v>
      </c>
      <c r="E412" s="268">
        <v>0</v>
      </c>
      <c r="F412" s="268">
        <v>0</v>
      </c>
      <c r="G412" s="178">
        <f>IF(G411&gt;0,-$C$23*G411,0)</f>
        <v>0</v>
      </c>
      <c r="H412" s="178">
        <f t="shared" ref="H412:AT412" si="296">IF(H411&gt;0,-$C$23*H411,0)</f>
        <v>0</v>
      </c>
      <c r="I412" s="178">
        <f t="shared" si="296"/>
        <v>0</v>
      </c>
      <c r="J412" s="178">
        <f t="shared" si="296"/>
        <v>0</v>
      </c>
      <c r="K412" s="178">
        <f t="shared" si="296"/>
        <v>0</v>
      </c>
      <c r="L412" s="178">
        <f t="shared" si="296"/>
        <v>0</v>
      </c>
      <c r="M412" s="178">
        <f t="shared" si="296"/>
        <v>0</v>
      </c>
      <c r="N412" s="178">
        <f t="shared" si="296"/>
        <v>0</v>
      </c>
      <c r="O412" s="178">
        <f t="shared" si="296"/>
        <v>0</v>
      </c>
      <c r="P412" s="178">
        <f t="shared" si="296"/>
        <v>0</v>
      </c>
      <c r="Q412" s="178">
        <f t="shared" si="296"/>
        <v>0</v>
      </c>
      <c r="R412" s="178">
        <f t="shared" si="296"/>
        <v>0</v>
      </c>
      <c r="S412" s="178">
        <f t="shared" si="296"/>
        <v>0</v>
      </c>
      <c r="T412" s="178">
        <f t="shared" si="296"/>
        <v>0</v>
      </c>
      <c r="U412" s="178">
        <f t="shared" si="296"/>
        <v>0</v>
      </c>
      <c r="V412" s="178">
        <f t="shared" si="296"/>
        <v>0</v>
      </c>
      <c r="W412" s="178">
        <f t="shared" si="296"/>
        <v>0</v>
      </c>
      <c r="X412" s="178">
        <f t="shared" si="296"/>
        <v>0</v>
      </c>
      <c r="Y412" s="178">
        <f t="shared" si="296"/>
        <v>0</v>
      </c>
      <c r="Z412" s="178">
        <f t="shared" si="296"/>
        <v>0</v>
      </c>
      <c r="AA412" s="178">
        <f t="shared" si="296"/>
        <v>0</v>
      </c>
      <c r="AB412" s="178">
        <f t="shared" si="296"/>
        <v>0</v>
      </c>
      <c r="AC412" s="178">
        <f t="shared" si="296"/>
        <v>0</v>
      </c>
      <c r="AD412" s="178">
        <f t="shared" si="296"/>
        <v>0</v>
      </c>
      <c r="AE412" s="178">
        <f t="shared" si="296"/>
        <v>0</v>
      </c>
      <c r="AF412" s="178">
        <f t="shared" si="296"/>
        <v>0</v>
      </c>
      <c r="AG412" s="178">
        <f t="shared" si="296"/>
        <v>0</v>
      </c>
      <c r="AH412" s="178">
        <f t="shared" si="296"/>
        <v>0</v>
      </c>
      <c r="AI412" s="178">
        <f t="shared" si="296"/>
        <v>0</v>
      </c>
      <c r="AJ412" s="178">
        <f t="shared" si="296"/>
        <v>0</v>
      </c>
      <c r="AK412" s="178">
        <f t="shared" si="296"/>
        <v>0</v>
      </c>
      <c r="AL412" s="178">
        <f t="shared" si="296"/>
        <v>0</v>
      </c>
      <c r="AM412" s="178">
        <f t="shared" si="296"/>
        <v>0</v>
      </c>
      <c r="AN412" s="178">
        <f t="shared" si="296"/>
        <v>0</v>
      </c>
      <c r="AO412" s="178">
        <f t="shared" si="296"/>
        <v>0</v>
      </c>
      <c r="AP412" s="178">
        <f t="shared" si="296"/>
        <v>0</v>
      </c>
      <c r="AQ412" s="178">
        <f t="shared" si="296"/>
        <v>0</v>
      </c>
      <c r="AR412" s="178">
        <f t="shared" si="296"/>
        <v>0</v>
      </c>
      <c r="AS412" s="178">
        <f t="shared" si="296"/>
        <v>0</v>
      </c>
      <c r="AT412" s="265">
        <f t="shared" si="296"/>
        <v>0</v>
      </c>
    </row>
    <row r="413" spans="2:46" ht="14.4" x14ac:dyDescent="0.25">
      <c r="B413" s="840" t="s">
        <v>175</v>
      </c>
      <c r="C413" s="800">
        <v>0</v>
      </c>
      <c r="D413" s="800">
        <v>0</v>
      </c>
      <c r="E413" s="800">
        <v>0</v>
      </c>
      <c r="F413" s="800">
        <v>0</v>
      </c>
      <c r="G413" s="261">
        <f>G395</f>
        <v>-4476318.6173797483</v>
      </c>
      <c r="H413" s="261">
        <f t="shared" ref="H413:AT413" si="297">H395</f>
        <v>-4476318.6173797483</v>
      </c>
      <c r="I413" s="261">
        <f t="shared" si="297"/>
        <v>-4476318.6173797483</v>
      </c>
      <c r="J413" s="261">
        <f t="shared" si="297"/>
        <v>-4476318.6173797483</v>
      </c>
      <c r="K413" s="261">
        <f t="shared" si="297"/>
        <v>-4476318.6173797483</v>
      </c>
      <c r="L413" s="261">
        <f t="shared" si="297"/>
        <v>-4226566.6672863076</v>
      </c>
      <c r="M413" s="261">
        <f t="shared" si="297"/>
        <v>-4226566.6672863076</v>
      </c>
      <c r="N413" s="261">
        <f t="shared" si="297"/>
        <v>-4226566.6672863076</v>
      </c>
      <c r="O413" s="261">
        <f t="shared" si="297"/>
        <v>-4226566.6672863076</v>
      </c>
      <c r="P413" s="261">
        <f t="shared" si="297"/>
        <v>-4226566.6672863076</v>
      </c>
      <c r="Q413" s="261">
        <f t="shared" si="297"/>
        <v>-3636188.9104059879</v>
      </c>
      <c r="R413" s="261">
        <f t="shared" si="297"/>
        <v>-4364578.243786227</v>
      </c>
      <c r="S413" s="261">
        <f t="shared" si="297"/>
        <v>-4364578.243786227</v>
      </c>
      <c r="T413" s="261">
        <f t="shared" si="297"/>
        <v>-4364578.243786227</v>
      </c>
      <c r="U413" s="261">
        <f t="shared" si="297"/>
        <v>-4364578.243786227</v>
      </c>
      <c r="V413" s="261">
        <f t="shared" si="297"/>
        <v>-3330617.415194436</v>
      </c>
      <c r="W413" s="261">
        <f t="shared" si="297"/>
        <v>-3330617.415194436</v>
      </c>
      <c r="X413" s="261">
        <f t="shared" si="297"/>
        <v>-4784057.9763839645</v>
      </c>
      <c r="Y413" s="261">
        <f t="shared" si="297"/>
        <v>-4784057.9763839645</v>
      </c>
      <c r="Z413" s="261">
        <f t="shared" si="297"/>
        <v>-4784057.9763839645</v>
      </c>
      <c r="AA413" s="261">
        <f t="shared" si="297"/>
        <v>-4784057.9763839645</v>
      </c>
      <c r="AB413" s="261">
        <f t="shared" si="297"/>
        <v>-4784057.9763839645</v>
      </c>
      <c r="AC413" s="261">
        <f t="shared" si="297"/>
        <v>-4959508.4970497834</v>
      </c>
      <c r="AD413" s="261">
        <f t="shared" si="297"/>
        <v>-4959508.4970497834</v>
      </c>
      <c r="AE413" s="261">
        <f t="shared" si="297"/>
        <v>-4959508.4970497834</v>
      </c>
      <c r="AF413" s="261">
        <f t="shared" si="297"/>
        <v>-4959508.4970497834</v>
      </c>
      <c r="AG413" s="261">
        <f t="shared" si="297"/>
        <v>-4959508.4970497834</v>
      </c>
      <c r="AH413" s="261">
        <f t="shared" si="297"/>
        <v>-4959508.4970497834</v>
      </c>
      <c r="AI413" s="261">
        <f t="shared" si="297"/>
        <v>-4959508.4970497834</v>
      </c>
      <c r="AJ413" s="261">
        <f t="shared" si="297"/>
        <v>-4959508.4970497834</v>
      </c>
      <c r="AK413" s="261">
        <f t="shared" si="297"/>
        <v>-4959508.4970497834</v>
      </c>
      <c r="AL413" s="261">
        <f t="shared" si="297"/>
        <v>-4959508.4970497834</v>
      </c>
      <c r="AM413" s="261">
        <f t="shared" si="297"/>
        <v>-3506067.9358602548</v>
      </c>
      <c r="AN413" s="261">
        <f t="shared" si="297"/>
        <v>-2602228.0818141969</v>
      </c>
      <c r="AO413" s="261">
        <f t="shared" si="297"/>
        <v>-5537212.7180729993</v>
      </c>
      <c r="AP413" s="261">
        <f t="shared" si="297"/>
        <v>-5537212.7180729993</v>
      </c>
      <c r="AQ413" s="261">
        <f t="shared" si="297"/>
        <v>-5537212.7180729993</v>
      </c>
      <c r="AR413" s="261">
        <f t="shared" si="297"/>
        <v>-5537212.7180729993</v>
      </c>
      <c r="AS413" s="261">
        <f t="shared" si="297"/>
        <v>-5537212.7180729993</v>
      </c>
      <c r="AT413" s="266">
        <f t="shared" si="297"/>
        <v>-5537212.7180729993</v>
      </c>
    </row>
    <row r="414" spans="2:46" x14ac:dyDescent="0.25">
      <c r="B414" s="836" t="s">
        <v>444</v>
      </c>
      <c r="C414" s="268">
        <v>0</v>
      </c>
      <c r="D414" s="268">
        <v>0</v>
      </c>
      <c r="E414" s="268">
        <v>0</v>
      </c>
      <c r="F414" s="268">
        <v>0</v>
      </c>
      <c r="G414" s="178">
        <f t="shared" ref="G414:AT414" si="298">G411+G412+G413</f>
        <v>-1792938.2288103849</v>
      </c>
      <c r="H414" s="178">
        <f t="shared" si="298"/>
        <v>294633.35767507087</v>
      </c>
      <c r="I414" s="178">
        <f t="shared" si="298"/>
        <v>695711.6812492758</v>
      </c>
      <c r="J414" s="178">
        <f t="shared" si="298"/>
        <v>695177.20406478271</v>
      </c>
      <c r="K414" s="178">
        <f t="shared" si="298"/>
        <v>-5790901.5111929169</v>
      </c>
      <c r="L414" s="178">
        <f t="shared" si="298"/>
        <v>1323004.3824486947</v>
      </c>
      <c r="M414" s="178">
        <f t="shared" si="298"/>
        <v>1725111.6287990753</v>
      </c>
      <c r="N414" s="178">
        <f t="shared" si="298"/>
        <v>1669614.6211945917</v>
      </c>
      <c r="O414" s="178">
        <f t="shared" si="298"/>
        <v>2038153.9591442896</v>
      </c>
      <c r="P414" s="178">
        <f t="shared" si="298"/>
        <v>-5564142.6684166091</v>
      </c>
      <c r="Q414" s="178">
        <f t="shared" si="298"/>
        <v>2956600.2094830219</v>
      </c>
      <c r="R414" s="178">
        <f t="shared" si="298"/>
        <v>2166069.9486162644</v>
      </c>
      <c r="S414" s="178">
        <f t="shared" si="298"/>
        <v>2516433.4795738533</v>
      </c>
      <c r="T414" s="178">
        <f t="shared" si="298"/>
        <v>2395137.3968085963</v>
      </c>
      <c r="U414" s="178">
        <f t="shared" si="298"/>
        <v>-5529720.3255371545</v>
      </c>
      <c r="V414" s="178">
        <f t="shared" si="298"/>
        <v>3665380.0676546115</v>
      </c>
      <c r="W414" s="178">
        <f t="shared" si="298"/>
        <v>4042781.2139101857</v>
      </c>
      <c r="X414" s="178">
        <f t="shared" si="298"/>
        <v>2549259.3514830917</v>
      </c>
      <c r="Y414" s="178">
        <f t="shared" si="298"/>
        <v>3042137.9747246979</v>
      </c>
      <c r="Z414" s="178">
        <f t="shared" si="298"/>
        <v>-6107849.9790949067</v>
      </c>
      <c r="AA414" s="178">
        <f t="shared" si="298"/>
        <v>3518757.7843047399</v>
      </c>
      <c r="AB414" s="178">
        <f t="shared" si="298"/>
        <v>3472654.3742534043</v>
      </c>
      <c r="AC414" s="178">
        <f t="shared" si="298"/>
        <v>3735601.3056149678</v>
      </c>
      <c r="AD414" s="178">
        <f t="shared" si="298"/>
        <v>3576896.4599199248</v>
      </c>
      <c r="AE414" s="178">
        <f t="shared" si="298"/>
        <v>-5974793.8388394089</v>
      </c>
      <c r="AF414" s="178">
        <f t="shared" si="298"/>
        <v>3864875.2330147671</v>
      </c>
      <c r="AG414" s="178">
        <f t="shared" si="298"/>
        <v>4336294.9839510052</v>
      </c>
      <c r="AH414" s="178">
        <f t="shared" si="298"/>
        <v>4161305.7190163461</v>
      </c>
      <c r="AI414" s="178">
        <f t="shared" si="298"/>
        <v>4650113.0931635285</v>
      </c>
      <c r="AJ414" s="178">
        <f t="shared" si="298"/>
        <v>-6528096.4565877588</v>
      </c>
      <c r="AK414" s="178">
        <f t="shared" si="298"/>
        <v>4973154.9225360425</v>
      </c>
      <c r="AL414" s="178">
        <f t="shared" si="298"/>
        <v>4780169.0334790042</v>
      </c>
      <c r="AM414" s="178">
        <f t="shared" si="298"/>
        <v>6759039.5482075838</v>
      </c>
      <c r="AN414" s="178">
        <f t="shared" si="298"/>
        <v>7460196.3561754776</v>
      </c>
      <c r="AO414" s="178">
        <f t="shared" si="298"/>
        <v>-7010248.5577968881</v>
      </c>
      <c r="AP414" s="178">
        <f t="shared" si="298"/>
        <v>4857037.0047820397</v>
      </c>
      <c r="AQ414" s="178">
        <f t="shared" si="298"/>
        <v>5421684.1065651961</v>
      </c>
      <c r="AR414" s="178">
        <f t="shared" si="298"/>
        <v>5198084.710908208</v>
      </c>
      <c r="AS414" s="178">
        <f t="shared" si="298"/>
        <v>5783364.4664448202</v>
      </c>
      <c r="AT414" s="265">
        <f t="shared" si="298"/>
        <v>-7724609.9653289504</v>
      </c>
    </row>
    <row r="415" spans="2:46" x14ac:dyDescent="0.25">
      <c r="B415" s="836" t="s">
        <v>443</v>
      </c>
      <c r="C415" s="268">
        <v>0</v>
      </c>
      <c r="D415" s="268">
        <v>0</v>
      </c>
      <c r="E415" s="268">
        <v>0</v>
      </c>
      <c r="F415" s="268">
        <v>0</v>
      </c>
      <c r="G415" s="178">
        <f>IF(G414&gt;0,-$C$24*G414,0)</f>
        <v>0</v>
      </c>
      <c r="H415" s="178">
        <f t="shared" ref="H415:AT415" si="299">IF(H414&gt;0,-$C$24*H414,0)</f>
        <v>-103121.67518627481</v>
      </c>
      <c r="I415" s="178">
        <f t="shared" si="299"/>
        <v>-243499.08843724651</v>
      </c>
      <c r="J415" s="178">
        <f t="shared" si="299"/>
        <v>-243312.02142267392</v>
      </c>
      <c r="K415" s="178">
        <f t="shared" si="299"/>
        <v>0</v>
      </c>
      <c r="L415" s="178">
        <f t="shared" si="299"/>
        <v>-463051.53385704308</v>
      </c>
      <c r="M415" s="178">
        <f t="shared" si="299"/>
        <v>-603789.07007967634</v>
      </c>
      <c r="N415" s="178">
        <f t="shared" si="299"/>
        <v>-584365.11741810711</v>
      </c>
      <c r="O415" s="178">
        <f t="shared" si="299"/>
        <v>-713353.88570050127</v>
      </c>
      <c r="P415" s="178">
        <f t="shared" si="299"/>
        <v>0</v>
      </c>
      <c r="Q415" s="178">
        <f t="shared" si="299"/>
        <v>-1034810.0733190576</v>
      </c>
      <c r="R415" s="178">
        <f t="shared" si="299"/>
        <v>-758124.48201569251</v>
      </c>
      <c r="S415" s="178">
        <f t="shared" si="299"/>
        <v>-880751.71785084857</v>
      </c>
      <c r="T415" s="178">
        <f t="shared" si="299"/>
        <v>-838298.08888300869</v>
      </c>
      <c r="U415" s="178">
        <f t="shared" si="299"/>
        <v>0</v>
      </c>
      <c r="V415" s="178">
        <f t="shared" si="299"/>
        <v>-1282883.0236791139</v>
      </c>
      <c r="W415" s="178">
        <f t="shared" si="299"/>
        <v>-1414973.4248685648</v>
      </c>
      <c r="X415" s="178">
        <f t="shared" si="299"/>
        <v>-892240.77301908203</v>
      </c>
      <c r="Y415" s="178">
        <f t="shared" si="299"/>
        <v>-1064748.2911536442</v>
      </c>
      <c r="Z415" s="178">
        <f t="shared" si="299"/>
        <v>0</v>
      </c>
      <c r="AA415" s="178">
        <f t="shared" si="299"/>
        <v>-1231565.224506659</v>
      </c>
      <c r="AB415" s="178">
        <f t="shared" si="299"/>
        <v>-1215429.0309886914</v>
      </c>
      <c r="AC415" s="178">
        <f t="shared" si="299"/>
        <v>-1307460.4569652386</v>
      </c>
      <c r="AD415" s="178">
        <f t="shared" si="299"/>
        <v>-1251913.7609719737</v>
      </c>
      <c r="AE415" s="178">
        <f t="shared" si="299"/>
        <v>0</v>
      </c>
      <c r="AF415" s="178">
        <f t="shared" si="299"/>
        <v>-1352706.3315551684</v>
      </c>
      <c r="AG415" s="178">
        <f t="shared" si="299"/>
        <v>-1517703.2443828518</v>
      </c>
      <c r="AH415" s="178">
        <f t="shared" si="299"/>
        <v>-1456457.0016557211</v>
      </c>
      <c r="AI415" s="178">
        <f t="shared" si="299"/>
        <v>-1627539.5826072348</v>
      </c>
      <c r="AJ415" s="178">
        <f t="shared" si="299"/>
        <v>0</v>
      </c>
      <c r="AK415" s="178">
        <f t="shared" si="299"/>
        <v>-1740604.2228876147</v>
      </c>
      <c r="AL415" s="178">
        <f t="shared" si="299"/>
        <v>-1673059.1617176514</v>
      </c>
      <c r="AM415" s="178">
        <f t="shared" si="299"/>
        <v>-2365663.8418726544</v>
      </c>
      <c r="AN415" s="178">
        <f t="shared" si="299"/>
        <v>-2611068.7246614168</v>
      </c>
      <c r="AO415" s="178">
        <f t="shared" si="299"/>
        <v>0</v>
      </c>
      <c r="AP415" s="178">
        <f t="shared" si="299"/>
        <v>-1699962.9516737137</v>
      </c>
      <c r="AQ415" s="178">
        <f t="shared" si="299"/>
        <v>-1897589.4372978185</v>
      </c>
      <c r="AR415" s="178">
        <f t="shared" si="299"/>
        <v>-1819329.6488178726</v>
      </c>
      <c r="AS415" s="178">
        <f t="shared" si="299"/>
        <v>-2024177.563255687</v>
      </c>
      <c r="AT415" s="265">
        <f t="shared" si="299"/>
        <v>0</v>
      </c>
    </row>
    <row r="416" spans="2:46" ht="14.4" x14ac:dyDescent="0.25">
      <c r="B416" s="841" t="s">
        <v>445</v>
      </c>
      <c r="C416" s="801">
        <v>0</v>
      </c>
      <c r="D416" s="801">
        <v>0</v>
      </c>
      <c r="E416" s="801">
        <v>0</v>
      </c>
      <c r="F416" s="801">
        <v>0</v>
      </c>
      <c r="G416" s="262">
        <f>G414+G415</f>
        <v>-1792938.2288103849</v>
      </c>
      <c r="H416" s="262">
        <f t="shared" ref="H416:AT416" si="300">H414+H415</f>
        <v>191511.68248879607</v>
      </c>
      <c r="I416" s="262">
        <f t="shared" si="300"/>
        <v>452212.5928120293</v>
      </c>
      <c r="J416" s="262">
        <f t="shared" si="300"/>
        <v>451865.18264210876</v>
      </c>
      <c r="K416" s="262">
        <f t="shared" si="300"/>
        <v>-5790901.5111929169</v>
      </c>
      <c r="L416" s="262">
        <f t="shared" si="300"/>
        <v>859952.84859165153</v>
      </c>
      <c r="M416" s="262">
        <f t="shared" si="300"/>
        <v>1121322.5587193989</v>
      </c>
      <c r="N416" s="262">
        <f t="shared" si="300"/>
        <v>1085249.5037764846</v>
      </c>
      <c r="O416" s="262">
        <f t="shared" si="300"/>
        <v>1324800.0734437883</v>
      </c>
      <c r="P416" s="262">
        <f t="shared" si="300"/>
        <v>-5564142.6684166091</v>
      </c>
      <c r="Q416" s="262">
        <f t="shared" si="300"/>
        <v>1921790.1361639644</v>
      </c>
      <c r="R416" s="262">
        <f t="shared" si="300"/>
        <v>1407945.4666005718</v>
      </c>
      <c r="S416" s="262">
        <f t="shared" si="300"/>
        <v>1635681.7617230047</v>
      </c>
      <c r="T416" s="262">
        <f t="shared" si="300"/>
        <v>1556839.3079255875</v>
      </c>
      <c r="U416" s="262">
        <f t="shared" si="300"/>
        <v>-5529720.3255371545</v>
      </c>
      <c r="V416" s="262">
        <f t="shared" si="300"/>
        <v>2382497.0439754976</v>
      </c>
      <c r="W416" s="262">
        <f t="shared" si="300"/>
        <v>2627807.7890416207</v>
      </c>
      <c r="X416" s="262">
        <f t="shared" si="300"/>
        <v>1657018.5784640098</v>
      </c>
      <c r="Y416" s="262">
        <f t="shared" si="300"/>
        <v>1977389.6835710537</v>
      </c>
      <c r="Z416" s="262">
        <f t="shared" si="300"/>
        <v>-6107849.9790949067</v>
      </c>
      <c r="AA416" s="262">
        <f t="shared" si="300"/>
        <v>2287192.5597980809</v>
      </c>
      <c r="AB416" s="262">
        <f t="shared" si="300"/>
        <v>2257225.343264713</v>
      </c>
      <c r="AC416" s="262">
        <f t="shared" si="300"/>
        <v>2428140.848649729</v>
      </c>
      <c r="AD416" s="262">
        <f t="shared" si="300"/>
        <v>2324982.6989479512</v>
      </c>
      <c r="AE416" s="262">
        <f t="shared" si="300"/>
        <v>-5974793.8388394089</v>
      </c>
      <c r="AF416" s="262">
        <f t="shared" si="300"/>
        <v>2512168.9014595989</v>
      </c>
      <c r="AG416" s="262">
        <f t="shared" si="300"/>
        <v>2818591.7395681534</v>
      </c>
      <c r="AH416" s="262">
        <f t="shared" si="300"/>
        <v>2704848.717360625</v>
      </c>
      <c r="AI416" s="262">
        <f t="shared" si="300"/>
        <v>3022573.5105562937</v>
      </c>
      <c r="AJ416" s="262">
        <f t="shared" si="300"/>
        <v>-6528096.4565877588</v>
      </c>
      <c r="AK416" s="262">
        <f t="shared" si="300"/>
        <v>3232550.6996484278</v>
      </c>
      <c r="AL416" s="262">
        <f t="shared" si="300"/>
        <v>3107109.8717613528</v>
      </c>
      <c r="AM416" s="262">
        <f t="shared" si="300"/>
        <v>4393375.7063349299</v>
      </c>
      <c r="AN416" s="262">
        <f t="shared" si="300"/>
        <v>4849127.6315140612</v>
      </c>
      <c r="AO416" s="262">
        <f t="shared" si="300"/>
        <v>-7010248.5577968881</v>
      </c>
      <c r="AP416" s="262">
        <f t="shared" si="300"/>
        <v>3157074.0531083262</v>
      </c>
      <c r="AQ416" s="262">
        <f t="shared" si="300"/>
        <v>3524094.6692673778</v>
      </c>
      <c r="AR416" s="262">
        <f t="shared" si="300"/>
        <v>3378755.0620903354</v>
      </c>
      <c r="AS416" s="262">
        <f t="shared" si="300"/>
        <v>3759186.9031891329</v>
      </c>
      <c r="AT416" s="267">
        <f t="shared" si="300"/>
        <v>-7724609.9653289504</v>
      </c>
    </row>
    <row r="417" spans="2:46" x14ac:dyDescent="0.25">
      <c r="B417" s="836" t="s">
        <v>446</v>
      </c>
      <c r="C417" s="268">
        <v>0</v>
      </c>
      <c r="D417" s="268">
        <v>0</v>
      </c>
      <c r="E417" s="268">
        <v>0</v>
      </c>
      <c r="F417" s="268">
        <v>0</v>
      </c>
      <c r="G417" s="178">
        <f>-G413</f>
        <v>4476318.6173797483</v>
      </c>
      <c r="H417" s="178">
        <f t="shared" ref="H417:AT417" si="301">-H413</f>
        <v>4476318.6173797483</v>
      </c>
      <c r="I417" s="178">
        <f t="shared" si="301"/>
        <v>4476318.6173797483</v>
      </c>
      <c r="J417" s="178">
        <f t="shared" si="301"/>
        <v>4476318.6173797483</v>
      </c>
      <c r="K417" s="178">
        <f t="shared" si="301"/>
        <v>4476318.6173797483</v>
      </c>
      <c r="L417" s="178">
        <f t="shared" si="301"/>
        <v>4226566.6672863076</v>
      </c>
      <c r="M417" s="178">
        <f t="shared" si="301"/>
        <v>4226566.6672863076</v>
      </c>
      <c r="N417" s="178">
        <f t="shared" si="301"/>
        <v>4226566.6672863076</v>
      </c>
      <c r="O417" s="178">
        <f t="shared" si="301"/>
        <v>4226566.6672863076</v>
      </c>
      <c r="P417" s="178">
        <f t="shared" si="301"/>
        <v>4226566.6672863076</v>
      </c>
      <c r="Q417" s="178">
        <f t="shared" si="301"/>
        <v>3636188.9104059879</v>
      </c>
      <c r="R417" s="178">
        <f t="shared" si="301"/>
        <v>4364578.243786227</v>
      </c>
      <c r="S417" s="178">
        <f t="shared" si="301"/>
        <v>4364578.243786227</v>
      </c>
      <c r="T417" s="178">
        <f t="shared" si="301"/>
        <v>4364578.243786227</v>
      </c>
      <c r="U417" s="178">
        <f t="shared" si="301"/>
        <v>4364578.243786227</v>
      </c>
      <c r="V417" s="178">
        <f t="shared" si="301"/>
        <v>3330617.415194436</v>
      </c>
      <c r="W417" s="178">
        <f t="shared" si="301"/>
        <v>3330617.415194436</v>
      </c>
      <c r="X417" s="178">
        <f t="shared" si="301"/>
        <v>4784057.9763839645</v>
      </c>
      <c r="Y417" s="178">
        <f t="shared" si="301"/>
        <v>4784057.9763839645</v>
      </c>
      <c r="Z417" s="178">
        <f t="shared" si="301"/>
        <v>4784057.9763839645</v>
      </c>
      <c r="AA417" s="178">
        <f t="shared" si="301"/>
        <v>4784057.9763839645</v>
      </c>
      <c r="AB417" s="178">
        <f t="shared" si="301"/>
        <v>4784057.9763839645</v>
      </c>
      <c r="AC417" s="178">
        <f t="shared" si="301"/>
        <v>4959508.4970497834</v>
      </c>
      <c r="AD417" s="178">
        <f t="shared" si="301"/>
        <v>4959508.4970497834</v>
      </c>
      <c r="AE417" s="178">
        <f t="shared" si="301"/>
        <v>4959508.4970497834</v>
      </c>
      <c r="AF417" s="178">
        <f t="shared" si="301"/>
        <v>4959508.4970497834</v>
      </c>
      <c r="AG417" s="178">
        <f t="shared" si="301"/>
        <v>4959508.4970497834</v>
      </c>
      <c r="AH417" s="178">
        <f t="shared" si="301"/>
        <v>4959508.4970497834</v>
      </c>
      <c r="AI417" s="178">
        <f t="shared" si="301"/>
        <v>4959508.4970497834</v>
      </c>
      <c r="AJ417" s="178">
        <f t="shared" si="301"/>
        <v>4959508.4970497834</v>
      </c>
      <c r="AK417" s="178">
        <f t="shared" si="301"/>
        <v>4959508.4970497834</v>
      </c>
      <c r="AL417" s="178">
        <f t="shared" si="301"/>
        <v>4959508.4970497834</v>
      </c>
      <c r="AM417" s="178">
        <f t="shared" si="301"/>
        <v>3506067.9358602548</v>
      </c>
      <c r="AN417" s="178">
        <f t="shared" si="301"/>
        <v>2602228.0818141969</v>
      </c>
      <c r="AO417" s="178">
        <f t="shared" si="301"/>
        <v>5537212.7180729993</v>
      </c>
      <c r="AP417" s="178">
        <f t="shared" si="301"/>
        <v>5537212.7180729993</v>
      </c>
      <c r="AQ417" s="178">
        <f t="shared" si="301"/>
        <v>5537212.7180729993</v>
      </c>
      <c r="AR417" s="178">
        <f t="shared" si="301"/>
        <v>5537212.7180729993</v>
      </c>
      <c r="AS417" s="178">
        <f t="shared" si="301"/>
        <v>5537212.7180729993</v>
      </c>
      <c r="AT417" s="265">
        <f t="shared" si="301"/>
        <v>5537212.7180729993</v>
      </c>
    </row>
    <row r="418" spans="2:46" ht="15" thickBot="1" x14ac:dyDescent="0.3">
      <c r="B418" s="842" t="s">
        <v>386</v>
      </c>
      <c r="C418" s="828"/>
      <c r="D418" s="828"/>
      <c r="E418" s="828"/>
      <c r="F418" s="828"/>
      <c r="G418" s="828">
        <f>G416+G417</f>
        <v>2683380.3885693634</v>
      </c>
      <c r="H418" s="828">
        <f t="shared" ref="H418:AT418" si="302">H416+H417</f>
        <v>4667830.2998685446</v>
      </c>
      <c r="I418" s="828">
        <f t="shared" si="302"/>
        <v>4928531.2101917779</v>
      </c>
      <c r="J418" s="828">
        <f t="shared" si="302"/>
        <v>4928183.800021857</v>
      </c>
      <c r="K418" s="828">
        <f t="shared" si="302"/>
        <v>-1314582.8938131686</v>
      </c>
      <c r="L418" s="828">
        <f t="shared" si="302"/>
        <v>5086519.5158779593</v>
      </c>
      <c r="M418" s="828">
        <f t="shared" si="302"/>
        <v>5347889.2260057069</v>
      </c>
      <c r="N418" s="828">
        <f t="shared" si="302"/>
        <v>5311816.1710627917</v>
      </c>
      <c r="O418" s="828">
        <f t="shared" si="302"/>
        <v>5551366.7407300957</v>
      </c>
      <c r="P418" s="828">
        <f t="shared" si="302"/>
        <v>-1337576.0011303015</v>
      </c>
      <c r="Q418" s="828">
        <f t="shared" si="302"/>
        <v>5557979.0465699527</v>
      </c>
      <c r="R418" s="828">
        <f t="shared" si="302"/>
        <v>5772523.7103867987</v>
      </c>
      <c r="S418" s="828">
        <f t="shared" si="302"/>
        <v>6000260.0055092312</v>
      </c>
      <c r="T418" s="828">
        <f t="shared" si="302"/>
        <v>5921417.5517118145</v>
      </c>
      <c r="U418" s="828">
        <f t="shared" si="302"/>
        <v>-1165142.0817509275</v>
      </c>
      <c r="V418" s="828">
        <f t="shared" si="302"/>
        <v>5713114.4591699336</v>
      </c>
      <c r="W418" s="828">
        <f t="shared" si="302"/>
        <v>5958425.2042360567</v>
      </c>
      <c r="X418" s="828">
        <f t="shared" si="302"/>
        <v>6441076.5548479743</v>
      </c>
      <c r="Y418" s="828">
        <f t="shared" si="302"/>
        <v>6761447.6599550182</v>
      </c>
      <c r="Z418" s="828">
        <f t="shared" si="302"/>
        <v>-1323792.0027109422</v>
      </c>
      <c r="AA418" s="828">
        <f t="shared" si="302"/>
        <v>7071250.5361820459</v>
      </c>
      <c r="AB418" s="828">
        <f t="shared" si="302"/>
        <v>7041283.3196486775</v>
      </c>
      <c r="AC418" s="828">
        <f t="shared" si="302"/>
        <v>7387649.3456995124</v>
      </c>
      <c r="AD418" s="828">
        <f t="shared" si="302"/>
        <v>7284491.1959977346</v>
      </c>
      <c r="AE418" s="828">
        <f t="shared" si="302"/>
        <v>-1015285.3417896256</v>
      </c>
      <c r="AF418" s="828">
        <f t="shared" si="302"/>
        <v>7471677.3985093823</v>
      </c>
      <c r="AG418" s="828">
        <f t="shared" si="302"/>
        <v>7778100.2366179368</v>
      </c>
      <c r="AH418" s="828">
        <f t="shared" si="302"/>
        <v>7664357.2144104084</v>
      </c>
      <c r="AI418" s="828">
        <f t="shared" si="302"/>
        <v>7982082.007606077</v>
      </c>
      <c r="AJ418" s="828">
        <f t="shared" si="302"/>
        <v>-1568587.9595379755</v>
      </c>
      <c r="AK418" s="828">
        <f t="shared" si="302"/>
        <v>8192059.1966982111</v>
      </c>
      <c r="AL418" s="828">
        <f t="shared" si="302"/>
        <v>8066618.3688111361</v>
      </c>
      <c r="AM418" s="828">
        <f t="shared" si="302"/>
        <v>7899443.6421951847</v>
      </c>
      <c r="AN418" s="828">
        <f t="shared" si="302"/>
        <v>7451355.7133282581</v>
      </c>
      <c r="AO418" s="828">
        <f t="shared" si="302"/>
        <v>-1473035.8397238888</v>
      </c>
      <c r="AP418" s="828">
        <f t="shared" si="302"/>
        <v>8694286.7711813264</v>
      </c>
      <c r="AQ418" s="828">
        <f t="shared" si="302"/>
        <v>9061307.387340378</v>
      </c>
      <c r="AR418" s="828">
        <f t="shared" si="302"/>
        <v>8915967.7801633347</v>
      </c>
      <c r="AS418" s="828">
        <f t="shared" si="302"/>
        <v>9296399.6212621331</v>
      </c>
      <c r="AT418" s="829">
        <f t="shared" si="302"/>
        <v>-2187397.2472559512</v>
      </c>
    </row>
    <row r="419" spans="2:46" ht="15" thickBot="1" x14ac:dyDescent="0.3">
      <c r="B419" s="839"/>
      <c r="C419" s="811"/>
      <c r="D419" s="811"/>
      <c r="E419" s="811"/>
      <c r="F419" s="811"/>
      <c r="G419" s="811"/>
      <c r="H419" s="811"/>
      <c r="I419" s="811"/>
      <c r="J419" s="811"/>
      <c r="K419" s="811"/>
      <c r="L419" s="811"/>
      <c r="M419" s="811"/>
      <c r="N419" s="811"/>
      <c r="O419" s="811"/>
      <c r="P419" s="811"/>
      <c r="Q419" s="811"/>
      <c r="R419" s="811"/>
      <c r="S419" s="811"/>
      <c r="T419" s="811"/>
      <c r="U419" s="811"/>
      <c r="V419" s="811"/>
      <c r="W419" s="811"/>
      <c r="X419" s="811"/>
      <c r="Y419" s="811"/>
      <c r="Z419" s="811"/>
      <c r="AA419" s="811"/>
      <c r="AB419" s="811"/>
      <c r="AC419" s="811"/>
      <c r="AD419" s="811"/>
      <c r="AE419" s="811"/>
      <c r="AF419" s="811"/>
      <c r="AG419" s="811"/>
      <c r="AH419" s="811"/>
      <c r="AI419" s="811"/>
      <c r="AJ419" s="811"/>
      <c r="AK419" s="811"/>
      <c r="AL419" s="811"/>
      <c r="AM419" s="811"/>
      <c r="AN419" s="811"/>
      <c r="AO419" s="811"/>
      <c r="AP419" s="811"/>
      <c r="AQ419" s="811"/>
      <c r="AR419" s="811"/>
      <c r="AS419" s="811"/>
      <c r="AT419" s="811"/>
    </row>
    <row r="420" spans="2:46" ht="14.4" x14ac:dyDescent="0.25">
      <c r="B420" s="835" t="s">
        <v>447</v>
      </c>
      <c r="C420" s="818"/>
      <c r="D420" s="818"/>
      <c r="E420" s="818"/>
      <c r="F420" s="818"/>
      <c r="G420" s="818"/>
      <c r="H420" s="818"/>
      <c r="I420" s="818"/>
      <c r="J420" s="818"/>
      <c r="K420" s="818"/>
      <c r="L420" s="818"/>
      <c r="M420" s="818"/>
      <c r="N420" s="818"/>
      <c r="O420" s="818"/>
      <c r="P420" s="818"/>
      <c r="Q420" s="818"/>
      <c r="R420" s="818"/>
      <c r="S420" s="818"/>
      <c r="T420" s="818"/>
      <c r="U420" s="818"/>
      <c r="V420" s="818"/>
      <c r="W420" s="818"/>
      <c r="X420" s="818"/>
      <c r="Y420" s="818"/>
      <c r="Z420" s="818"/>
      <c r="AA420" s="818"/>
      <c r="AB420" s="818"/>
      <c r="AC420" s="818"/>
      <c r="AD420" s="818"/>
      <c r="AE420" s="818"/>
      <c r="AF420" s="818"/>
      <c r="AG420" s="818"/>
      <c r="AH420" s="818"/>
      <c r="AI420" s="818"/>
      <c r="AJ420" s="818"/>
      <c r="AK420" s="818"/>
      <c r="AL420" s="818"/>
      <c r="AM420" s="818"/>
      <c r="AN420" s="818"/>
      <c r="AO420" s="818"/>
      <c r="AP420" s="818"/>
      <c r="AQ420" s="818"/>
      <c r="AR420" s="818"/>
      <c r="AS420" s="818"/>
      <c r="AT420" s="819"/>
    </row>
    <row r="421" spans="2:46" x14ac:dyDescent="0.25">
      <c r="B421" s="836" t="s">
        <v>448</v>
      </c>
      <c r="C421" s="268">
        <f>C345</f>
        <v>-7968994.6529367194</v>
      </c>
      <c r="D421" s="268">
        <f t="shared" ref="D421:F421" si="303">D345</f>
        <v>-31237973.050517157</v>
      </c>
      <c r="E421" s="268">
        <f t="shared" si="303"/>
        <v>-82610243.589414939</v>
      </c>
      <c r="F421" s="268">
        <f t="shared" si="303"/>
        <v>-33733581.890470475</v>
      </c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8"/>
      <c r="Z421" s="178"/>
      <c r="AA421" s="178"/>
      <c r="AB421" s="178"/>
      <c r="AC421" s="178"/>
      <c r="AD421" s="178"/>
      <c r="AE421" s="178"/>
      <c r="AF421" s="178"/>
      <c r="AG421" s="178"/>
      <c r="AH421" s="178"/>
      <c r="AI421" s="178"/>
      <c r="AJ421" s="178"/>
      <c r="AK421" s="178"/>
      <c r="AL421" s="178"/>
      <c r="AM421" s="178"/>
      <c r="AN421" s="178"/>
      <c r="AO421" s="178"/>
      <c r="AP421" s="178"/>
      <c r="AQ421" s="178"/>
      <c r="AR421" s="178"/>
      <c r="AS421" s="178"/>
      <c r="AT421" s="265"/>
    </row>
    <row r="422" spans="2:46" x14ac:dyDescent="0.25">
      <c r="B422" s="836" t="s">
        <v>383</v>
      </c>
      <c r="C422" s="178"/>
      <c r="D422" s="178"/>
      <c r="E422" s="178"/>
      <c r="F422" s="178"/>
      <c r="G422" s="268">
        <f t="shared" ref="G422:AT422" si="304">G346</f>
        <v>0</v>
      </c>
      <c r="H422" s="268">
        <f t="shared" si="304"/>
        <v>0</v>
      </c>
      <c r="I422" s="268">
        <f t="shared" si="304"/>
        <v>0</v>
      </c>
      <c r="J422" s="268">
        <f t="shared" si="304"/>
        <v>0</v>
      </c>
      <c r="K422" s="268">
        <f t="shared" si="304"/>
        <v>0</v>
      </c>
      <c r="L422" s="268">
        <f t="shared" si="304"/>
        <v>0</v>
      </c>
      <c r="M422" s="268">
        <f t="shared" si="304"/>
        <v>0</v>
      </c>
      <c r="N422" s="268">
        <f t="shared" si="304"/>
        <v>0</v>
      </c>
      <c r="O422" s="268">
        <f t="shared" si="304"/>
        <v>0</v>
      </c>
      <c r="P422" s="268">
        <f t="shared" si="304"/>
        <v>-3207183.885592333</v>
      </c>
      <c r="Q422" s="268">
        <f t="shared" si="304"/>
        <v>-4076709.4482100578</v>
      </c>
      <c r="R422" s="268">
        <f t="shared" si="304"/>
        <v>0</v>
      </c>
      <c r="S422" s="268">
        <f t="shared" si="304"/>
        <v>0</v>
      </c>
      <c r="T422" s="268">
        <f t="shared" si="304"/>
        <v>0</v>
      </c>
      <c r="U422" s="268">
        <f t="shared" si="304"/>
        <v>-4045775.9888849272</v>
      </c>
      <c r="V422" s="268">
        <f t="shared" si="304"/>
        <v>-12077947.469822951</v>
      </c>
      <c r="W422" s="268">
        <f t="shared" si="304"/>
        <v>-5677884.95913505</v>
      </c>
      <c r="X422" s="268">
        <f t="shared" si="304"/>
        <v>0</v>
      </c>
      <c r="Y422" s="268">
        <f t="shared" si="304"/>
        <v>0</v>
      </c>
      <c r="Z422" s="268">
        <f t="shared" si="304"/>
        <v>0</v>
      </c>
      <c r="AA422" s="268">
        <f t="shared" si="304"/>
        <v>-3979709.5823840685</v>
      </c>
      <c r="AB422" s="268">
        <f t="shared" si="304"/>
        <v>-5058688.9580765124</v>
      </c>
      <c r="AC422" s="268">
        <f t="shared" si="304"/>
        <v>0</v>
      </c>
      <c r="AD422" s="268">
        <f t="shared" si="304"/>
        <v>0</v>
      </c>
      <c r="AE422" s="268">
        <f t="shared" si="304"/>
        <v>0</v>
      </c>
      <c r="AF422" s="268">
        <f t="shared" si="304"/>
        <v>0</v>
      </c>
      <c r="AG422" s="268">
        <f t="shared" si="304"/>
        <v>0</v>
      </c>
      <c r="AH422" s="268">
        <f t="shared" si="304"/>
        <v>0</v>
      </c>
      <c r="AI422" s="268">
        <f t="shared" si="304"/>
        <v>0</v>
      </c>
      <c r="AJ422" s="268">
        <f t="shared" si="304"/>
        <v>0</v>
      </c>
      <c r="AK422" s="268">
        <f t="shared" si="304"/>
        <v>0</v>
      </c>
      <c r="AL422" s="268">
        <f t="shared" si="304"/>
        <v>-10528158.00957758</v>
      </c>
      <c r="AM422" s="268">
        <f t="shared" si="304"/>
        <v>-22774109.143506903</v>
      </c>
      <c r="AN422" s="268">
        <f t="shared" si="304"/>
        <v>-7787517.7545387391</v>
      </c>
      <c r="AO422" s="268">
        <f t="shared" si="304"/>
        <v>0</v>
      </c>
      <c r="AP422" s="268">
        <f t="shared" si="304"/>
        <v>0</v>
      </c>
      <c r="AQ422" s="268">
        <f t="shared" si="304"/>
        <v>0</v>
      </c>
      <c r="AR422" s="268">
        <f t="shared" si="304"/>
        <v>0</v>
      </c>
      <c r="AS422" s="268">
        <f t="shared" si="304"/>
        <v>0</v>
      </c>
      <c r="AT422" s="799">
        <f t="shared" si="304"/>
        <v>0</v>
      </c>
    </row>
    <row r="423" spans="2:46" x14ac:dyDescent="0.25">
      <c r="B423" s="836" t="s">
        <v>384</v>
      </c>
      <c r="C423" s="178"/>
      <c r="D423" s="178"/>
      <c r="E423" s="178"/>
      <c r="F423" s="178"/>
      <c r="G423" s="178"/>
      <c r="H423" s="178"/>
      <c r="I423" s="178"/>
      <c r="J423" s="178"/>
      <c r="K423" s="178"/>
      <c r="L423" s="178"/>
      <c r="M423" s="178"/>
      <c r="N423" s="178"/>
      <c r="O423" s="178"/>
      <c r="P423" s="178"/>
      <c r="Q423" s="178"/>
      <c r="R423" s="178"/>
      <c r="S423" s="178"/>
      <c r="T423" s="178"/>
      <c r="U423" s="178"/>
      <c r="V423" s="178"/>
      <c r="W423" s="178"/>
      <c r="X423" s="178"/>
      <c r="Y423" s="178"/>
      <c r="Z423" s="178"/>
      <c r="AA423" s="178"/>
      <c r="AB423" s="178"/>
      <c r="AC423" s="178"/>
      <c r="AD423" s="178"/>
      <c r="AE423" s="178"/>
      <c r="AF423" s="178"/>
      <c r="AG423" s="178"/>
      <c r="AH423" s="178"/>
      <c r="AI423" s="178"/>
      <c r="AJ423" s="758">
        <f>AJ396</f>
        <v>60440401.665283263</v>
      </c>
      <c r="AK423" s="178"/>
      <c r="AL423" s="178"/>
      <c r="AM423" s="178"/>
      <c r="AN423" s="178"/>
      <c r="AO423" s="178"/>
      <c r="AP423" s="178"/>
      <c r="AQ423" s="178"/>
      <c r="AR423" s="178"/>
      <c r="AS423" s="178"/>
      <c r="AT423" s="847">
        <f>AT396</f>
        <v>58149566.525212049</v>
      </c>
    </row>
    <row r="424" spans="2:46" ht="15" thickBot="1" x14ac:dyDescent="0.3">
      <c r="B424" s="842" t="s">
        <v>385</v>
      </c>
      <c r="C424" s="822">
        <f t="shared" ref="C424:AT424" si="305">C421+C422+C423</f>
        <v>-7968994.6529367194</v>
      </c>
      <c r="D424" s="822">
        <f t="shared" si="305"/>
        <v>-31237973.050517157</v>
      </c>
      <c r="E424" s="822">
        <f t="shared" si="305"/>
        <v>-82610243.589414939</v>
      </c>
      <c r="F424" s="822">
        <f t="shared" si="305"/>
        <v>-33733581.890470475</v>
      </c>
      <c r="G424" s="822">
        <f t="shared" si="305"/>
        <v>0</v>
      </c>
      <c r="H424" s="822">
        <f t="shared" si="305"/>
        <v>0</v>
      </c>
      <c r="I424" s="822">
        <f t="shared" si="305"/>
        <v>0</v>
      </c>
      <c r="J424" s="822">
        <f t="shared" si="305"/>
        <v>0</v>
      </c>
      <c r="K424" s="822">
        <f t="shared" si="305"/>
        <v>0</v>
      </c>
      <c r="L424" s="822">
        <f t="shared" si="305"/>
        <v>0</v>
      </c>
      <c r="M424" s="822">
        <f t="shared" si="305"/>
        <v>0</v>
      </c>
      <c r="N424" s="822">
        <f t="shared" si="305"/>
        <v>0</v>
      </c>
      <c r="O424" s="822">
        <f t="shared" si="305"/>
        <v>0</v>
      </c>
      <c r="P424" s="822">
        <f t="shared" si="305"/>
        <v>-3207183.885592333</v>
      </c>
      <c r="Q424" s="822">
        <f t="shared" si="305"/>
        <v>-4076709.4482100578</v>
      </c>
      <c r="R424" s="822">
        <f t="shared" si="305"/>
        <v>0</v>
      </c>
      <c r="S424" s="822">
        <f t="shared" si="305"/>
        <v>0</v>
      </c>
      <c r="T424" s="822">
        <f t="shared" si="305"/>
        <v>0</v>
      </c>
      <c r="U424" s="822">
        <f t="shared" si="305"/>
        <v>-4045775.9888849272</v>
      </c>
      <c r="V424" s="822">
        <f t="shared" si="305"/>
        <v>-12077947.469822951</v>
      </c>
      <c r="W424" s="822">
        <f t="shared" si="305"/>
        <v>-5677884.95913505</v>
      </c>
      <c r="X424" s="822">
        <f t="shared" si="305"/>
        <v>0</v>
      </c>
      <c r="Y424" s="822">
        <f t="shared" si="305"/>
        <v>0</v>
      </c>
      <c r="Z424" s="822">
        <f t="shared" si="305"/>
        <v>0</v>
      </c>
      <c r="AA424" s="822">
        <f t="shared" si="305"/>
        <v>-3979709.5823840685</v>
      </c>
      <c r="AB424" s="822">
        <f t="shared" si="305"/>
        <v>-5058688.9580765124</v>
      </c>
      <c r="AC424" s="822">
        <f t="shared" si="305"/>
        <v>0</v>
      </c>
      <c r="AD424" s="822">
        <f t="shared" si="305"/>
        <v>0</v>
      </c>
      <c r="AE424" s="822">
        <f t="shared" si="305"/>
        <v>0</v>
      </c>
      <c r="AF424" s="822">
        <f t="shared" si="305"/>
        <v>0</v>
      </c>
      <c r="AG424" s="822">
        <f t="shared" si="305"/>
        <v>0</v>
      </c>
      <c r="AH424" s="822">
        <f t="shared" si="305"/>
        <v>0</v>
      </c>
      <c r="AI424" s="822">
        <f t="shared" si="305"/>
        <v>0</v>
      </c>
      <c r="AJ424" s="822">
        <f t="shared" si="305"/>
        <v>60440401.665283263</v>
      </c>
      <c r="AK424" s="822">
        <f t="shared" si="305"/>
        <v>0</v>
      </c>
      <c r="AL424" s="822">
        <f t="shared" si="305"/>
        <v>-10528158.00957758</v>
      </c>
      <c r="AM424" s="822">
        <f t="shared" si="305"/>
        <v>-22774109.143506903</v>
      </c>
      <c r="AN424" s="822">
        <f t="shared" si="305"/>
        <v>-7787517.7545387391</v>
      </c>
      <c r="AO424" s="822">
        <f t="shared" si="305"/>
        <v>0</v>
      </c>
      <c r="AP424" s="822">
        <f t="shared" si="305"/>
        <v>0</v>
      </c>
      <c r="AQ424" s="822">
        <f t="shared" si="305"/>
        <v>0</v>
      </c>
      <c r="AR424" s="822">
        <f t="shared" si="305"/>
        <v>0</v>
      </c>
      <c r="AS424" s="822">
        <f t="shared" si="305"/>
        <v>0</v>
      </c>
      <c r="AT424" s="823">
        <f t="shared" si="305"/>
        <v>58149566.525212049</v>
      </c>
    </row>
    <row r="425" spans="2:46" ht="14.4" x14ac:dyDescent="0.25">
      <c r="B425" s="838"/>
      <c r="C425" s="178"/>
      <c r="D425" s="178"/>
      <c r="E425" s="178"/>
      <c r="F425" s="178"/>
      <c r="G425" s="178"/>
      <c r="H425" s="178"/>
      <c r="I425" s="178"/>
      <c r="J425" s="178"/>
      <c r="K425" s="178"/>
      <c r="L425" s="178"/>
      <c r="M425" s="178"/>
      <c r="N425" s="178"/>
      <c r="O425" s="178"/>
      <c r="P425" s="178"/>
      <c r="Q425" s="178"/>
      <c r="R425" s="178"/>
      <c r="S425" s="178"/>
      <c r="T425" s="178"/>
      <c r="U425" s="178"/>
      <c r="V425" s="178"/>
      <c r="W425" s="178"/>
      <c r="X425" s="178"/>
      <c r="Y425" s="178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/>
      <c r="AS425" s="178"/>
      <c r="AT425" s="178"/>
    </row>
    <row r="426" spans="2:46" ht="14.4" x14ac:dyDescent="0.25">
      <c r="B426" s="838"/>
      <c r="C426" s="178"/>
      <c r="D426" s="178"/>
      <c r="E426" s="884" t="s">
        <v>473</v>
      </c>
      <c r="F426" s="178">
        <f>C424+D424+E424+F424</f>
        <v>-155550793.1833393</v>
      </c>
      <c r="G426" s="178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  <c r="R426" s="178"/>
      <c r="S426" s="178"/>
      <c r="T426" s="178"/>
      <c r="U426" s="178"/>
      <c r="V426" s="178"/>
      <c r="W426" s="178"/>
      <c r="X426" s="178"/>
      <c r="Y426" s="178"/>
      <c r="Z426" s="178"/>
      <c r="AA426" s="178"/>
      <c r="AB426" s="178"/>
      <c r="AC426" s="178"/>
      <c r="AD426" s="178"/>
      <c r="AE426" s="178"/>
      <c r="AF426" s="178"/>
      <c r="AG426" s="178"/>
      <c r="AH426" s="178"/>
      <c r="AI426" s="178"/>
      <c r="AJ426" s="178"/>
      <c r="AK426" s="178"/>
      <c r="AL426" s="178"/>
      <c r="AM426" s="178"/>
      <c r="AN426" s="178"/>
      <c r="AO426" s="178"/>
      <c r="AP426" s="178"/>
      <c r="AQ426" s="178"/>
      <c r="AR426" s="178"/>
      <c r="AS426" s="178"/>
      <c r="AT426" s="178"/>
    </row>
    <row r="427" spans="2:46" ht="14.4" x14ac:dyDescent="0.25">
      <c r="B427" s="838"/>
      <c r="C427" s="178"/>
      <c r="D427" s="178"/>
      <c r="E427" s="178"/>
      <c r="F427" s="178"/>
      <c r="G427" s="178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78"/>
      <c r="S427" s="178"/>
      <c r="T427" s="178"/>
      <c r="U427" s="178"/>
      <c r="V427" s="178"/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</row>
    <row r="428" spans="2:46" ht="14.4" x14ac:dyDescent="0.25">
      <c r="B428" s="844" t="s">
        <v>436</v>
      </c>
      <c r="C428" s="178">
        <f t="shared" ref="C428:AJ428" si="306">C418+C424</f>
        <v>-7968994.6529367194</v>
      </c>
      <c r="D428" s="178">
        <f t="shared" si="306"/>
        <v>-31237973.050517157</v>
      </c>
      <c r="E428" s="178">
        <f t="shared" si="306"/>
        <v>-82610243.589414939</v>
      </c>
      <c r="F428" s="178">
        <f t="shared" si="306"/>
        <v>-33733581.890470475</v>
      </c>
      <c r="G428" s="178">
        <f t="shared" si="306"/>
        <v>2683380.3885693634</v>
      </c>
      <c r="H428" s="178">
        <f t="shared" si="306"/>
        <v>4667830.2998685446</v>
      </c>
      <c r="I428" s="178">
        <f t="shared" si="306"/>
        <v>4928531.2101917779</v>
      </c>
      <c r="J428" s="178">
        <f t="shared" si="306"/>
        <v>4928183.800021857</v>
      </c>
      <c r="K428" s="178">
        <f t="shared" si="306"/>
        <v>-1314582.8938131686</v>
      </c>
      <c r="L428" s="178">
        <f t="shared" si="306"/>
        <v>5086519.5158779593</v>
      </c>
      <c r="M428" s="178">
        <f t="shared" si="306"/>
        <v>5347889.2260057069</v>
      </c>
      <c r="N428" s="178">
        <f t="shared" si="306"/>
        <v>5311816.1710627917</v>
      </c>
      <c r="O428" s="178">
        <f t="shared" si="306"/>
        <v>5551366.7407300957</v>
      </c>
      <c r="P428" s="178">
        <f t="shared" si="306"/>
        <v>-4544759.8867226345</v>
      </c>
      <c r="Q428" s="178">
        <f t="shared" si="306"/>
        <v>1481269.5983598949</v>
      </c>
      <c r="R428" s="178">
        <f t="shared" si="306"/>
        <v>5772523.7103867987</v>
      </c>
      <c r="S428" s="178">
        <f t="shared" si="306"/>
        <v>6000260.0055092312</v>
      </c>
      <c r="T428" s="178">
        <f t="shared" si="306"/>
        <v>5921417.5517118145</v>
      </c>
      <c r="U428" s="178">
        <f t="shared" si="306"/>
        <v>-5210918.0706358552</v>
      </c>
      <c r="V428" s="178">
        <f t="shared" si="306"/>
        <v>-6364833.0106530171</v>
      </c>
      <c r="W428" s="178">
        <f t="shared" si="306"/>
        <v>280540.2451010067</v>
      </c>
      <c r="X428" s="178">
        <f t="shared" si="306"/>
        <v>6441076.5548479743</v>
      </c>
      <c r="Y428" s="178">
        <f t="shared" si="306"/>
        <v>6761447.6599550182</v>
      </c>
      <c r="Z428" s="178">
        <f t="shared" si="306"/>
        <v>-1323792.0027109422</v>
      </c>
      <c r="AA428" s="178">
        <f t="shared" si="306"/>
        <v>3091540.9537979774</v>
      </c>
      <c r="AB428" s="178">
        <f t="shared" si="306"/>
        <v>1982594.361572165</v>
      </c>
      <c r="AC428" s="178">
        <f t="shared" si="306"/>
        <v>7387649.3456995124</v>
      </c>
      <c r="AD428" s="178">
        <f t="shared" si="306"/>
        <v>7284491.1959977346</v>
      </c>
      <c r="AE428" s="178">
        <f t="shared" si="306"/>
        <v>-1015285.3417896256</v>
      </c>
      <c r="AF428" s="178">
        <f t="shared" si="306"/>
        <v>7471677.3985093823</v>
      </c>
      <c r="AG428" s="178">
        <f t="shared" si="306"/>
        <v>7778100.2366179368</v>
      </c>
      <c r="AH428" s="178">
        <f t="shared" si="306"/>
        <v>7664357.2144104084</v>
      </c>
      <c r="AI428" s="178">
        <f t="shared" si="306"/>
        <v>7982082.007606077</v>
      </c>
      <c r="AJ428" s="178">
        <f t="shared" si="306"/>
        <v>58871813.705745287</v>
      </c>
      <c r="AK428" s="178"/>
      <c r="AL428" s="178"/>
      <c r="AM428" s="178"/>
      <c r="AN428" s="178"/>
      <c r="AO428" s="178"/>
      <c r="AP428" s="178"/>
      <c r="AQ428" s="178"/>
      <c r="AR428" s="178"/>
      <c r="AS428" s="178"/>
      <c r="AT428" s="178"/>
    </row>
    <row r="429" spans="2:46" ht="14.4" x14ac:dyDescent="0.25">
      <c r="B429" s="844" t="s">
        <v>438</v>
      </c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848">
        <f>IRR(C428:AJ428)</f>
        <v>1.4921646623371476E-3</v>
      </c>
      <c r="AK429" s="178"/>
      <c r="AL429" s="178"/>
      <c r="AM429" s="178"/>
      <c r="AN429" s="178"/>
      <c r="AO429" s="178"/>
      <c r="AP429" s="178"/>
      <c r="AQ429" s="178"/>
      <c r="AR429" s="178"/>
      <c r="AS429" s="178"/>
      <c r="AT429" s="178"/>
    </row>
    <row r="430" spans="2:46" ht="14.4" x14ac:dyDescent="0.25">
      <c r="B430" s="844"/>
      <c r="C430" s="178"/>
      <c r="D430" s="178"/>
      <c r="E430" s="178"/>
      <c r="F430" s="178"/>
      <c r="G430" s="17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78"/>
      <c r="T430" s="178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178"/>
    </row>
    <row r="431" spans="2:46" ht="14.4" x14ac:dyDescent="0.25">
      <c r="B431" s="844" t="s">
        <v>437</v>
      </c>
      <c r="C431" s="178">
        <f>C418+C424</f>
        <v>-7968994.6529367194</v>
      </c>
      <c r="D431" s="178">
        <f t="shared" ref="D431:AI431" si="307">D418+D424</f>
        <v>-31237973.050517157</v>
      </c>
      <c r="E431" s="178">
        <f t="shared" si="307"/>
        <v>-82610243.589414939</v>
      </c>
      <c r="F431" s="178">
        <f t="shared" si="307"/>
        <v>-33733581.890470475</v>
      </c>
      <c r="G431" s="178">
        <f t="shared" si="307"/>
        <v>2683380.3885693634</v>
      </c>
      <c r="H431" s="178">
        <f t="shared" si="307"/>
        <v>4667830.2998685446</v>
      </c>
      <c r="I431" s="178">
        <f t="shared" si="307"/>
        <v>4928531.2101917779</v>
      </c>
      <c r="J431" s="178">
        <f t="shared" si="307"/>
        <v>4928183.800021857</v>
      </c>
      <c r="K431" s="178">
        <f t="shared" si="307"/>
        <v>-1314582.8938131686</v>
      </c>
      <c r="L431" s="178">
        <f t="shared" si="307"/>
        <v>5086519.5158779593</v>
      </c>
      <c r="M431" s="178">
        <f t="shared" si="307"/>
        <v>5347889.2260057069</v>
      </c>
      <c r="N431" s="178">
        <f t="shared" si="307"/>
        <v>5311816.1710627917</v>
      </c>
      <c r="O431" s="178">
        <f t="shared" si="307"/>
        <v>5551366.7407300957</v>
      </c>
      <c r="P431" s="178">
        <f t="shared" si="307"/>
        <v>-4544759.8867226345</v>
      </c>
      <c r="Q431" s="178">
        <f t="shared" si="307"/>
        <v>1481269.5983598949</v>
      </c>
      <c r="R431" s="178">
        <f t="shared" si="307"/>
        <v>5772523.7103867987</v>
      </c>
      <c r="S431" s="178">
        <f t="shared" si="307"/>
        <v>6000260.0055092312</v>
      </c>
      <c r="T431" s="178">
        <f t="shared" si="307"/>
        <v>5921417.5517118145</v>
      </c>
      <c r="U431" s="178">
        <f t="shared" si="307"/>
        <v>-5210918.0706358552</v>
      </c>
      <c r="V431" s="178">
        <f t="shared" si="307"/>
        <v>-6364833.0106530171</v>
      </c>
      <c r="W431" s="178">
        <f t="shared" si="307"/>
        <v>280540.2451010067</v>
      </c>
      <c r="X431" s="178">
        <f t="shared" si="307"/>
        <v>6441076.5548479743</v>
      </c>
      <c r="Y431" s="178">
        <f t="shared" si="307"/>
        <v>6761447.6599550182</v>
      </c>
      <c r="Z431" s="178">
        <f t="shared" si="307"/>
        <v>-1323792.0027109422</v>
      </c>
      <c r="AA431" s="178">
        <f t="shared" si="307"/>
        <v>3091540.9537979774</v>
      </c>
      <c r="AB431" s="178">
        <f t="shared" si="307"/>
        <v>1982594.361572165</v>
      </c>
      <c r="AC431" s="178">
        <f t="shared" si="307"/>
        <v>7387649.3456995124</v>
      </c>
      <c r="AD431" s="178">
        <f t="shared" si="307"/>
        <v>7284491.1959977346</v>
      </c>
      <c r="AE431" s="178">
        <f t="shared" si="307"/>
        <v>-1015285.3417896256</v>
      </c>
      <c r="AF431" s="178">
        <f t="shared" si="307"/>
        <v>7471677.3985093823</v>
      </c>
      <c r="AG431" s="178">
        <f t="shared" si="307"/>
        <v>7778100.2366179368</v>
      </c>
      <c r="AH431" s="178">
        <f t="shared" si="307"/>
        <v>7664357.2144104084</v>
      </c>
      <c r="AI431" s="178">
        <f t="shared" si="307"/>
        <v>7982082.007606077</v>
      </c>
      <c r="AJ431" s="178">
        <f>AJ418+AJ422</f>
        <v>-1568587.9595379755</v>
      </c>
      <c r="AK431" s="178">
        <f t="shared" ref="AK431:AT431" si="308">AK418+AK424</f>
        <v>8192059.1966982111</v>
      </c>
      <c r="AL431" s="178">
        <f t="shared" si="308"/>
        <v>-2461539.6407664437</v>
      </c>
      <c r="AM431" s="178">
        <f t="shared" si="308"/>
        <v>-14874665.501311719</v>
      </c>
      <c r="AN431" s="178">
        <f t="shared" si="308"/>
        <v>-336162.04121048097</v>
      </c>
      <c r="AO431" s="178">
        <f t="shared" si="308"/>
        <v>-1473035.8397238888</v>
      </c>
      <c r="AP431" s="178">
        <f t="shared" si="308"/>
        <v>8694286.7711813264</v>
      </c>
      <c r="AQ431" s="178">
        <f t="shared" si="308"/>
        <v>9061307.387340378</v>
      </c>
      <c r="AR431" s="178">
        <f t="shared" si="308"/>
        <v>8915967.7801633347</v>
      </c>
      <c r="AS431" s="178">
        <f t="shared" si="308"/>
        <v>9296399.6212621331</v>
      </c>
      <c r="AT431" s="178">
        <f t="shared" si="308"/>
        <v>55962169.277956098</v>
      </c>
    </row>
    <row r="432" spans="2:46" ht="14.4" x14ac:dyDescent="0.25">
      <c r="B432" s="844" t="s">
        <v>439</v>
      </c>
      <c r="C432" s="178"/>
      <c r="D432" s="178"/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78"/>
      <c r="S432" s="178"/>
      <c r="T432" s="178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849">
        <f>IRR(C431:AT431)</f>
        <v>5.6148776141997647E-3</v>
      </c>
    </row>
    <row r="433" spans="2:46" ht="14.4" x14ac:dyDescent="0.25">
      <c r="B433" s="844"/>
      <c r="C433" s="178"/>
      <c r="D433" s="178"/>
      <c r="E433" s="178"/>
      <c r="F433" s="178"/>
      <c r="G433" s="178"/>
      <c r="H433" s="178"/>
      <c r="I433" s="178"/>
      <c r="J433" s="178"/>
      <c r="K433" s="178"/>
      <c r="L433" s="178"/>
      <c r="M433" s="178"/>
      <c r="N433" s="178"/>
      <c r="O433" s="178"/>
      <c r="P433" s="178"/>
      <c r="Q433" s="178"/>
      <c r="R433" s="178"/>
      <c r="S433" s="178"/>
      <c r="T433" s="178"/>
      <c r="U433" s="178"/>
      <c r="V433" s="178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/>
      <c r="AS433" s="178"/>
      <c r="AT433" s="178"/>
    </row>
    <row r="434" spans="2:46" ht="14.4" x14ac:dyDescent="0.25">
      <c r="B434" s="844" t="s">
        <v>450</v>
      </c>
      <c r="C434" s="178">
        <f>C408</f>
        <v>0</v>
      </c>
      <c r="D434" s="178">
        <f t="shared" ref="D434:AT434" si="309">D408</f>
        <v>0</v>
      </c>
      <c r="E434" s="178">
        <f t="shared" si="309"/>
        <v>0</v>
      </c>
      <c r="F434" s="178">
        <f t="shared" si="309"/>
        <v>0</v>
      </c>
      <c r="G434" s="178">
        <f t="shared" si="309"/>
        <v>2683380.3885693634</v>
      </c>
      <c r="H434" s="178">
        <f t="shared" si="309"/>
        <v>4770951.9750548191</v>
      </c>
      <c r="I434" s="178">
        <f t="shared" si="309"/>
        <v>5172030.2986290241</v>
      </c>
      <c r="J434" s="178">
        <f t="shared" si="309"/>
        <v>5171495.821444531</v>
      </c>
      <c r="K434" s="178">
        <f t="shared" si="309"/>
        <v>-1314582.8938131686</v>
      </c>
      <c r="L434" s="178">
        <f t="shared" si="309"/>
        <v>5549571.0497350022</v>
      </c>
      <c r="M434" s="178">
        <f t="shared" si="309"/>
        <v>5951678.2960853828</v>
      </c>
      <c r="N434" s="178">
        <f t="shared" si="309"/>
        <v>5896181.2884808993</v>
      </c>
      <c r="O434" s="178">
        <f t="shared" si="309"/>
        <v>6264720.6264305972</v>
      </c>
      <c r="P434" s="178">
        <f t="shared" si="309"/>
        <v>-1337576.0011303015</v>
      </c>
      <c r="Q434" s="178">
        <f t="shared" si="309"/>
        <v>6592789.1198890097</v>
      </c>
      <c r="R434" s="178">
        <f t="shared" si="309"/>
        <v>6530648.1924024913</v>
      </c>
      <c r="S434" s="178">
        <f t="shared" si="309"/>
        <v>6881011.7233600803</v>
      </c>
      <c r="T434" s="178">
        <f t="shared" si="309"/>
        <v>6759715.6405948233</v>
      </c>
      <c r="U434" s="178">
        <f t="shared" si="309"/>
        <v>-1165142.0817509275</v>
      </c>
      <c r="V434" s="178">
        <f t="shared" si="309"/>
        <v>6995997.4828490475</v>
      </c>
      <c r="W434" s="178">
        <f t="shared" si="309"/>
        <v>7373398.6291046217</v>
      </c>
      <c r="X434" s="178">
        <f t="shared" si="309"/>
        <v>7333317.3278670562</v>
      </c>
      <c r="Y434" s="178">
        <f t="shared" si="309"/>
        <v>7826195.9511086624</v>
      </c>
      <c r="Z434" s="178">
        <f t="shared" si="309"/>
        <v>-1323792.0027109422</v>
      </c>
      <c r="AA434" s="178">
        <f t="shared" si="309"/>
        <v>8302815.7606887044</v>
      </c>
      <c r="AB434" s="178">
        <f t="shared" si="309"/>
        <v>8256712.3506373689</v>
      </c>
      <c r="AC434" s="178">
        <f t="shared" si="309"/>
        <v>8695109.8026647512</v>
      </c>
      <c r="AD434" s="178">
        <f t="shared" si="309"/>
        <v>8536404.9569697082</v>
      </c>
      <c r="AE434" s="178">
        <f t="shared" si="309"/>
        <v>-1015285.3417896256</v>
      </c>
      <c r="AF434" s="178">
        <f t="shared" si="309"/>
        <v>8824383.7300645504</v>
      </c>
      <c r="AG434" s="178">
        <f t="shared" si="309"/>
        <v>9295803.4810007885</v>
      </c>
      <c r="AH434" s="178">
        <f t="shared" si="309"/>
        <v>9120814.2160661295</v>
      </c>
      <c r="AI434" s="178">
        <f t="shared" si="309"/>
        <v>9609621.5902133118</v>
      </c>
      <c r="AJ434" s="178">
        <f t="shared" si="309"/>
        <v>-1568587.9595379755</v>
      </c>
      <c r="AK434" s="178">
        <f t="shared" si="309"/>
        <v>9932663.4195858259</v>
      </c>
      <c r="AL434" s="178">
        <f t="shared" si="309"/>
        <v>9739677.5305287875</v>
      </c>
      <c r="AM434" s="178">
        <f t="shared" si="309"/>
        <v>10265107.484067839</v>
      </c>
      <c r="AN434" s="178">
        <f t="shared" si="309"/>
        <v>10062424.437989675</v>
      </c>
      <c r="AO434" s="178">
        <f t="shared" si="309"/>
        <v>-1473035.8397238888</v>
      </c>
      <c r="AP434" s="178">
        <f t="shared" si="309"/>
        <v>10394249.722855039</v>
      </c>
      <c r="AQ434" s="178">
        <f t="shared" si="309"/>
        <v>10958896.824638195</v>
      </c>
      <c r="AR434" s="178">
        <f t="shared" si="309"/>
        <v>10735297.428981207</v>
      </c>
      <c r="AS434" s="178">
        <f t="shared" si="309"/>
        <v>11320577.184517819</v>
      </c>
      <c r="AT434" s="178">
        <f t="shared" si="309"/>
        <v>-2187397.2472559512</v>
      </c>
    </row>
    <row r="435" spans="2:46" ht="14.4" x14ac:dyDescent="0.25">
      <c r="B435" s="844" t="s">
        <v>451</v>
      </c>
      <c r="C435" s="178">
        <f>C434+C395</f>
        <v>0</v>
      </c>
      <c r="D435" s="178">
        <f t="shared" ref="D435:AT435" si="310">D434+D395</f>
        <v>0</v>
      </c>
      <c r="E435" s="178">
        <f t="shared" si="310"/>
        <v>0</v>
      </c>
      <c r="F435" s="178">
        <f t="shared" si="310"/>
        <v>0</v>
      </c>
      <c r="G435" s="178">
        <f t="shared" si="310"/>
        <v>-1792938.2288103849</v>
      </c>
      <c r="H435" s="178">
        <f t="shared" si="310"/>
        <v>294633.35767507087</v>
      </c>
      <c r="I435" s="178">
        <f t="shared" si="310"/>
        <v>695711.6812492758</v>
      </c>
      <c r="J435" s="178">
        <f t="shared" si="310"/>
        <v>695177.20406478271</v>
      </c>
      <c r="K435" s="178">
        <f t="shared" si="310"/>
        <v>-5790901.5111929169</v>
      </c>
      <c r="L435" s="178">
        <f t="shared" si="310"/>
        <v>1323004.3824486947</v>
      </c>
      <c r="M435" s="178">
        <f t="shared" si="310"/>
        <v>1725111.6287990753</v>
      </c>
      <c r="N435" s="178">
        <f t="shared" si="310"/>
        <v>1669614.6211945917</v>
      </c>
      <c r="O435" s="178">
        <f t="shared" si="310"/>
        <v>2038153.9591442896</v>
      </c>
      <c r="P435" s="178">
        <f t="shared" si="310"/>
        <v>-5564142.6684166091</v>
      </c>
      <c r="Q435" s="178">
        <f t="shared" si="310"/>
        <v>2956600.2094830219</v>
      </c>
      <c r="R435" s="178">
        <f t="shared" si="310"/>
        <v>2166069.9486162644</v>
      </c>
      <c r="S435" s="178">
        <f t="shared" si="310"/>
        <v>2516433.4795738533</v>
      </c>
      <c r="T435" s="178">
        <f t="shared" si="310"/>
        <v>2395137.3968085963</v>
      </c>
      <c r="U435" s="178">
        <f t="shared" si="310"/>
        <v>-5529720.3255371545</v>
      </c>
      <c r="V435" s="178">
        <f t="shared" si="310"/>
        <v>3665380.0676546115</v>
      </c>
      <c r="W435" s="178">
        <f t="shared" si="310"/>
        <v>4042781.2139101857</v>
      </c>
      <c r="X435" s="178">
        <f t="shared" si="310"/>
        <v>2549259.3514830917</v>
      </c>
      <c r="Y435" s="178">
        <f t="shared" si="310"/>
        <v>3042137.9747246979</v>
      </c>
      <c r="Z435" s="178">
        <f t="shared" si="310"/>
        <v>-6107849.9790949067</v>
      </c>
      <c r="AA435" s="178">
        <f t="shared" si="310"/>
        <v>3518757.7843047399</v>
      </c>
      <c r="AB435" s="178">
        <f t="shared" si="310"/>
        <v>3472654.3742534043</v>
      </c>
      <c r="AC435" s="178">
        <f t="shared" si="310"/>
        <v>3735601.3056149678</v>
      </c>
      <c r="AD435" s="178">
        <f t="shared" si="310"/>
        <v>3576896.4599199248</v>
      </c>
      <c r="AE435" s="178">
        <f t="shared" si="310"/>
        <v>-5974793.8388394089</v>
      </c>
      <c r="AF435" s="178">
        <f t="shared" si="310"/>
        <v>3864875.2330147671</v>
      </c>
      <c r="AG435" s="178">
        <f t="shared" si="310"/>
        <v>4336294.9839510052</v>
      </c>
      <c r="AH435" s="178">
        <f t="shared" si="310"/>
        <v>4161305.7190163461</v>
      </c>
      <c r="AI435" s="178">
        <f t="shared" si="310"/>
        <v>4650113.0931635285</v>
      </c>
      <c r="AJ435" s="178">
        <f t="shared" si="310"/>
        <v>-6528096.4565877588</v>
      </c>
      <c r="AK435" s="178">
        <f t="shared" si="310"/>
        <v>4973154.9225360425</v>
      </c>
      <c r="AL435" s="178">
        <f t="shared" si="310"/>
        <v>4780169.0334790042</v>
      </c>
      <c r="AM435" s="178">
        <f t="shared" si="310"/>
        <v>6759039.5482075838</v>
      </c>
      <c r="AN435" s="178">
        <f t="shared" si="310"/>
        <v>7460196.3561754776</v>
      </c>
      <c r="AO435" s="178">
        <f t="shared" si="310"/>
        <v>-7010248.5577968881</v>
      </c>
      <c r="AP435" s="178">
        <f t="shared" si="310"/>
        <v>4857037.0047820397</v>
      </c>
      <c r="AQ435" s="178">
        <f t="shared" si="310"/>
        <v>5421684.1065651961</v>
      </c>
      <c r="AR435" s="178">
        <f t="shared" si="310"/>
        <v>5198084.710908208</v>
      </c>
      <c r="AS435" s="178">
        <f t="shared" si="310"/>
        <v>5783364.4664448202</v>
      </c>
      <c r="AT435" s="178">
        <f t="shared" si="310"/>
        <v>-7724609.9653289504</v>
      </c>
    </row>
    <row r="436" spans="2:46" ht="14.4" x14ac:dyDescent="0.25">
      <c r="B436" s="844"/>
      <c r="C436" s="178"/>
      <c r="D436" s="178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78"/>
      <c r="S436" s="178"/>
      <c r="T436" s="178"/>
      <c r="U436" s="178"/>
      <c r="V436" s="178"/>
      <c r="W436" s="178"/>
      <c r="X436" s="178"/>
      <c r="Y436" s="178"/>
      <c r="Z436" s="178"/>
      <c r="AA436" s="178"/>
      <c r="AB436" s="178"/>
      <c r="AC436" s="178"/>
      <c r="AD436" s="178"/>
      <c r="AE436" s="178"/>
      <c r="AF436" s="178"/>
      <c r="AG436" s="178"/>
      <c r="AH436" s="178"/>
      <c r="AI436" s="178"/>
      <c r="AJ436" s="178"/>
      <c r="AK436" s="178"/>
      <c r="AL436" s="178"/>
      <c r="AM436" s="178"/>
      <c r="AN436" s="178"/>
      <c r="AO436" s="178"/>
      <c r="AP436" s="178"/>
      <c r="AQ436" s="178"/>
      <c r="AR436" s="178"/>
      <c r="AS436" s="178"/>
      <c r="AT436" s="178"/>
    </row>
    <row r="437" spans="2:46" ht="14.4" x14ac:dyDescent="0.25">
      <c r="B437" s="844" t="s">
        <v>489</v>
      </c>
      <c r="C437" s="908"/>
      <c r="D437" s="908"/>
      <c r="E437" s="908"/>
      <c r="F437" s="908"/>
      <c r="G437" s="909">
        <f>ABS(G406)/ABS(G401)</f>
        <v>1.621406470403689</v>
      </c>
      <c r="H437" s="909">
        <f t="shared" ref="H437:AT437" si="311">ABS(H406)/ABS(H401)</f>
        <v>2.0762505957578634</v>
      </c>
      <c r="I437" s="909">
        <f t="shared" si="311"/>
        <v>2.1399983670808229</v>
      </c>
      <c r="J437" s="909">
        <f t="shared" si="311"/>
        <v>2.1137515459442344</v>
      </c>
      <c r="K437" s="909">
        <f t="shared" si="311"/>
        <v>0.88684853877720338</v>
      </c>
      <c r="L437" s="909">
        <f t="shared" si="311"/>
        <v>2.140964071273955</v>
      </c>
      <c r="M437" s="909">
        <f t="shared" si="311"/>
        <v>2.1955381150029463</v>
      </c>
      <c r="N437" s="909">
        <f t="shared" si="311"/>
        <v>2.1571785352582999</v>
      </c>
      <c r="O437" s="909">
        <f t="shared" si="311"/>
        <v>2.2012432050826036</v>
      </c>
      <c r="P437" s="909">
        <f t="shared" si="311"/>
        <v>0.89616343204720428</v>
      </c>
      <c r="Q437" s="909">
        <f t="shared" si="311"/>
        <v>2.2066468367314567</v>
      </c>
      <c r="R437" s="909">
        <f t="shared" si="311"/>
        <v>2.1677485458210675</v>
      </c>
      <c r="S437" s="909">
        <f t="shared" si="311"/>
        <v>2.2020471501360266</v>
      </c>
      <c r="T437" s="909">
        <f t="shared" si="311"/>
        <v>2.1536335895102252</v>
      </c>
      <c r="U437" s="909">
        <f t="shared" si="311"/>
        <v>0.91844372029533117</v>
      </c>
      <c r="V437" s="909">
        <f t="shared" si="311"/>
        <v>2.1394936545327825</v>
      </c>
      <c r="W437" s="909">
        <f t="shared" si="311"/>
        <v>2.1732282443554416</v>
      </c>
      <c r="X437" s="909">
        <f t="shared" si="311"/>
        <v>2.1398872126622743</v>
      </c>
      <c r="Y437" s="909">
        <f t="shared" si="311"/>
        <v>2.1883730703005364</v>
      </c>
      <c r="Z437" s="909">
        <f t="shared" si="311"/>
        <v>0.91647258916813668</v>
      </c>
      <c r="AA437" s="909">
        <f t="shared" si="311"/>
        <v>2.2030704068264275</v>
      </c>
      <c r="AB437" s="909">
        <f t="shared" si="311"/>
        <v>2.1686801445142287</v>
      </c>
      <c r="AC437" s="909">
        <f t="shared" si="311"/>
        <v>2.2022104568316183</v>
      </c>
      <c r="AD437" s="909">
        <f t="shared" si="311"/>
        <v>2.1528993820740898</v>
      </c>
      <c r="AE437" s="909">
        <f t="shared" si="311"/>
        <v>0.94226897424489076</v>
      </c>
      <c r="AF437" s="909">
        <f t="shared" si="311"/>
        <v>2.1371161737790056</v>
      </c>
      <c r="AG437" s="909">
        <f t="shared" si="311"/>
        <v>2.170039338526895</v>
      </c>
      <c r="AH437" s="909">
        <f t="shared" si="311"/>
        <v>2.1213320755412961</v>
      </c>
      <c r="AI437" s="909">
        <f t="shared" si="311"/>
        <v>2.1539528152621021</v>
      </c>
      <c r="AJ437" s="909">
        <f t="shared" si="311"/>
        <v>0.91964366953317611</v>
      </c>
      <c r="AK437" s="909">
        <f t="shared" si="311"/>
        <v>2.137867763080306</v>
      </c>
      <c r="AL437" s="909">
        <f t="shared" si="311"/>
        <v>2.0897674314380996</v>
      </c>
      <c r="AM437" s="909">
        <f t="shared" si="311"/>
        <v>2.1217857662701674</v>
      </c>
      <c r="AN437" s="909">
        <f t="shared" si="311"/>
        <v>2.0739899944267983</v>
      </c>
      <c r="AO437" s="909">
        <f t="shared" si="311"/>
        <v>0.93203430533300602</v>
      </c>
      <c r="AP437" s="909">
        <f t="shared" si="311"/>
        <v>2.0582178841659311</v>
      </c>
      <c r="AQ437" s="909">
        <f t="shared" si="311"/>
        <v>2.0896372679786439</v>
      </c>
      <c r="AR437" s="909">
        <f t="shared" si="311"/>
        <v>2.0424526505521015</v>
      </c>
      <c r="AS437" s="909">
        <f t="shared" si="311"/>
        <v>2.0735739255812784</v>
      </c>
      <c r="AT437" s="909">
        <f t="shared" si="311"/>
        <v>0.90912561754016485</v>
      </c>
    </row>
    <row r="438" spans="2:46" ht="14.4" x14ac:dyDescent="0.25">
      <c r="B438" s="844" t="s">
        <v>490</v>
      </c>
      <c r="C438" s="908"/>
      <c r="D438" s="908"/>
      <c r="E438" s="908"/>
      <c r="F438" s="908"/>
      <c r="G438" s="909">
        <f>G437-1</f>
        <v>0.62140647040368902</v>
      </c>
      <c r="H438" s="909">
        <f t="shared" ref="H438" si="312">H437-1</f>
        <v>1.0762505957578634</v>
      </c>
      <c r="I438" s="909">
        <f t="shared" ref="I438" si="313">I437-1</f>
        <v>1.1399983670808229</v>
      </c>
      <c r="J438" s="909">
        <f t="shared" ref="J438" si="314">J437-1</f>
        <v>1.1137515459442344</v>
      </c>
      <c r="K438" s="909">
        <f t="shared" ref="K438" si="315">K437-1</f>
        <v>-0.11315146122279662</v>
      </c>
      <c r="L438" s="909">
        <f t="shared" ref="L438" si="316">L437-1</f>
        <v>1.140964071273955</v>
      </c>
      <c r="M438" s="909">
        <f t="shared" ref="M438" si="317">M437-1</f>
        <v>1.1955381150029463</v>
      </c>
      <c r="N438" s="909">
        <f t="shared" ref="N438" si="318">N437-1</f>
        <v>1.1571785352582999</v>
      </c>
      <c r="O438" s="909">
        <f t="shared" ref="O438" si="319">O437-1</f>
        <v>1.2012432050826036</v>
      </c>
      <c r="P438" s="909">
        <f t="shared" ref="P438" si="320">P437-1</f>
        <v>-0.10383656795279572</v>
      </c>
      <c r="Q438" s="909">
        <f t="shared" ref="Q438" si="321">Q437-1</f>
        <v>1.2066468367314567</v>
      </c>
      <c r="R438" s="909">
        <f t="shared" ref="R438" si="322">R437-1</f>
        <v>1.1677485458210675</v>
      </c>
      <c r="S438" s="909">
        <f t="shared" ref="S438" si="323">S437-1</f>
        <v>1.2020471501360266</v>
      </c>
      <c r="T438" s="909">
        <f t="shared" ref="T438" si="324">T437-1</f>
        <v>1.1536335895102252</v>
      </c>
      <c r="U438" s="909">
        <f t="shared" ref="U438" si="325">U437-1</f>
        <v>-8.1556279704668833E-2</v>
      </c>
      <c r="V438" s="909">
        <f t="shared" ref="V438" si="326">V437-1</f>
        <v>1.1394936545327825</v>
      </c>
      <c r="W438" s="909">
        <f t="shared" ref="W438" si="327">W437-1</f>
        <v>1.1732282443554416</v>
      </c>
      <c r="X438" s="909">
        <f t="shared" ref="X438" si="328">X437-1</f>
        <v>1.1398872126622743</v>
      </c>
      <c r="Y438" s="909">
        <f t="shared" ref="Y438" si="329">Y437-1</f>
        <v>1.1883730703005364</v>
      </c>
      <c r="Z438" s="909">
        <f t="shared" ref="Z438" si="330">Z437-1</f>
        <v>-8.3527410831863325E-2</v>
      </c>
      <c r="AA438" s="909">
        <f t="shared" ref="AA438" si="331">AA437-1</f>
        <v>1.2030704068264275</v>
      </c>
      <c r="AB438" s="909">
        <f t="shared" ref="AB438" si="332">AB437-1</f>
        <v>1.1686801445142287</v>
      </c>
      <c r="AC438" s="909">
        <f t="shared" ref="AC438" si="333">AC437-1</f>
        <v>1.2022104568316183</v>
      </c>
      <c r="AD438" s="909">
        <f t="shared" ref="AD438" si="334">AD437-1</f>
        <v>1.1528993820740898</v>
      </c>
      <c r="AE438" s="909">
        <f t="shared" ref="AE438" si="335">AE437-1</f>
        <v>-5.7731025755109244E-2</v>
      </c>
      <c r="AF438" s="909">
        <f t="shared" ref="AF438" si="336">AF437-1</f>
        <v>1.1371161737790056</v>
      </c>
      <c r="AG438" s="909">
        <f t="shared" ref="AG438" si="337">AG437-1</f>
        <v>1.170039338526895</v>
      </c>
      <c r="AH438" s="909">
        <f t="shared" ref="AH438" si="338">AH437-1</f>
        <v>1.1213320755412961</v>
      </c>
      <c r="AI438" s="909">
        <f t="shared" ref="AI438" si="339">AI437-1</f>
        <v>1.1539528152621021</v>
      </c>
      <c r="AJ438" s="909">
        <f t="shared" ref="AJ438" si="340">AJ437-1</f>
        <v>-8.0356330466823889E-2</v>
      </c>
      <c r="AK438" s="909">
        <f t="shared" ref="AK438" si="341">AK437-1</f>
        <v>1.137867763080306</v>
      </c>
      <c r="AL438" s="909">
        <f t="shared" ref="AL438" si="342">AL437-1</f>
        <v>1.0897674314380996</v>
      </c>
      <c r="AM438" s="909">
        <f t="shared" ref="AM438" si="343">AM437-1</f>
        <v>1.1217857662701674</v>
      </c>
      <c r="AN438" s="909">
        <f t="shared" ref="AN438" si="344">AN437-1</f>
        <v>1.0739899944267983</v>
      </c>
      <c r="AO438" s="909">
        <f t="shared" ref="AO438" si="345">AO437-1</f>
        <v>-6.7965694666993981E-2</v>
      </c>
      <c r="AP438" s="909">
        <f t="shared" ref="AP438" si="346">AP437-1</f>
        <v>1.0582178841659311</v>
      </c>
      <c r="AQ438" s="909">
        <f t="shared" ref="AQ438" si="347">AQ437-1</f>
        <v>1.0896372679786439</v>
      </c>
      <c r="AR438" s="909">
        <f t="shared" ref="AR438" si="348">AR437-1</f>
        <v>1.0424526505521015</v>
      </c>
      <c r="AS438" s="909">
        <f t="shared" ref="AS438" si="349">AS437-1</f>
        <v>1.0735739255812784</v>
      </c>
      <c r="AT438" s="909">
        <f t="shared" ref="AT438" si="350">AT437-1</f>
        <v>-9.0874382459835146E-2</v>
      </c>
    </row>
    <row r="439" spans="2:46" ht="14.4" x14ac:dyDescent="0.25">
      <c r="B439" s="844"/>
      <c r="C439" s="178"/>
      <c r="D439" s="178"/>
      <c r="E439" s="178"/>
      <c r="F439" s="178"/>
      <c r="G439" s="178"/>
      <c r="H439" s="178"/>
      <c r="I439" s="178"/>
      <c r="J439" s="178"/>
      <c r="K439" s="178"/>
      <c r="L439" s="178"/>
      <c r="M439" s="178"/>
      <c r="N439" s="178"/>
      <c r="O439" s="178"/>
      <c r="P439" s="178"/>
      <c r="Q439" s="178"/>
      <c r="R439" s="178"/>
      <c r="S439" s="178"/>
      <c r="T439" s="178"/>
      <c r="U439" s="178"/>
      <c r="V439" s="178"/>
      <c r="W439" s="178"/>
      <c r="X439" s="178"/>
      <c r="Y439" s="178"/>
      <c r="Z439" s="178"/>
      <c r="AA439" s="178"/>
      <c r="AB439" s="178"/>
      <c r="AC439" s="178"/>
      <c r="AD439" s="178"/>
      <c r="AE439" s="178"/>
      <c r="AF439" s="178"/>
      <c r="AG439" s="178"/>
      <c r="AH439" s="178"/>
      <c r="AI439" s="178"/>
      <c r="AJ439" s="178"/>
      <c r="AK439" s="178"/>
      <c r="AL439" s="178"/>
      <c r="AM439" s="178"/>
      <c r="AN439" s="178"/>
      <c r="AO439" s="178"/>
      <c r="AP439" s="178"/>
      <c r="AQ439" s="178"/>
      <c r="AR439" s="178"/>
      <c r="AS439" s="178"/>
      <c r="AT439" s="178"/>
    </row>
    <row r="440" spans="2:46" ht="14.4" x14ac:dyDescent="0.25">
      <c r="B440" s="907" t="s">
        <v>404</v>
      </c>
      <c r="C440" s="268">
        <f>C431/((1+$C$26)^C372)</f>
        <v>-7968994.6529367194</v>
      </c>
      <c r="D440" s="268">
        <f>D431/((1+$C$26)^D372)</f>
        <v>-27644223.938510761</v>
      </c>
      <c r="E440" s="268">
        <f t="shared" ref="E440:AT440" si="351">E431/((1+$C$26)^E372)</f>
        <v>-64695938.279751711</v>
      </c>
      <c r="F440" s="268">
        <f t="shared" si="351"/>
        <v>-23379064.403398503</v>
      </c>
      <c r="G440" s="268">
        <f t="shared" si="351"/>
        <v>1645767.4457971537</v>
      </c>
      <c r="H440" s="268">
        <f t="shared" si="351"/>
        <v>2533511.2748129382</v>
      </c>
      <c r="I440" s="268">
        <f t="shared" si="351"/>
        <v>2367264.8532875883</v>
      </c>
      <c r="J440" s="268">
        <f t="shared" si="351"/>
        <v>2094776.9785365989</v>
      </c>
      <c r="K440" s="268">
        <f t="shared" si="351"/>
        <v>-494493.31955919618</v>
      </c>
      <c r="L440" s="268">
        <f t="shared" si="351"/>
        <v>1693225.2015399798</v>
      </c>
      <c r="M440" s="268">
        <f t="shared" si="351"/>
        <v>1575425.8530505251</v>
      </c>
      <c r="N440" s="268">
        <f t="shared" si="351"/>
        <v>1384778.0100734769</v>
      </c>
      <c r="O440" s="268">
        <f t="shared" si="351"/>
        <v>1280732.9923987726</v>
      </c>
      <c r="P440" s="268">
        <f t="shared" si="351"/>
        <v>-927878.64113619935</v>
      </c>
      <c r="Q440" s="268">
        <f t="shared" si="351"/>
        <v>267630.68192823499</v>
      </c>
      <c r="R440" s="268">
        <f t="shared" si="351"/>
        <v>922973.162620474</v>
      </c>
      <c r="S440" s="268">
        <f t="shared" si="351"/>
        <v>849014.23922775546</v>
      </c>
      <c r="T440" s="268">
        <f t="shared" si="351"/>
        <v>741467.54720282624</v>
      </c>
      <c r="U440" s="268">
        <f t="shared" si="351"/>
        <v>-577433.88059273968</v>
      </c>
      <c r="V440" s="268">
        <f t="shared" si="351"/>
        <v>-624160.9409637769</v>
      </c>
      <c r="W440" s="268">
        <f t="shared" si="351"/>
        <v>24345.92626811795</v>
      </c>
      <c r="X440" s="268">
        <f t="shared" si="351"/>
        <v>494664.95995137683</v>
      </c>
      <c r="Y440" s="268">
        <f t="shared" si="351"/>
        <v>459530.06848650152</v>
      </c>
      <c r="Z440" s="268">
        <f t="shared" si="351"/>
        <v>-79618.78630391226</v>
      </c>
      <c r="AA440" s="268">
        <f t="shared" si="351"/>
        <v>164547.90617465932</v>
      </c>
      <c r="AB440" s="268">
        <f t="shared" si="351"/>
        <v>93384.066039490994</v>
      </c>
      <c r="AC440" s="268">
        <f t="shared" si="351"/>
        <v>307940.45201859006</v>
      </c>
      <c r="AD440" s="268">
        <f t="shared" si="351"/>
        <v>268708.40354206396</v>
      </c>
      <c r="AE440" s="268">
        <f t="shared" si="351"/>
        <v>-33142.990973772343</v>
      </c>
      <c r="AF440" s="268">
        <f t="shared" si="351"/>
        <v>215845.62546725196</v>
      </c>
      <c r="AG440" s="268">
        <f t="shared" si="351"/>
        <v>198847.54390914037</v>
      </c>
      <c r="AH440" s="268">
        <f t="shared" si="351"/>
        <v>173397.96241671089</v>
      </c>
      <c r="AI440" s="268">
        <f t="shared" si="351"/>
        <v>159810.75156427757</v>
      </c>
      <c r="AJ440" s="268">
        <f t="shared" si="351"/>
        <v>-27792.028220602195</v>
      </c>
      <c r="AK440" s="268">
        <f t="shared" si="351"/>
        <v>128447.60278985424</v>
      </c>
      <c r="AL440" s="268">
        <f t="shared" si="351"/>
        <v>-34155.552285659447</v>
      </c>
      <c r="AM440" s="268">
        <f t="shared" si="351"/>
        <v>-182651.49984393048</v>
      </c>
      <c r="AN440" s="268">
        <f t="shared" si="351"/>
        <v>-3652.9713262820674</v>
      </c>
      <c r="AO440" s="268">
        <f t="shared" si="351"/>
        <v>-14165.518030206906</v>
      </c>
      <c r="AP440" s="268">
        <f t="shared" si="351"/>
        <v>73990.279000136114</v>
      </c>
      <c r="AQ440" s="268">
        <f t="shared" si="351"/>
        <v>68242.216451499175</v>
      </c>
      <c r="AR440" s="268">
        <f t="shared" si="351"/>
        <v>59422.68994847477</v>
      </c>
      <c r="AS440" s="268">
        <f t="shared" si="351"/>
        <v>54830.241408860828</v>
      </c>
      <c r="AT440" s="268">
        <f t="shared" si="351"/>
        <v>292093.21643225383</v>
      </c>
    </row>
    <row r="441" spans="2:46" ht="14.4" x14ac:dyDescent="0.25">
      <c r="B441" s="907" t="s">
        <v>403</v>
      </c>
      <c r="C441" s="824">
        <f>SUM(C440)</f>
        <v>-7968994.6529367194</v>
      </c>
      <c r="D441" s="824">
        <f>SUM(C440:D440)</f>
        <v>-35613218.59144748</v>
      </c>
      <c r="E441" s="824">
        <f>SUM(C440:E440)</f>
        <v>-100309156.87119919</v>
      </c>
      <c r="F441" s="824">
        <f>SUM(C440:F440)</f>
        <v>-123688221.27459769</v>
      </c>
      <c r="G441" s="824">
        <f>SUM(C440:G440)</f>
        <v>-122042453.82880053</v>
      </c>
      <c r="H441" s="824">
        <f>SUM(C440:H440)</f>
        <v>-119508942.55398759</v>
      </c>
      <c r="I441" s="824">
        <f>SUM(C440:I440)</f>
        <v>-117141677.7007</v>
      </c>
      <c r="J441" s="824">
        <f>SUM(C440:J440)</f>
        <v>-115046900.72216339</v>
      </c>
      <c r="K441" s="824">
        <f>SUM(C440:K440)</f>
        <v>-115541394.0417226</v>
      </c>
      <c r="L441" s="824">
        <f>SUM(C440:L440)</f>
        <v>-113848168.84018262</v>
      </c>
      <c r="M441" s="824">
        <f>SUM(C440:M440)</f>
        <v>-112272742.98713209</v>
      </c>
      <c r="N441" s="824">
        <f>SUM(C440:N440)</f>
        <v>-110887964.9770586</v>
      </c>
      <c r="O441" s="824">
        <f>SUM(C440:O440)</f>
        <v>-109607231.98465984</v>
      </c>
      <c r="P441" s="824">
        <f>SUM(C440:P440)</f>
        <v>-110535110.62579603</v>
      </c>
      <c r="Q441" s="824">
        <f>SUM(C440:Q440)</f>
        <v>-110267479.9438678</v>
      </c>
      <c r="R441" s="824">
        <f>SUM(C440:R440)</f>
        <v>-109344506.78124733</v>
      </c>
      <c r="S441" s="824">
        <f>SUM(C440:S440)</f>
        <v>-108495492.54201958</v>
      </c>
      <c r="T441" s="824">
        <f>SUM(C440:T440)</f>
        <v>-107754024.99481675</v>
      </c>
      <c r="U441" s="824">
        <f>SUM(C440:U440)</f>
        <v>-108331458.87540948</v>
      </c>
      <c r="V441" s="824">
        <f>SUM(C440:V440)</f>
        <v>-108955619.81637326</v>
      </c>
      <c r="W441" s="824">
        <f>SUM(C440:W440)</f>
        <v>-108931273.89010514</v>
      </c>
      <c r="X441" s="824">
        <f>SUM(C440:X440)</f>
        <v>-108436608.93015377</v>
      </c>
      <c r="Y441" s="824">
        <f>SUM(C440:Y440)</f>
        <v>-107977078.86166728</v>
      </c>
      <c r="Z441" s="824">
        <f>SUM(C440:Z440)</f>
        <v>-108056697.64797118</v>
      </c>
      <c r="AA441" s="824">
        <f>SUM(C440:AA440)</f>
        <v>-107892149.74179652</v>
      </c>
      <c r="AB441" s="824">
        <f>SUM(C440:AB440)</f>
        <v>-107798765.67575704</v>
      </c>
      <c r="AC441" s="824">
        <f>SUM(C440:AC440)</f>
        <v>-107490825.22373845</v>
      </c>
      <c r="AD441" s="824">
        <f>SUM(C440:AD440)</f>
        <v>-107222116.82019639</v>
      </c>
      <c r="AE441" s="824">
        <f>SUM(C440:AE440)</f>
        <v>-107255259.81117016</v>
      </c>
      <c r="AF441" s="824">
        <f>SUM(C440:AF440)</f>
        <v>-107039414.18570291</v>
      </c>
      <c r="AG441" s="824">
        <f>SUM(C440:AG440)</f>
        <v>-106840566.64179376</v>
      </c>
      <c r="AH441" s="824">
        <f>SUM(C440:AH440)</f>
        <v>-106667168.67937705</v>
      </c>
      <c r="AI441" s="824">
        <f>SUM(C440:AI440)</f>
        <v>-106507357.92781277</v>
      </c>
      <c r="AJ441" s="824">
        <f>SUM(C440:AJ440)</f>
        <v>-106535149.95603338</v>
      </c>
      <c r="AK441" s="824">
        <f>SUM(C440:AK440)</f>
        <v>-106406702.35324353</v>
      </c>
      <c r="AL441" s="824">
        <f>SUM(C440:AL440)</f>
        <v>-106440857.90552919</v>
      </c>
      <c r="AM441" s="824">
        <f>SUM(C440:AM440)</f>
        <v>-106623509.40537311</v>
      </c>
      <c r="AN441" s="824">
        <f>SUM(C440:AN440)</f>
        <v>-106627162.37669939</v>
      </c>
      <c r="AO441" s="824">
        <f>SUM(C440:AO440)</f>
        <v>-106641327.8947296</v>
      </c>
      <c r="AP441" s="824">
        <f>SUM(C440:AP440)</f>
        <v>-106567337.61572947</v>
      </c>
      <c r="AQ441" s="824">
        <f>SUM(C440:AQ440)</f>
        <v>-106499095.39927797</v>
      </c>
      <c r="AR441" s="824">
        <f>SUM(C440:AR440)</f>
        <v>-106439672.7093295</v>
      </c>
      <c r="AS441" s="824">
        <f>SUM(C440:AS440)</f>
        <v>-106384842.46792065</v>
      </c>
      <c r="AT441" s="824">
        <f>SUM(C440:AT440)</f>
        <v>-106092749.25148839</v>
      </c>
    </row>
  </sheetData>
  <sheetProtection algorithmName="SHA-512" hashValue="UIvHWdafJu780esz5YPCJcnsSWKz3tzFDACNdmBx3O/xvWf4yQjRhbPd+PbXIJAQQ2rNF11bGsg+sxmlEtfb7A==" saltValue="BXpNH38OpbgtUfViKq0/Ug==" spinCount="100000" sheet="1" objects="1" scenarios="1"/>
  <mergeCells count="7">
    <mergeCell ref="C47:I47"/>
    <mergeCell ref="C52:I52"/>
    <mergeCell ref="C57:I57"/>
    <mergeCell ref="C29:G29"/>
    <mergeCell ref="B4:B7"/>
    <mergeCell ref="C37:I37"/>
    <mergeCell ref="C42:I42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theme="3" tint="-0.249977111117893"/>
  </sheetPr>
  <dimension ref="A1:BN441"/>
  <sheetViews>
    <sheetView zoomScale="98" zoomScaleNormal="98" workbookViewId="0">
      <selection activeCell="B120" sqref="B120"/>
    </sheetView>
  </sheetViews>
  <sheetFormatPr baseColWidth="10" defaultRowHeight="13.2" x14ac:dyDescent="0.25"/>
  <cols>
    <col min="2" max="2" width="56.88671875" bestFit="1" customWidth="1"/>
    <col min="3" max="3" width="20.44140625" bestFit="1" customWidth="1"/>
    <col min="4" max="7" width="16" bestFit="1" customWidth="1"/>
    <col min="8" max="46" width="12.6640625" bestFit="1" customWidth="1"/>
  </cols>
  <sheetData>
    <row r="1" spans="1:43" s="898" customFormat="1" ht="13.8" thickBot="1" x14ac:dyDescent="0.3"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899"/>
      <c r="U1" s="899"/>
      <c r="V1" s="899"/>
      <c r="W1" s="899"/>
      <c r="X1" s="899"/>
      <c r="Y1" s="899"/>
      <c r="Z1" s="899"/>
      <c r="AA1" s="899"/>
      <c r="AB1" s="899"/>
      <c r="AC1" s="899"/>
      <c r="AD1" s="899"/>
      <c r="AE1" s="899"/>
      <c r="AF1" s="899"/>
      <c r="AG1" s="899"/>
      <c r="AH1" s="899"/>
      <c r="AI1" s="899"/>
      <c r="AJ1" s="899"/>
      <c r="AK1" s="899"/>
      <c r="AL1" s="899"/>
      <c r="AM1" s="899"/>
      <c r="AN1" s="899"/>
      <c r="AO1" s="899"/>
      <c r="AP1" s="899"/>
      <c r="AQ1" s="900"/>
    </row>
    <row r="2" spans="1:43" s="808" customFormat="1" ht="21" x14ac:dyDescent="0.4">
      <c r="A2" s="885"/>
      <c r="B2" s="897" t="s">
        <v>563</v>
      </c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5"/>
      <c r="Y2" s="895"/>
      <c r="Z2" s="895"/>
      <c r="AA2" s="895"/>
      <c r="AB2" s="895"/>
      <c r="AC2" s="895"/>
      <c r="AD2" s="895"/>
      <c r="AE2" s="895"/>
      <c r="AF2" s="895"/>
      <c r="AG2" s="895"/>
      <c r="AH2" s="895"/>
      <c r="AI2" s="895"/>
      <c r="AJ2" s="895"/>
      <c r="AK2" s="895"/>
      <c r="AL2" s="895"/>
      <c r="AM2" s="895"/>
      <c r="AN2" s="895"/>
      <c r="AO2" s="895"/>
      <c r="AP2" s="895"/>
      <c r="AQ2" s="896"/>
    </row>
    <row r="3" spans="1:43" x14ac:dyDescent="0.25">
      <c r="A3" s="13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6"/>
    </row>
    <row r="4" spans="1:43" ht="14.4" x14ac:dyDescent="0.25">
      <c r="A4" s="13"/>
      <c r="B4" s="1078" t="s">
        <v>260</v>
      </c>
      <c r="C4" s="366" t="s">
        <v>312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6"/>
    </row>
    <row r="5" spans="1:43" ht="14.4" x14ac:dyDescent="0.25">
      <c r="A5" s="13"/>
      <c r="B5" s="1079"/>
      <c r="C5" s="498" t="s">
        <v>325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6"/>
    </row>
    <row r="6" spans="1:43" ht="14.4" x14ac:dyDescent="0.25">
      <c r="A6" s="13"/>
      <c r="B6" s="1079"/>
      <c r="C6" s="499" t="s">
        <v>324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6"/>
    </row>
    <row r="7" spans="1:43" ht="14.4" x14ac:dyDescent="0.25">
      <c r="A7" s="13"/>
      <c r="B7" s="1080"/>
      <c r="C7" s="367" t="s">
        <v>261</v>
      </c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6"/>
    </row>
    <row r="8" spans="1:43" x14ac:dyDescent="0.25">
      <c r="A8" s="13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6"/>
    </row>
    <row r="9" spans="1:43" ht="13.8" thickBot="1" x14ac:dyDescent="0.3">
      <c r="A9" s="13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6"/>
    </row>
    <row r="10" spans="1:43" ht="15" thickBot="1" x14ac:dyDescent="0.35">
      <c r="A10" s="13"/>
      <c r="B10" s="805" t="s">
        <v>402</v>
      </c>
      <c r="C10" s="806"/>
      <c r="D10" s="179"/>
      <c r="E10" s="177"/>
      <c r="F10" s="177"/>
      <c r="G10" s="177"/>
      <c r="H10" s="177"/>
      <c r="I10" s="177"/>
      <c r="J10" s="177"/>
      <c r="K10" s="177"/>
      <c r="L10" s="177"/>
      <c r="M10" s="177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6"/>
    </row>
    <row r="11" spans="1:43" x14ac:dyDescent="0.25">
      <c r="A11" s="13"/>
      <c r="B11" s="905" t="s">
        <v>484</v>
      </c>
      <c r="C11" s="969">
        <f>CHIFFRAGE_TC!M204</f>
        <v>90844857.685050756</v>
      </c>
      <c r="D11" s="804"/>
      <c r="E11" s="177"/>
      <c r="F11" s="177"/>
      <c r="H11" s="177"/>
      <c r="I11" s="178"/>
      <c r="J11" s="271"/>
      <c r="K11" s="177"/>
      <c r="L11" s="177"/>
      <c r="M11" s="177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6"/>
    </row>
    <row r="12" spans="1:43" x14ac:dyDescent="0.25">
      <c r="A12" s="13"/>
      <c r="B12" s="901" t="s">
        <v>485</v>
      </c>
      <c r="C12" s="902">
        <f>-F122</f>
        <v>94005833.541378304</v>
      </c>
      <c r="D12" s="804"/>
      <c r="E12" s="177"/>
      <c r="F12" s="177"/>
      <c r="H12" s="177"/>
      <c r="I12" s="178"/>
      <c r="J12" s="271"/>
      <c r="K12" s="177"/>
      <c r="L12" s="177"/>
      <c r="M12" s="177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6"/>
    </row>
    <row r="13" spans="1:43" x14ac:dyDescent="0.25">
      <c r="A13" s="13"/>
      <c r="B13" s="901" t="s">
        <v>486</v>
      </c>
      <c r="C13" s="902">
        <f>C12-C11</f>
        <v>3160975.8563275486</v>
      </c>
      <c r="D13" s="804"/>
      <c r="E13" s="177"/>
      <c r="F13" s="177"/>
      <c r="H13" s="177"/>
      <c r="I13" s="178"/>
      <c r="J13" s="271"/>
      <c r="K13" s="177"/>
      <c r="L13" s="177"/>
      <c r="M13" s="177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6"/>
    </row>
    <row r="14" spans="1:43" x14ac:dyDescent="0.25">
      <c r="A14" s="13"/>
      <c r="B14" s="213" t="s">
        <v>380</v>
      </c>
      <c r="C14" s="802">
        <f>CHIFFRAGE_TC!G202</f>
        <v>1750</v>
      </c>
      <c r="D14" s="177"/>
      <c r="E14" s="177"/>
      <c r="F14" s="177"/>
      <c r="H14" s="177"/>
      <c r="I14" s="268"/>
      <c r="J14" s="260"/>
      <c r="K14" s="260"/>
      <c r="L14" s="177"/>
      <c r="M14" s="177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6"/>
    </row>
    <row r="15" spans="1:43" x14ac:dyDescent="0.25">
      <c r="A15" s="13"/>
      <c r="B15" s="938" t="s">
        <v>381</v>
      </c>
      <c r="C15" s="939">
        <v>20</v>
      </c>
      <c r="D15" s="177"/>
      <c r="E15" s="177"/>
      <c r="F15" s="177"/>
      <c r="H15" s="177"/>
      <c r="I15" s="268"/>
      <c r="J15" s="260"/>
      <c r="K15" s="260"/>
      <c r="L15" s="177"/>
      <c r="M15" s="177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6"/>
    </row>
    <row r="16" spans="1:43" x14ac:dyDescent="0.25">
      <c r="A16" s="13"/>
      <c r="B16" s="943" t="s">
        <v>382</v>
      </c>
      <c r="C16" s="944"/>
      <c r="D16" s="177"/>
      <c r="E16" s="177"/>
      <c r="F16" s="177"/>
      <c r="H16" s="177"/>
      <c r="I16" s="260"/>
      <c r="J16" s="260"/>
      <c r="K16" s="260"/>
      <c r="L16" s="177"/>
      <c r="M16" s="177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6"/>
    </row>
    <row r="17" spans="1:45" s="91" customFormat="1" x14ac:dyDescent="0.25">
      <c r="A17" s="94"/>
      <c r="B17" s="935" t="s">
        <v>507</v>
      </c>
      <c r="C17" s="946">
        <f>CHIFFRAGE_TC!M218</f>
        <v>0.23013699343294833</v>
      </c>
      <c r="D17" s="941" t="s">
        <v>513</v>
      </c>
      <c r="E17" s="910"/>
      <c r="F17" s="910"/>
      <c r="H17" s="910"/>
      <c r="I17" s="936"/>
      <c r="J17" s="936"/>
      <c r="K17" s="936"/>
      <c r="L17" s="910"/>
      <c r="M17" s="910"/>
      <c r="N17" s="937"/>
      <c r="O17" s="937"/>
      <c r="P17" s="937"/>
      <c r="Q17" s="937"/>
      <c r="R17" s="937"/>
      <c r="S17" s="937"/>
      <c r="T17" s="937"/>
      <c r="U17" s="937"/>
      <c r="V17" s="937"/>
      <c r="W17" s="937"/>
      <c r="X17" s="937"/>
      <c r="Y17" s="937"/>
      <c r="Z17" s="937"/>
      <c r="AA17" s="937"/>
      <c r="AB17" s="937"/>
      <c r="AC17" s="937"/>
      <c r="AD17" s="937"/>
      <c r="AE17" s="937"/>
      <c r="AF17" s="937"/>
      <c r="AG17" s="937"/>
      <c r="AH17" s="937"/>
      <c r="AI17" s="937"/>
      <c r="AJ17" s="937"/>
      <c r="AK17" s="937"/>
      <c r="AL17" s="937"/>
      <c r="AM17" s="937"/>
      <c r="AN17" s="937"/>
      <c r="AO17" s="937"/>
      <c r="AP17" s="937"/>
    </row>
    <row r="18" spans="1:45" x14ac:dyDescent="0.25">
      <c r="A18" s="13"/>
      <c r="B18" s="935" t="s">
        <v>508</v>
      </c>
      <c r="C18" s="946">
        <f>CHIFFRAGE_TC!M219</f>
        <v>0.26828387817410493</v>
      </c>
      <c r="D18" s="941" t="s">
        <v>513</v>
      </c>
      <c r="E18" s="177"/>
      <c r="F18" s="177"/>
      <c r="H18" s="177"/>
      <c r="I18" s="260"/>
      <c r="J18" s="260"/>
      <c r="K18" s="260"/>
      <c r="L18" s="177"/>
      <c r="M18" s="177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6"/>
    </row>
    <row r="19" spans="1:45" x14ac:dyDescent="0.25">
      <c r="A19" s="13"/>
      <c r="B19" s="935" t="s">
        <v>509</v>
      </c>
      <c r="C19" s="946">
        <f>CHIFFRAGE_TC!M220</f>
        <v>0.46768156165052532</v>
      </c>
      <c r="D19" s="941" t="s">
        <v>513</v>
      </c>
      <c r="E19" s="177"/>
      <c r="F19" s="177"/>
      <c r="H19" s="177"/>
      <c r="I19" s="260"/>
      <c r="J19" s="260"/>
      <c r="K19" s="260"/>
      <c r="L19" s="177"/>
      <c r="M19" s="177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6"/>
    </row>
    <row r="20" spans="1:45" x14ac:dyDescent="0.25">
      <c r="A20" s="13"/>
      <c r="B20" s="935" t="s">
        <v>510</v>
      </c>
      <c r="C20" s="946">
        <f>CHIFFRAGE_TC!M221</f>
        <v>0.10004953000066474</v>
      </c>
      <c r="D20" s="941" t="s">
        <v>513</v>
      </c>
      <c r="E20" s="177"/>
      <c r="F20" s="177"/>
      <c r="H20" s="177"/>
      <c r="I20" s="260"/>
      <c r="J20" s="260"/>
      <c r="K20" s="260"/>
      <c r="L20" s="177"/>
      <c r="M20" s="177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6"/>
    </row>
    <row r="21" spans="1:45" x14ac:dyDescent="0.25">
      <c r="A21" s="13"/>
      <c r="B21" s="935" t="s">
        <v>511</v>
      </c>
      <c r="C21" s="946">
        <f>CHIFFRAGE_TC!M222</f>
        <v>2.5003223679233952E-2</v>
      </c>
      <c r="D21" s="941" t="s">
        <v>513</v>
      </c>
      <c r="E21" s="177"/>
      <c r="F21" s="177"/>
      <c r="H21" s="177"/>
      <c r="I21" s="260"/>
      <c r="J21" s="260"/>
      <c r="K21" s="260"/>
      <c r="L21" s="177"/>
      <c r="M21" s="177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6"/>
    </row>
    <row r="22" spans="1:45" x14ac:dyDescent="0.25">
      <c r="A22" s="13"/>
      <c r="B22" s="945" t="s">
        <v>512</v>
      </c>
      <c r="C22" s="947">
        <f>CHIFFRAGE_TC!M223</f>
        <v>7.4995597314029654E-3</v>
      </c>
      <c r="D22" s="941" t="s">
        <v>513</v>
      </c>
      <c r="E22" s="177"/>
      <c r="F22" s="177"/>
      <c r="H22" s="177"/>
      <c r="I22" s="260"/>
      <c r="J22" s="260"/>
      <c r="K22" s="260"/>
      <c r="L22" s="177"/>
      <c r="M22" s="177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6"/>
    </row>
    <row r="23" spans="1:45" x14ac:dyDescent="0.25">
      <c r="A23" s="13"/>
      <c r="B23" s="213" t="s">
        <v>432</v>
      </c>
      <c r="C23" s="803">
        <v>0</v>
      </c>
      <c r="D23" s="804" t="s">
        <v>433</v>
      </c>
      <c r="E23" s="177"/>
      <c r="F23" s="177"/>
      <c r="H23" s="177"/>
      <c r="I23" s="260"/>
      <c r="J23" s="260"/>
      <c r="K23" s="269"/>
      <c r="L23" s="175"/>
      <c r="M23" s="177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6"/>
    </row>
    <row r="24" spans="1:45" x14ac:dyDescent="0.25">
      <c r="A24" s="13"/>
      <c r="B24" s="213" t="s">
        <v>399</v>
      </c>
      <c r="C24" s="803">
        <v>0.35</v>
      </c>
      <c r="D24" s="177" t="s">
        <v>227</v>
      </c>
      <c r="E24" s="177"/>
      <c r="F24" s="177"/>
      <c r="H24" s="177"/>
      <c r="I24" s="260"/>
      <c r="J24" s="260"/>
      <c r="K24" s="269"/>
      <c r="L24" s="175"/>
      <c r="M24" s="177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6"/>
    </row>
    <row r="25" spans="1:45" x14ac:dyDescent="0.25">
      <c r="A25" s="13"/>
      <c r="B25" s="213" t="s">
        <v>452</v>
      </c>
      <c r="C25" s="803">
        <v>0.02</v>
      </c>
      <c r="D25" s="177"/>
      <c r="E25" s="177"/>
      <c r="F25" s="177"/>
      <c r="H25" s="177"/>
      <c r="I25" s="177"/>
      <c r="J25" s="177"/>
      <c r="K25" s="175"/>
      <c r="L25" s="175"/>
      <c r="M25" s="177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6"/>
    </row>
    <row r="26" spans="1:45" ht="13.8" thickBot="1" x14ac:dyDescent="0.3">
      <c r="A26" s="13"/>
      <c r="B26" s="903" t="s">
        <v>398</v>
      </c>
      <c r="C26" s="904">
        <v>0.13</v>
      </c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6"/>
    </row>
    <row r="27" spans="1:45" x14ac:dyDescent="0.25">
      <c r="A27" s="13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K27" s="1"/>
      <c r="AL27" s="1"/>
      <c r="AM27" s="1"/>
      <c r="AN27" s="1"/>
      <c r="AO27" s="1"/>
      <c r="AP27" s="1"/>
      <c r="AQ27" s="1"/>
      <c r="AR27" s="1"/>
      <c r="AS27" s="1"/>
    </row>
    <row r="28" spans="1:45" ht="13.8" thickBot="1" x14ac:dyDescent="0.3">
      <c r="A28" s="13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K28" s="1"/>
      <c r="AL28" s="1"/>
      <c r="AM28" s="1"/>
      <c r="AN28" s="1"/>
      <c r="AO28" s="1"/>
      <c r="AP28" s="1"/>
      <c r="AQ28" s="1"/>
      <c r="AR28" s="1"/>
      <c r="AS28" s="1"/>
    </row>
    <row r="29" spans="1:45" x14ac:dyDescent="0.25">
      <c r="A29" s="13"/>
      <c r="B29" s="804"/>
      <c r="C29" s="1118" t="s">
        <v>453</v>
      </c>
      <c r="D29" s="1119"/>
      <c r="E29" s="1119"/>
      <c r="F29" s="1119"/>
      <c r="G29" s="1120"/>
      <c r="H29" s="177"/>
      <c r="I29" s="177"/>
      <c r="J29" s="177"/>
      <c r="K29" s="177"/>
      <c r="L29" s="177"/>
      <c r="M29" s="177"/>
      <c r="N29" s="177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K29" s="1"/>
      <c r="AL29" s="1"/>
      <c r="AM29" s="1"/>
      <c r="AN29" s="1"/>
      <c r="AO29" s="1"/>
      <c r="AP29" s="1"/>
      <c r="AQ29" s="1"/>
      <c r="AR29" s="1"/>
      <c r="AS29" s="1"/>
    </row>
    <row r="30" spans="1:45" ht="13.8" thickBot="1" x14ac:dyDescent="0.3">
      <c r="A30" s="13"/>
      <c r="B30" s="804"/>
      <c r="C30" s="914" t="s">
        <v>568</v>
      </c>
      <c r="D30" s="915">
        <v>0.75</v>
      </c>
      <c r="E30" s="915">
        <v>1</v>
      </c>
      <c r="F30" s="915">
        <v>1.25</v>
      </c>
      <c r="G30" s="916">
        <v>1.45</v>
      </c>
      <c r="H30" s="177"/>
      <c r="I30" s="177"/>
      <c r="J30" s="177"/>
      <c r="K30" s="177"/>
      <c r="L30" s="177"/>
      <c r="M30" s="177"/>
      <c r="N30" s="177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K30" s="1"/>
      <c r="AL30" s="1"/>
      <c r="AM30" s="1"/>
      <c r="AN30" s="1"/>
      <c r="AO30" s="1"/>
      <c r="AP30" s="1"/>
      <c r="AQ30" s="1"/>
      <c r="AR30" s="1"/>
      <c r="AS30" s="1"/>
    </row>
    <row r="31" spans="1:45" x14ac:dyDescent="0.25">
      <c r="A31" s="13"/>
      <c r="B31" s="917" t="s">
        <v>400</v>
      </c>
      <c r="C31" s="918">
        <f>AJ125</f>
        <v>-2.0725886486476441E-2</v>
      </c>
      <c r="D31" s="918">
        <f>AJ201</f>
        <v>-4.1016596957607065E-3</v>
      </c>
      <c r="E31" s="918">
        <f>AJ277</f>
        <v>1.6478916555843881E-2</v>
      </c>
      <c r="F31" s="918">
        <f>AJ353</f>
        <v>3.3169226298790599E-2</v>
      </c>
      <c r="G31" s="919">
        <f>AJ429</f>
        <v>4.6450931218659397E-2</v>
      </c>
      <c r="H31" s="177"/>
      <c r="I31" s="177"/>
      <c r="J31" s="177"/>
      <c r="K31" s="177"/>
      <c r="L31" s="177"/>
      <c r="M31" s="177"/>
      <c r="N31" s="177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K31" s="1"/>
      <c r="AL31" s="1"/>
      <c r="AM31" s="1"/>
      <c r="AN31" s="1"/>
      <c r="AO31" s="1"/>
      <c r="AP31" s="1"/>
      <c r="AQ31" s="1"/>
      <c r="AR31" s="1"/>
      <c r="AS31" s="1"/>
    </row>
    <row r="32" spans="1:45" ht="13.8" thickBot="1" x14ac:dyDescent="0.3">
      <c r="A32" s="13"/>
      <c r="B32" s="920" t="s">
        <v>487</v>
      </c>
      <c r="C32" s="921">
        <f>AJ137</f>
        <v>-71723684.115572885</v>
      </c>
      <c r="D32" s="921">
        <f>AJ213</f>
        <v>-66652116.51643537</v>
      </c>
      <c r="E32" s="921">
        <f>AJ289</f>
        <v>-59845348.329820931</v>
      </c>
      <c r="F32" s="921">
        <f>AJ365</f>
        <v>-53562779.837562054</v>
      </c>
      <c r="G32" s="922">
        <f>AJ441</f>
        <v>-47939032.462591134</v>
      </c>
      <c r="H32" s="177"/>
      <c r="I32" s="177"/>
      <c r="J32" s="177"/>
      <c r="K32" s="177"/>
      <c r="L32" s="177"/>
      <c r="M32" s="177"/>
      <c r="N32" s="177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K32" s="1"/>
      <c r="AL32" s="1"/>
      <c r="AM32" s="1"/>
      <c r="AN32" s="1"/>
      <c r="AO32" s="1"/>
      <c r="AP32" s="1"/>
      <c r="AQ32" s="1"/>
      <c r="AR32" s="1"/>
      <c r="AS32" s="1"/>
    </row>
    <row r="33" spans="1:45" x14ac:dyDescent="0.25">
      <c r="A33" s="13"/>
      <c r="B33" s="917" t="s">
        <v>401</v>
      </c>
      <c r="C33" s="918">
        <f>AT128</f>
        <v>-2.1251969063893039E-2</v>
      </c>
      <c r="D33" s="923">
        <f>AT204</f>
        <v>-1.0154382988141197E-3</v>
      </c>
      <c r="E33" s="918">
        <f>AT280</f>
        <v>2.1871906497852756E-2</v>
      </c>
      <c r="F33" s="918">
        <f>AT356</f>
        <v>3.8961143411395893E-2</v>
      </c>
      <c r="G33" s="919">
        <f>AT432</f>
        <v>5.214078582342152E-2</v>
      </c>
      <c r="H33" s="177"/>
      <c r="I33" s="177"/>
      <c r="J33" s="177"/>
      <c r="K33" s="177"/>
      <c r="L33" s="177"/>
      <c r="M33" s="177"/>
      <c r="N33" s="177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K33" s="1"/>
      <c r="AL33" s="1"/>
      <c r="AM33" s="1"/>
      <c r="AN33" s="1"/>
      <c r="AO33" s="1"/>
      <c r="AP33" s="1"/>
      <c r="AQ33" s="1"/>
      <c r="AR33" s="1"/>
      <c r="AS33" s="1"/>
    </row>
    <row r="34" spans="1:45" ht="13.8" thickBot="1" x14ac:dyDescent="0.3">
      <c r="A34" s="13"/>
      <c r="B34" s="920" t="s">
        <v>488</v>
      </c>
      <c r="C34" s="921">
        <f>AT137</f>
        <v>-71640845.17823948</v>
      </c>
      <c r="D34" s="921">
        <f>AT213</f>
        <v>-66432940.188537948</v>
      </c>
      <c r="E34" s="921">
        <f>AT289</f>
        <v>-59412057.926085584</v>
      </c>
      <c r="F34" s="921">
        <f>AT365</f>
        <v>-52928500.733431883</v>
      </c>
      <c r="G34" s="922">
        <f>AT441</f>
        <v>-47118366.17663604</v>
      </c>
      <c r="H34" s="177"/>
      <c r="I34" s="177"/>
      <c r="J34" s="177"/>
      <c r="K34" s="177"/>
      <c r="L34" s="177"/>
      <c r="M34" s="177"/>
      <c r="N34" s="177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K34" s="1"/>
      <c r="AL34" s="1"/>
      <c r="AM34" s="1"/>
      <c r="AN34" s="1"/>
      <c r="AO34" s="1"/>
      <c r="AP34" s="1"/>
      <c r="AQ34" s="1"/>
      <c r="AR34" s="1"/>
      <c r="AS34" s="1"/>
    </row>
    <row r="35" spans="1:45" x14ac:dyDescent="0.25">
      <c r="A35" s="13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K35" s="1"/>
      <c r="AL35" s="1"/>
      <c r="AM35" s="1"/>
      <c r="AN35" s="1"/>
      <c r="AO35" s="1"/>
      <c r="AP35" s="1"/>
      <c r="AQ35" s="1"/>
      <c r="AR35" s="1"/>
      <c r="AS35" s="1"/>
    </row>
    <row r="36" spans="1:45" x14ac:dyDescent="0.25">
      <c r="A36" s="13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K36" s="1"/>
      <c r="AL36" s="1"/>
      <c r="AM36" s="1"/>
      <c r="AN36" s="1"/>
      <c r="AO36" s="1"/>
      <c r="AP36" s="1"/>
      <c r="AQ36" s="1"/>
      <c r="AR36" s="1"/>
      <c r="AS36" s="1"/>
    </row>
    <row r="37" spans="1:45" x14ac:dyDescent="0.25">
      <c r="A37" s="13"/>
      <c r="B37" s="804"/>
      <c r="C37" s="1117" t="s">
        <v>570</v>
      </c>
      <c r="D37" s="1117"/>
      <c r="E37" s="1117"/>
      <c r="F37" s="1117"/>
      <c r="G37" s="1117"/>
      <c r="H37" s="1117"/>
      <c r="I37" s="1117"/>
      <c r="J37" s="177"/>
      <c r="K37" s="177"/>
      <c r="L37" s="177"/>
      <c r="M37" s="177"/>
      <c r="N37" s="177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K37" s="1"/>
      <c r="AL37" s="1"/>
      <c r="AM37" s="1"/>
      <c r="AN37" s="1"/>
      <c r="AO37" s="1"/>
      <c r="AP37" s="1"/>
      <c r="AQ37" s="1"/>
      <c r="AR37" s="1"/>
      <c r="AS37" s="1"/>
    </row>
    <row r="38" spans="1:45" x14ac:dyDescent="0.25">
      <c r="A38" s="13"/>
      <c r="B38" s="804"/>
      <c r="C38" s="911">
        <v>2020</v>
      </c>
      <c r="D38" s="911">
        <v>2025</v>
      </c>
      <c r="E38" s="911">
        <v>2030</v>
      </c>
      <c r="F38" s="911">
        <v>2035</v>
      </c>
      <c r="G38" s="911">
        <v>2040</v>
      </c>
      <c r="H38" s="911">
        <v>2045</v>
      </c>
      <c r="I38" s="911">
        <v>2050</v>
      </c>
      <c r="J38" s="177"/>
      <c r="K38" s="177"/>
      <c r="L38" s="177"/>
      <c r="M38" s="177"/>
      <c r="N38" s="177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K38" s="1"/>
      <c r="AL38" s="1"/>
      <c r="AM38" s="1"/>
      <c r="AN38" s="1"/>
      <c r="AO38" s="1"/>
      <c r="AP38" s="1"/>
      <c r="AQ38" s="1"/>
      <c r="AR38" s="1"/>
      <c r="AS38" s="1"/>
    </row>
    <row r="39" spans="1:45" x14ac:dyDescent="0.25">
      <c r="A39" s="13"/>
      <c r="B39" s="913" t="s">
        <v>491</v>
      </c>
      <c r="C39" s="912">
        <f>H133</f>
        <v>1.3848294242766561</v>
      </c>
      <c r="D39" s="912">
        <f>M133</f>
        <v>1.5739146238288324</v>
      </c>
      <c r="E39" s="912">
        <f>R133</f>
        <v>1.5396078120224024</v>
      </c>
      <c r="F39" s="912">
        <f>W133</f>
        <v>1.5672643472607866</v>
      </c>
      <c r="G39" s="912">
        <f>AB133</f>
        <v>1.5680933305980376</v>
      </c>
      <c r="H39" s="912">
        <f>AG133</f>
        <v>1.5669598654922092</v>
      </c>
      <c r="I39" s="912">
        <f>AL133</f>
        <v>1.5098123498506966</v>
      </c>
      <c r="J39" s="177"/>
      <c r="K39" s="177"/>
      <c r="L39" s="177"/>
      <c r="M39" s="177"/>
      <c r="N39" s="177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K39" s="1"/>
      <c r="AL39" s="1"/>
      <c r="AM39" s="1"/>
      <c r="AN39" s="1"/>
      <c r="AO39" s="1"/>
      <c r="AP39" s="1"/>
      <c r="AQ39" s="1"/>
      <c r="AR39" s="1"/>
      <c r="AS39" s="1"/>
    </row>
    <row r="40" spans="1:45" x14ac:dyDescent="0.25">
      <c r="A40" s="13"/>
      <c r="B40" s="913" t="s">
        <v>490</v>
      </c>
      <c r="C40" s="912">
        <f>H134</f>
        <v>0.38482942427665612</v>
      </c>
      <c r="D40" s="912">
        <f>M134</f>
        <v>0.5739146238288324</v>
      </c>
      <c r="E40" s="912">
        <f>R134</f>
        <v>0.53960781202240238</v>
      </c>
      <c r="F40" s="912">
        <f>W134</f>
        <v>0.56726434726078656</v>
      </c>
      <c r="G40" s="912">
        <f>AB134</f>
        <v>0.56809333059803757</v>
      </c>
      <c r="H40" s="912">
        <f>AG134</f>
        <v>0.56695986549220923</v>
      </c>
      <c r="I40" s="912">
        <f>AL134</f>
        <v>0.50981234985069657</v>
      </c>
      <c r="J40" s="177"/>
      <c r="K40" s="177"/>
      <c r="L40" s="177"/>
      <c r="M40" s="177"/>
      <c r="N40" s="177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K40" s="1"/>
      <c r="AL40" s="1"/>
      <c r="AM40" s="1"/>
      <c r="AN40" s="1"/>
      <c r="AO40" s="1"/>
      <c r="AP40" s="1"/>
      <c r="AQ40" s="1"/>
      <c r="AR40" s="1"/>
      <c r="AS40" s="1"/>
    </row>
    <row r="41" spans="1:45" x14ac:dyDescent="0.25">
      <c r="A41" s="13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K41" s="1"/>
      <c r="AL41" s="1"/>
      <c r="AM41" s="1"/>
      <c r="AN41" s="1"/>
      <c r="AO41" s="1"/>
      <c r="AP41" s="1"/>
      <c r="AQ41" s="1"/>
      <c r="AR41" s="1"/>
      <c r="AS41" s="1"/>
    </row>
    <row r="42" spans="1:45" x14ac:dyDescent="0.25">
      <c r="A42" s="13"/>
      <c r="B42" s="804"/>
      <c r="C42" s="1117" t="s">
        <v>492</v>
      </c>
      <c r="D42" s="1117"/>
      <c r="E42" s="1117"/>
      <c r="F42" s="1117"/>
      <c r="G42" s="1117"/>
      <c r="H42" s="1117"/>
      <c r="I42" s="1117"/>
      <c r="J42" s="177"/>
      <c r="K42" s="177"/>
      <c r="L42" s="177"/>
      <c r="M42" s="177"/>
      <c r="N42" s="177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K42" s="1"/>
      <c r="AL42" s="1"/>
      <c r="AM42" s="1"/>
      <c r="AN42" s="1"/>
      <c r="AO42" s="1"/>
      <c r="AP42" s="1"/>
      <c r="AQ42" s="1"/>
      <c r="AR42" s="1"/>
      <c r="AS42" s="1"/>
    </row>
    <row r="43" spans="1:45" x14ac:dyDescent="0.25">
      <c r="A43" s="13"/>
      <c r="B43" s="804"/>
      <c r="C43" s="911">
        <v>2020</v>
      </c>
      <c r="D43" s="911">
        <v>2025</v>
      </c>
      <c r="E43" s="911">
        <v>2030</v>
      </c>
      <c r="F43" s="911">
        <v>2035</v>
      </c>
      <c r="G43" s="911">
        <v>2040</v>
      </c>
      <c r="H43" s="911">
        <v>2045</v>
      </c>
      <c r="I43" s="911">
        <v>2050</v>
      </c>
      <c r="J43" s="177"/>
      <c r="K43" s="177"/>
      <c r="L43" s="177"/>
      <c r="M43" s="177"/>
      <c r="N43" s="177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K43" s="1"/>
      <c r="AL43" s="1"/>
      <c r="AM43" s="1"/>
      <c r="AN43" s="1"/>
      <c r="AO43" s="1"/>
      <c r="AP43" s="1"/>
      <c r="AQ43" s="1"/>
      <c r="AR43" s="1"/>
      <c r="AS43" s="1"/>
    </row>
    <row r="44" spans="1:45" x14ac:dyDescent="0.25">
      <c r="A44" s="13"/>
      <c r="B44" s="913" t="s">
        <v>491</v>
      </c>
      <c r="C44" s="912">
        <f>H209</f>
        <v>1.6829327064447273</v>
      </c>
      <c r="D44" s="912">
        <f>M209</f>
        <v>1.9179982338958239</v>
      </c>
      <c r="E44" s="912">
        <f>R209</f>
        <v>1.89822471981386</v>
      </c>
      <c r="F44" s="912">
        <f>W209</f>
        <v>1.9091984282327923</v>
      </c>
      <c r="G44" s="912">
        <f>AB209</f>
        <v>1.9051462126580365</v>
      </c>
      <c r="H44" s="912">
        <f>AG209</f>
        <v>1.9043556968894073</v>
      </c>
      <c r="I44" s="912">
        <f>AL209</f>
        <v>1.8343380613993057</v>
      </c>
      <c r="J44" s="177"/>
      <c r="K44" s="177"/>
      <c r="L44" s="177"/>
      <c r="M44" s="177"/>
      <c r="N44" s="177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K44" s="1"/>
      <c r="AL44" s="1"/>
      <c r="AM44" s="1"/>
      <c r="AN44" s="1"/>
      <c r="AO44" s="1"/>
      <c r="AP44" s="1"/>
      <c r="AQ44" s="1"/>
      <c r="AR44" s="1"/>
      <c r="AS44" s="1"/>
    </row>
    <row r="45" spans="1:45" x14ac:dyDescent="0.25">
      <c r="A45" s="13"/>
      <c r="B45" s="913" t="s">
        <v>490</v>
      </c>
      <c r="C45" s="912">
        <f>H210</f>
        <v>0.68293270644472726</v>
      </c>
      <c r="D45" s="912">
        <f>M210</f>
        <v>0.91799823389582391</v>
      </c>
      <c r="E45" s="912">
        <f>R210</f>
        <v>0.89822471981385998</v>
      </c>
      <c r="F45" s="912">
        <f>W210</f>
        <v>0.90919842823279229</v>
      </c>
      <c r="G45" s="912">
        <f>AB210</f>
        <v>0.90514621265803652</v>
      </c>
      <c r="H45" s="912">
        <f>AG210</f>
        <v>0.90435569688940731</v>
      </c>
      <c r="I45" s="912">
        <f>AL210</f>
        <v>0.83433806139930566</v>
      </c>
      <c r="J45" s="177"/>
      <c r="K45" s="177"/>
      <c r="L45" s="177"/>
      <c r="M45" s="177"/>
      <c r="N45" s="177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K45" s="1"/>
      <c r="AL45" s="1"/>
      <c r="AM45" s="1"/>
      <c r="AN45" s="1"/>
      <c r="AO45" s="1"/>
      <c r="AP45" s="1"/>
      <c r="AQ45" s="1"/>
      <c r="AR45" s="1"/>
      <c r="AS45" s="1"/>
    </row>
    <row r="46" spans="1:45" x14ac:dyDescent="0.25">
      <c r="A46" s="13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K46" s="1"/>
      <c r="AL46" s="1"/>
      <c r="AM46" s="1"/>
      <c r="AN46" s="1"/>
      <c r="AO46" s="1"/>
      <c r="AP46" s="1"/>
      <c r="AQ46" s="1"/>
      <c r="AR46" s="1"/>
      <c r="AS46" s="1"/>
    </row>
    <row r="47" spans="1:45" x14ac:dyDescent="0.25">
      <c r="A47" s="13"/>
      <c r="B47" s="804"/>
      <c r="C47" s="1117" t="s">
        <v>493</v>
      </c>
      <c r="D47" s="1117"/>
      <c r="E47" s="1117"/>
      <c r="F47" s="1117"/>
      <c r="G47" s="1117"/>
      <c r="H47" s="1117"/>
      <c r="I47" s="1117"/>
      <c r="J47" s="177"/>
      <c r="K47" s="177"/>
      <c r="L47" s="177"/>
      <c r="M47" s="177"/>
      <c r="N47" s="177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K47" s="1"/>
      <c r="AL47" s="1"/>
      <c r="AM47" s="1"/>
      <c r="AN47" s="1"/>
      <c r="AO47" s="1"/>
      <c r="AP47" s="1"/>
      <c r="AQ47" s="1"/>
      <c r="AR47" s="1"/>
      <c r="AS47" s="1"/>
    </row>
    <row r="48" spans="1:45" x14ac:dyDescent="0.25">
      <c r="A48" s="13"/>
      <c r="B48" s="804"/>
      <c r="C48" s="911">
        <v>2020</v>
      </c>
      <c r="D48" s="911">
        <v>2025</v>
      </c>
      <c r="E48" s="911">
        <v>2030</v>
      </c>
      <c r="F48" s="911">
        <v>2035</v>
      </c>
      <c r="G48" s="911">
        <v>2040</v>
      </c>
      <c r="H48" s="911">
        <v>2045</v>
      </c>
      <c r="I48" s="911">
        <v>2050</v>
      </c>
      <c r="J48" s="177"/>
      <c r="K48" s="177"/>
      <c r="L48" s="177"/>
      <c r="M48" s="177"/>
      <c r="N48" s="177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K48" s="1"/>
      <c r="AL48" s="1"/>
      <c r="AM48" s="1"/>
      <c r="AN48" s="1"/>
      <c r="AO48" s="1"/>
      <c r="AP48" s="1"/>
      <c r="AQ48" s="1"/>
      <c r="AR48" s="1"/>
      <c r="AS48" s="1"/>
    </row>
    <row r="49" spans="1:47" x14ac:dyDescent="0.25">
      <c r="A49" s="13"/>
      <c r="B49" s="913" t="s">
        <v>491</v>
      </c>
      <c r="C49" s="912">
        <f>H285</f>
        <v>2.1713242274836264</v>
      </c>
      <c r="D49" s="912">
        <f>M285</f>
        <v>2.4716156666296949</v>
      </c>
      <c r="E49" s="912">
        <f>R285</f>
        <v>2.4388247634829856</v>
      </c>
      <c r="F49" s="912">
        <f>W285</f>
        <v>2.4429410447490176</v>
      </c>
      <c r="G49" s="912">
        <f>AB285</f>
        <v>2.4360644468969417</v>
      </c>
      <c r="H49" s="912">
        <f>AG285</f>
        <v>2.4358141373280833</v>
      </c>
      <c r="I49" s="912">
        <f>AL285</f>
        <v>2.3455237741203177</v>
      </c>
      <c r="J49" s="177"/>
      <c r="K49" s="177"/>
      <c r="L49" s="177"/>
      <c r="M49" s="177"/>
      <c r="N49" s="177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K49" s="1"/>
      <c r="AL49" s="1"/>
      <c r="AM49" s="1"/>
      <c r="AN49" s="1"/>
      <c r="AO49" s="1"/>
      <c r="AP49" s="1"/>
      <c r="AQ49" s="1"/>
      <c r="AR49" s="1"/>
      <c r="AS49" s="1"/>
    </row>
    <row r="50" spans="1:47" x14ac:dyDescent="0.25">
      <c r="A50" s="13"/>
      <c r="B50" s="913" t="s">
        <v>490</v>
      </c>
      <c r="C50" s="912">
        <f>H286</f>
        <v>1.1713242274836264</v>
      </c>
      <c r="D50" s="912">
        <f>M286</f>
        <v>1.4716156666296949</v>
      </c>
      <c r="E50" s="912">
        <f>R286</f>
        <v>1.4388247634829856</v>
      </c>
      <c r="F50" s="912">
        <f>W286</f>
        <v>1.4429410447490176</v>
      </c>
      <c r="G50" s="912">
        <f>AB286</f>
        <v>1.4360644468969417</v>
      </c>
      <c r="H50" s="912">
        <f>AG286</f>
        <v>1.4358141373280833</v>
      </c>
      <c r="I50" s="912">
        <f>AL286</f>
        <v>1.3455237741203177</v>
      </c>
      <c r="J50" s="177"/>
      <c r="K50" s="177"/>
      <c r="L50" s="177"/>
      <c r="M50" s="177"/>
      <c r="N50" s="177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K50" s="1"/>
      <c r="AL50" s="1"/>
      <c r="AM50" s="1"/>
      <c r="AN50" s="1"/>
      <c r="AO50" s="1"/>
      <c r="AP50" s="1"/>
      <c r="AQ50" s="1"/>
      <c r="AR50" s="1"/>
      <c r="AS50" s="1"/>
    </row>
    <row r="51" spans="1:47" x14ac:dyDescent="0.25">
      <c r="A51" s="13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K51" s="1"/>
      <c r="AL51" s="1"/>
      <c r="AM51" s="1"/>
      <c r="AN51" s="1"/>
      <c r="AO51" s="1"/>
      <c r="AP51" s="1"/>
      <c r="AQ51" s="1"/>
      <c r="AR51" s="1"/>
      <c r="AS51" s="1"/>
    </row>
    <row r="52" spans="1:47" x14ac:dyDescent="0.25">
      <c r="A52" s="13"/>
      <c r="B52" s="804"/>
      <c r="C52" s="1117" t="s">
        <v>494</v>
      </c>
      <c r="D52" s="1117"/>
      <c r="E52" s="1117"/>
      <c r="F52" s="1117"/>
      <c r="G52" s="1117"/>
      <c r="H52" s="1117"/>
      <c r="I52" s="1117"/>
      <c r="J52" s="177"/>
      <c r="K52" s="177"/>
      <c r="L52" s="177"/>
      <c r="M52" s="177"/>
      <c r="N52" s="177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K52" s="1"/>
      <c r="AL52" s="1"/>
      <c r="AM52" s="1"/>
      <c r="AN52" s="1"/>
      <c r="AO52" s="1"/>
      <c r="AP52" s="1"/>
      <c r="AQ52" s="1"/>
      <c r="AR52" s="1"/>
      <c r="AS52" s="1"/>
    </row>
    <row r="53" spans="1:47" x14ac:dyDescent="0.25">
      <c r="A53" s="13"/>
      <c r="B53" s="804"/>
      <c r="C53" s="911">
        <v>2020</v>
      </c>
      <c r="D53" s="911">
        <v>2025</v>
      </c>
      <c r="E53" s="911">
        <v>2030</v>
      </c>
      <c r="F53" s="911">
        <v>2035</v>
      </c>
      <c r="G53" s="911">
        <v>2040</v>
      </c>
      <c r="H53" s="911">
        <v>2045</v>
      </c>
      <c r="I53" s="911">
        <v>2050</v>
      </c>
      <c r="J53" s="177"/>
      <c r="K53" s="177"/>
      <c r="L53" s="177"/>
      <c r="M53" s="177"/>
      <c r="N53" s="177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K53" s="1"/>
      <c r="AL53" s="1"/>
      <c r="AM53" s="1"/>
      <c r="AN53" s="1"/>
      <c r="AO53" s="1"/>
      <c r="AP53" s="1"/>
      <c r="AQ53" s="1"/>
      <c r="AR53" s="1"/>
      <c r="AS53" s="1"/>
    </row>
    <row r="54" spans="1:47" x14ac:dyDescent="0.25">
      <c r="A54" s="13"/>
      <c r="B54" s="913" t="s">
        <v>491</v>
      </c>
      <c r="C54" s="912">
        <f>H361</f>
        <v>2.6395049650189559</v>
      </c>
      <c r="D54" s="912">
        <f>M361</f>
        <v>3.0115960544256999</v>
      </c>
      <c r="E54" s="912">
        <f>R361</f>
        <v>2.9730245583458808</v>
      </c>
      <c r="F54" s="912">
        <f>W361</f>
        <v>2.9816616034228964</v>
      </c>
      <c r="G54" s="912">
        <f>AB361</f>
        <v>2.9571268599835134</v>
      </c>
      <c r="H54" s="912">
        <f>AG361</f>
        <v>2.9574067283740164</v>
      </c>
      <c r="I54" s="912">
        <f>AL361</f>
        <v>2.8472199748312015</v>
      </c>
      <c r="J54" s="177"/>
      <c r="K54" s="177"/>
      <c r="L54" s="177"/>
      <c r="M54" s="177"/>
      <c r="N54" s="177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K54" s="1"/>
      <c r="AL54" s="1"/>
      <c r="AM54" s="1"/>
      <c r="AN54" s="1"/>
      <c r="AO54" s="1"/>
      <c r="AP54" s="1"/>
      <c r="AQ54" s="1"/>
      <c r="AR54" s="1"/>
      <c r="AS54" s="1"/>
    </row>
    <row r="55" spans="1:47" x14ac:dyDescent="0.25">
      <c r="A55" s="13"/>
      <c r="B55" s="913" t="s">
        <v>490</v>
      </c>
      <c r="C55" s="912">
        <f>H362</f>
        <v>1.6395049650189559</v>
      </c>
      <c r="D55" s="912">
        <f>M362</f>
        <v>2.0115960544256999</v>
      </c>
      <c r="E55" s="912">
        <f>R362</f>
        <v>1.9730245583458808</v>
      </c>
      <c r="F55" s="912">
        <f>W362</f>
        <v>1.9816616034228964</v>
      </c>
      <c r="G55" s="912">
        <f>AB362</f>
        <v>1.9571268599835134</v>
      </c>
      <c r="H55" s="912">
        <f>AG362</f>
        <v>1.9574067283740164</v>
      </c>
      <c r="I55" s="912">
        <f>AL362</f>
        <v>1.8472199748312015</v>
      </c>
      <c r="J55" s="177"/>
      <c r="K55" s="177"/>
      <c r="L55" s="177"/>
      <c r="M55" s="177"/>
      <c r="N55" s="177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K55" s="1"/>
      <c r="AL55" s="1"/>
      <c r="AM55" s="1"/>
      <c r="AN55" s="1"/>
      <c r="AO55" s="1"/>
      <c r="AP55" s="1"/>
      <c r="AQ55" s="1"/>
      <c r="AR55" s="1"/>
      <c r="AS55" s="1"/>
    </row>
    <row r="56" spans="1:47" x14ac:dyDescent="0.25">
      <c r="A56" s="13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K56" s="1"/>
      <c r="AL56" s="1"/>
      <c r="AM56" s="1"/>
      <c r="AN56" s="1"/>
      <c r="AO56" s="1"/>
      <c r="AP56" s="1"/>
      <c r="AQ56" s="1"/>
      <c r="AR56" s="1"/>
      <c r="AS56" s="1"/>
    </row>
    <row r="57" spans="1:47" x14ac:dyDescent="0.25">
      <c r="A57" s="13"/>
      <c r="B57" s="804"/>
      <c r="C57" s="1117" t="s">
        <v>495</v>
      </c>
      <c r="D57" s="1117"/>
      <c r="E57" s="1117"/>
      <c r="F57" s="1117"/>
      <c r="G57" s="1117"/>
      <c r="H57" s="1117"/>
      <c r="I57" s="1117"/>
      <c r="J57" s="177"/>
      <c r="K57" s="177"/>
      <c r="L57" s="177"/>
      <c r="M57" s="177"/>
      <c r="N57" s="177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K57" s="1"/>
      <c r="AL57" s="1"/>
      <c r="AM57" s="1"/>
      <c r="AN57" s="1"/>
      <c r="AO57" s="1"/>
      <c r="AP57" s="1"/>
      <c r="AQ57" s="1"/>
      <c r="AR57" s="1"/>
      <c r="AS57" s="1"/>
    </row>
    <row r="58" spans="1:47" x14ac:dyDescent="0.25">
      <c r="A58" s="13"/>
      <c r="B58" s="804"/>
      <c r="C58" s="911">
        <v>2020</v>
      </c>
      <c r="D58" s="911">
        <v>2025</v>
      </c>
      <c r="E58" s="911">
        <v>2030</v>
      </c>
      <c r="F58" s="911">
        <v>2035</v>
      </c>
      <c r="G58" s="911">
        <v>2040</v>
      </c>
      <c r="H58" s="911">
        <v>2045</v>
      </c>
      <c r="I58" s="911">
        <v>2050</v>
      </c>
      <c r="J58" s="177"/>
      <c r="K58" s="177"/>
      <c r="L58" s="177"/>
      <c r="M58" s="177"/>
      <c r="N58" s="177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K58" s="1"/>
      <c r="AL58" s="1"/>
      <c r="AM58" s="1"/>
      <c r="AN58" s="1"/>
      <c r="AO58" s="1"/>
      <c r="AP58" s="1"/>
      <c r="AQ58" s="1"/>
      <c r="AR58" s="1"/>
      <c r="AS58" s="1"/>
    </row>
    <row r="59" spans="1:47" x14ac:dyDescent="0.25">
      <c r="A59" s="13"/>
      <c r="B59" s="913" t="s">
        <v>491</v>
      </c>
      <c r="C59" s="912">
        <f>H437</f>
        <v>3.1109854223099727</v>
      </c>
      <c r="D59" s="912">
        <f>M437</f>
        <v>3.5216502069441238</v>
      </c>
      <c r="E59" s="912">
        <f>R437</f>
        <v>3.4833912016438777</v>
      </c>
      <c r="F59" s="912">
        <f>W437</f>
        <v>3.4781692125998673</v>
      </c>
      <c r="G59" s="912">
        <f>AB437</f>
        <v>3.459503716255246</v>
      </c>
      <c r="H59" s="912">
        <f>AG437</f>
        <v>3.4602947501602808</v>
      </c>
      <c r="I59" s="912">
        <f>AL437</f>
        <v>3.3309251007173981</v>
      </c>
      <c r="J59" s="177"/>
      <c r="K59" s="177"/>
      <c r="L59" s="177"/>
      <c r="M59" s="177"/>
      <c r="N59" s="177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K59" s="1"/>
      <c r="AL59" s="1"/>
      <c r="AM59" s="1"/>
      <c r="AN59" s="1"/>
      <c r="AO59" s="1"/>
      <c r="AP59" s="1"/>
      <c r="AQ59" s="1"/>
      <c r="AR59" s="1"/>
      <c r="AS59" s="1"/>
    </row>
    <row r="60" spans="1:47" x14ac:dyDescent="0.25">
      <c r="A60" s="13"/>
      <c r="B60" s="913" t="s">
        <v>490</v>
      </c>
      <c r="C60" s="912">
        <f>H438</f>
        <v>2.1109854223099727</v>
      </c>
      <c r="D60" s="912">
        <f>M438</f>
        <v>2.5216502069441238</v>
      </c>
      <c r="E60" s="912">
        <f>R438</f>
        <v>2.4833912016438777</v>
      </c>
      <c r="F60" s="912">
        <f>W438</f>
        <v>2.4781692125998673</v>
      </c>
      <c r="G60" s="912">
        <f>AB438</f>
        <v>2.459503716255246</v>
      </c>
      <c r="H60" s="912">
        <f>AG438</f>
        <v>2.4602947501602808</v>
      </c>
      <c r="I60" s="912">
        <f>AL438</f>
        <v>2.3309251007173981</v>
      </c>
      <c r="J60" s="177"/>
      <c r="K60" s="177"/>
      <c r="L60" s="177"/>
      <c r="M60" s="177"/>
      <c r="N60" s="177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K60" s="1"/>
      <c r="AL60" s="1"/>
      <c r="AM60" s="1"/>
      <c r="AN60" s="1"/>
      <c r="AO60" s="1"/>
      <c r="AP60" s="1"/>
      <c r="AQ60" s="1"/>
      <c r="AR60" s="1"/>
      <c r="AS60" s="1"/>
    </row>
    <row r="61" spans="1:47" x14ac:dyDescent="0.25">
      <c r="A61" s="13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K61" s="1"/>
      <c r="AL61" s="1"/>
      <c r="AM61" s="1"/>
      <c r="AN61" s="1"/>
      <c r="AO61" s="1"/>
      <c r="AP61" s="1"/>
      <c r="AQ61" s="1"/>
      <c r="AR61" s="1"/>
      <c r="AS61" s="1"/>
    </row>
    <row r="62" spans="1:47" x14ac:dyDescent="0.25">
      <c r="A62" s="13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K62" s="1"/>
      <c r="AL62" s="1"/>
      <c r="AM62" s="1"/>
      <c r="AN62" s="1"/>
      <c r="AO62" s="1"/>
      <c r="AP62" s="1"/>
      <c r="AQ62" s="1"/>
      <c r="AR62" s="1"/>
      <c r="AS62" s="1"/>
    </row>
    <row r="63" spans="1:47" x14ac:dyDescent="0.25">
      <c r="A63" s="13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K63" s="1"/>
      <c r="AL63" s="1"/>
      <c r="AM63" s="1"/>
      <c r="AN63" s="1"/>
      <c r="AO63" s="1"/>
      <c r="AP63" s="1"/>
      <c r="AQ63" s="1"/>
      <c r="AR63" s="1"/>
      <c r="AS63" s="1"/>
    </row>
    <row r="64" spans="1:47" s="304" customFormat="1" ht="14.4" x14ac:dyDescent="0.3">
      <c r="A64" s="306"/>
      <c r="B64" s="759" t="s">
        <v>569</v>
      </c>
      <c r="C64" s="759"/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59"/>
      <c r="AE64" s="759"/>
      <c r="AF64" s="759"/>
      <c r="AG64" s="759"/>
      <c r="AH64" s="759"/>
      <c r="AI64" s="759"/>
      <c r="AJ64" s="759"/>
      <c r="AK64" s="759"/>
      <c r="AL64" s="759"/>
      <c r="AM64" s="759"/>
      <c r="AN64" s="759"/>
      <c r="AO64" s="759"/>
      <c r="AP64" s="759"/>
      <c r="AQ64" s="759"/>
      <c r="AR64" s="759"/>
      <c r="AS64" s="759"/>
      <c r="AT64" s="814"/>
      <c r="AU64" s="306"/>
    </row>
    <row r="65" spans="1:47" x14ac:dyDescent="0.25">
      <c r="A65" s="13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3"/>
      <c r="AK65" s="38"/>
      <c r="AL65" s="38"/>
      <c r="AM65" s="38"/>
      <c r="AN65" s="38"/>
      <c r="AO65" s="38"/>
      <c r="AP65" s="38"/>
      <c r="AQ65" s="38"/>
      <c r="AR65" s="38"/>
      <c r="AS65" s="38"/>
      <c r="AT65" s="13"/>
      <c r="AU65" s="13"/>
    </row>
    <row r="66" spans="1:47" ht="14.4" x14ac:dyDescent="0.3">
      <c r="B66" s="813" t="s">
        <v>378</v>
      </c>
      <c r="C66" s="179">
        <v>2015</v>
      </c>
      <c r="D66" s="179">
        <v>2016</v>
      </c>
      <c r="E66" s="179">
        <v>2017</v>
      </c>
      <c r="F66" s="179">
        <v>2018</v>
      </c>
      <c r="G66" s="179">
        <v>2019</v>
      </c>
      <c r="H66" s="179">
        <v>2020</v>
      </c>
      <c r="I66" s="179">
        <v>2021</v>
      </c>
      <c r="J66" s="179">
        <v>2022</v>
      </c>
      <c r="K66" s="179">
        <v>2023</v>
      </c>
      <c r="L66" s="179">
        <v>2024</v>
      </c>
      <c r="M66" s="179">
        <v>2025</v>
      </c>
      <c r="N66" s="179">
        <v>2026</v>
      </c>
      <c r="O66" s="179">
        <v>2027</v>
      </c>
      <c r="P66" s="179">
        <v>2028</v>
      </c>
      <c r="Q66" s="179">
        <v>2029</v>
      </c>
      <c r="R66" s="179">
        <v>2030</v>
      </c>
      <c r="S66" s="179">
        <v>2031</v>
      </c>
      <c r="T66" s="179">
        <v>2032</v>
      </c>
      <c r="U66" s="179">
        <v>2033</v>
      </c>
      <c r="V66" s="179">
        <v>2034</v>
      </c>
      <c r="W66" s="179">
        <v>2035</v>
      </c>
      <c r="X66" s="179">
        <v>2036</v>
      </c>
      <c r="Y66" s="179">
        <v>2037</v>
      </c>
      <c r="Z66" s="179">
        <v>2038</v>
      </c>
      <c r="AA66" s="179">
        <v>2039</v>
      </c>
      <c r="AB66" s="179">
        <v>2040</v>
      </c>
      <c r="AC66" s="179">
        <v>2041</v>
      </c>
      <c r="AD66" s="179">
        <v>2042</v>
      </c>
      <c r="AE66" s="179">
        <v>2043</v>
      </c>
      <c r="AF66" s="179">
        <v>2044</v>
      </c>
      <c r="AG66" s="179">
        <v>2045</v>
      </c>
      <c r="AH66" s="179">
        <v>2046</v>
      </c>
      <c r="AI66" s="179">
        <v>2047</v>
      </c>
      <c r="AJ66" s="179">
        <v>2048</v>
      </c>
      <c r="AK66" s="179">
        <v>2049</v>
      </c>
      <c r="AL66" s="179">
        <v>2050</v>
      </c>
      <c r="AM66" s="179">
        <v>2051</v>
      </c>
      <c r="AN66" s="179">
        <v>2052</v>
      </c>
      <c r="AO66" s="179">
        <v>2053</v>
      </c>
      <c r="AP66" s="179">
        <v>2054</v>
      </c>
      <c r="AQ66" s="179">
        <v>2055</v>
      </c>
      <c r="AR66" s="179">
        <v>2056</v>
      </c>
      <c r="AS66" s="179">
        <v>2057</v>
      </c>
      <c r="AT66" s="179">
        <v>2058</v>
      </c>
      <c r="AU66" s="13"/>
    </row>
    <row r="67" spans="1:47" ht="14.4" x14ac:dyDescent="0.3">
      <c r="B67" s="813"/>
      <c r="C67" s="816" t="s">
        <v>134</v>
      </c>
      <c r="D67" s="816" t="s">
        <v>135</v>
      </c>
      <c r="E67" s="816" t="s">
        <v>136</v>
      </c>
      <c r="F67" s="816" t="s">
        <v>137</v>
      </c>
      <c r="G67" s="816" t="s">
        <v>138</v>
      </c>
      <c r="H67" s="816" t="s">
        <v>139</v>
      </c>
      <c r="I67" s="816" t="s">
        <v>140</v>
      </c>
      <c r="J67" s="816" t="s">
        <v>141</v>
      </c>
      <c r="K67" s="816" t="s">
        <v>142</v>
      </c>
      <c r="L67" s="816" t="s">
        <v>143</v>
      </c>
      <c r="M67" s="816" t="s">
        <v>144</v>
      </c>
      <c r="N67" s="816" t="s">
        <v>145</v>
      </c>
      <c r="O67" s="816" t="s">
        <v>146</v>
      </c>
      <c r="P67" s="816" t="s">
        <v>147</v>
      </c>
      <c r="Q67" s="816" t="s">
        <v>148</v>
      </c>
      <c r="R67" s="816" t="s">
        <v>149</v>
      </c>
      <c r="S67" s="816" t="s">
        <v>150</v>
      </c>
      <c r="T67" s="816" t="s">
        <v>151</v>
      </c>
      <c r="U67" s="816" t="s">
        <v>152</v>
      </c>
      <c r="V67" s="816" t="s">
        <v>153</v>
      </c>
      <c r="W67" s="816" t="s">
        <v>154</v>
      </c>
      <c r="X67" s="816" t="s">
        <v>155</v>
      </c>
      <c r="Y67" s="816" t="s">
        <v>156</v>
      </c>
      <c r="Z67" s="816" t="s">
        <v>157</v>
      </c>
      <c r="AA67" s="816" t="s">
        <v>158</v>
      </c>
      <c r="AB67" s="816" t="s">
        <v>159</v>
      </c>
      <c r="AC67" s="816" t="s">
        <v>160</v>
      </c>
      <c r="AD67" s="816" t="s">
        <v>161</v>
      </c>
      <c r="AE67" s="816" t="s">
        <v>162</v>
      </c>
      <c r="AF67" s="816" t="s">
        <v>163</v>
      </c>
      <c r="AG67" s="816" t="s">
        <v>164</v>
      </c>
      <c r="AH67" s="816" t="s">
        <v>165</v>
      </c>
      <c r="AI67" s="816" t="s">
        <v>166</v>
      </c>
      <c r="AJ67" s="816" t="s">
        <v>167</v>
      </c>
      <c r="AK67" s="816" t="s">
        <v>168</v>
      </c>
      <c r="AL67" s="816" t="s">
        <v>169</v>
      </c>
      <c r="AM67" s="816" t="s">
        <v>170</v>
      </c>
      <c r="AN67" s="816" t="s">
        <v>171</v>
      </c>
      <c r="AO67" s="816" t="s">
        <v>172</v>
      </c>
      <c r="AP67" s="816" t="s">
        <v>173</v>
      </c>
      <c r="AQ67" s="816" t="s">
        <v>174</v>
      </c>
      <c r="AR67" s="816" t="s">
        <v>224</v>
      </c>
      <c r="AS67" s="816" t="s">
        <v>225</v>
      </c>
      <c r="AT67" s="816" t="s">
        <v>226</v>
      </c>
      <c r="AU67" s="13"/>
    </row>
    <row r="68" spans="1:47" ht="14.4" x14ac:dyDescent="0.3">
      <c r="B68" s="813"/>
      <c r="C68" s="816">
        <v>0</v>
      </c>
      <c r="D68" s="816">
        <v>1</v>
      </c>
      <c r="E68" s="816">
        <v>2</v>
      </c>
      <c r="F68" s="816">
        <v>3</v>
      </c>
      <c r="G68" s="816">
        <v>4</v>
      </c>
      <c r="H68" s="816">
        <v>5</v>
      </c>
      <c r="I68" s="816">
        <v>6</v>
      </c>
      <c r="J68" s="816">
        <v>7</v>
      </c>
      <c r="K68" s="816">
        <v>8</v>
      </c>
      <c r="L68" s="816">
        <v>9</v>
      </c>
      <c r="M68" s="816">
        <v>10</v>
      </c>
      <c r="N68" s="816">
        <v>11</v>
      </c>
      <c r="O68" s="816">
        <v>12</v>
      </c>
      <c r="P68" s="816">
        <v>13</v>
      </c>
      <c r="Q68" s="816">
        <v>14</v>
      </c>
      <c r="R68" s="816">
        <v>15</v>
      </c>
      <c r="S68" s="816">
        <v>16</v>
      </c>
      <c r="T68" s="816">
        <v>17</v>
      </c>
      <c r="U68" s="816">
        <v>18</v>
      </c>
      <c r="V68" s="816">
        <v>19</v>
      </c>
      <c r="W68" s="816">
        <v>20</v>
      </c>
      <c r="X68" s="816">
        <v>21</v>
      </c>
      <c r="Y68" s="816">
        <v>22</v>
      </c>
      <c r="Z68" s="816">
        <v>23</v>
      </c>
      <c r="AA68" s="816">
        <v>24</v>
      </c>
      <c r="AB68" s="816">
        <v>25</v>
      </c>
      <c r="AC68" s="816">
        <v>26</v>
      </c>
      <c r="AD68" s="816">
        <v>27</v>
      </c>
      <c r="AE68" s="816">
        <v>28</v>
      </c>
      <c r="AF68" s="816">
        <v>29</v>
      </c>
      <c r="AG68" s="816">
        <v>30</v>
      </c>
      <c r="AH68" s="816">
        <v>31</v>
      </c>
      <c r="AI68" s="816">
        <v>32</v>
      </c>
      <c r="AJ68" s="816">
        <v>33</v>
      </c>
      <c r="AK68" s="816">
        <v>34</v>
      </c>
      <c r="AL68" s="816">
        <v>35</v>
      </c>
      <c r="AM68" s="816">
        <v>36</v>
      </c>
      <c r="AN68" s="816">
        <v>37</v>
      </c>
      <c r="AO68" s="816">
        <v>38</v>
      </c>
      <c r="AP68" s="816">
        <v>39</v>
      </c>
      <c r="AQ68" s="816">
        <v>40</v>
      </c>
      <c r="AR68" s="816">
        <v>41</v>
      </c>
      <c r="AS68" s="816">
        <v>42</v>
      </c>
      <c r="AT68" s="816">
        <v>43</v>
      </c>
      <c r="AU68" s="13"/>
    </row>
    <row r="69" spans="1:47" ht="14.4" x14ac:dyDescent="0.3">
      <c r="B69" s="813"/>
      <c r="C69" s="816">
        <v>0</v>
      </c>
      <c r="D69" s="816">
        <v>0</v>
      </c>
      <c r="E69" s="816">
        <v>0</v>
      </c>
      <c r="F69" s="816">
        <v>0</v>
      </c>
      <c r="G69" s="816">
        <v>1</v>
      </c>
      <c r="H69" s="816">
        <v>2</v>
      </c>
      <c r="I69" s="816">
        <v>3</v>
      </c>
      <c r="J69" s="816">
        <v>4</v>
      </c>
      <c r="K69" s="816">
        <v>5</v>
      </c>
      <c r="L69" s="816">
        <v>6</v>
      </c>
      <c r="M69" s="816">
        <v>7</v>
      </c>
      <c r="N69" s="816">
        <v>8</v>
      </c>
      <c r="O69" s="816">
        <v>9</v>
      </c>
      <c r="P69" s="816">
        <v>10</v>
      </c>
      <c r="Q69" s="816">
        <v>11</v>
      </c>
      <c r="R69" s="816">
        <v>12</v>
      </c>
      <c r="S69" s="816">
        <v>13</v>
      </c>
      <c r="T69" s="816">
        <v>14</v>
      </c>
      <c r="U69" s="816">
        <v>15</v>
      </c>
      <c r="V69" s="816">
        <v>16</v>
      </c>
      <c r="W69" s="816">
        <v>17</v>
      </c>
      <c r="X69" s="816">
        <v>18</v>
      </c>
      <c r="Y69" s="816">
        <v>19</v>
      </c>
      <c r="Z69" s="816">
        <v>20</v>
      </c>
      <c r="AA69" s="816">
        <v>21</v>
      </c>
      <c r="AB69" s="816">
        <v>22</v>
      </c>
      <c r="AC69" s="816">
        <v>23</v>
      </c>
      <c r="AD69" s="816">
        <v>24</v>
      </c>
      <c r="AE69" s="816">
        <v>25</v>
      </c>
      <c r="AF69" s="816">
        <v>26</v>
      </c>
      <c r="AG69" s="816">
        <v>27</v>
      </c>
      <c r="AH69" s="816">
        <v>28</v>
      </c>
      <c r="AI69" s="816">
        <v>29</v>
      </c>
      <c r="AJ69" s="816">
        <v>30</v>
      </c>
      <c r="AK69" s="816">
        <v>31</v>
      </c>
      <c r="AL69" s="816">
        <v>32</v>
      </c>
      <c r="AM69" s="816">
        <v>33</v>
      </c>
      <c r="AN69" s="816">
        <v>34</v>
      </c>
      <c r="AO69" s="816">
        <v>35</v>
      </c>
      <c r="AP69" s="816">
        <v>36</v>
      </c>
      <c r="AQ69" s="816">
        <v>37</v>
      </c>
      <c r="AR69" s="816">
        <v>38</v>
      </c>
      <c r="AS69" s="816">
        <v>39</v>
      </c>
      <c r="AT69" s="816">
        <v>40</v>
      </c>
      <c r="AU69" s="13"/>
    </row>
    <row r="70" spans="1:47" ht="14.4" x14ac:dyDescent="0.3">
      <c r="B70" s="813"/>
      <c r="C70" s="798"/>
      <c r="D70" s="798"/>
      <c r="E70" s="798"/>
      <c r="F70" s="798"/>
      <c r="G70" s="798"/>
      <c r="H70" s="798"/>
      <c r="I70" s="798"/>
      <c r="J70" s="798"/>
      <c r="K70" s="798"/>
      <c r="L70" s="798"/>
      <c r="M70" s="798"/>
      <c r="N70" s="798"/>
      <c r="O70" s="798"/>
      <c r="P70" s="798"/>
      <c r="Q70" s="798"/>
      <c r="R70" s="798"/>
      <c r="S70" s="798"/>
      <c r="T70" s="798"/>
      <c r="U70" s="798"/>
      <c r="V70" s="798"/>
      <c r="W70" s="798"/>
      <c r="X70" s="798"/>
      <c r="Y70" s="798"/>
      <c r="Z70" s="798"/>
      <c r="AA70" s="798"/>
      <c r="AB70" s="798"/>
      <c r="AC70" s="798"/>
      <c r="AD70" s="798"/>
      <c r="AE70" s="798"/>
      <c r="AF70" s="798"/>
      <c r="AG70" s="798"/>
      <c r="AH70" s="798"/>
      <c r="AI70" s="798"/>
      <c r="AJ70" s="798"/>
      <c r="AK70" s="798"/>
      <c r="AL70" s="798"/>
      <c r="AM70" s="798"/>
      <c r="AN70" s="798"/>
      <c r="AO70" s="798"/>
      <c r="AP70" s="798"/>
      <c r="AQ70" s="798"/>
      <c r="AR70" s="798"/>
      <c r="AS70" s="798"/>
      <c r="AT70" s="798"/>
      <c r="AU70" s="13"/>
    </row>
    <row r="71" spans="1:47" s="166" customFormat="1" ht="14.4" x14ac:dyDescent="0.25">
      <c r="B71" s="830" t="s">
        <v>434</v>
      </c>
      <c r="C71" s="807"/>
      <c r="D71" s="807"/>
      <c r="E71" s="807"/>
      <c r="F71" s="807"/>
      <c r="G71" s="807"/>
      <c r="H71" s="807"/>
      <c r="I71" s="807"/>
      <c r="J71" s="807"/>
      <c r="K71" s="807"/>
      <c r="L71" s="807"/>
      <c r="M71" s="807"/>
      <c r="N71" s="807"/>
      <c r="O71" s="807"/>
      <c r="P71" s="807"/>
      <c r="Q71" s="807"/>
      <c r="R71" s="807"/>
      <c r="S71" s="807"/>
      <c r="T71" s="807"/>
      <c r="U71" s="807"/>
      <c r="V71" s="807"/>
      <c r="W71" s="807"/>
      <c r="X71" s="807"/>
      <c r="Y71" s="807"/>
      <c r="Z71" s="807"/>
      <c r="AA71" s="807"/>
      <c r="AB71" s="807"/>
      <c r="AC71" s="807"/>
      <c r="AD71" s="807"/>
      <c r="AE71" s="807"/>
      <c r="AF71" s="807"/>
      <c r="AG71" s="807"/>
      <c r="AH71" s="807"/>
      <c r="AI71" s="807"/>
      <c r="AJ71" s="807"/>
      <c r="AK71" s="807"/>
      <c r="AL71" s="807"/>
      <c r="AM71" s="807"/>
      <c r="AN71" s="807"/>
      <c r="AO71" s="807"/>
      <c r="AP71" s="807"/>
      <c r="AQ71" s="807"/>
      <c r="AR71" s="807"/>
      <c r="AS71" s="807"/>
      <c r="AT71" s="807"/>
      <c r="AU71" s="103"/>
    </row>
    <row r="72" spans="1:47" x14ac:dyDescent="0.25">
      <c r="B72" s="831" t="s">
        <v>449</v>
      </c>
      <c r="C72" s="178">
        <v>0</v>
      </c>
      <c r="D72" s="178">
        <v>0</v>
      </c>
      <c r="E72" s="178">
        <v>0</v>
      </c>
      <c r="F72" s="178">
        <v>0</v>
      </c>
      <c r="G72" s="758">
        <f>OPERACION_ANUALIZADA_TC!D127*(1+PARAMETROS!$C$70)</f>
        <v>2791546.919500811</v>
      </c>
      <c r="H72" s="758">
        <f>OPERACION_ANUALIZADA_TC!E127*(1+PARAMETROS!$C$70)</f>
        <v>3091692.739287667</v>
      </c>
      <c r="I72" s="758">
        <f>OPERACION_ANUALIZADA_TC!F127*(1+PARAMETROS!$C$70)</f>
        <v>2934364.0421133931</v>
      </c>
      <c r="J72" s="758">
        <f>OPERACION_ANUALIZADA_TC!G127*(1+PARAMETROS!$C$70)</f>
        <v>3003556.4739287407</v>
      </c>
      <c r="K72" s="758">
        <f>OPERACION_ANUALIZADA_TC!H127*(1+PARAMETROS!$C$70)</f>
        <v>6864999.4108087067</v>
      </c>
      <c r="L72" s="758">
        <f>OPERACION_ANUALIZADA_TC!I127*(1+PARAMETROS!$C$70)</f>
        <v>3146987.7384020691</v>
      </c>
      <c r="M72" s="758">
        <f>OPERACION_ANUALIZADA_TC!J127*(1+PARAMETROS!$C$70)</f>
        <v>3221309.8210025458</v>
      </c>
      <c r="N72" s="758">
        <f>OPERACION_ANUALIZADA_TC!K127*(1+PARAMETROS!$C$70)</f>
        <v>3297426.7865636172</v>
      </c>
      <c r="O72" s="758">
        <f>OPERACION_ANUALIZADA_TC!L127*(1+PARAMETROS!$C$70)</f>
        <v>3375382.9246263341</v>
      </c>
      <c r="P72" s="758">
        <f>OPERACION_ANUALIZADA_TC!M127*(1+PARAMETROS!$C$70)</f>
        <v>7620124.5585567057</v>
      </c>
      <c r="Q72" s="758">
        <f>OPERACION_ANUALIZADA_TC!N127*(1+PARAMETROS!$C$70)</f>
        <v>3536995.481726327</v>
      </c>
      <c r="R72" s="758">
        <f>OPERACION_ANUALIZADA_TC!O127*(1+PARAMETROS!$C$70)</f>
        <v>3620746.1717735282</v>
      </c>
      <c r="S72" s="758">
        <f>OPERACION_ANUALIZADA_TC!P127*(1+PARAMETROS!$C$70)</f>
        <v>3706524.6358547215</v>
      </c>
      <c r="T72" s="758">
        <f>OPERACION_ANUALIZADA_TC!Q127*(1+PARAMETROS!$C$70)</f>
        <v>3794381.0340164835</v>
      </c>
      <c r="U72" s="758">
        <f>OPERACION_ANUALIZADA_TC!R127*(1+PARAMETROS!$C$70)</f>
        <v>8460551.8528040089</v>
      </c>
      <c r="V72" s="758">
        <f>OPERACION_ANUALIZADA_TC!S127*(1+PARAMETROS!$C$70)</f>
        <v>3976534.6360238022</v>
      </c>
      <c r="W72" s="758">
        <f>OPERACION_ANUALIZADA_TC!T127*(1+PARAMETROS!$C$70)</f>
        <v>4070938.621770741</v>
      </c>
      <c r="X72" s="758">
        <f>OPERACION_ANUALIZADA_TC!U127*(1+PARAMETROS!$C$70)</f>
        <v>4167634.1731139594</v>
      </c>
      <c r="Y72" s="758">
        <f>OPERACION_ANUALIZADA_TC!V127*(1+PARAMETROS!$C$70)</f>
        <v>4266678.1150930393</v>
      </c>
      <c r="Z72" s="758">
        <f>OPERACION_ANUALIZADA_TC!W127*(1+PARAMETROS!$C$70)</f>
        <v>9396213.810979465</v>
      </c>
      <c r="AA72" s="758">
        <f>OPERACION_ANUALIZADA_TC!X127*(1+PARAMETROS!$C$70)</f>
        <v>4472045.6967975702</v>
      </c>
      <c r="AB72" s="758">
        <f>OPERACION_ANUALIZADA_TC!Y127*(1+PARAMETROS!$C$70)</f>
        <v>4578490.3244372597</v>
      </c>
      <c r="AC72" s="758">
        <f>OPERACION_ANUALIZADA_TC!Z127*(1+PARAMETROS!$C$70)</f>
        <v>4687525.3956046067</v>
      </c>
      <c r="AD72" s="758">
        <f>OPERACION_ANUALIZADA_TC!AA127*(1+PARAMETROS!$C$70)</f>
        <v>4799215.3044166798</v>
      </c>
      <c r="AE72" s="758">
        <f>OPERACION_ANUALIZADA_TC!AB127*(1+PARAMETROS!$C$70)</f>
        <v>10438238.257315286</v>
      </c>
      <c r="AF72" s="758">
        <f>OPERACION_ANUALIZADA_TC!AC127*(1+PARAMETROS!$C$70)</f>
        <v>5030825.4186769668</v>
      </c>
      <c r="AG72" s="758">
        <f>OPERACION_ANUALIZADA_TC!AD127*(1+PARAMETROS!$C$70)</f>
        <v>5150882.7472600536</v>
      </c>
      <c r="AH72" s="758">
        <f>OPERACION_ANUALIZADA_TC!AE127*(1+PARAMETROS!$C$70)</f>
        <v>5273869.24748501</v>
      </c>
      <c r="AI72" s="758">
        <f>OPERACION_ANUALIZADA_TC!AF127*(1+PARAMETROS!$C$70)</f>
        <v>5399857.9116118001</v>
      </c>
      <c r="AJ72" s="758">
        <f>OPERACION_ANUALIZADA_TC!AG127*(1+PARAMETROS!$C$70)</f>
        <v>11599097.173153548</v>
      </c>
      <c r="AK72" s="758">
        <f>OPERACION_ANUALIZADA_TC!AH127*(1+PARAMETROS!$C$70)</f>
        <v>5661143.0252687559</v>
      </c>
      <c r="AL72" s="758">
        <f>OPERACION_ANUALIZADA_TC!AI127*(1+PARAMETROS!$C$70)</f>
        <v>5796594.9293390466</v>
      </c>
      <c r="AM72" s="758">
        <f>OPERACION_ANUALIZADA_TC!AJ127*(1+PARAMETROS!$C$70)</f>
        <v>5935360.0062841373</v>
      </c>
      <c r="AN72" s="758">
        <f>OPERACION_ANUALIZADA_TC!AK127*(1+PARAMETROS!$C$70)</f>
        <v>6077521.0181308491</v>
      </c>
      <c r="AO72" s="758">
        <f>OPERACION_ANUALIZADA_TC!AL127*(1+PARAMETROS!$C$70)</f>
        <v>12892774.71989817</v>
      </c>
      <c r="AP72" s="758">
        <f>OPERACION_ANUALIZADA_TC!AM127*(1+PARAMETROS!$C$70)</f>
        <v>6372372.4917223342</v>
      </c>
      <c r="AQ72" s="758">
        <f>OPERACION_ANUALIZADA_TC!AN127*(1+PARAMETROS!$C$70)</f>
        <v>6525239.2401587041</v>
      </c>
      <c r="AR72" s="758">
        <f>OPERACION_ANUALIZADA_TC!AO127*(1+PARAMETROS!$C$70)</f>
        <v>6681854.610653758</v>
      </c>
      <c r="AS72" s="758">
        <f>OPERACION_ANUALIZADA_TC!AP127*(1+PARAMETROS!$C$70)</f>
        <v>6842312.4692722289</v>
      </c>
      <c r="AT72" s="758">
        <f>OPERACION_ANUALIZADA_TC!AQ127*(1+PARAMETROS!$C$70)</f>
        <v>14334956.983977951</v>
      </c>
      <c r="AU72" s="13"/>
    </row>
    <row r="73" spans="1:47" x14ac:dyDescent="0.25">
      <c r="B73" s="832" t="s">
        <v>379</v>
      </c>
      <c r="C73" s="178">
        <v>0</v>
      </c>
      <c r="D73" s="178">
        <v>0</v>
      </c>
      <c r="E73" s="178">
        <v>0</v>
      </c>
      <c r="F73" s="178">
        <v>0</v>
      </c>
      <c r="G73" s="758">
        <f>DEMANDA!C72*PARAMETROS!$C$67</f>
        <v>5916872.0457433295</v>
      </c>
      <c r="H73" s="758">
        <f>DEMANDA!D72*PARAMETROS!$C$67</f>
        <v>7889162.7276577726</v>
      </c>
      <c r="I73" s="758">
        <f>DEMANDA!E72*PARAMETROS!$C$67</f>
        <v>7974786.9885641681</v>
      </c>
      <c r="J73" s="758">
        <f>DEMANDA!F72*PARAMETROS!$C$67</f>
        <v>8060411.2494705655</v>
      </c>
      <c r="K73" s="758">
        <f>DEMANDA!G72*PARAMETROS!$C$67</f>
        <v>8146035.51037696</v>
      </c>
      <c r="L73" s="758">
        <f>DEMANDA!H72*PARAMETROS!$C$67</f>
        <v>8231659.7712833574</v>
      </c>
      <c r="M73" s="758">
        <f>DEMANDA!I72*PARAMETROS!$C$67</f>
        <v>8317284.0321897492</v>
      </c>
      <c r="N73" s="758">
        <f>DEMANDA!J72*PARAMETROS!$C$67</f>
        <v>8342786.1246950598</v>
      </c>
      <c r="O73" s="758">
        <f>DEMANDA!K72*PARAMETROS!$C$67</f>
        <v>8368288.2172003705</v>
      </c>
      <c r="P73" s="758">
        <f>DEMANDA!L72*PARAMETROS!$C$67</f>
        <v>8393790.3097056821</v>
      </c>
      <c r="Q73" s="758">
        <f>DEMANDA!M72*PARAMETROS!$C$67</f>
        <v>8419292.4022109937</v>
      </c>
      <c r="R73" s="758">
        <f>DEMANDA!N72*PARAMETROS!$C$67</f>
        <v>8444794.4947163071</v>
      </c>
      <c r="S73" s="758">
        <f>DEMANDA!O72*PARAMETROS!$C$67</f>
        <v>8478617.8188312612</v>
      </c>
      <c r="T73" s="758">
        <f>DEMANDA!P72*PARAMETROS!$C$67</f>
        <v>8512441.1429462153</v>
      </c>
      <c r="U73" s="758">
        <f>DEMANDA!Q72*PARAMETROS!$C$67</f>
        <v>8546264.4670611694</v>
      </c>
      <c r="V73" s="758">
        <f>DEMANDA!R72*PARAMETROS!$C$67</f>
        <v>8580087.7911761235</v>
      </c>
      <c r="W73" s="758">
        <f>DEMANDA!S72*PARAMETROS!$C$67</f>
        <v>8613911.1152910758</v>
      </c>
      <c r="X73" s="758">
        <f>DEMANDA!T72*PARAMETROS!$C$67</f>
        <v>8685444.522050254</v>
      </c>
      <c r="Y73" s="758">
        <f>DEMANDA!U72*PARAMETROS!$C$67</f>
        <v>8756977.9288094323</v>
      </c>
      <c r="Z73" s="758">
        <f>DEMANDA!V72*PARAMETROS!$C$67</f>
        <v>8828511.3355686124</v>
      </c>
      <c r="AA73" s="758">
        <f>DEMANDA!W72*PARAMETROS!$C$67</f>
        <v>8900044.7423277907</v>
      </c>
      <c r="AB73" s="758">
        <f>DEMANDA!X72*PARAMETROS!$C$67</f>
        <v>8971578.1490869671</v>
      </c>
      <c r="AC73" s="758">
        <f>DEMANDA!Y72*PARAMETROS!$C$67</f>
        <v>8971578.1490869671</v>
      </c>
      <c r="AD73" s="758">
        <f>DEMANDA!Z72*PARAMETROS!$C$67</f>
        <v>8971578.1490869671</v>
      </c>
      <c r="AE73" s="758">
        <f>DEMANDA!AA72*PARAMETROS!$C$67</f>
        <v>8971578.1490869671</v>
      </c>
      <c r="AF73" s="758">
        <f>DEMANDA!AB72*PARAMETROS!$C$67</f>
        <v>8971578.1490869671</v>
      </c>
      <c r="AG73" s="758">
        <f>DEMANDA!AC72*PARAMETROS!$C$67</f>
        <v>8971578.1490869671</v>
      </c>
      <c r="AH73" s="758">
        <f>DEMANDA!AD72*PARAMETROS!$C$67</f>
        <v>8971578.1490869671</v>
      </c>
      <c r="AI73" s="758">
        <f>DEMANDA!AE72*PARAMETROS!$C$67</f>
        <v>8971578.1490869671</v>
      </c>
      <c r="AJ73" s="758">
        <f>DEMANDA!AF72*PARAMETROS!$C$67</f>
        <v>8971578.1490869671</v>
      </c>
      <c r="AK73" s="758">
        <f>DEMANDA!AG72*PARAMETROS!$C$67</f>
        <v>8971578.1490869671</v>
      </c>
      <c r="AL73" s="758">
        <f>DEMANDA!AH72*PARAMETROS!$C$67</f>
        <v>8971578.1490869671</v>
      </c>
      <c r="AM73" s="758">
        <f>DEMANDA!AI72*PARAMETROS!$C$67</f>
        <v>8971578.1490869671</v>
      </c>
      <c r="AN73" s="758">
        <f>DEMANDA!AJ72*PARAMETROS!$C$67</f>
        <v>8971578.1490869671</v>
      </c>
      <c r="AO73" s="758">
        <f>DEMANDA!AK72*PARAMETROS!$C$67</f>
        <v>8971578.1490869671</v>
      </c>
      <c r="AP73" s="758">
        <f>DEMANDA!AL72*PARAMETROS!$C$67</f>
        <v>8971578.1490869671</v>
      </c>
      <c r="AQ73" s="758">
        <f>DEMANDA!AM72*PARAMETROS!$C$67</f>
        <v>8971578.1490869671</v>
      </c>
      <c r="AR73" s="758">
        <f>DEMANDA!AN72*PARAMETROS!$C$67</f>
        <v>8971578.1490869671</v>
      </c>
      <c r="AS73" s="758">
        <f>DEMANDA!AO72*PARAMETROS!$C$67</f>
        <v>8971578.1490869671</v>
      </c>
      <c r="AT73" s="758">
        <f>DEMANDA!AP72*PARAMETROS!$C$67</f>
        <v>8971578.1490869671</v>
      </c>
      <c r="AU73" s="13"/>
    </row>
    <row r="74" spans="1:47" x14ac:dyDescent="0.25">
      <c r="B74" s="832" t="s">
        <v>395</v>
      </c>
      <c r="C74" s="178">
        <v>0</v>
      </c>
      <c r="D74" s="178">
        <v>0</v>
      </c>
      <c r="E74" s="178">
        <v>0</v>
      </c>
      <c r="F74" s="178">
        <v>0</v>
      </c>
      <c r="G74" s="758">
        <f>'INGRESOS de pasajeros'!C86*PARAMETROS!$C$67</f>
        <v>2889800.3071410418</v>
      </c>
      <c r="H74" s="758">
        <f>'INGRESOS de pasajeros'!D86*PARAMETROS!$C$67</f>
        <v>3853067.0761880572</v>
      </c>
      <c r="I74" s="758">
        <f>'INGRESOS de pasajeros'!E86*PARAMETROS!$C$67</f>
        <v>4072103.2766320105</v>
      </c>
      <c r="J74" s="758">
        <f>'INGRESOS de pasajeros'!F86*PARAMETROS!$C$67</f>
        <v>4115824.9251094083</v>
      </c>
      <c r="K74" s="758">
        <f>'INGRESOS de pasajeros'!G86*PARAMETROS!$C$67</f>
        <v>4327592.2551597133</v>
      </c>
      <c r="L74" s="758">
        <f>'INGRESOS de pasajeros'!H86*PARAMETROS!$C$67</f>
        <v>4373080.2582355989</v>
      </c>
      <c r="M74" s="758">
        <f>'INGRESOS de pasajeros'!I86*PARAMETROS!$C$67</f>
        <v>4597078.419068465</v>
      </c>
      <c r="N74" s="758">
        <f>'INGRESOS de pasajeros'!J86*PARAMETROS!$C$67</f>
        <v>4611173.7798429104</v>
      </c>
      <c r="O74" s="758">
        <f>'INGRESOS de pasajeros'!K86*PARAMETROS!$C$67</f>
        <v>4812130.0138982963</v>
      </c>
      <c r="P74" s="758">
        <f>'INGRESOS de pasajeros'!L86*PARAMETROS!$C$67</f>
        <v>4826794.8272480303</v>
      </c>
      <c r="Q74" s="758">
        <f>'INGRESOS de pasajeros'!M86*PARAMETROS!$C$67</f>
        <v>5037054.6100779139</v>
      </c>
      <c r="R74" s="758">
        <f>'INGRESOS de pasajeros'!N86*PARAMETROS!$C$67</f>
        <v>5052311.8818869777</v>
      </c>
      <c r="S74" s="758">
        <f>'INGRESOS de pasajeros'!O86*PARAMETROS!$C$67</f>
        <v>5277478.4616115922</v>
      </c>
      <c r="T74" s="758">
        <f>'INGRESOS de pasajeros'!P86*PARAMETROS!$C$67</f>
        <v>5298531.6413079705</v>
      </c>
      <c r="U74" s="758">
        <f>'INGRESOS de pasajeros'!Q86*PARAMETROS!$C$67</f>
        <v>5534496.0477729272</v>
      </c>
      <c r="V74" s="758">
        <f>'INGRESOS de pasajeros'!R86*PARAMETROS!$C$67</f>
        <v>5556399.7759290403</v>
      </c>
      <c r="W74" s="758">
        <f>'INGRESOS de pasajeros'!S86*PARAMETROS!$C$67</f>
        <v>5803666.9656501897</v>
      </c>
      <c r="X74" s="758">
        <f>'INGRESOS de pasajeros'!T86*PARAMETROS!$C$67</f>
        <v>5851862.9667688571</v>
      </c>
      <c r="Y74" s="758">
        <f>'INGRESOS de pasajeros'!U86*PARAMETROS!$C$67</f>
        <v>6138421.3501901813</v>
      </c>
      <c r="Z74" s="758">
        <f>'INGRESOS de pasajeros'!V86*PARAMETROS!$C$67</f>
        <v>6188564.4697540412</v>
      </c>
      <c r="AA74" s="758">
        <f>'INGRESOS de pasajeros'!W86*PARAMETROS!$C$67</f>
        <v>6490751.3759263447</v>
      </c>
      <c r="AB74" s="758">
        <f>'INGRESOS de pasajeros'!X86*PARAMETROS!$C$67</f>
        <v>6542920.2775205858</v>
      </c>
      <c r="AC74" s="758">
        <f>'INGRESOS de pasajeros'!Y86*PARAMETROS!$C$67</f>
        <v>6807254.2567324182</v>
      </c>
      <c r="AD74" s="758">
        <f>'INGRESOS de pasajeros'!Z86*PARAMETROS!$C$67</f>
        <v>6807254.2567324182</v>
      </c>
      <c r="AE74" s="758">
        <f>'INGRESOS de pasajeros'!AA86*PARAMETROS!$C$67</f>
        <v>7082267.3287044065</v>
      </c>
      <c r="AF74" s="758">
        <f>'INGRESOS de pasajeros'!AB86*PARAMETROS!$C$67</f>
        <v>7082267.3287044065</v>
      </c>
      <c r="AG74" s="758">
        <f>'INGRESOS de pasajeros'!AC86*PARAMETROS!$C$67</f>
        <v>7368390.9287840649</v>
      </c>
      <c r="AH74" s="758">
        <f>'INGRESOS de pasajeros'!AD86*PARAMETROS!$C$67</f>
        <v>7368390.9287840649</v>
      </c>
      <c r="AI74" s="758">
        <f>'INGRESOS de pasajeros'!AE86*PARAMETROS!$C$67</f>
        <v>7666073.92230694</v>
      </c>
      <c r="AJ74" s="758">
        <f>'INGRESOS de pasajeros'!AF86*PARAMETROS!$C$67</f>
        <v>7666073.92230694</v>
      </c>
      <c r="AK74" s="758">
        <f>'INGRESOS de pasajeros'!AG86*PARAMETROS!$C$67</f>
        <v>7975783.308768142</v>
      </c>
      <c r="AL74" s="758">
        <f>'INGRESOS de pasajeros'!AH86*PARAMETROS!$C$67</f>
        <v>7975783.308768142</v>
      </c>
      <c r="AM74" s="758">
        <f>'INGRESOS de pasajeros'!AI86*PARAMETROS!$C$67</f>
        <v>8298004.9544423735</v>
      </c>
      <c r="AN74" s="758">
        <f>'INGRESOS de pasajeros'!AJ86*PARAMETROS!$C$67</f>
        <v>8298004.9544423735</v>
      </c>
      <c r="AO74" s="758">
        <f>'INGRESOS de pasajeros'!AK86*PARAMETROS!$C$67</f>
        <v>8633244.354601847</v>
      </c>
      <c r="AP74" s="758">
        <f>'INGRESOS de pasajeros'!AL86*PARAMETROS!$C$67</f>
        <v>8633244.354601847</v>
      </c>
      <c r="AQ74" s="758">
        <f>'INGRESOS de pasajeros'!AM86*PARAMETROS!$C$67</f>
        <v>8982027.4265277609</v>
      </c>
      <c r="AR74" s="758">
        <f>'INGRESOS de pasajeros'!AN86*PARAMETROS!$C$67</f>
        <v>8982027.4265277609</v>
      </c>
      <c r="AS74" s="758">
        <f>'INGRESOS de pasajeros'!AO86*PARAMETROS!$C$67</f>
        <v>9344901.3345594835</v>
      </c>
      <c r="AT74" s="758">
        <f>'INGRESOS de pasajeros'!AP86*PARAMETROS!$C$67</f>
        <v>9344901.3345594835</v>
      </c>
      <c r="AU74" s="13"/>
    </row>
    <row r="75" spans="1:47" x14ac:dyDescent="0.25">
      <c r="B75" s="832" t="s">
        <v>396</v>
      </c>
      <c r="C75" s="178">
        <v>0</v>
      </c>
      <c r="D75" s="178">
        <v>0</v>
      </c>
      <c r="E75" s="178">
        <v>0</v>
      </c>
      <c r="F75" s="178">
        <v>0</v>
      </c>
      <c r="G75" s="178">
        <f>$C$14*$C$15*12</f>
        <v>420000</v>
      </c>
      <c r="H75" s="178">
        <f t="shared" ref="H75:AT75" si="0">$G$75*((1+$C$25)^G69)</f>
        <v>428400</v>
      </c>
      <c r="I75" s="178">
        <f t="shared" si="0"/>
        <v>436968</v>
      </c>
      <c r="J75" s="178">
        <f t="shared" si="0"/>
        <v>445707.36</v>
      </c>
      <c r="K75" s="178">
        <f t="shared" si="0"/>
        <v>454621.50719999999</v>
      </c>
      <c r="L75" s="178">
        <f t="shared" si="0"/>
        <v>463713.93734400003</v>
      </c>
      <c r="M75" s="178">
        <f t="shared" si="0"/>
        <v>472988.21609088004</v>
      </c>
      <c r="N75" s="178">
        <f t="shared" si="0"/>
        <v>482447.98041269754</v>
      </c>
      <c r="O75" s="178">
        <f t="shared" si="0"/>
        <v>492096.9400209515</v>
      </c>
      <c r="P75" s="178">
        <f t="shared" si="0"/>
        <v>501938.87882137054</v>
      </c>
      <c r="Q75" s="178">
        <f t="shared" si="0"/>
        <v>511977.65639779798</v>
      </c>
      <c r="R75" s="178">
        <f t="shared" si="0"/>
        <v>522217.20952575386</v>
      </c>
      <c r="S75" s="178">
        <f t="shared" si="0"/>
        <v>532661.55371626897</v>
      </c>
      <c r="T75" s="178">
        <f t="shared" si="0"/>
        <v>543314.78479059436</v>
      </c>
      <c r="U75" s="178">
        <f t="shared" si="0"/>
        <v>554181.08048640634</v>
      </c>
      <c r="V75" s="178">
        <f t="shared" si="0"/>
        <v>565264.70209613431</v>
      </c>
      <c r="W75" s="178">
        <f t="shared" si="0"/>
        <v>576569.99613805709</v>
      </c>
      <c r="X75" s="178">
        <f t="shared" si="0"/>
        <v>588101.39606081822</v>
      </c>
      <c r="Y75" s="178">
        <f t="shared" si="0"/>
        <v>599863.42398203455</v>
      </c>
      <c r="Z75" s="178">
        <f t="shared" si="0"/>
        <v>611860.69246167527</v>
      </c>
      <c r="AA75" s="178">
        <f t="shared" si="0"/>
        <v>624097.90631090873</v>
      </c>
      <c r="AB75" s="178">
        <f t="shared" si="0"/>
        <v>636579.8644371269</v>
      </c>
      <c r="AC75" s="178">
        <f t="shared" si="0"/>
        <v>649311.46172586945</v>
      </c>
      <c r="AD75" s="178">
        <f t="shared" si="0"/>
        <v>662297.69096038677</v>
      </c>
      <c r="AE75" s="178">
        <f t="shared" si="0"/>
        <v>675543.6447795945</v>
      </c>
      <c r="AF75" s="178">
        <f t="shared" si="0"/>
        <v>689054.51767518639</v>
      </c>
      <c r="AG75" s="178">
        <f t="shared" si="0"/>
        <v>702835.60802869021</v>
      </c>
      <c r="AH75" s="178">
        <f t="shared" si="0"/>
        <v>716892.3201892639</v>
      </c>
      <c r="AI75" s="178">
        <f t="shared" si="0"/>
        <v>731230.1665930493</v>
      </c>
      <c r="AJ75" s="178">
        <f t="shared" si="0"/>
        <v>745854.76992491016</v>
      </c>
      <c r="AK75" s="178">
        <f t="shared" si="0"/>
        <v>760771.86532340851</v>
      </c>
      <c r="AL75" s="178">
        <f t="shared" si="0"/>
        <v>775987.30262987642</v>
      </c>
      <c r="AM75" s="178">
        <f t="shared" si="0"/>
        <v>791507.04868247418</v>
      </c>
      <c r="AN75" s="178">
        <f t="shared" si="0"/>
        <v>807337.18965612364</v>
      </c>
      <c r="AO75" s="178">
        <f t="shared" si="0"/>
        <v>823483.93344924611</v>
      </c>
      <c r="AP75" s="178">
        <f t="shared" si="0"/>
        <v>839953.61211823102</v>
      </c>
      <c r="AQ75" s="178">
        <f t="shared" si="0"/>
        <v>856752.68436059554</v>
      </c>
      <c r="AR75" s="178">
        <f t="shared" si="0"/>
        <v>873887.73804780759</v>
      </c>
      <c r="AS75" s="178">
        <f t="shared" si="0"/>
        <v>891365.49280876387</v>
      </c>
      <c r="AT75" s="178">
        <f t="shared" si="0"/>
        <v>909192.80266493873</v>
      </c>
      <c r="AU75" s="13"/>
    </row>
    <row r="76" spans="1:47" x14ac:dyDescent="0.25">
      <c r="B76" s="832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3"/>
    </row>
    <row r="77" spans="1:47" x14ac:dyDescent="0.25">
      <c r="B77" s="831" t="s">
        <v>516</v>
      </c>
      <c r="C77" s="268">
        <v>0</v>
      </c>
      <c r="D77" s="268">
        <v>0</v>
      </c>
      <c r="E77" s="268">
        <v>0</v>
      </c>
      <c r="F77" s="268">
        <v>0</v>
      </c>
      <c r="G77" s="268">
        <f>SUM($C$117:$F$117)*$C$18/50</f>
        <v>-504404.99186940648</v>
      </c>
      <c r="H77" s="268">
        <f t="shared" ref="H77:AT77" si="1">SUM($C$117:$F$117)*$C$18/50</f>
        <v>-504404.99186940648</v>
      </c>
      <c r="I77" s="268">
        <f t="shared" si="1"/>
        <v>-504404.99186940648</v>
      </c>
      <c r="J77" s="268">
        <f t="shared" si="1"/>
        <v>-504404.99186940648</v>
      </c>
      <c r="K77" s="268">
        <f t="shared" si="1"/>
        <v>-504404.99186940648</v>
      </c>
      <c r="L77" s="268">
        <f t="shared" si="1"/>
        <v>-504404.99186940648</v>
      </c>
      <c r="M77" s="268">
        <f t="shared" si="1"/>
        <v>-504404.99186940648</v>
      </c>
      <c r="N77" s="268">
        <f t="shared" si="1"/>
        <v>-504404.99186940648</v>
      </c>
      <c r="O77" s="268">
        <f t="shared" si="1"/>
        <v>-504404.99186940648</v>
      </c>
      <c r="P77" s="268">
        <f t="shared" si="1"/>
        <v>-504404.99186940648</v>
      </c>
      <c r="Q77" s="268">
        <f t="shared" si="1"/>
        <v>-504404.99186940648</v>
      </c>
      <c r="R77" s="268">
        <f t="shared" si="1"/>
        <v>-504404.99186940648</v>
      </c>
      <c r="S77" s="268">
        <f t="shared" si="1"/>
        <v>-504404.99186940648</v>
      </c>
      <c r="T77" s="268">
        <f t="shared" si="1"/>
        <v>-504404.99186940648</v>
      </c>
      <c r="U77" s="268">
        <f t="shared" si="1"/>
        <v>-504404.99186940648</v>
      </c>
      <c r="V77" s="268">
        <f t="shared" si="1"/>
        <v>-504404.99186940648</v>
      </c>
      <c r="W77" s="268">
        <f t="shared" si="1"/>
        <v>-504404.99186940648</v>
      </c>
      <c r="X77" s="268">
        <f t="shared" si="1"/>
        <v>-504404.99186940648</v>
      </c>
      <c r="Y77" s="268">
        <f t="shared" si="1"/>
        <v>-504404.99186940648</v>
      </c>
      <c r="Z77" s="268">
        <f t="shared" si="1"/>
        <v>-504404.99186940648</v>
      </c>
      <c r="AA77" s="268">
        <f t="shared" si="1"/>
        <v>-504404.99186940648</v>
      </c>
      <c r="AB77" s="268">
        <f t="shared" si="1"/>
        <v>-504404.99186940648</v>
      </c>
      <c r="AC77" s="268">
        <f t="shared" si="1"/>
        <v>-504404.99186940648</v>
      </c>
      <c r="AD77" s="268">
        <f t="shared" si="1"/>
        <v>-504404.99186940648</v>
      </c>
      <c r="AE77" s="268">
        <f t="shared" si="1"/>
        <v>-504404.99186940648</v>
      </c>
      <c r="AF77" s="268">
        <f t="shared" si="1"/>
        <v>-504404.99186940648</v>
      </c>
      <c r="AG77" s="268">
        <f t="shared" si="1"/>
        <v>-504404.99186940648</v>
      </c>
      <c r="AH77" s="268">
        <f t="shared" si="1"/>
        <v>-504404.99186940648</v>
      </c>
      <c r="AI77" s="268">
        <f t="shared" si="1"/>
        <v>-504404.99186940648</v>
      </c>
      <c r="AJ77" s="268">
        <f t="shared" si="1"/>
        <v>-504404.99186940648</v>
      </c>
      <c r="AK77" s="268">
        <f t="shared" si="1"/>
        <v>-504404.99186940648</v>
      </c>
      <c r="AL77" s="268">
        <f t="shared" si="1"/>
        <v>-504404.99186940648</v>
      </c>
      <c r="AM77" s="268">
        <f t="shared" si="1"/>
        <v>-504404.99186940648</v>
      </c>
      <c r="AN77" s="268">
        <f t="shared" si="1"/>
        <v>-504404.99186940648</v>
      </c>
      <c r="AO77" s="268">
        <f t="shared" si="1"/>
        <v>-504404.99186940648</v>
      </c>
      <c r="AP77" s="268">
        <f t="shared" si="1"/>
        <v>-504404.99186940648</v>
      </c>
      <c r="AQ77" s="268">
        <f t="shared" si="1"/>
        <v>-504404.99186940648</v>
      </c>
      <c r="AR77" s="268">
        <f t="shared" si="1"/>
        <v>-504404.99186940648</v>
      </c>
      <c r="AS77" s="268">
        <f t="shared" si="1"/>
        <v>-504404.99186940648</v>
      </c>
      <c r="AT77" s="268">
        <f t="shared" si="1"/>
        <v>-504404.99186940648</v>
      </c>
      <c r="AU77" s="13"/>
    </row>
    <row r="78" spans="1:47" x14ac:dyDescent="0.25">
      <c r="B78" s="831" t="s">
        <v>517</v>
      </c>
      <c r="C78" s="268">
        <v>0</v>
      </c>
      <c r="D78" s="268">
        <v>0</v>
      </c>
      <c r="E78" s="268">
        <v>0</v>
      </c>
      <c r="F78" s="268">
        <v>0</v>
      </c>
      <c r="G78" s="268">
        <f>SUM($C$117:$F$117)*$C$19/40</f>
        <v>-1099119.8758722784</v>
      </c>
      <c r="H78" s="268">
        <f t="shared" ref="H78:AT78" si="2">SUM($C$117:$F$117)*$C$19/40</f>
        <v>-1099119.8758722784</v>
      </c>
      <c r="I78" s="268">
        <f t="shared" si="2"/>
        <v>-1099119.8758722784</v>
      </c>
      <c r="J78" s="268">
        <f t="shared" si="2"/>
        <v>-1099119.8758722784</v>
      </c>
      <c r="K78" s="268">
        <f t="shared" si="2"/>
        <v>-1099119.8758722784</v>
      </c>
      <c r="L78" s="268">
        <f t="shared" si="2"/>
        <v>-1099119.8758722784</v>
      </c>
      <c r="M78" s="268">
        <f t="shared" si="2"/>
        <v>-1099119.8758722784</v>
      </c>
      <c r="N78" s="268">
        <f t="shared" si="2"/>
        <v>-1099119.8758722784</v>
      </c>
      <c r="O78" s="268">
        <f t="shared" si="2"/>
        <v>-1099119.8758722784</v>
      </c>
      <c r="P78" s="268">
        <f t="shared" si="2"/>
        <v>-1099119.8758722784</v>
      </c>
      <c r="Q78" s="268">
        <f t="shared" si="2"/>
        <v>-1099119.8758722784</v>
      </c>
      <c r="R78" s="268">
        <f t="shared" si="2"/>
        <v>-1099119.8758722784</v>
      </c>
      <c r="S78" s="268">
        <f t="shared" si="2"/>
        <v>-1099119.8758722784</v>
      </c>
      <c r="T78" s="268">
        <f t="shared" si="2"/>
        <v>-1099119.8758722784</v>
      </c>
      <c r="U78" s="268">
        <f t="shared" si="2"/>
        <v>-1099119.8758722784</v>
      </c>
      <c r="V78" s="268">
        <f t="shared" si="2"/>
        <v>-1099119.8758722784</v>
      </c>
      <c r="W78" s="268">
        <f t="shared" si="2"/>
        <v>-1099119.8758722784</v>
      </c>
      <c r="X78" s="268">
        <f t="shared" si="2"/>
        <v>-1099119.8758722784</v>
      </c>
      <c r="Y78" s="268">
        <f t="shared" si="2"/>
        <v>-1099119.8758722784</v>
      </c>
      <c r="Z78" s="268">
        <f t="shared" si="2"/>
        <v>-1099119.8758722784</v>
      </c>
      <c r="AA78" s="268">
        <f t="shared" si="2"/>
        <v>-1099119.8758722784</v>
      </c>
      <c r="AB78" s="268">
        <f t="shared" si="2"/>
        <v>-1099119.8758722784</v>
      </c>
      <c r="AC78" s="268">
        <f t="shared" si="2"/>
        <v>-1099119.8758722784</v>
      </c>
      <c r="AD78" s="268">
        <f t="shared" si="2"/>
        <v>-1099119.8758722784</v>
      </c>
      <c r="AE78" s="268">
        <f t="shared" si="2"/>
        <v>-1099119.8758722784</v>
      </c>
      <c r="AF78" s="268">
        <f t="shared" si="2"/>
        <v>-1099119.8758722784</v>
      </c>
      <c r="AG78" s="268">
        <f t="shared" si="2"/>
        <v>-1099119.8758722784</v>
      </c>
      <c r="AH78" s="268">
        <f t="shared" si="2"/>
        <v>-1099119.8758722784</v>
      </c>
      <c r="AI78" s="268">
        <f t="shared" si="2"/>
        <v>-1099119.8758722784</v>
      </c>
      <c r="AJ78" s="268">
        <f t="shared" si="2"/>
        <v>-1099119.8758722784</v>
      </c>
      <c r="AK78" s="268">
        <f t="shared" si="2"/>
        <v>-1099119.8758722784</v>
      </c>
      <c r="AL78" s="268">
        <f t="shared" si="2"/>
        <v>-1099119.8758722784</v>
      </c>
      <c r="AM78" s="268">
        <f t="shared" si="2"/>
        <v>-1099119.8758722784</v>
      </c>
      <c r="AN78" s="268">
        <f t="shared" si="2"/>
        <v>-1099119.8758722784</v>
      </c>
      <c r="AO78" s="268">
        <f t="shared" si="2"/>
        <v>-1099119.8758722784</v>
      </c>
      <c r="AP78" s="268">
        <f t="shared" si="2"/>
        <v>-1099119.8758722784</v>
      </c>
      <c r="AQ78" s="268">
        <f t="shared" si="2"/>
        <v>-1099119.8758722784</v>
      </c>
      <c r="AR78" s="268">
        <f t="shared" si="2"/>
        <v>-1099119.8758722784</v>
      </c>
      <c r="AS78" s="268">
        <f t="shared" si="2"/>
        <v>-1099119.8758722784</v>
      </c>
      <c r="AT78" s="268">
        <f t="shared" si="2"/>
        <v>-1099119.8758722784</v>
      </c>
      <c r="AU78" s="13"/>
    </row>
    <row r="79" spans="1:47" x14ac:dyDescent="0.25">
      <c r="B79" s="831" t="s">
        <v>518</v>
      </c>
      <c r="C79" s="268">
        <v>0</v>
      </c>
      <c r="D79" s="268">
        <v>0</v>
      </c>
      <c r="E79" s="268">
        <v>0</v>
      </c>
      <c r="F79" s="268">
        <v>0</v>
      </c>
      <c r="G79" s="268">
        <f>SUM($C$117:$F$117)*$C$20/15</f>
        <v>-627015.96420904167</v>
      </c>
      <c r="H79" s="268">
        <f t="shared" ref="H79:U79" si="3">SUM($C$117:$F$117)*$C$20/15</f>
        <v>-627015.96420904167</v>
      </c>
      <c r="I79" s="268">
        <f t="shared" si="3"/>
        <v>-627015.96420904167</v>
      </c>
      <c r="J79" s="268">
        <f t="shared" si="3"/>
        <v>-627015.96420904167</v>
      </c>
      <c r="K79" s="268">
        <f t="shared" si="3"/>
        <v>-627015.96420904167</v>
      </c>
      <c r="L79" s="268">
        <f t="shared" si="3"/>
        <v>-627015.96420904167</v>
      </c>
      <c r="M79" s="268">
        <f t="shared" si="3"/>
        <v>-627015.96420904167</v>
      </c>
      <c r="N79" s="268">
        <f t="shared" si="3"/>
        <v>-627015.96420904167</v>
      </c>
      <c r="O79" s="268">
        <f t="shared" si="3"/>
        <v>-627015.96420904167</v>
      </c>
      <c r="P79" s="268">
        <f t="shared" si="3"/>
        <v>-627015.96420904167</v>
      </c>
      <c r="Q79" s="268">
        <f t="shared" si="3"/>
        <v>-627015.96420904167</v>
      </c>
      <c r="R79" s="268">
        <f t="shared" si="3"/>
        <v>-627015.96420904167</v>
      </c>
      <c r="S79" s="268">
        <f t="shared" si="3"/>
        <v>-627015.96420904167</v>
      </c>
      <c r="T79" s="268">
        <f t="shared" si="3"/>
        <v>-627015.96420904167</v>
      </c>
      <c r="U79" s="268">
        <f t="shared" si="3"/>
        <v>-627015.96420904167</v>
      </c>
      <c r="V79" s="268">
        <v>0</v>
      </c>
      <c r="W79" s="268">
        <v>0</v>
      </c>
      <c r="X79" s="268">
        <v>0</v>
      </c>
      <c r="Y79" s="268">
        <v>0</v>
      </c>
      <c r="Z79" s="268">
        <v>0</v>
      </c>
      <c r="AA79" s="268">
        <v>0</v>
      </c>
      <c r="AB79" s="268">
        <v>0</v>
      </c>
      <c r="AC79" s="268">
        <v>0</v>
      </c>
      <c r="AD79" s="268">
        <v>0</v>
      </c>
      <c r="AE79" s="268">
        <v>0</v>
      </c>
      <c r="AF79" s="268">
        <v>0</v>
      </c>
      <c r="AG79" s="268">
        <v>0</v>
      </c>
      <c r="AH79" s="268">
        <v>0</v>
      </c>
      <c r="AI79" s="268">
        <v>0</v>
      </c>
      <c r="AJ79" s="268">
        <v>0</v>
      </c>
      <c r="AK79" s="268">
        <v>0</v>
      </c>
      <c r="AL79" s="268">
        <v>0</v>
      </c>
      <c r="AM79" s="268">
        <v>0</v>
      </c>
      <c r="AN79" s="268">
        <v>0</v>
      </c>
      <c r="AO79" s="268">
        <v>0</v>
      </c>
      <c r="AP79" s="268">
        <v>0</v>
      </c>
      <c r="AQ79" s="268">
        <v>0</v>
      </c>
      <c r="AR79" s="268">
        <v>0</v>
      </c>
      <c r="AS79" s="268">
        <v>0</v>
      </c>
      <c r="AT79" s="268">
        <v>0</v>
      </c>
      <c r="AU79" s="13"/>
    </row>
    <row r="80" spans="1:47" x14ac:dyDescent="0.25">
      <c r="B80" s="831" t="s">
        <v>519</v>
      </c>
      <c r="C80" s="268">
        <v>0</v>
      </c>
      <c r="D80" s="268">
        <v>0</v>
      </c>
      <c r="E80" s="268">
        <v>0</v>
      </c>
      <c r="F80" s="268">
        <v>0</v>
      </c>
      <c r="G80" s="268">
        <f>SUM($C$117:$F$117)*$C$21/10</f>
        <v>-235044.88831879152</v>
      </c>
      <c r="H80" s="268">
        <f t="shared" ref="H80:P80" si="4">SUM($C$117:$F$117)*$C$21/10</f>
        <v>-235044.88831879152</v>
      </c>
      <c r="I80" s="268">
        <f t="shared" si="4"/>
        <v>-235044.88831879152</v>
      </c>
      <c r="J80" s="268">
        <f t="shared" si="4"/>
        <v>-235044.88831879152</v>
      </c>
      <c r="K80" s="268">
        <f t="shared" si="4"/>
        <v>-235044.88831879152</v>
      </c>
      <c r="L80" s="268">
        <f t="shared" si="4"/>
        <v>-235044.88831879152</v>
      </c>
      <c r="M80" s="268">
        <f t="shared" si="4"/>
        <v>-235044.88831879152</v>
      </c>
      <c r="N80" s="268">
        <f t="shared" si="4"/>
        <v>-235044.88831879152</v>
      </c>
      <c r="O80" s="268">
        <f t="shared" si="4"/>
        <v>-235044.88831879152</v>
      </c>
      <c r="P80" s="268">
        <f t="shared" si="4"/>
        <v>-235044.88831879152</v>
      </c>
      <c r="Q80" s="268">
        <v>0</v>
      </c>
      <c r="R80" s="268">
        <v>0</v>
      </c>
      <c r="S80" s="268">
        <v>0</v>
      </c>
      <c r="T80" s="268">
        <v>0</v>
      </c>
      <c r="U80" s="268">
        <v>0</v>
      </c>
      <c r="V80" s="268">
        <v>0</v>
      </c>
      <c r="W80" s="268">
        <v>0</v>
      </c>
      <c r="X80" s="268">
        <v>0</v>
      </c>
      <c r="Y80" s="268">
        <v>0</v>
      </c>
      <c r="Z80" s="268">
        <v>0</v>
      </c>
      <c r="AA80" s="268">
        <v>0</v>
      </c>
      <c r="AB80" s="268">
        <v>0</v>
      </c>
      <c r="AC80" s="268">
        <v>0</v>
      </c>
      <c r="AD80" s="268">
        <v>0</v>
      </c>
      <c r="AE80" s="268">
        <v>0</v>
      </c>
      <c r="AF80" s="268">
        <v>0</v>
      </c>
      <c r="AG80" s="268">
        <v>0</v>
      </c>
      <c r="AH80" s="268">
        <v>0</v>
      </c>
      <c r="AI80" s="268">
        <v>0</v>
      </c>
      <c r="AJ80" s="268">
        <v>0</v>
      </c>
      <c r="AK80" s="268">
        <v>0</v>
      </c>
      <c r="AL80" s="268">
        <v>0</v>
      </c>
      <c r="AM80" s="268">
        <v>0</v>
      </c>
      <c r="AN80" s="268">
        <v>0</v>
      </c>
      <c r="AO80" s="268">
        <v>0</v>
      </c>
      <c r="AP80" s="268">
        <v>0</v>
      </c>
      <c r="AQ80" s="268">
        <v>0</v>
      </c>
      <c r="AR80" s="268">
        <v>0</v>
      </c>
      <c r="AS80" s="268">
        <v>0</v>
      </c>
      <c r="AT80" s="268">
        <v>0</v>
      </c>
      <c r="AU80" s="13"/>
    </row>
    <row r="81" spans="2:66" x14ac:dyDescent="0.25">
      <c r="B81" s="831" t="s">
        <v>520</v>
      </c>
      <c r="C81" s="268">
        <v>0</v>
      </c>
      <c r="D81" s="268">
        <v>0</v>
      </c>
      <c r="E81" s="268">
        <v>0</v>
      </c>
      <c r="F81" s="268">
        <v>0</v>
      </c>
      <c r="G81" s="268">
        <f>SUM($C$117:$F$117)*$C$22/5</f>
        <v>-141000.47274877818</v>
      </c>
      <c r="H81" s="268">
        <f t="shared" ref="H81:K81" si="5">SUM($C$117:$F$117)*$C$22/5</f>
        <v>-141000.47274877818</v>
      </c>
      <c r="I81" s="268">
        <f t="shared" si="5"/>
        <v>-141000.47274877818</v>
      </c>
      <c r="J81" s="268">
        <f t="shared" si="5"/>
        <v>-141000.47274877818</v>
      </c>
      <c r="K81" s="268">
        <f t="shared" si="5"/>
        <v>-141000.47274877818</v>
      </c>
      <c r="L81" s="268">
        <v>0</v>
      </c>
      <c r="M81" s="268">
        <v>0</v>
      </c>
      <c r="N81" s="268">
        <v>0</v>
      </c>
      <c r="O81" s="268">
        <v>0</v>
      </c>
      <c r="P81" s="268">
        <v>0</v>
      </c>
      <c r="Q81" s="268">
        <v>0</v>
      </c>
      <c r="R81" s="268">
        <v>0</v>
      </c>
      <c r="S81" s="268">
        <v>0</v>
      </c>
      <c r="T81" s="268">
        <v>0</v>
      </c>
      <c r="U81" s="268">
        <v>0</v>
      </c>
      <c r="V81" s="268">
        <v>0</v>
      </c>
      <c r="W81" s="268">
        <v>0</v>
      </c>
      <c r="X81" s="268">
        <v>0</v>
      </c>
      <c r="Y81" s="268">
        <v>0</v>
      </c>
      <c r="Z81" s="268">
        <v>0</v>
      </c>
      <c r="AA81" s="268">
        <v>0</v>
      </c>
      <c r="AB81" s="268">
        <v>0</v>
      </c>
      <c r="AC81" s="268">
        <v>0</v>
      </c>
      <c r="AD81" s="268">
        <v>0</v>
      </c>
      <c r="AE81" s="268">
        <v>0</v>
      </c>
      <c r="AF81" s="268">
        <v>0</v>
      </c>
      <c r="AG81" s="268">
        <v>0</v>
      </c>
      <c r="AH81" s="268">
        <v>0</v>
      </c>
      <c r="AI81" s="268">
        <v>0</v>
      </c>
      <c r="AJ81" s="268">
        <v>0</v>
      </c>
      <c r="AK81" s="268">
        <v>0</v>
      </c>
      <c r="AL81" s="268">
        <v>0</v>
      </c>
      <c r="AM81" s="268">
        <v>0</v>
      </c>
      <c r="AN81" s="268">
        <v>0</v>
      </c>
      <c r="AO81" s="268">
        <v>0</v>
      </c>
      <c r="AP81" s="268">
        <v>0</v>
      </c>
      <c r="AQ81" s="268">
        <v>0</v>
      </c>
      <c r="AR81" s="268">
        <v>0</v>
      </c>
      <c r="AS81" s="268">
        <v>0</v>
      </c>
      <c r="AT81" s="268">
        <v>0</v>
      </c>
      <c r="AU81" s="13"/>
    </row>
    <row r="82" spans="2:66" x14ac:dyDescent="0.25">
      <c r="B82" s="845" t="s">
        <v>529</v>
      </c>
      <c r="C82" s="824">
        <v>0</v>
      </c>
      <c r="D82" s="824">
        <v>0</v>
      </c>
      <c r="E82" s="824">
        <v>0</v>
      </c>
      <c r="F82" s="824">
        <v>0</v>
      </c>
      <c r="G82" s="824">
        <f>-(SUM(C117:F117))+SUM(G77:G81)</f>
        <v>91399247.348360002</v>
      </c>
      <c r="H82" s="824">
        <f>G82+SUM(H77:H81)</f>
        <v>88792661.1553417</v>
      </c>
      <c r="I82" s="824">
        <f t="shared" ref="I82:AT82" si="6">H82+SUM(I77:I81)</f>
        <v>86186074.962323397</v>
      </c>
      <c r="J82" s="824">
        <f t="shared" si="6"/>
        <v>83579488.769305095</v>
      </c>
      <c r="K82" s="824">
        <f t="shared" si="6"/>
        <v>80972902.576286793</v>
      </c>
      <c r="L82" s="824">
        <f t="shared" si="6"/>
        <v>78507316.856017277</v>
      </c>
      <c r="M82" s="824">
        <f t="shared" si="6"/>
        <v>76041731.135747761</v>
      </c>
      <c r="N82" s="824">
        <f t="shared" si="6"/>
        <v>73576145.415478244</v>
      </c>
      <c r="O82" s="824">
        <f t="shared" si="6"/>
        <v>71110559.695208728</v>
      </c>
      <c r="P82" s="824">
        <f t="shared" si="6"/>
        <v>68644973.974939212</v>
      </c>
      <c r="Q82" s="824">
        <f t="shared" si="6"/>
        <v>66414433.142988488</v>
      </c>
      <c r="R82" s="824">
        <f t="shared" si="6"/>
        <v>64183892.311037764</v>
      </c>
      <c r="S82" s="824">
        <f t="shared" si="6"/>
        <v>61953351.47908704</v>
      </c>
      <c r="T82" s="824">
        <f t="shared" si="6"/>
        <v>59722810.647136316</v>
      </c>
      <c r="U82" s="824">
        <f t="shared" si="6"/>
        <v>57492269.815185592</v>
      </c>
      <c r="V82" s="824">
        <f t="shared" si="6"/>
        <v>55888744.94744391</v>
      </c>
      <c r="W82" s="824">
        <f t="shared" si="6"/>
        <v>54285220.079702228</v>
      </c>
      <c r="X82" s="824">
        <f t="shared" si="6"/>
        <v>52681695.211960547</v>
      </c>
      <c r="Y82" s="824">
        <f t="shared" si="6"/>
        <v>51078170.344218865</v>
      </c>
      <c r="Z82" s="824">
        <f t="shared" si="6"/>
        <v>49474645.476477183</v>
      </c>
      <c r="AA82" s="824">
        <f t="shared" si="6"/>
        <v>47871120.608735502</v>
      </c>
      <c r="AB82" s="824">
        <f t="shared" si="6"/>
        <v>46267595.74099382</v>
      </c>
      <c r="AC82" s="824">
        <f t="shared" si="6"/>
        <v>44664070.873252138</v>
      </c>
      <c r="AD82" s="824">
        <f t="shared" si="6"/>
        <v>43060546.005510457</v>
      </c>
      <c r="AE82" s="824">
        <f t="shared" si="6"/>
        <v>41457021.137768775</v>
      </c>
      <c r="AF82" s="824">
        <f t="shared" si="6"/>
        <v>39853496.270027094</v>
      </c>
      <c r="AG82" s="824">
        <f t="shared" si="6"/>
        <v>38249971.402285412</v>
      </c>
      <c r="AH82" s="824">
        <f t="shared" si="6"/>
        <v>36646446.53454373</v>
      </c>
      <c r="AI82" s="824">
        <f t="shared" si="6"/>
        <v>35042921.666802049</v>
      </c>
      <c r="AJ82" s="824">
        <f t="shared" si="6"/>
        <v>33439396.799060363</v>
      </c>
      <c r="AK82" s="824">
        <f t="shared" si="6"/>
        <v>31835871.931318678</v>
      </c>
      <c r="AL82" s="824">
        <f t="shared" si="6"/>
        <v>30232347.063576993</v>
      </c>
      <c r="AM82" s="824">
        <f t="shared" si="6"/>
        <v>28628822.195835307</v>
      </c>
      <c r="AN82" s="824">
        <f t="shared" si="6"/>
        <v>27025297.328093622</v>
      </c>
      <c r="AO82" s="824">
        <f t="shared" si="6"/>
        <v>25421772.460351937</v>
      </c>
      <c r="AP82" s="824">
        <f t="shared" si="6"/>
        <v>23818247.592610251</v>
      </c>
      <c r="AQ82" s="824">
        <f t="shared" si="6"/>
        <v>22214722.724868566</v>
      </c>
      <c r="AR82" s="824">
        <f t="shared" si="6"/>
        <v>20611197.85712688</v>
      </c>
      <c r="AS82" s="824">
        <f t="shared" si="6"/>
        <v>19007672.989385195</v>
      </c>
      <c r="AT82" s="824">
        <f t="shared" si="6"/>
        <v>17404148.12164351</v>
      </c>
      <c r="AU82" s="13"/>
    </row>
    <row r="83" spans="2:66" x14ac:dyDescent="0.25">
      <c r="B83" s="831" t="s">
        <v>521</v>
      </c>
      <c r="C83" s="268">
        <v>0</v>
      </c>
      <c r="D83" s="268">
        <v>0</v>
      </c>
      <c r="E83" s="268">
        <v>0</v>
      </c>
      <c r="F83" s="268">
        <v>0</v>
      </c>
      <c r="G83" s="268">
        <v>0</v>
      </c>
      <c r="H83" s="268">
        <v>0</v>
      </c>
      <c r="I83" s="268">
        <v>0</v>
      </c>
      <c r="J83" s="268">
        <v>0</v>
      </c>
      <c r="K83" s="268">
        <v>0</v>
      </c>
      <c r="L83" s="268">
        <v>0</v>
      </c>
      <c r="M83" s="268">
        <v>0</v>
      </c>
      <c r="N83" s="268">
        <v>0</v>
      </c>
      <c r="O83" s="268">
        <v>0</v>
      </c>
      <c r="P83" s="268">
        <v>0</v>
      </c>
      <c r="Q83" s="268">
        <v>0</v>
      </c>
      <c r="R83" s="268">
        <f>SUM($P$118:$Q$118)/10</f>
        <v>-300957.91077587084</v>
      </c>
      <c r="S83" s="268">
        <f t="shared" ref="S83:AB83" si="7">SUM($P$118:$Q$118)/10</f>
        <v>-300957.91077587084</v>
      </c>
      <c r="T83" s="268">
        <f t="shared" si="7"/>
        <v>-300957.91077587084</v>
      </c>
      <c r="U83" s="268">
        <f t="shared" si="7"/>
        <v>-300957.91077587084</v>
      </c>
      <c r="V83" s="268">
        <f t="shared" si="7"/>
        <v>-300957.91077587084</v>
      </c>
      <c r="W83" s="268">
        <f t="shared" si="7"/>
        <v>-300957.91077587084</v>
      </c>
      <c r="X83" s="268">
        <f t="shared" si="7"/>
        <v>-300957.91077587084</v>
      </c>
      <c r="Y83" s="268">
        <f t="shared" si="7"/>
        <v>-300957.91077587084</v>
      </c>
      <c r="Z83" s="268">
        <f t="shared" si="7"/>
        <v>-300957.91077587084</v>
      </c>
      <c r="AA83" s="268">
        <f t="shared" si="7"/>
        <v>-300957.91077587084</v>
      </c>
      <c r="AB83" s="268">
        <f t="shared" si="7"/>
        <v>-300957.91077587084</v>
      </c>
      <c r="AC83" s="268">
        <v>0</v>
      </c>
      <c r="AD83" s="268">
        <v>0</v>
      </c>
      <c r="AE83" s="268">
        <v>0</v>
      </c>
      <c r="AF83" s="268">
        <v>0</v>
      </c>
      <c r="AG83" s="268">
        <v>0</v>
      </c>
      <c r="AH83" s="268">
        <v>0</v>
      </c>
      <c r="AI83" s="268">
        <v>0</v>
      </c>
      <c r="AJ83" s="268">
        <v>0</v>
      </c>
      <c r="AK83" s="268">
        <v>0</v>
      </c>
      <c r="AL83" s="268">
        <v>0</v>
      </c>
      <c r="AM83" s="268">
        <v>0</v>
      </c>
      <c r="AN83" s="268">
        <v>0</v>
      </c>
      <c r="AO83" s="268">
        <v>0</v>
      </c>
      <c r="AP83" s="268">
        <v>0</v>
      </c>
      <c r="AQ83" s="268">
        <v>0</v>
      </c>
      <c r="AR83" s="268">
        <v>0</v>
      </c>
      <c r="AS83" s="268">
        <v>0</v>
      </c>
      <c r="AT83" s="268">
        <v>0</v>
      </c>
      <c r="AU83" s="13"/>
    </row>
    <row r="84" spans="2:66" s="42" customFormat="1" x14ac:dyDescent="0.25">
      <c r="B84" s="845" t="s">
        <v>522</v>
      </c>
      <c r="C84" s="824">
        <v>0</v>
      </c>
      <c r="D84" s="824">
        <v>0</v>
      </c>
      <c r="E84" s="824">
        <v>0</v>
      </c>
      <c r="F84" s="824">
        <v>0</v>
      </c>
      <c r="G84" s="824">
        <v>0</v>
      </c>
      <c r="H84" s="824">
        <v>0</v>
      </c>
      <c r="I84" s="824">
        <v>0</v>
      </c>
      <c r="J84" s="824">
        <v>0</v>
      </c>
      <c r="K84" s="824">
        <v>0</v>
      </c>
      <c r="L84" s="824">
        <v>0</v>
      </c>
      <c r="M84" s="824">
        <v>0</v>
      </c>
      <c r="N84" s="824">
        <v>0</v>
      </c>
      <c r="O84" s="824">
        <v>0</v>
      </c>
      <c r="P84" s="824">
        <v>0</v>
      </c>
      <c r="Q84" s="824">
        <v>0</v>
      </c>
      <c r="R84" s="824">
        <f>-SUM(P118:Q118)</f>
        <v>3009579.1077587083</v>
      </c>
      <c r="S84" s="824">
        <f>R84+S83</f>
        <v>2708621.1969828373</v>
      </c>
      <c r="T84" s="824">
        <f t="shared" ref="T84:AB84" si="8">S84+T83</f>
        <v>2407663.2862069663</v>
      </c>
      <c r="U84" s="824">
        <f t="shared" si="8"/>
        <v>2106705.3754310952</v>
      </c>
      <c r="V84" s="824">
        <f t="shared" si="8"/>
        <v>1805747.4646552245</v>
      </c>
      <c r="W84" s="824">
        <f t="shared" si="8"/>
        <v>1504789.5538793537</v>
      </c>
      <c r="X84" s="824">
        <f t="shared" si="8"/>
        <v>1203831.6431034829</v>
      </c>
      <c r="Y84" s="824">
        <f t="shared" si="8"/>
        <v>902873.73232761212</v>
      </c>
      <c r="Z84" s="824">
        <f t="shared" si="8"/>
        <v>601915.82155174133</v>
      </c>
      <c r="AA84" s="824">
        <f t="shared" si="8"/>
        <v>300957.91077587049</v>
      </c>
      <c r="AB84" s="824">
        <f t="shared" si="8"/>
        <v>0</v>
      </c>
      <c r="AC84" s="824">
        <v>0</v>
      </c>
      <c r="AD84" s="824">
        <v>0</v>
      </c>
      <c r="AE84" s="824">
        <v>0</v>
      </c>
      <c r="AF84" s="824">
        <v>0</v>
      </c>
      <c r="AG84" s="824">
        <v>0</v>
      </c>
      <c r="AH84" s="824">
        <v>0</v>
      </c>
      <c r="AI84" s="824">
        <v>0</v>
      </c>
      <c r="AJ84" s="824">
        <v>0</v>
      </c>
      <c r="AK84" s="824">
        <v>0</v>
      </c>
      <c r="AL84" s="824">
        <v>0</v>
      </c>
      <c r="AM84" s="824">
        <v>0</v>
      </c>
      <c r="AN84" s="824">
        <v>0</v>
      </c>
      <c r="AO84" s="824">
        <v>0</v>
      </c>
      <c r="AP84" s="824">
        <v>0</v>
      </c>
      <c r="AQ84" s="824">
        <v>0</v>
      </c>
      <c r="AR84" s="824">
        <v>0</v>
      </c>
      <c r="AS84" s="824">
        <v>0</v>
      </c>
      <c r="AT84" s="824">
        <v>0</v>
      </c>
      <c r="AU84" s="815"/>
    </row>
    <row r="85" spans="2:66" x14ac:dyDescent="0.25">
      <c r="B85" s="831" t="s">
        <v>527</v>
      </c>
      <c r="C85" s="268">
        <v>0</v>
      </c>
      <c r="D85" s="268">
        <v>0</v>
      </c>
      <c r="E85" s="268">
        <v>0</v>
      </c>
      <c r="F85" s="268">
        <v>0</v>
      </c>
      <c r="G85" s="268">
        <v>0</v>
      </c>
      <c r="H85" s="268">
        <v>0</v>
      </c>
      <c r="I85" s="268">
        <v>0</v>
      </c>
      <c r="J85" s="268">
        <v>0</v>
      </c>
      <c r="K85" s="268">
        <v>0</v>
      </c>
      <c r="L85" s="268">
        <v>0</v>
      </c>
      <c r="M85" s="268">
        <v>0</v>
      </c>
      <c r="N85" s="268">
        <v>0</v>
      </c>
      <c r="O85" s="268">
        <v>0</v>
      </c>
      <c r="P85" s="268">
        <v>0</v>
      </c>
      <c r="Q85" s="268">
        <v>0</v>
      </c>
      <c r="R85" s="268">
        <v>0</v>
      </c>
      <c r="S85" s="268">
        <v>0</v>
      </c>
      <c r="T85" s="268">
        <v>0</v>
      </c>
      <c r="U85" s="268">
        <v>0</v>
      </c>
      <c r="V85" s="268">
        <v>0</v>
      </c>
      <c r="W85" s="268">
        <v>0</v>
      </c>
      <c r="X85" s="268">
        <f t="shared" ref="X85:AL85" si="9">SUM($U$118:$W$118)/15</f>
        <v>-871957.15905411413</v>
      </c>
      <c r="Y85" s="268">
        <f t="shared" si="9"/>
        <v>-871957.15905411413</v>
      </c>
      <c r="Z85" s="268">
        <f t="shared" si="9"/>
        <v>-871957.15905411413</v>
      </c>
      <c r="AA85" s="268">
        <f t="shared" si="9"/>
        <v>-871957.15905411413</v>
      </c>
      <c r="AB85" s="268">
        <f t="shared" si="9"/>
        <v>-871957.15905411413</v>
      </c>
      <c r="AC85" s="268">
        <f t="shared" si="9"/>
        <v>-871957.15905411413</v>
      </c>
      <c r="AD85" s="268">
        <f t="shared" si="9"/>
        <v>-871957.15905411413</v>
      </c>
      <c r="AE85" s="268">
        <f t="shared" si="9"/>
        <v>-871957.15905411413</v>
      </c>
      <c r="AF85" s="268">
        <f t="shared" si="9"/>
        <v>-871957.15905411413</v>
      </c>
      <c r="AG85" s="268">
        <f t="shared" si="9"/>
        <v>-871957.15905411413</v>
      </c>
      <c r="AH85" s="268">
        <f t="shared" si="9"/>
        <v>-871957.15905411413</v>
      </c>
      <c r="AI85" s="268">
        <f t="shared" si="9"/>
        <v>-871957.15905411413</v>
      </c>
      <c r="AJ85" s="268">
        <f t="shared" si="9"/>
        <v>-871957.15905411413</v>
      </c>
      <c r="AK85" s="268">
        <f t="shared" si="9"/>
        <v>-871957.15905411413</v>
      </c>
      <c r="AL85" s="268">
        <f t="shared" si="9"/>
        <v>-871957.15905411413</v>
      </c>
      <c r="AM85" s="268">
        <v>0</v>
      </c>
      <c r="AN85" s="268">
        <v>0</v>
      </c>
      <c r="AO85" s="268">
        <f t="shared" ref="AO85:AT85" si="10">-$C$16*AN86</f>
        <v>0</v>
      </c>
      <c r="AP85" s="268">
        <f t="shared" si="10"/>
        <v>0</v>
      </c>
      <c r="AQ85" s="268">
        <f t="shared" si="10"/>
        <v>0</v>
      </c>
      <c r="AR85" s="268">
        <f t="shared" si="10"/>
        <v>0</v>
      </c>
      <c r="AS85" s="268">
        <f t="shared" si="10"/>
        <v>0</v>
      </c>
      <c r="AT85" s="268">
        <f t="shared" si="10"/>
        <v>0</v>
      </c>
      <c r="AU85" s="13"/>
    </row>
    <row r="86" spans="2:66" s="42" customFormat="1" x14ac:dyDescent="0.25">
      <c r="B86" s="845" t="s">
        <v>523</v>
      </c>
      <c r="C86" s="824">
        <v>0</v>
      </c>
      <c r="D86" s="824">
        <v>0</v>
      </c>
      <c r="E86" s="824">
        <v>0</v>
      </c>
      <c r="F86" s="824">
        <v>0</v>
      </c>
      <c r="G86" s="824">
        <v>0</v>
      </c>
      <c r="H86" s="824">
        <v>0</v>
      </c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4">
        <f>-(SUM($U$118:$W$118))+X85</f>
        <v>12207400.226757599</v>
      </c>
      <c r="Y86" s="824">
        <f>X86+Y85</f>
        <v>11335443.067703485</v>
      </c>
      <c r="Z86" s="824">
        <f t="shared" ref="Z86:AL86" si="11">Y86+Z85</f>
        <v>10463485.908649372</v>
      </c>
      <c r="AA86" s="824">
        <f t="shared" si="11"/>
        <v>9591528.7495952584</v>
      </c>
      <c r="AB86" s="824">
        <f t="shared" si="11"/>
        <v>8719571.5905411448</v>
      </c>
      <c r="AC86" s="824">
        <f t="shared" si="11"/>
        <v>7847614.4314870303</v>
      </c>
      <c r="AD86" s="824">
        <f t="shared" si="11"/>
        <v>6975657.2724329159</v>
      </c>
      <c r="AE86" s="824">
        <f t="shared" si="11"/>
        <v>6103700.1133788014</v>
      </c>
      <c r="AF86" s="824">
        <f t="shared" si="11"/>
        <v>5231742.9543246869</v>
      </c>
      <c r="AG86" s="824">
        <f t="shared" si="11"/>
        <v>4359785.7952705724</v>
      </c>
      <c r="AH86" s="824">
        <f t="shared" si="11"/>
        <v>3487828.6362164584</v>
      </c>
      <c r="AI86" s="824">
        <f t="shared" si="11"/>
        <v>2615871.4771623444</v>
      </c>
      <c r="AJ86" s="824">
        <f t="shared" si="11"/>
        <v>1743914.3181082304</v>
      </c>
      <c r="AK86" s="824">
        <f t="shared" si="11"/>
        <v>871957.15905411623</v>
      </c>
      <c r="AL86" s="824">
        <f t="shared" si="11"/>
        <v>2.0954757928848267E-9</v>
      </c>
      <c r="AM86" s="824">
        <v>0</v>
      </c>
      <c r="AN86" s="824">
        <v>0</v>
      </c>
      <c r="AO86" s="824">
        <f t="shared" ref="AO86:AT86" si="12">AN86+AO85</f>
        <v>0</v>
      </c>
      <c r="AP86" s="824">
        <f t="shared" si="12"/>
        <v>0</v>
      </c>
      <c r="AQ86" s="824">
        <f t="shared" si="12"/>
        <v>0</v>
      </c>
      <c r="AR86" s="824">
        <f t="shared" si="12"/>
        <v>0</v>
      </c>
      <c r="AS86" s="824">
        <f t="shared" si="12"/>
        <v>0</v>
      </c>
      <c r="AT86" s="824">
        <f t="shared" si="12"/>
        <v>0</v>
      </c>
      <c r="AU86" s="815"/>
    </row>
    <row r="87" spans="2:66" x14ac:dyDescent="0.25">
      <c r="B87" s="831" t="s">
        <v>524</v>
      </c>
      <c r="C87" s="268">
        <v>0</v>
      </c>
      <c r="D87" s="268">
        <v>0</v>
      </c>
      <c r="E87" s="268">
        <v>0</v>
      </c>
      <c r="F87" s="268">
        <v>0</v>
      </c>
      <c r="G87" s="268">
        <v>0</v>
      </c>
      <c r="H87" s="268">
        <v>0</v>
      </c>
      <c r="I87" s="268">
        <v>0</v>
      </c>
      <c r="J87" s="268">
        <v>0</v>
      </c>
      <c r="K87" s="268">
        <v>0</v>
      </c>
      <c r="L87" s="268">
        <v>0</v>
      </c>
      <c r="M87" s="268">
        <v>0</v>
      </c>
      <c r="N87" s="268">
        <v>0</v>
      </c>
      <c r="O87" s="268">
        <v>0</v>
      </c>
      <c r="P87" s="268">
        <v>0</v>
      </c>
      <c r="Q87" s="268">
        <v>0</v>
      </c>
      <c r="R87" s="268">
        <v>0</v>
      </c>
      <c r="S87" s="268">
        <v>0</v>
      </c>
      <c r="T87" s="268">
        <v>0</v>
      </c>
      <c r="U87" s="268">
        <v>0</v>
      </c>
      <c r="V87" s="268">
        <v>0</v>
      </c>
      <c r="W87" s="268">
        <v>0</v>
      </c>
      <c r="X87" s="268">
        <v>0</v>
      </c>
      <c r="Y87" s="268">
        <v>0</v>
      </c>
      <c r="Z87" s="268">
        <v>0</v>
      </c>
      <c r="AA87" s="268">
        <v>0</v>
      </c>
      <c r="AB87" s="268">
        <v>0</v>
      </c>
      <c r="AC87" s="268">
        <f>SUM($AA$118:$AB$118)/10</f>
        <v>-373448.70931000181</v>
      </c>
      <c r="AD87" s="268">
        <f t="shared" ref="AD87:AM87" si="13">SUM($AA$118:$AB$118)/10</f>
        <v>-373448.70931000181</v>
      </c>
      <c r="AE87" s="268">
        <f t="shared" si="13"/>
        <v>-373448.70931000181</v>
      </c>
      <c r="AF87" s="268">
        <f t="shared" si="13"/>
        <v>-373448.70931000181</v>
      </c>
      <c r="AG87" s="268">
        <f t="shared" si="13"/>
        <v>-373448.70931000181</v>
      </c>
      <c r="AH87" s="268">
        <f t="shared" si="13"/>
        <v>-373448.70931000181</v>
      </c>
      <c r="AI87" s="268">
        <f t="shared" si="13"/>
        <v>-373448.70931000181</v>
      </c>
      <c r="AJ87" s="268">
        <f t="shared" si="13"/>
        <v>-373448.70931000181</v>
      </c>
      <c r="AK87" s="268">
        <f t="shared" si="13"/>
        <v>-373448.70931000181</v>
      </c>
      <c r="AL87" s="268">
        <f t="shared" si="13"/>
        <v>-373448.70931000181</v>
      </c>
      <c r="AM87" s="268">
        <f t="shared" si="13"/>
        <v>-373448.70931000181</v>
      </c>
      <c r="AN87" s="268">
        <v>0</v>
      </c>
      <c r="AO87" s="268">
        <f t="shared" ref="AO87" si="14">-$C$16*AN88</f>
        <v>0</v>
      </c>
      <c r="AP87" s="268">
        <f t="shared" ref="AP87" si="15">-$C$16*AO88</f>
        <v>0</v>
      </c>
      <c r="AQ87" s="268">
        <f t="shared" ref="AQ87" si="16">-$C$16*AP88</f>
        <v>0</v>
      </c>
      <c r="AR87" s="268">
        <f t="shared" ref="AR87" si="17">-$C$16*AQ88</f>
        <v>0</v>
      </c>
      <c r="AS87" s="268">
        <f t="shared" ref="AS87" si="18">-$C$16*AR88</f>
        <v>0</v>
      </c>
      <c r="AT87" s="268">
        <f t="shared" ref="AT87" si="19">-$C$16*AS88</f>
        <v>0</v>
      </c>
      <c r="AU87" s="103"/>
      <c r="AV87" s="166"/>
    </row>
    <row r="88" spans="2:66" s="42" customFormat="1" x14ac:dyDescent="0.25">
      <c r="B88" s="845" t="s">
        <v>525</v>
      </c>
      <c r="C88" s="824">
        <v>0</v>
      </c>
      <c r="D88" s="824">
        <v>0</v>
      </c>
      <c r="E88" s="824">
        <v>0</v>
      </c>
      <c r="F88" s="824">
        <v>0</v>
      </c>
      <c r="G88" s="824">
        <v>0</v>
      </c>
      <c r="H88" s="824">
        <v>0</v>
      </c>
      <c r="I88" s="824">
        <v>0</v>
      </c>
      <c r="J88" s="824">
        <v>0</v>
      </c>
      <c r="K88" s="824">
        <v>0</v>
      </c>
      <c r="L88" s="824">
        <v>0</v>
      </c>
      <c r="M88" s="824">
        <v>0</v>
      </c>
      <c r="N88" s="824">
        <v>0</v>
      </c>
      <c r="O88" s="824">
        <v>0</v>
      </c>
      <c r="P88" s="824">
        <v>0</v>
      </c>
      <c r="Q88" s="824">
        <v>0</v>
      </c>
      <c r="R88" s="824">
        <v>0</v>
      </c>
      <c r="S88" s="824">
        <v>0</v>
      </c>
      <c r="T88" s="824">
        <v>0</v>
      </c>
      <c r="U88" s="824">
        <v>0</v>
      </c>
      <c r="V88" s="824">
        <v>0</v>
      </c>
      <c r="W88" s="824">
        <v>0</v>
      </c>
      <c r="X88" s="824">
        <v>0</v>
      </c>
      <c r="Y88" s="824">
        <v>0</v>
      </c>
      <c r="Z88" s="824">
        <v>0</v>
      </c>
      <c r="AA88" s="824">
        <v>0</v>
      </c>
      <c r="AB88" s="824">
        <v>0</v>
      </c>
      <c r="AC88" s="824">
        <f>-SUM(AA118:AB118)</f>
        <v>3734487.0931000183</v>
      </c>
      <c r="AD88" s="824">
        <f>AC88+AD87</f>
        <v>3361038.3837900166</v>
      </c>
      <c r="AE88" s="824">
        <f t="shared" ref="AE88:AM88" si="20">AD88+AE87</f>
        <v>2987589.6744800149</v>
      </c>
      <c r="AF88" s="824">
        <f t="shared" si="20"/>
        <v>2614140.9651700133</v>
      </c>
      <c r="AG88" s="824">
        <f t="shared" si="20"/>
        <v>2240692.2558600116</v>
      </c>
      <c r="AH88" s="824">
        <f t="shared" si="20"/>
        <v>1867243.5465500099</v>
      </c>
      <c r="AI88" s="824">
        <f t="shared" si="20"/>
        <v>1493794.8372400082</v>
      </c>
      <c r="AJ88" s="824">
        <f t="shared" si="20"/>
        <v>1120346.1279300065</v>
      </c>
      <c r="AK88" s="824">
        <f t="shared" si="20"/>
        <v>746897.41862000467</v>
      </c>
      <c r="AL88" s="824">
        <f t="shared" si="20"/>
        <v>373448.70931000286</v>
      </c>
      <c r="AM88" s="824">
        <f t="shared" si="20"/>
        <v>1.0477378964424133E-9</v>
      </c>
      <c r="AN88" s="824">
        <v>0</v>
      </c>
      <c r="AO88" s="824">
        <f t="shared" ref="AO88" si="21">AN88+AO87</f>
        <v>0</v>
      </c>
      <c r="AP88" s="824">
        <f t="shared" ref="AP88" si="22">AO88+AP87</f>
        <v>0</v>
      </c>
      <c r="AQ88" s="824">
        <f t="shared" ref="AQ88" si="23">AP88+AQ87</f>
        <v>0</v>
      </c>
      <c r="AR88" s="824">
        <f t="shared" ref="AR88" si="24">AQ88+AR87</f>
        <v>0</v>
      </c>
      <c r="AS88" s="824">
        <f t="shared" ref="AS88" si="25">AR88+AS87</f>
        <v>0</v>
      </c>
      <c r="AT88" s="824">
        <f t="shared" ref="AT88" si="26">AS88+AT87</f>
        <v>0</v>
      </c>
      <c r="AU88" s="817"/>
      <c r="AV88" s="686"/>
    </row>
    <row r="89" spans="2:66" x14ac:dyDescent="0.25">
      <c r="B89" s="831" t="s">
        <v>528</v>
      </c>
      <c r="C89" s="268">
        <v>0</v>
      </c>
      <c r="D89" s="268">
        <v>0</v>
      </c>
      <c r="E89" s="268">
        <v>0</v>
      </c>
      <c r="F89" s="268">
        <v>0</v>
      </c>
      <c r="G89" s="268">
        <v>0</v>
      </c>
      <c r="H89" s="268">
        <v>0</v>
      </c>
      <c r="I89" s="268">
        <v>0</v>
      </c>
      <c r="J89" s="268">
        <v>0</v>
      </c>
      <c r="K89" s="268">
        <v>0</v>
      </c>
      <c r="L89" s="268">
        <v>0</v>
      </c>
      <c r="M89" s="268">
        <v>0</v>
      </c>
      <c r="N89" s="268">
        <v>0</v>
      </c>
      <c r="O89" s="268">
        <v>0</v>
      </c>
      <c r="P89" s="268">
        <v>0</v>
      </c>
      <c r="Q89" s="268">
        <v>0</v>
      </c>
      <c r="R89" s="268">
        <v>0</v>
      </c>
      <c r="S89" s="268">
        <v>0</v>
      </c>
      <c r="T89" s="268">
        <v>0</v>
      </c>
      <c r="U89" s="268">
        <v>0</v>
      </c>
      <c r="V89" s="268">
        <v>0</v>
      </c>
      <c r="W89" s="268">
        <v>0</v>
      </c>
      <c r="X89" s="268">
        <v>0</v>
      </c>
      <c r="Y89" s="268">
        <v>0</v>
      </c>
      <c r="Z89" s="268">
        <v>0</v>
      </c>
      <c r="AA89" s="268">
        <v>0</v>
      </c>
      <c r="AB89" s="268">
        <v>0</v>
      </c>
      <c r="AC89" s="268">
        <v>0</v>
      </c>
      <c r="AD89" s="268">
        <v>0</v>
      </c>
      <c r="AE89" s="268">
        <v>0</v>
      </c>
      <c r="AF89" s="268">
        <v>0</v>
      </c>
      <c r="AG89" s="268">
        <v>0</v>
      </c>
      <c r="AH89" s="268">
        <v>0</v>
      </c>
      <c r="AI89" s="268">
        <v>0</v>
      </c>
      <c r="AJ89" s="268">
        <v>0</v>
      </c>
      <c r="AK89" s="268">
        <v>0</v>
      </c>
      <c r="AL89" s="268">
        <v>0</v>
      </c>
      <c r="AM89" s="268">
        <v>0</v>
      </c>
      <c r="AN89" s="268">
        <v>0</v>
      </c>
      <c r="AO89" s="268">
        <f>SUM($AL$118:$AN$118)/14</f>
        <v>-1606150.4772574131</v>
      </c>
      <c r="AP89" s="268">
        <f t="shared" ref="AP89:AT89" si="27">SUM($AL$118:$AN$118)/14</f>
        <v>-1606150.4772574131</v>
      </c>
      <c r="AQ89" s="268">
        <f t="shared" si="27"/>
        <v>-1606150.4772574131</v>
      </c>
      <c r="AR89" s="268">
        <f t="shared" si="27"/>
        <v>-1606150.4772574131</v>
      </c>
      <c r="AS89" s="268">
        <f t="shared" si="27"/>
        <v>-1606150.4772574131</v>
      </c>
      <c r="AT89" s="268">
        <f t="shared" si="27"/>
        <v>-1606150.4772574131</v>
      </c>
      <c r="AU89" s="268"/>
    </row>
    <row r="90" spans="2:66" s="42" customFormat="1" x14ac:dyDescent="0.25">
      <c r="B90" s="966" t="s">
        <v>526</v>
      </c>
      <c r="C90" s="967">
        <v>0</v>
      </c>
      <c r="D90" s="967">
        <v>0</v>
      </c>
      <c r="E90" s="967">
        <v>0</v>
      </c>
      <c r="F90" s="967">
        <v>0</v>
      </c>
      <c r="G90" s="967">
        <v>0</v>
      </c>
      <c r="H90" s="967">
        <v>0</v>
      </c>
      <c r="I90" s="967">
        <v>0</v>
      </c>
      <c r="J90" s="967">
        <v>0</v>
      </c>
      <c r="K90" s="967">
        <v>0</v>
      </c>
      <c r="L90" s="967">
        <v>0</v>
      </c>
      <c r="M90" s="967">
        <v>0</v>
      </c>
      <c r="N90" s="967">
        <v>0</v>
      </c>
      <c r="O90" s="967">
        <v>0</v>
      </c>
      <c r="P90" s="967">
        <v>0</v>
      </c>
      <c r="Q90" s="967">
        <v>0</v>
      </c>
      <c r="R90" s="967">
        <v>0</v>
      </c>
      <c r="S90" s="967">
        <v>0</v>
      </c>
      <c r="T90" s="967">
        <v>0</v>
      </c>
      <c r="U90" s="967">
        <v>0</v>
      </c>
      <c r="V90" s="967">
        <v>0</v>
      </c>
      <c r="W90" s="967">
        <v>0</v>
      </c>
      <c r="X90" s="967">
        <v>0</v>
      </c>
      <c r="Y90" s="967">
        <v>0</v>
      </c>
      <c r="Z90" s="967">
        <v>0</v>
      </c>
      <c r="AA90" s="967">
        <v>0</v>
      </c>
      <c r="AB90" s="967">
        <v>0</v>
      </c>
      <c r="AC90" s="967">
        <v>0</v>
      </c>
      <c r="AD90" s="967">
        <v>0</v>
      </c>
      <c r="AE90" s="967">
        <v>0</v>
      </c>
      <c r="AF90" s="967">
        <v>0</v>
      </c>
      <c r="AG90" s="967">
        <v>0</v>
      </c>
      <c r="AH90" s="967">
        <v>0</v>
      </c>
      <c r="AI90" s="967">
        <v>0</v>
      </c>
      <c r="AJ90" s="967">
        <v>0</v>
      </c>
      <c r="AK90" s="967">
        <v>0</v>
      </c>
      <c r="AL90" s="967">
        <v>0</v>
      </c>
      <c r="AM90" s="967">
        <v>0</v>
      </c>
      <c r="AN90" s="967">
        <v>0</v>
      </c>
      <c r="AO90" s="967">
        <f>-(SUM(AL118:AN118))-AO89</f>
        <v>24092257.158861194</v>
      </c>
      <c r="AP90" s="967">
        <f>AO90+AP89</f>
        <v>22486106.681603782</v>
      </c>
      <c r="AQ90" s="967">
        <f t="shared" ref="AQ90:AT90" si="28">AP90+AQ89</f>
        <v>20879956.20434637</v>
      </c>
      <c r="AR90" s="967">
        <f t="shared" si="28"/>
        <v>19273805.727088958</v>
      </c>
      <c r="AS90" s="967">
        <f t="shared" si="28"/>
        <v>17667655.249831546</v>
      </c>
      <c r="AT90" s="967">
        <f t="shared" si="28"/>
        <v>16061504.772574132</v>
      </c>
      <c r="AU90" s="815"/>
    </row>
    <row r="91" spans="2:66" s="42" customFormat="1" x14ac:dyDescent="0.25">
      <c r="B91" s="845" t="s">
        <v>441</v>
      </c>
      <c r="C91" s="824">
        <v>0</v>
      </c>
      <c r="D91" s="824">
        <v>0</v>
      </c>
      <c r="E91" s="824">
        <v>0</v>
      </c>
      <c r="F91" s="824">
        <v>0</v>
      </c>
      <c r="G91" s="824">
        <f>SUM(G77:G81)+G83+G85+G87+G89</f>
        <v>-2606586.1930182963</v>
      </c>
      <c r="H91" s="824">
        <f t="shared" ref="H91:AT91" si="29">SUM(H77:H81)+H83+H85+H87+H89</f>
        <v>-2606586.1930182963</v>
      </c>
      <c r="I91" s="824">
        <f t="shared" si="29"/>
        <v>-2606586.1930182963</v>
      </c>
      <c r="J91" s="824">
        <f t="shared" si="29"/>
        <v>-2606586.1930182963</v>
      </c>
      <c r="K91" s="824">
        <f t="shared" si="29"/>
        <v>-2606586.1930182963</v>
      </c>
      <c r="L91" s="824">
        <f t="shared" si="29"/>
        <v>-2465585.720269518</v>
      </c>
      <c r="M91" s="824">
        <f t="shared" si="29"/>
        <v>-2465585.720269518</v>
      </c>
      <c r="N91" s="824">
        <f t="shared" si="29"/>
        <v>-2465585.720269518</v>
      </c>
      <c r="O91" s="824">
        <f t="shared" si="29"/>
        <v>-2465585.720269518</v>
      </c>
      <c r="P91" s="824">
        <f t="shared" si="29"/>
        <v>-2465585.720269518</v>
      </c>
      <c r="Q91" s="824">
        <f t="shared" si="29"/>
        <v>-2230540.8319507265</v>
      </c>
      <c r="R91" s="824">
        <f t="shared" si="29"/>
        <v>-2531498.7427265975</v>
      </c>
      <c r="S91" s="824">
        <f t="shared" si="29"/>
        <v>-2531498.7427265975</v>
      </c>
      <c r="T91" s="824">
        <f t="shared" si="29"/>
        <v>-2531498.7427265975</v>
      </c>
      <c r="U91" s="824">
        <f t="shared" si="29"/>
        <v>-2531498.7427265975</v>
      </c>
      <c r="V91" s="824">
        <f t="shared" si="29"/>
        <v>-1904482.7785175557</v>
      </c>
      <c r="W91" s="824">
        <f t="shared" si="29"/>
        <v>-1904482.7785175557</v>
      </c>
      <c r="X91" s="824">
        <f t="shared" si="29"/>
        <v>-2776439.9375716699</v>
      </c>
      <c r="Y91" s="824">
        <f t="shared" si="29"/>
        <v>-2776439.9375716699</v>
      </c>
      <c r="Z91" s="824">
        <f t="shared" si="29"/>
        <v>-2776439.9375716699</v>
      </c>
      <c r="AA91" s="824">
        <f t="shared" si="29"/>
        <v>-2776439.9375716699</v>
      </c>
      <c r="AB91" s="824">
        <f t="shared" si="29"/>
        <v>-2776439.9375716699</v>
      </c>
      <c r="AC91" s="824">
        <f t="shared" si="29"/>
        <v>-2848930.7361058006</v>
      </c>
      <c r="AD91" s="824">
        <f t="shared" si="29"/>
        <v>-2848930.7361058006</v>
      </c>
      <c r="AE91" s="824">
        <f t="shared" si="29"/>
        <v>-2848930.7361058006</v>
      </c>
      <c r="AF91" s="824">
        <f t="shared" si="29"/>
        <v>-2848930.7361058006</v>
      </c>
      <c r="AG91" s="824">
        <f t="shared" si="29"/>
        <v>-2848930.7361058006</v>
      </c>
      <c r="AH91" s="824">
        <f t="shared" si="29"/>
        <v>-2848930.7361058006</v>
      </c>
      <c r="AI91" s="824">
        <f t="shared" si="29"/>
        <v>-2848930.7361058006</v>
      </c>
      <c r="AJ91" s="824">
        <f t="shared" si="29"/>
        <v>-2848930.7361058006</v>
      </c>
      <c r="AK91" s="824">
        <f t="shared" si="29"/>
        <v>-2848930.7361058006</v>
      </c>
      <c r="AL91" s="824">
        <f t="shared" si="29"/>
        <v>-2848930.7361058006</v>
      </c>
      <c r="AM91" s="824">
        <f t="shared" si="29"/>
        <v>-1976973.5770516866</v>
      </c>
      <c r="AN91" s="824">
        <f t="shared" si="29"/>
        <v>-1603524.8677416849</v>
      </c>
      <c r="AO91" s="824">
        <f t="shared" si="29"/>
        <v>-3209675.3449990982</v>
      </c>
      <c r="AP91" s="824">
        <f t="shared" si="29"/>
        <v>-3209675.3449990982</v>
      </c>
      <c r="AQ91" s="824">
        <f t="shared" si="29"/>
        <v>-3209675.3449990982</v>
      </c>
      <c r="AR91" s="824">
        <f t="shared" si="29"/>
        <v>-3209675.3449990982</v>
      </c>
      <c r="AS91" s="824">
        <f t="shared" si="29"/>
        <v>-3209675.3449990982</v>
      </c>
      <c r="AT91" s="824">
        <f t="shared" si="29"/>
        <v>-3209675.3449990982</v>
      </c>
      <c r="AU91" s="815"/>
    </row>
    <row r="92" spans="2:66" s="42" customFormat="1" x14ac:dyDescent="0.25">
      <c r="B92" s="833" t="s">
        <v>435</v>
      </c>
      <c r="C92" s="824">
        <f>C82+C86+C90</f>
        <v>0</v>
      </c>
      <c r="D92" s="824">
        <f t="shared" ref="D92:F92" si="30">D82+D86+D90</f>
        <v>0</v>
      </c>
      <c r="E92" s="824">
        <f t="shared" si="30"/>
        <v>0</v>
      </c>
      <c r="F92" s="824">
        <f t="shared" si="30"/>
        <v>0</v>
      </c>
      <c r="G92" s="824">
        <f>G82+G84+G86+G88+G90</f>
        <v>91399247.348360002</v>
      </c>
      <c r="H92" s="824">
        <f t="shared" ref="H92:AT92" si="31">H82+H84+H86+H88+H90</f>
        <v>88792661.1553417</v>
      </c>
      <c r="I92" s="824">
        <f t="shared" si="31"/>
        <v>86186074.962323397</v>
      </c>
      <c r="J92" s="824">
        <f t="shared" si="31"/>
        <v>83579488.769305095</v>
      </c>
      <c r="K92" s="824">
        <f t="shared" si="31"/>
        <v>80972902.576286793</v>
      </c>
      <c r="L92" s="824">
        <f t="shared" si="31"/>
        <v>78507316.856017277</v>
      </c>
      <c r="M92" s="824">
        <f t="shared" si="31"/>
        <v>76041731.135747761</v>
      </c>
      <c r="N92" s="824">
        <f t="shared" si="31"/>
        <v>73576145.415478244</v>
      </c>
      <c r="O92" s="824">
        <f t="shared" si="31"/>
        <v>71110559.695208728</v>
      </c>
      <c r="P92" s="824">
        <f t="shared" si="31"/>
        <v>68644973.974939212</v>
      </c>
      <c r="Q92" s="824">
        <f t="shared" si="31"/>
        <v>66414433.142988488</v>
      </c>
      <c r="R92" s="824">
        <f t="shared" si="31"/>
        <v>67193471.41879648</v>
      </c>
      <c r="S92" s="824">
        <f t="shared" si="31"/>
        <v>64661972.676069878</v>
      </c>
      <c r="T92" s="824">
        <f t="shared" si="31"/>
        <v>62130473.933343284</v>
      </c>
      <c r="U92" s="824">
        <f t="shared" si="31"/>
        <v>59598975.19061669</v>
      </c>
      <c r="V92" s="824">
        <f t="shared" si="31"/>
        <v>57694492.412099138</v>
      </c>
      <c r="W92" s="824">
        <f t="shared" si="31"/>
        <v>55790009.633581579</v>
      </c>
      <c r="X92" s="824">
        <f t="shared" si="31"/>
        <v>66092927.081821628</v>
      </c>
      <c r="Y92" s="824">
        <f t="shared" si="31"/>
        <v>63316487.144249961</v>
      </c>
      <c r="Z92" s="824">
        <f t="shared" si="31"/>
        <v>60540047.206678294</v>
      </c>
      <c r="AA92" s="824">
        <f t="shared" si="31"/>
        <v>57763607.269106627</v>
      </c>
      <c r="AB92" s="824">
        <f t="shared" si="31"/>
        <v>54987167.331534967</v>
      </c>
      <c r="AC92" s="824">
        <f t="shared" si="31"/>
        <v>56246172.397839189</v>
      </c>
      <c r="AD92" s="824">
        <f t="shared" si="31"/>
        <v>53397241.661733389</v>
      </c>
      <c r="AE92" s="824">
        <f t="shared" si="31"/>
        <v>50548310.925627589</v>
      </c>
      <c r="AF92" s="824">
        <f t="shared" si="31"/>
        <v>47699380.18952179</v>
      </c>
      <c r="AG92" s="824">
        <f t="shared" si="31"/>
        <v>44850449.45341599</v>
      </c>
      <c r="AH92" s="824">
        <f t="shared" si="31"/>
        <v>42001518.717310205</v>
      </c>
      <c r="AI92" s="824">
        <f t="shared" si="31"/>
        <v>39152587.981204405</v>
      </c>
      <c r="AJ92" s="824">
        <f t="shared" si="31"/>
        <v>36303657.245098598</v>
      </c>
      <c r="AK92" s="824">
        <f t="shared" si="31"/>
        <v>33454726.508992799</v>
      </c>
      <c r="AL92" s="824">
        <f t="shared" si="31"/>
        <v>30605795.772886999</v>
      </c>
      <c r="AM92" s="824">
        <f t="shared" si="31"/>
        <v>28628822.195835307</v>
      </c>
      <c r="AN92" s="824">
        <f t="shared" si="31"/>
        <v>27025297.328093622</v>
      </c>
      <c r="AO92" s="824">
        <f t="shared" si="31"/>
        <v>49514029.619213134</v>
      </c>
      <c r="AP92" s="824">
        <f t="shared" si="31"/>
        <v>46304354.274214029</v>
      </c>
      <c r="AQ92" s="824">
        <f t="shared" si="31"/>
        <v>43094678.929214939</v>
      </c>
      <c r="AR92" s="824">
        <f t="shared" si="31"/>
        <v>39885003.584215835</v>
      </c>
      <c r="AS92" s="824">
        <f t="shared" si="31"/>
        <v>36675328.239216745</v>
      </c>
      <c r="AT92" s="824">
        <f t="shared" si="31"/>
        <v>33465652.89421764</v>
      </c>
      <c r="AU92" s="815"/>
    </row>
    <row r="93" spans="2:66" x14ac:dyDescent="0.25">
      <c r="B93" s="481"/>
      <c r="C93" s="382"/>
      <c r="D93" s="382"/>
      <c r="E93" s="382"/>
      <c r="F93" s="382"/>
      <c r="G93" s="382"/>
      <c r="H93" s="382"/>
      <c r="I93" s="382"/>
      <c r="J93" s="382"/>
      <c r="K93" s="382"/>
      <c r="L93" s="382"/>
      <c r="M93" s="382"/>
      <c r="N93" s="382"/>
      <c r="O93" s="382"/>
      <c r="P93" s="382"/>
      <c r="Q93" s="382"/>
      <c r="R93" s="382"/>
      <c r="S93" s="382"/>
      <c r="T93" s="382"/>
      <c r="U93" s="382"/>
      <c r="V93" s="382"/>
      <c r="W93" s="382"/>
      <c r="X93" s="382"/>
      <c r="Y93" s="382"/>
      <c r="Z93" s="382"/>
      <c r="AA93" s="382"/>
      <c r="AB93" s="382"/>
      <c r="AC93" s="382"/>
      <c r="AD93" s="382"/>
      <c r="AE93" s="382"/>
      <c r="AF93" s="382"/>
      <c r="AG93" s="382"/>
      <c r="AH93" s="382"/>
      <c r="AI93" s="382"/>
      <c r="AJ93" s="382"/>
      <c r="AK93" s="382"/>
      <c r="AL93" s="382"/>
      <c r="AM93" s="382"/>
      <c r="AN93" s="382"/>
      <c r="AO93" s="382"/>
      <c r="AP93" s="382"/>
      <c r="AQ93" s="382"/>
      <c r="AR93" s="382"/>
      <c r="AS93" s="382"/>
      <c r="AT93" s="382"/>
      <c r="AU93" s="13"/>
    </row>
    <row r="94" spans="2:66" ht="13.8" thickBot="1" x14ac:dyDescent="0.3">
      <c r="B94" s="834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3"/>
    </row>
    <row r="95" spans="2:66" ht="14.4" x14ac:dyDescent="0.25">
      <c r="B95" s="835" t="s">
        <v>390</v>
      </c>
      <c r="C95" s="818"/>
      <c r="D95" s="818"/>
      <c r="E95" s="818"/>
      <c r="F95" s="818"/>
      <c r="G95" s="818"/>
      <c r="H95" s="818"/>
      <c r="I95" s="818"/>
      <c r="J95" s="818"/>
      <c r="K95" s="818"/>
      <c r="L95" s="818"/>
      <c r="M95" s="818"/>
      <c r="N95" s="818"/>
      <c r="O95" s="818"/>
      <c r="P95" s="818"/>
      <c r="Q95" s="818"/>
      <c r="R95" s="818"/>
      <c r="S95" s="818"/>
      <c r="T95" s="818"/>
      <c r="U95" s="818"/>
      <c r="V95" s="818"/>
      <c r="W95" s="818"/>
      <c r="X95" s="818"/>
      <c r="Y95" s="818"/>
      <c r="Z95" s="818"/>
      <c r="AA95" s="818"/>
      <c r="AB95" s="818"/>
      <c r="AC95" s="818"/>
      <c r="AD95" s="818"/>
      <c r="AE95" s="818"/>
      <c r="AF95" s="818"/>
      <c r="AG95" s="818"/>
      <c r="AH95" s="818"/>
      <c r="AI95" s="818"/>
      <c r="AJ95" s="818"/>
      <c r="AK95" s="818"/>
      <c r="AL95" s="818"/>
      <c r="AM95" s="818"/>
      <c r="AN95" s="818"/>
      <c r="AO95" s="818"/>
      <c r="AP95" s="818"/>
      <c r="AQ95" s="818"/>
      <c r="AR95" s="818"/>
      <c r="AS95" s="818"/>
      <c r="AT95" s="819"/>
      <c r="AU95" s="13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</row>
    <row r="96" spans="2:66" x14ac:dyDescent="0.25">
      <c r="B96" s="836" t="s">
        <v>391</v>
      </c>
      <c r="C96" s="268">
        <v>0</v>
      </c>
      <c r="D96" s="268">
        <v>0</v>
      </c>
      <c r="E96" s="268">
        <v>0</v>
      </c>
      <c r="F96" s="268">
        <v>0</v>
      </c>
      <c r="G96" s="268">
        <f>-G72</f>
        <v>-2791546.919500811</v>
      </c>
      <c r="H96" s="268">
        <f t="shared" ref="H96:AT96" si="32">-H72</f>
        <v>-3091692.739287667</v>
      </c>
      <c r="I96" s="268">
        <f t="shared" si="32"/>
        <v>-2934364.0421133931</v>
      </c>
      <c r="J96" s="268">
        <f t="shared" si="32"/>
        <v>-3003556.4739287407</v>
      </c>
      <c r="K96" s="268">
        <f t="shared" si="32"/>
        <v>-6864999.4108087067</v>
      </c>
      <c r="L96" s="268">
        <f t="shared" si="32"/>
        <v>-3146987.7384020691</v>
      </c>
      <c r="M96" s="268">
        <f t="shared" si="32"/>
        <v>-3221309.8210025458</v>
      </c>
      <c r="N96" s="268">
        <f t="shared" si="32"/>
        <v>-3297426.7865636172</v>
      </c>
      <c r="O96" s="268">
        <f t="shared" si="32"/>
        <v>-3375382.9246263341</v>
      </c>
      <c r="P96" s="268">
        <f t="shared" si="32"/>
        <v>-7620124.5585567057</v>
      </c>
      <c r="Q96" s="268">
        <f t="shared" si="32"/>
        <v>-3536995.481726327</v>
      </c>
      <c r="R96" s="268">
        <f t="shared" si="32"/>
        <v>-3620746.1717735282</v>
      </c>
      <c r="S96" s="268">
        <f t="shared" si="32"/>
        <v>-3706524.6358547215</v>
      </c>
      <c r="T96" s="268">
        <f t="shared" si="32"/>
        <v>-3794381.0340164835</v>
      </c>
      <c r="U96" s="268">
        <f t="shared" si="32"/>
        <v>-8460551.8528040089</v>
      </c>
      <c r="V96" s="268">
        <f t="shared" si="32"/>
        <v>-3976534.6360238022</v>
      </c>
      <c r="W96" s="268">
        <f t="shared" si="32"/>
        <v>-4070938.621770741</v>
      </c>
      <c r="X96" s="268">
        <f t="shared" si="32"/>
        <v>-4167634.1731139594</v>
      </c>
      <c r="Y96" s="268">
        <f t="shared" si="32"/>
        <v>-4266678.1150930393</v>
      </c>
      <c r="Z96" s="268">
        <f t="shared" si="32"/>
        <v>-9396213.810979465</v>
      </c>
      <c r="AA96" s="268">
        <f t="shared" si="32"/>
        <v>-4472045.6967975702</v>
      </c>
      <c r="AB96" s="268">
        <f t="shared" si="32"/>
        <v>-4578490.3244372597</v>
      </c>
      <c r="AC96" s="268">
        <f t="shared" si="32"/>
        <v>-4687525.3956046067</v>
      </c>
      <c r="AD96" s="268">
        <f t="shared" si="32"/>
        <v>-4799215.3044166798</v>
      </c>
      <c r="AE96" s="268">
        <f t="shared" si="32"/>
        <v>-10438238.257315286</v>
      </c>
      <c r="AF96" s="268">
        <f t="shared" si="32"/>
        <v>-5030825.4186769668</v>
      </c>
      <c r="AG96" s="268">
        <f t="shared" si="32"/>
        <v>-5150882.7472600536</v>
      </c>
      <c r="AH96" s="268">
        <f t="shared" si="32"/>
        <v>-5273869.24748501</v>
      </c>
      <c r="AI96" s="268">
        <f t="shared" si="32"/>
        <v>-5399857.9116118001</v>
      </c>
      <c r="AJ96" s="268">
        <f t="shared" si="32"/>
        <v>-11599097.173153548</v>
      </c>
      <c r="AK96" s="268">
        <f t="shared" si="32"/>
        <v>-5661143.0252687559</v>
      </c>
      <c r="AL96" s="268">
        <f t="shared" si="32"/>
        <v>-5796594.9293390466</v>
      </c>
      <c r="AM96" s="268">
        <f t="shared" si="32"/>
        <v>-5935360.0062841373</v>
      </c>
      <c r="AN96" s="268">
        <f t="shared" si="32"/>
        <v>-6077521.0181308491</v>
      </c>
      <c r="AO96" s="268">
        <f t="shared" si="32"/>
        <v>-12892774.71989817</v>
      </c>
      <c r="AP96" s="268">
        <f t="shared" si="32"/>
        <v>-6372372.4917223342</v>
      </c>
      <c r="AQ96" s="268">
        <f t="shared" si="32"/>
        <v>-6525239.2401587041</v>
      </c>
      <c r="AR96" s="268">
        <f t="shared" si="32"/>
        <v>-6681854.610653758</v>
      </c>
      <c r="AS96" s="268">
        <f t="shared" si="32"/>
        <v>-6842312.4692722289</v>
      </c>
      <c r="AT96" s="799">
        <f t="shared" si="32"/>
        <v>-14334956.983977951</v>
      </c>
      <c r="AU96" s="13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</row>
    <row r="97" spans="2:66" s="42" customFormat="1" ht="15" thickBot="1" x14ac:dyDescent="0.3">
      <c r="B97" s="842" t="s">
        <v>389</v>
      </c>
      <c r="C97" s="820"/>
      <c r="D97" s="820"/>
      <c r="E97" s="820"/>
      <c r="F97" s="820"/>
      <c r="G97" s="820">
        <f>G96</f>
        <v>-2791546.919500811</v>
      </c>
      <c r="H97" s="820">
        <f t="shared" ref="H97:AT97" si="33">H96</f>
        <v>-3091692.739287667</v>
      </c>
      <c r="I97" s="820">
        <f t="shared" si="33"/>
        <v>-2934364.0421133931</v>
      </c>
      <c r="J97" s="820">
        <f t="shared" si="33"/>
        <v>-3003556.4739287407</v>
      </c>
      <c r="K97" s="820">
        <f t="shared" si="33"/>
        <v>-6864999.4108087067</v>
      </c>
      <c r="L97" s="820">
        <f t="shared" si="33"/>
        <v>-3146987.7384020691</v>
      </c>
      <c r="M97" s="820">
        <f t="shared" si="33"/>
        <v>-3221309.8210025458</v>
      </c>
      <c r="N97" s="820">
        <f t="shared" si="33"/>
        <v>-3297426.7865636172</v>
      </c>
      <c r="O97" s="820">
        <f t="shared" si="33"/>
        <v>-3375382.9246263341</v>
      </c>
      <c r="P97" s="820">
        <f t="shared" si="33"/>
        <v>-7620124.5585567057</v>
      </c>
      <c r="Q97" s="820">
        <f t="shared" si="33"/>
        <v>-3536995.481726327</v>
      </c>
      <c r="R97" s="820">
        <f t="shared" si="33"/>
        <v>-3620746.1717735282</v>
      </c>
      <c r="S97" s="820">
        <f t="shared" si="33"/>
        <v>-3706524.6358547215</v>
      </c>
      <c r="T97" s="820">
        <f t="shared" si="33"/>
        <v>-3794381.0340164835</v>
      </c>
      <c r="U97" s="820">
        <f t="shared" si="33"/>
        <v>-8460551.8528040089</v>
      </c>
      <c r="V97" s="820">
        <f t="shared" si="33"/>
        <v>-3976534.6360238022</v>
      </c>
      <c r="W97" s="820">
        <f t="shared" si="33"/>
        <v>-4070938.621770741</v>
      </c>
      <c r="X97" s="820">
        <f t="shared" si="33"/>
        <v>-4167634.1731139594</v>
      </c>
      <c r="Y97" s="820">
        <f t="shared" si="33"/>
        <v>-4266678.1150930393</v>
      </c>
      <c r="Z97" s="820">
        <f t="shared" si="33"/>
        <v>-9396213.810979465</v>
      </c>
      <c r="AA97" s="820">
        <f t="shared" si="33"/>
        <v>-4472045.6967975702</v>
      </c>
      <c r="AB97" s="820">
        <f t="shared" si="33"/>
        <v>-4578490.3244372597</v>
      </c>
      <c r="AC97" s="820">
        <f t="shared" si="33"/>
        <v>-4687525.3956046067</v>
      </c>
      <c r="AD97" s="820">
        <f t="shared" si="33"/>
        <v>-4799215.3044166798</v>
      </c>
      <c r="AE97" s="820">
        <f t="shared" si="33"/>
        <v>-10438238.257315286</v>
      </c>
      <c r="AF97" s="820">
        <f t="shared" si="33"/>
        <v>-5030825.4186769668</v>
      </c>
      <c r="AG97" s="820">
        <f t="shared" si="33"/>
        <v>-5150882.7472600536</v>
      </c>
      <c r="AH97" s="820">
        <f t="shared" si="33"/>
        <v>-5273869.24748501</v>
      </c>
      <c r="AI97" s="820">
        <f t="shared" si="33"/>
        <v>-5399857.9116118001</v>
      </c>
      <c r="AJ97" s="820">
        <f t="shared" si="33"/>
        <v>-11599097.173153548</v>
      </c>
      <c r="AK97" s="820">
        <f t="shared" si="33"/>
        <v>-5661143.0252687559</v>
      </c>
      <c r="AL97" s="820">
        <f t="shared" si="33"/>
        <v>-5796594.9293390466</v>
      </c>
      <c r="AM97" s="820">
        <f t="shared" si="33"/>
        <v>-5935360.0062841373</v>
      </c>
      <c r="AN97" s="820">
        <f t="shared" si="33"/>
        <v>-6077521.0181308491</v>
      </c>
      <c r="AO97" s="820">
        <f t="shared" si="33"/>
        <v>-12892774.71989817</v>
      </c>
      <c r="AP97" s="820">
        <f t="shared" si="33"/>
        <v>-6372372.4917223342</v>
      </c>
      <c r="AQ97" s="820">
        <f t="shared" si="33"/>
        <v>-6525239.2401587041</v>
      </c>
      <c r="AR97" s="820">
        <f t="shared" si="33"/>
        <v>-6681854.610653758</v>
      </c>
      <c r="AS97" s="820">
        <f t="shared" si="33"/>
        <v>-6842312.4692722289</v>
      </c>
      <c r="AT97" s="821">
        <f t="shared" si="33"/>
        <v>-14334956.983977951</v>
      </c>
      <c r="AU97" s="817"/>
      <c r="AV97" s="686"/>
      <c r="AW97" s="686"/>
      <c r="AX97" s="686"/>
      <c r="AY97" s="686"/>
      <c r="AZ97" s="686"/>
      <c r="BA97" s="686"/>
      <c r="BB97" s="686"/>
      <c r="BC97" s="686"/>
      <c r="BD97" s="686"/>
      <c r="BE97" s="686"/>
      <c r="BF97" s="686"/>
      <c r="BG97" s="686"/>
      <c r="BH97" s="686"/>
      <c r="BI97" s="686"/>
      <c r="BJ97" s="686"/>
      <c r="BK97" s="686"/>
      <c r="BL97" s="686"/>
      <c r="BM97" s="686"/>
      <c r="BN97" s="686"/>
    </row>
    <row r="98" spans="2:66" s="42" customFormat="1" ht="15" thickBot="1" x14ac:dyDescent="0.3">
      <c r="B98" s="837"/>
      <c r="C98" s="824"/>
      <c r="D98" s="824"/>
      <c r="E98" s="824"/>
      <c r="F98" s="824"/>
      <c r="G98" s="824"/>
      <c r="H98" s="824"/>
      <c r="I98" s="824"/>
      <c r="J98" s="824"/>
      <c r="K98" s="824"/>
      <c r="L98" s="824"/>
      <c r="M98" s="824"/>
      <c r="N98" s="824"/>
      <c r="O98" s="824"/>
      <c r="P98" s="824"/>
      <c r="Q98" s="824"/>
      <c r="R98" s="824"/>
      <c r="S98" s="824"/>
      <c r="T98" s="824"/>
      <c r="U98" s="824"/>
      <c r="V98" s="824"/>
      <c r="W98" s="824"/>
      <c r="X98" s="824"/>
      <c r="Y98" s="824"/>
      <c r="Z98" s="824"/>
      <c r="AA98" s="824"/>
      <c r="AB98" s="824"/>
      <c r="AC98" s="824"/>
      <c r="AD98" s="824"/>
      <c r="AE98" s="824"/>
      <c r="AF98" s="824"/>
      <c r="AG98" s="824"/>
      <c r="AH98" s="824"/>
      <c r="AI98" s="824"/>
      <c r="AJ98" s="824"/>
      <c r="AK98" s="824"/>
      <c r="AL98" s="824"/>
      <c r="AM98" s="824"/>
      <c r="AN98" s="824"/>
      <c r="AO98" s="824"/>
      <c r="AP98" s="824"/>
      <c r="AQ98" s="824"/>
      <c r="AR98" s="824"/>
      <c r="AS98" s="824"/>
      <c r="AT98" s="824"/>
      <c r="AU98" s="817"/>
      <c r="AV98" s="686"/>
      <c r="AW98" s="686"/>
      <c r="AX98" s="686"/>
      <c r="AY98" s="686"/>
      <c r="AZ98" s="686"/>
      <c r="BA98" s="686"/>
      <c r="BB98" s="686"/>
      <c r="BC98" s="686"/>
      <c r="BD98" s="686"/>
      <c r="BE98" s="686"/>
      <c r="BF98" s="686"/>
      <c r="BG98" s="686"/>
      <c r="BH98" s="686"/>
      <c r="BI98" s="686"/>
      <c r="BJ98" s="686"/>
      <c r="BK98" s="686"/>
      <c r="BL98" s="686"/>
      <c r="BM98" s="686"/>
      <c r="BN98" s="686"/>
    </row>
    <row r="99" spans="2:66" ht="14.4" x14ac:dyDescent="0.25">
      <c r="B99" s="835" t="s">
        <v>392</v>
      </c>
      <c r="C99" s="818"/>
      <c r="D99" s="818"/>
      <c r="E99" s="818"/>
      <c r="F99" s="818"/>
      <c r="G99" s="818"/>
      <c r="H99" s="818"/>
      <c r="I99" s="818"/>
      <c r="J99" s="818"/>
      <c r="K99" s="818"/>
      <c r="L99" s="818"/>
      <c r="M99" s="818"/>
      <c r="N99" s="818"/>
      <c r="O99" s="818"/>
      <c r="P99" s="818"/>
      <c r="Q99" s="818"/>
      <c r="R99" s="818"/>
      <c r="S99" s="818"/>
      <c r="T99" s="818"/>
      <c r="U99" s="818"/>
      <c r="V99" s="818"/>
      <c r="W99" s="818"/>
      <c r="X99" s="818"/>
      <c r="Y99" s="818"/>
      <c r="Z99" s="818"/>
      <c r="AA99" s="818"/>
      <c r="AB99" s="818"/>
      <c r="AC99" s="818"/>
      <c r="AD99" s="818"/>
      <c r="AE99" s="818"/>
      <c r="AF99" s="818"/>
      <c r="AG99" s="818"/>
      <c r="AH99" s="818"/>
      <c r="AI99" s="818"/>
      <c r="AJ99" s="818"/>
      <c r="AK99" s="818"/>
      <c r="AL99" s="818"/>
      <c r="AM99" s="818"/>
      <c r="AN99" s="818"/>
      <c r="AO99" s="818"/>
      <c r="AP99" s="818"/>
      <c r="AQ99" s="818"/>
      <c r="AR99" s="818"/>
      <c r="AS99" s="818"/>
      <c r="AT99" s="819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</row>
    <row r="100" spans="2:66" x14ac:dyDescent="0.25">
      <c r="B100" s="836" t="s">
        <v>393</v>
      </c>
      <c r="C100" s="268">
        <v>0</v>
      </c>
      <c r="D100" s="268">
        <v>0</v>
      </c>
      <c r="E100" s="268">
        <v>0</v>
      </c>
      <c r="F100" s="268">
        <v>0</v>
      </c>
      <c r="G100" s="178">
        <f t="shared" ref="G100:AT100" si="34">G74</f>
        <v>2889800.3071410418</v>
      </c>
      <c r="H100" s="178">
        <f t="shared" si="34"/>
        <v>3853067.0761880572</v>
      </c>
      <c r="I100" s="178">
        <f t="shared" si="34"/>
        <v>4072103.2766320105</v>
      </c>
      <c r="J100" s="178">
        <f t="shared" si="34"/>
        <v>4115824.9251094083</v>
      </c>
      <c r="K100" s="178">
        <f t="shared" si="34"/>
        <v>4327592.2551597133</v>
      </c>
      <c r="L100" s="178">
        <f t="shared" si="34"/>
        <v>4373080.2582355989</v>
      </c>
      <c r="M100" s="178">
        <f t="shared" si="34"/>
        <v>4597078.419068465</v>
      </c>
      <c r="N100" s="178">
        <f t="shared" si="34"/>
        <v>4611173.7798429104</v>
      </c>
      <c r="O100" s="178">
        <f t="shared" si="34"/>
        <v>4812130.0138982963</v>
      </c>
      <c r="P100" s="178">
        <f t="shared" si="34"/>
        <v>4826794.8272480303</v>
      </c>
      <c r="Q100" s="178">
        <f t="shared" si="34"/>
        <v>5037054.6100779139</v>
      </c>
      <c r="R100" s="178">
        <f t="shared" si="34"/>
        <v>5052311.8818869777</v>
      </c>
      <c r="S100" s="178">
        <f t="shared" si="34"/>
        <v>5277478.4616115922</v>
      </c>
      <c r="T100" s="178">
        <f t="shared" si="34"/>
        <v>5298531.6413079705</v>
      </c>
      <c r="U100" s="178">
        <f t="shared" si="34"/>
        <v>5534496.0477729272</v>
      </c>
      <c r="V100" s="178">
        <f t="shared" si="34"/>
        <v>5556399.7759290403</v>
      </c>
      <c r="W100" s="178">
        <f t="shared" si="34"/>
        <v>5803666.9656501897</v>
      </c>
      <c r="X100" s="178">
        <f t="shared" si="34"/>
        <v>5851862.9667688571</v>
      </c>
      <c r="Y100" s="178">
        <f t="shared" si="34"/>
        <v>6138421.3501901813</v>
      </c>
      <c r="Z100" s="178">
        <f t="shared" si="34"/>
        <v>6188564.4697540412</v>
      </c>
      <c r="AA100" s="178">
        <f t="shared" si="34"/>
        <v>6490751.3759263447</v>
      </c>
      <c r="AB100" s="178">
        <f t="shared" si="34"/>
        <v>6542920.2775205858</v>
      </c>
      <c r="AC100" s="178">
        <f t="shared" si="34"/>
        <v>6807254.2567324182</v>
      </c>
      <c r="AD100" s="178">
        <f t="shared" si="34"/>
        <v>6807254.2567324182</v>
      </c>
      <c r="AE100" s="178">
        <f t="shared" si="34"/>
        <v>7082267.3287044065</v>
      </c>
      <c r="AF100" s="178">
        <f t="shared" si="34"/>
        <v>7082267.3287044065</v>
      </c>
      <c r="AG100" s="178">
        <f t="shared" si="34"/>
        <v>7368390.9287840649</v>
      </c>
      <c r="AH100" s="178">
        <f t="shared" si="34"/>
        <v>7368390.9287840649</v>
      </c>
      <c r="AI100" s="178">
        <f t="shared" si="34"/>
        <v>7666073.92230694</v>
      </c>
      <c r="AJ100" s="178">
        <f t="shared" si="34"/>
        <v>7666073.92230694</v>
      </c>
      <c r="AK100" s="178">
        <f t="shared" si="34"/>
        <v>7975783.308768142</v>
      </c>
      <c r="AL100" s="178">
        <f t="shared" si="34"/>
        <v>7975783.308768142</v>
      </c>
      <c r="AM100" s="178">
        <f t="shared" si="34"/>
        <v>8298004.9544423735</v>
      </c>
      <c r="AN100" s="178">
        <f t="shared" si="34"/>
        <v>8298004.9544423735</v>
      </c>
      <c r="AO100" s="178">
        <f t="shared" si="34"/>
        <v>8633244.354601847</v>
      </c>
      <c r="AP100" s="178">
        <f t="shared" si="34"/>
        <v>8633244.354601847</v>
      </c>
      <c r="AQ100" s="178">
        <f t="shared" si="34"/>
        <v>8982027.4265277609</v>
      </c>
      <c r="AR100" s="178">
        <f t="shared" si="34"/>
        <v>8982027.4265277609</v>
      </c>
      <c r="AS100" s="178">
        <f t="shared" si="34"/>
        <v>9344901.3345594835</v>
      </c>
      <c r="AT100" s="265">
        <f t="shared" si="34"/>
        <v>9344901.3345594835</v>
      </c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</row>
    <row r="101" spans="2:66" x14ac:dyDescent="0.25">
      <c r="B101" s="836" t="s">
        <v>394</v>
      </c>
      <c r="C101" s="268">
        <v>0</v>
      </c>
      <c r="D101" s="268">
        <v>0</v>
      </c>
      <c r="E101" s="268">
        <v>0</v>
      </c>
      <c r="F101" s="268">
        <v>0</v>
      </c>
      <c r="G101" s="178">
        <f t="shared" ref="G101:AT101" si="35">G75</f>
        <v>420000</v>
      </c>
      <c r="H101" s="178">
        <f t="shared" si="35"/>
        <v>428400</v>
      </c>
      <c r="I101" s="178">
        <f t="shared" si="35"/>
        <v>436968</v>
      </c>
      <c r="J101" s="178">
        <f t="shared" si="35"/>
        <v>445707.36</v>
      </c>
      <c r="K101" s="178">
        <f t="shared" si="35"/>
        <v>454621.50719999999</v>
      </c>
      <c r="L101" s="178">
        <f t="shared" si="35"/>
        <v>463713.93734400003</v>
      </c>
      <c r="M101" s="178">
        <f t="shared" si="35"/>
        <v>472988.21609088004</v>
      </c>
      <c r="N101" s="178">
        <f t="shared" si="35"/>
        <v>482447.98041269754</v>
      </c>
      <c r="O101" s="178">
        <f t="shared" si="35"/>
        <v>492096.9400209515</v>
      </c>
      <c r="P101" s="178">
        <f t="shared" si="35"/>
        <v>501938.87882137054</v>
      </c>
      <c r="Q101" s="178">
        <f t="shared" si="35"/>
        <v>511977.65639779798</v>
      </c>
      <c r="R101" s="178">
        <f t="shared" si="35"/>
        <v>522217.20952575386</v>
      </c>
      <c r="S101" s="178">
        <f t="shared" si="35"/>
        <v>532661.55371626897</v>
      </c>
      <c r="T101" s="178">
        <f t="shared" si="35"/>
        <v>543314.78479059436</v>
      </c>
      <c r="U101" s="178">
        <f t="shared" si="35"/>
        <v>554181.08048640634</v>
      </c>
      <c r="V101" s="178">
        <f t="shared" si="35"/>
        <v>565264.70209613431</v>
      </c>
      <c r="W101" s="178">
        <f t="shared" si="35"/>
        <v>576569.99613805709</v>
      </c>
      <c r="X101" s="178">
        <f t="shared" si="35"/>
        <v>588101.39606081822</v>
      </c>
      <c r="Y101" s="178">
        <f t="shared" si="35"/>
        <v>599863.42398203455</v>
      </c>
      <c r="Z101" s="178">
        <f t="shared" si="35"/>
        <v>611860.69246167527</v>
      </c>
      <c r="AA101" s="178">
        <f t="shared" si="35"/>
        <v>624097.90631090873</v>
      </c>
      <c r="AB101" s="178">
        <f t="shared" si="35"/>
        <v>636579.8644371269</v>
      </c>
      <c r="AC101" s="178">
        <f t="shared" si="35"/>
        <v>649311.46172586945</v>
      </c>
      <c r="AD101" s="178">
        <f t="shared" si="35"/>
        <v>662297.69096038677</v>
      </c>
      <c r="AE101" s="178">
        <f t="shared" si="35"/>
        <v>675543.6447795945</v>
      </c>
      <c r="AF101" s="178">
        <f t="shared" si="35"/>
        <v>689054.51767518639</v>
      </c>
      <c r="AG101" s="178">
        <f t="shared" si="35"/>
        <v>702835.60802869021</v>
      </c>
      <c r="AH101" s="178">
        <f t="shared" si="35"/>
        <v>716892.3201892639</v>
      </c>
      <c r="AI101" s="178">
        <f t="shared" si="35"/>
        <v>731230.1665930493</v>
      </c>
      <c r="AJ101" s="178">
        <f t="shared" si="35"/>
        <v>745854.76992491016</v>
      </c>
      <c r="AK101" s="178">
        <f t="shared" si="35"/>
        <v>760771.86532340851</v>
      </c>
      <c r="AL101" s="178">
        <f t="shared" si="35"/>
        <v>775987.30262987642</v>
      </c>
      <c r="AM101" s="178">
        <f t="shared" si="35"/>
        <v>791507.04868247418</v>
      </c>
      <c r="AN101" s="178">
        <f t="shared" si="35"/>
        <v>807337.18965612364</v>
      </c>
      <c r="AO101" s="178">
        <f t="shared" si="35"/>
        <v>823483.93344924611</v>
      </c>
      <c r="AP101" s="178">
        <f t="shared" si="35"/>
        <v>839953.61211823102</v>
      </c>
      <c r="AQ101" s="178">
        <f t="shared" si="35"/>
        <v>856752.68436059554</v>
      </c>
      <c r="AR101" s="178">
        <f t="shared" si="35"/>
        <v>873887.73804780759</v>
      </c>
      <c r="AS101" s="178">
        <f t="shared" si="35"/>
        <v>891365.49280876387</v>
      </c>
      <c r="AT101" s="265">
        <f t="shared" si="35"/>
        <v>909192.80266493873</v>
      </c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</row>
    <row r="102" spans="2:66" s="808" customFormat="1" ht="15" thickBot="1" x14ac:dyDescent="0.3">
      <c r="B102" s="842" t="s">
        <v>388</v>
      </c>
      <c r="C102" s="822">
        <v>0</v>
      </c>
      <c r="D102" s="822">
        <v>0</v>
      </c>
      <c r="E102" s="822">
        <v>0</v>
      </c>
      <c r="F102" s="822">
        <v>0</v>
      </c>
      <c r="G102" s="822">
        <f>G100+G101</f>
        <v>3309800.3071410418</v>
      </c>
      <c r="H102" s="822">
        <f t="shared" ref="H102:AT102" si="36">H100+H101</f>
        <v>4281467.0761880577</v>
      </c>
      <c r="I102" s="822">
        <f t="shared" si="36"/>
        <v>4509071.2766320109</v>
      </c>
      <c r="J102" s="822">
        <f t="shared" si="36"/>
        <v>4561532.2851094082</v>
      </c>
      <c r="K102" s="822">
        <f t="shared" si="36"/>
        <v>4782213.7623597132</v>
      </c>
      <c r="L102" s="822">
        <f t="shared" si="36"/>
        <v>4836794.1955795987</v>
      </c>
      <c r="M102" s="822">
        <f t="shared" si="36"/>
        <v>5070066.6351593453</v>
      </c>
      <c r="N102" s="822">
        <f t="shared" si="36"/>
        <v>5093621.7602556078</v>
      </c>
      <c r="O102" s="822">
        <f t="shared" si="36"/>
        <v>5304226.9539192477</v>
      </c>
      <c r="P102" s="822">
        <f t="shared" si="36"/>
        <v>5328733.7060694005</v>
      </c>
      <c r="Q102" s="822">
        <f t="shared" si="36"/>
        <v>5549032.2664757119</v>
      </c>
      <c r="R102" s="822">
        <f t="shared" si="36"/>
        <v>5574529.0914127314</v>
      </c>
      <c r="S102" s="822">
        <f t="shared" si="36"/>
        <v>5810140.0153278615</v>
      </c>
      <c r="T102" s="822">
        <f t="shared" si="36"/>
        <v>5841846.4260985646</v>
      </c>
      <c r="U102" s="822">
        <f t="shared" si="36"/>
        <v>6088677.1282593338</v>
      </c>
      <c r="V102" s="822">
        <f t="shared" si="36"/>
        <v>6121664.4780251747</v>
      </c>
      <c r="W102" s="822">
        <f t="shared" si="36"/>
        <v>6380236.9617882464</v>
      </c>
      <c r="X102" s="822">
        <f t="shared" si="36"/>
        <v>6439964.362829675</v>
      </c>
      <c r="Y102" s="822">
        <f t="shared" si="36"/>
        <v>6738284.7741722157</v>
      </c>
      <c r="Z102" s="822">
        <f t="shared" si="36"/>
        <v>6800425.1622157162</v>
      </c>
      <c r="AA102" s="822">
        <f t="shared" si="36"/>
        <v>7114849.2822372532</v>
      </c>
      <c r="AB102" s="822">
        <f t="shared" si="36"/>
        <v>7179500.1419577124</v>
      </c>
      <c r="AC102" s="822">
        <f t="shared" si="36"/>
        <v>7456565.7184582874</v>
      </c>
      <c r="AD102" s="822">
        <f t="shared" si="36"/>
        <v>7469551.947692805</v>
      </c>
      <c r="AE102" s="822">
        <f t="shared" si="36"/>
        <v>7757810.9734840011</v>
      </c>
      <c r="AF102" s="822">
        <f t="shared" si="36"/>
        <v>7771321.846379593</v>
      </c>
      <c r="AG102" s="822">
        <f t="shared" si="36"/>
        <v>8071226.5368127553</v>
      </c>
      <c r="AH102" s="822">
        <f t="shared" si="36"/>
        <v>8085283.2489733286</v>
      </c>
      <c r="AI102" s="822">
        <f t="shared" si="36"/>
        <v>8397304.0888999887</v>
      </c>
      <c r="AJ102" s="822">
        <f t="shared" si="36"/>
        <v>8411928.6922318507</v>
      </c>
      <c r="AK102" s="822">
        <f t="shared" si="36"/>
        <v>8736555.1740915515</v>
      </c>
      <c r="AL102" s="822">
        <f t="shared" si="36"/>
        <v>8751770.6113980189</v>
      </c>
      <c r="AM102" s="822">
        <f t="shared" si="36"/>
        <v>9089512.003124848</v>
      </c>
      <c r="AN102" s="822">
        <f t="shared" si="36"/>
        <v>9105342.1440984979</v>
      </c>
      <c r="AO102" s="822">
        <f t="shared" si="36"/>
        <v>9456728.288051093</v>
      </c>
      <c r="AP102" s="822">
        <f t="shared" si="36"/>
        <v>9473197.9667200781</v>
      </c>
      <c r="AQ102" s="822">
        <f t="shared" si="36"/>
        <v>9838780.1108883563</v>
      </c>
      <c r="AR102" s="822">
        <f t="shared" si="36"/>
        <v>9855915.1645755693</v>
      </c>
      <c r="AS102" s="822">
        <f t="shared" si="36"/>
        <v>10236266.827368248</v>
      </c>
      <c r="AT102" s="823">
        <f t="shared" si="36"/>
        <v>10254094.137224423</v>
      </c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</row>
    <row r="103" spans="2:66" ht="15" thickBot="1" x14ac:dyDescent="0.3">
      <c r="B103" s="838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</row>
    <row r="104" spans="2:66" s="810" customFormat="1" ht="15" thickBot="1" x14ac:dyDescent="0.3">
      <c r="B104" s="843" t="s">
        <v>387</v>
      </c>
      <c r="C104" s="825"/>
      <c r="D104" s="825"/>
      <c r="E104" s="825"/>
      <c r="F104" s="825"/>
      <c r="G104" s="826">
        <f>G102+G97</f>
        <v>518253.38764023082</v>
      </c>
      <c r="H104" s="826">
        <f t="shared" ref="H104:AT104" si="37">H102+H97</f>
        <v>1189774.3369003907</v>
      </c>
      <c r="I104" s="826">
        <f t="shared" si="37"/>
        <v>1574707.2345186179</v>
      </c>
      <c r="J104" s="826">
        <f t="shared" si="37"/>
        <v>1557975.8111806675</v>
      </c>
      <c r="K104" s="826">
        <f t="shared" si="37"/>
        <v>-2082785.6484489935</v>
      </c>
      <c r="L104" s="826">
        <f t="shared" si="37"/>
        <v>1689806.4571775296</v>
      </c>
      <c r="M104" s="826">
        <f t="shared" si="37"/>
        <v>1848756.8141567996</v>
      </c>
      <c r="N104" s="826">
        <f t="shared" si="37"/>
        <v>1796194.9736919906</v>
      </c>
      <c r="O104" s="826">
        <f t="shared" si="37"/>
        <v>1928844.0292929136</v>
      </c>
      <c r="P104" s="826">
        <f t="shared" si="37"/>
        <v>-2291390.8524873052</v>
      </c>
      <c r="Q104" s="826">
        <f t="shared" si="37"/>
        <v>2012036.784749385</v>
      </c>
      <c r="R104" s="826">
        <f t="shared" si="37"/>
        <v>1953782.9196392032</v>
      </c>
      <c r="S104" s="826">
        <f t="shared" si="37"/>
        <v>2103615.37947314</v>
      </c>
      <c r="T104" s="826">
        <f t="shared" si="37"/>
        <v>2047465.3920820812</v>
      </c>
      <c r="U104" s="826">
        <f t="shared" si="37"/>
        <v>-2371874.7245446751</v>
      </c>
      <c r="V104" s="826">
        <f t="shared" si="37"/>
        <v>2145129.8420013725</v>
      </c>
      <c r="W104" s="826">
        <f t="shared" si="37"/>
        <v>2309298.3400175055</v>
      </c>
      <c r="X104" s="826">
        <f t="shared" si="37"/>
        <v>2272330.1897157156</v>
      </c>
      <c r="Y104" s="826">
        <f t="shared" si="37"/>
        <v>2471606.6590791764</v>
      </c>
      <c r="Z104" s="826">
        <f t="shared" si="37"/>
        <v>-2595788.6487637488</v>
      </c>
      <c r="AA104" s="826">
        <f t="shared" si="37"/>
        <v>2642803.5854396829</v>
      </c>
      <c r="AB104" s="826">
        <f t="shared" si="37"/>
        <v>2601009.8175204527</v>
      </c>
      <c r="AC104" s="826">
        <f t="shared" si="37"/>
        <v>2769040.3228536807</v>
      </c>
      <c r="AD104" s="826">
        <f t="shared" si="37"/>
        <v>2670336.6432761252</v>
      </c>
      <c r="AE104" s="826">
        <f t="shared" si="37"/>
        <v>-2680427.2838312844</v>
      </c>
      <c r="AF104" s="826">
        <f t="shared" si="37"/>
        <v>2740496.4277026262</v>
      </c>
      <c r="AG104" s="826">
        <f t="shared" si="37"/>
        <v>2920343.7895527016</v>
      </c>
      <c r="AH104" s="826">
        <f t="shared" si="37"/>
        <v>2811414.0014883187</v>
      </c>
      <c r="AI104" s="826">
        <f t="shared" si="37"/>
        <v>2997446.1772881886</v>
      </c>
      <c r="AJ104" s="826">
        <f t="shared" si="37"/>
        <v>-3187168.4809216969</v>
      </c>
      <c r="AK104" s="826">
        <f t="shared" si="37"/>
        <v>3075412.1488227956</v>
      </c>
      <c r="AL104" s="826">
        <f t="shared" si="37"/>
        <v>2955175.6820589723</v>
      </c>
      <c r="AM104" s="826">
        <f t="shared" si="37"/>
        <v>3154151.9968407108</v>
      </c>
      <c r="AN104" s="826">
        <f t="shared" si="37"/>
        <v>3027821.1259676488</v>
      </c>
      <c r="AO104" s="826">
        <f t="shared" si="37"/>
        <v>-3436046.4318470769</v>
      </c>
      <c r="AP104" s="826">
        <f t="shared" si="37"/>
        <v>3100825.474997744</v>
      </c>
      <c r="AQ104" s="826">
        <f t="shared" si="37"/>
        <v>3313540.8707296522</v>
      </c>
      <c r="AR104" s="826">
        <f t="shared" si="37"/>
        <v>3174060.5539218113</v>
      </c>
      <c r="AS104" s="826">
        <f t="shared" si="37"/>
        <v>3393954.3580960194</v>
      </c>
      <c r="AT104" s="827">
        <f t="shared" si="37"/>
        <v>-4080862.8467535283</v>
      </c>
      <c r="AU104" s="523"/>
      <c r="AV104" s="523"/>
      <c r="AW104" s="523"/>
      <c r="AX104" s="523"/>
      <c r="AY104" s="523"/>
      <c r="AZ104" s="523"/>
      <c r="BA104" s="523"/>
      <c r="BB104" s="523"/>
      <c r="BC104" s="523"/>
      <c r="BD104" s="523"/>
      <c r="BE104" s="523"/>
      <c r="BF104" s="523"/>
      <c r="BG104" s="523"/>
      <c r="BH104" s="523"/>
      <c r="BI104" s="523"/>
      <c r="BJ104" s="523"/>
      <c r="BK104" s="523"/>
      <c r="BL104" s="523"/>
      <c r="BM104" s="523"/>
      <c r="BN104" s="523"/>
    </row>
    <row r="105" spans="2:66" s="810" customFormat="1" ht="15" thickBot="1" x14ac:dyDescent="0.3">
      <c r="B105" s="839"/>
      <c r="C105" s="801"/>
      <c r="D105" s="801"/>
      <c r="E105" s="801"/>
      <c r="F105" s="801"/>
      <c r="G105" s="824"/>
      <c r="H105" s="824"/>
      <c r="I105" s="824"/>
      <c r="J105" s="824"/>
      <c r="K105" s="824"/>
      <c r="L105" s="824"/>
      <c r="M105" s="824"/>
      <c r="N105" s="824"/>
      <c r="O105" s="824"/>
      <c r="P105" s="824"/>
      <c r="Q105" s="824"/>
      <c r="R105" s="824"/>
      <c r="S105" s="824"/>
      <c r="T105" s="824"/>
      <c r="U105" s="824"/>
      <c r="V105" s="824"/>
      <c r="W105" s="824"/>
      <c r="X105" s="824"/>
      <c r="Y105" s="824"/>
      <c r="Z105" s="824"/>
      <c r="AA105" s="824"/>
      <c r="AB105" s="824"/>
      <c r="AC105" s="824"/>
      <c r="AD105" s="824"/>
      <c r="AE105" s="824"/>
      <c r="AF105" s="824"/>
      <c r="AG105" s="824"/>
      <c r="AH105" s="824"/>
      <c r="AI105" s="824"/>
      <c r="AJ105" s="824"/>
      <c r="AK105" s="824"/>
      <c r="AL105" s="824"/>
      <c r="AM105" s="824"/>
      <c r="AN105" s="824"/>
      <c r="AO105" s="824"/>
      <c r="AP105" s="824"/>
      <c r="AQ105" s="824"/>
      <c r="AR105" s="824"/>
      <c r="AS105" s="824"/>
      <c r="AT105" s="824"/>
      <c r="AU105" s="523"/>
      <c r="AV105" s="523"/>
      <c r="AW105" s="523"/>
      <c r="AX105" s="523"/>
      <c r="AY105" s="523"/>
      <c r="AZ105" s="523"/>
      <c r="BA105" s="523"/>
      <c r="BB105" s="523"/>
      <c r="BC105" s="523"/>
      <c r="BD105" s="523"/>
      <c r="BE105" s="523"/>
      <c r="BF105" s="523"/>
      <c r="BG105" s="523"/>
      <c r="BH105" s="523"/>
      <c r="BI105" s="523"/>
      <c r="BJ105" s="523"/>
      <c r="BK105" s="523"/>
      <c r="BL105" s="523"/>
      <c r="BM105" s="523"/>
      <c r="BN105" s="523"/>
    </row>
    <row r="106" spans="2:66" ht="14.4" x14ac:dyDescent="0.25">
      <c r="B106" s="835" t="s">
        <v>397</v>
      </c>
      <c r="C106" s="818"/>
      <c r="D106" s="818"/>
      <c r="E106" s="818"/>
      <c r="F106" s="818"/>
      <c r="G106" s="818"/>
      <c r="H106" s="818"/>
      <c r="I106" s="818"/>
      <c r="J106" s="818"/>
      <c r="K106" s="818"/>
      <c r="L106" s="818"/>
      <c r="M106" s="818"/>
      <c r="N106" s="818"/>
      <c r="O106" s="818"/>
      <c r="P106" s="818"/>
      <c r="Q106" s="818"/>
      <c r="R106" s="818"/>
      <c r="S106" s="818"/>
      <c r="T106" s="818"/>
      <c r="U106" s="818"/>
      <c r="V106" s="818"/>
      <c r="W106" s="818"/>
      <c r="X106" s="818"/>
      <c r="Y106" s="818"/>
      <c r="Z106" s="818"/>
      <c r="AA106" s="818"/>
      <c r="AB106" s="818"/>
      <c r="AC106" s="818"/>
      <c r="AD106" s="818"/>
      <c r="AE106" s="818"/>
      <c r="AF106" s="818"/>
      <c r="AG106" s="818"/>
      <c r="AH106" s="818"/>
      <c r="AI106" s="818"/>
      <c r="AJ106" s="818"/>
      <c r="AK106" s="818"/>
      <c r="AL106" s="818"/>
      <c r="AM106" s="818"/>
      <c r="AN106" s="818"/>
      <c r="AO106" s="818"/>
      <c r="AP106" s="818"/>
      <c r="AQ106" s="818"/>
      <c r="AR106" s="818"/>
      <c r="AS106" s="818"/>
      <c r="AT106" s="819"/>
      <c r="AU106" s="166"/>
      <c r="AV106" s="166"/>
      <c r="AW106" s="166"/>
      <c r="AX106" s="166"/>
      <c r="AY106" s="166"/>
      <c r="AZ106" s="166"/>
      <c r="BA106" s="166"/>
      <c r="BB106" s="166"/>
      <c r="BC106" s="166"/>
      <c r="BD106" s="166"/>
      <c r="BE106" s="166"/>
      <c r="BF106" s="166"/>
      <c r="BG106" s="166"/>
      <c r="BH106" s="166"/>
      <c r="BI106" s="166"/>
      <c r="BJ106" s="166"/>
      <c r="BK106" s="166"/>
      <c r="BL106" s="166"/>
      <c r="BM106" s="166"/>
      <c r="BN106" s="166"/>
    </row>
    <row r="107" spans="2:66" x14ac:dyDescent="0.25">
      <c r="B107" s="836" t="s">
        <v>442</v>
      </c>
      <c r="C107" s="268">
        <v>0</v>
      </c>
      <c r="D107" s="268">
        <v>0</v>
      </c>
      <c r="E107" s="268">
        <v>0</v>
      </c>
      <c r="F107" s="268">
        <v>0</v>
      </c>
      <c r="G107" s="178">
        <f>G104</f>
        <v>518253.38764023082</v>
      </c>
      <c r="H107" s="178">
        <f t="shared" ref="H107:AT107" si="38">H104</f>
        <v>1189774.3369003907</v>
      </c>
      <c r="I107" s="178">
        <f t="shared" si="38"/>
        <v>1574707.2345186179</v>
      </c>
      <c r="J107" s="178">
        <f t="shared" si="38"/>
        <v>1557975.8111806675</v>
      </c>
      <c r="K107" s="178">
        <f t="shared" si="38"/>
        <v>-2082785.6484489935</v>
      </c>
      <c r="L107" s="178">
        <f t="shared" si="38"/>
        <v>1689806.4571775296</v>
      </c>
      <c r="M107" s="178">
        <f t="shared" si="38"/>
        <v>1848756.8141567996</v>
      </c>
      <c r="N107" s="178">
        <f t="shared" si="38"/>
        <v>1796194.9736919906</v>
      </c>
      <c r="O107" s="178">
        <f t="shared" si="38"/>
        <v>1928844.0292929136</v>
      </c>
      <c r="P107" s="178">
        <f t="shared" si="38"/>
        <v>-2291390.8524873052</v>
      </c>
      <c r="Q107" s="178">
        <f t="shared" si="38"/>
        <v>2012036.784749385</v>
      </c>
      <c r="R107" s="178">
        <f t="shared" si="38"/>
        <v>1953782.9196392032</v>
      </c>
      <c r="S107" s="178">
        <f t="shared" si="38"/>
        <v>2103615.37947314</v>
      </c>
      <c r="T107" s="178">
        <f t="shared" si="38"/>
        <v>2047465.3920820812</v>
      </c>
      <c r="U107" s="178">
        <f t="shared" si="38"/>
        <v>-2371874.7245446751</v>
      </c>
      <c r="V107" s="178">
        <f t="shared" si="38"/>
        <v>2145129.8420013725</v>
      </c>
      <c r="W107" s="178">
        <f t="shared" si="38"/>
        <v>2309298.3400175055</v>
      </c>
      <c r="X107" s="178">
        <f t="shared" si="38"/>
        <v>2272330.1897157156</v>
      </c>
      <c r="Y107" s="178">
        <f t="shared" si="38"/>
        <v>2471606.6590791764</v>
      </c>
      <c r="Z107" s="178">
        <f t="shared" si="38"/>
        <v>-2595788.6487637488</v>
      </c>
      <c r="AA107" s="178">
        <f t="shared" si="38"/>
        <v>2642803.5854396829</v>
      </c>
      <c r="AB107" s="178">
        <f t="shared" si="38"/>
        <v>2601009.8175204527</v>
      </c>
      <c r="AC107" s="178">
        <f t="shared" si="38"/>
        <v>2769040.3228536807</v>
      </c>
      <c r="AD107" s="178">
        <f t="shared" si="38"/>
        <v>2670336.6432761252</v>
      </c>
      <c r="AE107" s="178">
        <f t="shared" si="38"/>
        <v>-2680427.2838312844</v>
      </c>
      <c r="AF107" s="178">
        <f t="shared" si="38"/>
        <v>2740496.4277026262</v>
      </c>
      <c r="AG107" s="178">
        <f t="shared" si="38"/>
        <v>2920343.7895527016</v>
      </c>
      <c r="AH107" s="178">
        <f t="shared" si="38"/>
        <v>2811414.0014883187</v>
      </c>
      <c r="AI107" s="178">
        <f t="shared" si="38"/>
        <v>2997446.1772881886</v>
      </c>
      <c r="AJ107" s="178">
        <f t="shared" si="38"/>
        <v>-3187168.4809216969</v>
      </c>
      <c r="AK107" s="178">
        <f t="shared" si="38"/>
        <v>3075412.1488227956</v>
      </c>
      <c r="AL107" s="178">
        <f t="shared" si="38"/>
        <v>2955175.6820589723</v>
      </c>
      <c r="AM107" s="178">
        <f t="shared" si="38"/>
        <v>3154151.9968407108</v>
      </c>
      <c r="AN107" s="178">
        <f t="shared" si="38"/>
        <v>3027821.1259676488</v>
      </c>
      <c r="AO107" s="178">
        <f t="shared" si="38"/>
        <v>-3436046.4318470769</v>
      </c>
      <c r="AP107" s="178">
        <f t="shared" si="38"/>
        <v>3100825.474997744</v>
      </c>
      <c r="AQ107" s="178">
        <f t="shared" si="38"/>
        <v>3313540.8707296522</v>
      </c>
      <c r="AR107" s="178">
        <f t="shared" si="38"/>
        <v>3174060.5539218113</v>
      </c>
      <c r="AS107" s="178">
        <f t="shared" si="38"/>
        <v>3393954.3580960194</v>
      </c>
      <c r="AT107" s="265">
        <f t="shared" si="38"/>
        <v>-4080862.8467535283</v>
      </c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66"/>
      <c r="BL107" s="166"/>
      <c r="BM107" s="166"/>
      <c r="BN107" s="166"/>
    </row>
    <row r="108" spans="2:66" x14ac:dyDescent="0.25">
      <c r="B108" s="836" t="s">
        <v>440</v>
      </c>
      <c r="C108" s="268">
        <v>0</v>
      </c>
      <c r="D108" s="268">
        <v>0</v>
      </c>
      <c r="E108" s="268">
        <v>0</v>
      </c>
      <c r="F108" s="268">
        <v>0</v>
      </c>
      <c r="G108" s="178">
        <f>IF(G107&gt;0,-$C$23*G107,0)</f>
        <v>0</v>
      </c>
      <c r="H108" s="178">
        <f t="shared" ref="H108:AT108" si="39">IF(H107&gt;0,-$C$23*H107,0)</f>
        <v>0</v>
      </c>
      <c r="I108" s="178">
        <f t="shared" si="39"/>
        <v>0</v>
      </c>
      <c r="J108" s="178">
        <f t="shared" si="39"/>
        <v>0</v>
      </c>
      <c r="K108" s="178">
        <f t="shared" si="39"/>
        <v>0</v>
      </c>
      <c r="L108" s="178">
        <f t="shared" si="39"/>
        <v>0</v>
      </c>
      <c r="M108" s="178">
        <f t="shared" si="39"/>
        <v>0</v>
      </c>
      <c r="N108" s="178">
        <f t="shared" si="39"/>
        <v>0</v>
      </c>
      <c r="O108" s="178">
        <f t="shared" si="39"/>
        <v>0</v>
      </c>
      <c r="P108" s="178">
        <f t="shared" si="39"/>
        <v>0</v>
      </c>
      <c r="Q108" s="178">
        <f t="shared" si="39"/>
        <v>0</v>
      </c>
      <c r="R108" s="178">
        <f t="shared" si="39"/>
        <v>0</v>
      </c>
      <c r="S108" s="178">
        <f t="shared" si="39"/>
        <v>0</v>
      </c>
      <c r="T108" s="178">
        <f t="shared" si="39"/>
        <v>0</v>
      </c>
      <c r="U108" s="178">
        <f t="shared" si="39"/>
        <v>0</v>
      </c>
      <c r="V108" s="178">
        <f t="shared" si="39"/>
        <v>0</v>
      </c>
      <c r="W108" s="178">
        <f t="shared" si="39"/>
        <v>0</v>
      </c>
      <c r="X108" s="178">
        <f t="shared" si="39"/>
        <v>0</v>
      </c>
      <c r="Y108" s="178">
        <f t="shared" si="39"/>
        <v>0</v>
      </c>
      <c r="Z108" s="178">
        <f t="shared" si="39"/>
        <v>0</v>
      </c>
      <c r="AA108" s="178">
        <f t="shared" si="39"/>
        <v>0</v>
      </c>
      <c r="AB108" s="178">
        <f t="shared" si="39"/>
        <v>0</v>
      </c>
      <c r="AC108" s="178">
        <f t="shared" si="39"/>
        <v>0</v>
      </c>
      <c r="AD108" s="178">
        <f t="shared" si="39"/>
        <v>0</v>
      </c>
      <c r="AE108" s="178">
        <f t="shared" si="39"/>
        <v>0</v>
      </c>
      <c r="AF108" s="178">
        <f t="shared" si="39"/>
        <v>0</v>
      </c>
      <c r="AG108" s="178">
        <f t="shared" si="39"/>
        <v>0</v>
      </c>
      <c r="AH108" s="178">
        <f t="shared" si="39"/>
        <v>0</v>
      </c>
      <c r="AI108" s="178">
        <f t="shared" si="39"/>
        <v>0</v>
      </c>
      <c r="AJ108" s="178">
        <f t="shared" si="39"/>
        <v>0</v>
      </c>
      <c r="AK108" s="178">
        <f t="shared" si="39"/>
        <v>0</v>
      </c>
      <c r="AL108" s="178">
        <f t="shared" si="39"/>
        <v>0</v>
      </c>
      <c r="AM108" s="178">
        <f t="shared" si="39"/>
        <v>0</v>
      </c>
      <c r="AN108" s="178">
        <f t="shared" si="39"/>
        <v>0</v>
      </c>
      <c r="AO108" s="178">
        <f t="shared" si="39"/>
        <v>0</v>
      </c>
      <c r="AP108" s="178">
        <f t="shared" si="39"/>
        <v>0</v>
      </c>
      <c r="AQ108" s="178">
        <f t="shared" si="39"/>
        <v>0</v>
      </c>
      <c r="AR108" s="178">
        <f t="shared" si="39"/>
        <v>0</v>
      </c>
      <c r="AS108" s="178">
        <f t="shared" si="39"/>
        <v>0</v>
      </c>
      <c r="AT108" s="265">
        <f t="shared" si="39"/>
        <v>0</v>
      </c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6"/>
      <c r="BJ108" s="166"/>
      <c r="BK108" s="166"/>
      <c r="BL108" s="166"/>
      <c r="BM108" s="166"/>
      <c r="BN108" s="166"/>
    </row>
    <row r="109" spans="2:66" ht="14.4" x14ac:dyDescent="0.25">
      <c r="B109" s="840" t="s">
        <v>175</v>
      </c>
      <c r="C109" s="800">
        <v>0</v>
      </c>
      <c r="D109" s="800">
        <v>0</v>
      </c>
      <c r="E109" s="800">
        <v>0</v>
      </c>
      <c r="F109" s="800">
        <v>0</v>
      </c>
      <c r="G109" s="261">
        <f>G91</f>
        <v>-2606586.1930182963</v>
      </c>
      <c r="H109" s="261">
        <f t="shared" ref="H109:AT109" si="40">H91</f>
        <v>-2606586.1930182963</v>
      </c>
      <c r="I109" s="261">
        <f t="shared" si="40"/>
        <v>-2606586.1930182963</v>
      </c>
      <c r="J109" s="261">
        <f t="shared" si="40"/>
        <v>-2606586.1930182963</v>
      </c>
      <c r="K109" s="261">
        <f t="shared" si="40"/>
        <v>-2606586.1930182963</v>
      </c>
      <c r="L109" s="261">
        <f t="shared" si="40"/>
        <v>-2465585.720269518</v>
      </c>
      <c r="M109" s="261">
        <f t="shared" si="40"/>
        <v>-2465585.720269518</v>
      </c>
      <c r="N109" s="261">
        <f t="shared" si="40"/>
        <v>-2465585.720269518</v>
      </c>
      <c r="O109" s="261">
        <f t="shared" si="40"/>
        <v>-2465585.720269518</v>
      </c>
      <c r="P109" s="261">
        <f t="shared" si="40"/>
        <v>-2465585.720269518</v>
      </c>
      <c r="Q109" s="261">
        <f t="shared" si="40"/>
        <v>-2230540.8319507265</v>
      </c>
      <c r="R109" s="261">
        <f t="shared" si="40"/>
        <v>-2531498.7427265975</v>
      </c>
      <c r="S109" s="261">
        <f t="shared" si="40"/>
        <v>-2531498.7427265975</v>
      </c>
      <c r="T109" s="261">
        <f t="shared" si="40"/>
        <v>-2531498.7427265975</v>
      </c>
      <c r="U109" s="261">
        <f t="shared" si="40"/>
        <v>-2531498.7427265975</v>
      </c>
      <c r="V109" s="261">
        <f t="shared" si="40"/>
        <v>-1904482.7785175557</v>
      </c>
      <c r="W109" s="261">
        <f t="shared" si="40"/>
        <v>-1904482.7785175557</v>
      </c>
      <c r="X109" s="261">
        <f t="shared" si="40"/>
        <v>-2776439.9375716699</v>
      </c>
      <c r="Y109" s="261">
        <f t="shared" si="40"/>
        <v>-2776439.9375716699</v>
      </c>
      <c r="Z109" s="261">
        <f t="shared" si="40"/>
        <v>-2776439.9375716699</v>
      </c>
      <c r="AA109" s="261">
        <f t="shared" si="40"/>
        <v>-2776439.9375716699</v>
      </c>
      <c r="AB109" s="261">
        <f t="shared" si="40"/>
        <v>-2776439.9375716699</v>
      </c>
      <c r="AC109" s="261">
        <f t="shared" si="40"/>
        <v>-2848930.7361058006</v>
      </c>
      <c r="AD109" s="261">
        <f t="shared" si="40"/>
        <v>-2848930.7361058006</v>
      </c>
      <c r="AE109" s="261">
        <f t="shared" si="40"/>
        <v>-2848930.7361058006</v>
      </c>
      <c r="AF109" s="261">
        <f t="shared" si="40"/>
        <v>-2848930.7361058006</v>
      </c>
      <c r="AG109" s="261">
        <f t="shared" si="40"/>
        <v>-2848930.7361058006</v>
      </c>
      <c r="AH109" s="261">
        <f t="shared" si="40"/>
        <v>-2848930.7361058006</v>
      </c>
      <c r="AI109" s="261">
        <f t="shared" si="40"/>
        <v>-2848930.7361058006</v>
      </c>
      <c r="AJ109" s="261">
        <f t="shared" si="40"/>
        <v>-2848930.7361058006</v>
      </c>
      <c r="AK109" s="261">
        <f t="shared" si="40"/>
        <v>-2848930.7361058006</v>
      </c>
      <c r="AL109" s="261">
        <f t="shared" si="40"/>
        <v>-2848930.7361058006</v>
      </c>
      <c r="AM109" s="261">
        <f t="shared" si="40"/>
        <v>-1976973.5770516866</v>
      </c>
      <c r="AN109" s="261">
        <f t="shared" si="40"/>
        <v>-1603524.8677416849</v>
      </c>
      <c r="AO109" s="261">
        <f t="shared" si="40"/>
        <v>-3209675.3449990982</v>
      </c>
      <c r="AP109" s="261">
        <f t="shared" si="40"/>
        <v>-3209675.3449990982</v>
      </c>
      <c r="AQ109" s="261">
        <f t="shared" si="40"/>
        <v>-3209675.3449990982</v>
      </c>
      <c r="AR109" s="261">
        <f t="shared" si="40"/>
        <v>-3209675.3449990982</v>
      </c>
      <c r="AS109" s="261">
        <f t="shared" si="40"/>
        <v>-3209675.3449990982</v>
      </c>
      <c r="AT109" s="266">
        <f t="shared" si="40"/>
        <v>-3209675.3449990982</v>
      </c>
      <c r="AU109" s="166"/>
      <c r="AV109" s="166"/>
      <c r="AW109" s="166"/>
      <c r="AX109" s="166"/>
      <c r="AY109" s="166"/>
      <c r="AZ109" s="166"/>
      <c r="BA109" s="166"/>
      <c r="BB109" s="166"/>
      <c r="BC109" s="166"/>
      <c r="BD109" s="166"/>
      <c r="BE109" s="166"/>
      <c r="BF109" s="166"/>
      <c r="BG109" s="166"/>
      <c r="BH109" s="166"/>
      <c r="BI109" s="166"/>
      <c r="BJ109" s="166"/>
      <c r="BK109" s="166"/>
      <c r="BL109" s="166"/>
      <c r="BM109" s="166"/>
      <c r="BN109" s="166"/>
    </row>
    <row r="110" spans="2:66" x14ac:dyDescent="0.25">
      <c r="B110" s="836" t="s">
        <v>444</v>
      </c>
      <c r="C110" s="268">
        <v>0</v>
      </c>
      <c r="D110" s="268">
        <v>0</v>
      </c>
      <c r="E110" s="268">
        <v>0</v>
      </c>
      <c r="F110" s="268">
        <v>0</v>
      </c>
      <c r="G110" s="178">
        <f t="shared" ref="G110:AT110" si="41">G107+G108+G109</f>
        <v>-2088332.8053780654</v>
      </c>
      <c r="H110" s="178">
        <f t="shared" si="41"/>
        <v>-1416811.8561179056</v>
      </c>
      <c r="I110" s="178">
        <f t="shared" si="41"/>
        <v>-1031878.9584996784</v>
      </c>
      <c r="J110" s="178">
        <f t="shared" si="41"/>
        <v>-1048610.3818376288</v>
      </c>
      <c r="K110" s="178">
        <f t="shared" si="41"/>
        <v>-4689371.8414672893</v>
      </c>
      <c r="L110" s="178">
        <f t="shared" si="41"/>
        <v>-775779.2630919884</v>
      </c>
      <c r="M110" s="178">
        <f t="shared" si="41"/>
        <v>-616828.9061127184</v>
      </c>
      <c r="N110" s="178">
        <f t="shared" si="41"/>
        <v>-669390.74657752737</v>
      </c>
      <c r="O110" s="178">
        <f t="shared" si="41"/>
        <v>-536741.69097660435</v>
      </c>
      <c r="P110" s="178">
        <f t="shared" si="41"/>
        <v>-4756976.5727568232</v>
      </c>
      <c r="Q110" s="178">
        <f t="shared" si="41"/>
        <v>-218504.04720134148</v>
      </c>
      <c r="R110" s="178">
        <f t="shared" si="41"/>
        <v>-577715.82308739424</v>
      </c>
      <c r="S110" s="178">
        <f t="shared" si="41"/>
        <v>-427883.36325345747</v>
      </c>
      <c r="T110" s="178">
        <f t="shared" si="41"/>
        <v>-484033.35064451629</v>
      </c>
      <c r="U110" s="178">
        <f t="shared" si="41"/>
        <v>-4903373.4672712721</v>
      </c>
      <c r="V110" s="178">
        <f t="shared" si="41"/>
        <v>240647.0634838168</v>
      </c>
      <c r="W110" s="178">
        <f t="shared" si="41"/>
        <v>404815.56149994978</v>
      </c>
      <c r="X110" s="178">
        <f t="shared" si="41"/>
        <v>-504109.74785595434</v>
      </c>
      <c r="Y110" s="178">
        <f t="shared" si="41"/>
        <v>-304833.27849249355</v>
      </c>
      <c r="Z110" s="178">
        <f t="shared" si="41"/>
        <v>-5372228.5863354187</v>
      </c>
      <c r="AA110" s="178">
        <f t="shared" si="41"/>
        <v>-133636.35213198699</v>
      </c>
      <c r="AB110" s="178">
        <f t="shared" si="41"/>
        <v>-175430.12005121727</v>
      </c>
      <c r="AC110" s="178">
        <f t="shared" si="41"/>
        <v>-79890.413252119906</v>
      </c>
      <c r="AD110" s="178">
        <f t="shared" si="41"/>
        <v>-178594.09282967541</v>
      </c>
      <c r="AE110" s="178">
        <f t="shared" si="41"/>
        <v>-5529358.019937085</v>
      </c>
      <c r="AF110" s="178">
        <f t="shared" si="41"/>
        <v>-108434.30840317439</v>
      </c>
      <c r="AG110" s="178">
        <f t="shared" si="41"/>
        <v>71413.053446901031</v>
      </c>
      <c r="AH110" s="178">
        <f t="shared" si="41"/>
        <v>-37516.734617481939</v>
      </c>
      <c r="AI110" s="178">
        <f t="shared" si="41"/>
        <v>148515.44118238799</v>
      </c>
      <c r="AJ110" s="178">
        <f t="shared" si="41"/>
        <v>-6036099.2170274975</v>
      </c>
      <c r="AK110" s="178">
        <f t="shared" si="41"/>
        <v>226481.41271699499</v>
      </c>
      <c r="AL110" s="178">
        <f t="shared" si="41"/>
        <v>106244.9459531717</v>
      </c>
      <c r="AM110" s="178">
        <f t="shared" si="41"/>
        <v>1177178.4197890242</v>
      </c>
      <c r="AN110" s="178">
        <f t="shared" si="41"/>
        <v>1424296.2582259639</v>
      </c>
      <c r="AO110" s="178">
        <f t="shared" si="41"/>
        <v>-6645721.7768461751</v>
      </c>
      <c r="AP110" s="178">
        <f t="shared" si="41"/>
        <v>-108849.87000135425</v>
      </c>
      <c r="AQ110" s="178">
        <f t="shared" si="41"/>
        <v>103865.52573055401</v>
      </c>
      <c r="AR110" s="178">
        <f t="shared" si="41"/>
        <v>-35614.791077286936</v>
      </c>
      <c r="AS110" s="178">
        <f t="shared" si="41"/>
        <v>184279.01309692115</v>
      </c>
      <c r="AT110" s="265">
        <f t="shared" si="41"/>
        <v>-7290538.1917526266</v>
      </c>
      <c r="AU110" s="166"/>
      <c r="AV110" s="166"/>
      <c r="AW110" s="166"/>
      <c r="AX110" s="166"/>
      <c r="AY110" s="166"/>
      <c r="AZ110" s="166"/>
      <c r="BA110" s="166"/>
      <c r="BB110" s="166"/>
      <c r="BC110" s="166"/>
      <c r="BD110" s="166"/>
      <c r="BE110" s="166"/>
      <c r="BF110" s="166"/>
      <c r="BG110" s="166"/>
      <c r="BH110" s="166"/>
      <c r="BI110" s="166"/>
      <c r="BJ110" s="166"/>
      <c r="BK110" s="166"/>
      <c r="BL110" s="166"/>
      <c r="BM110" s="166"/>
      <c r="BN110" s="166"/>
    </row>
    <row r="111" spans="2:66" x14ac:dyDescent="0.25">
      <c r="B111" s="836" t="s">
        <v>443</v>
      </c>
      <c r="C111" s="268">
        <v>0</v>
      </c>
      <c r="D111" s="268">
        <v>0</v>
      </c>
      <c r="E111" s="268">
        <v>0</v>
      </c>
      <c r="F111" s="268">
        <v>0</v>
      </c>
      <c r="G111" s="178">
        <f>IF(G110&gt;0,-$C$24*G110,0)</f>
        <v>0</v>
      </c>
      <c r="H111" s="178">
        <f t="shared" ref="H111:AT111" si="42">IF(H110&gt;0,-$C$24*H110,0)</f>
        <v>0</v>
      </c>
      <c r="I111" s="178">
        <f t="shared" si="42"/>
        <v>0</v>
      </c>
      <c r="J111" s="178">
        <f t="shared" si="42"/>
        <v>0</v>
      </c>
      <c r="K111" s="178">
        <f t="shared" si="42"/>
        <v>0</v>
      </c>
      <c r="L111" s="178">
        <f t="shared" si="42"/>
        <v>0</v>
      </c>
      <c r="M111" s="178">
        <f t="shared" si="42"/>
        <v>0</v>
      </c>
      <c r="N111" s="178">
        <f t="shared" si="42"/>
        <v>0</v>
      </c>
      <c r="O111" s="178">
        <f t="shared" si="42"/>
        <v>0</v>
      </c>
      <c r="P111" s="178">
        <f t="shared" si="42"/>
        <v>0</v>
      </c>
      <c r="Q111" s="178">
        <f t="shared" si="42"/>
        <v>0</v>
      </c>
      <c r="R111" s="178">
        <f t="shared" si="42"/>
        <v>0</v>
      </c>
      <c r="S111" s="178">
        <f t="shared" si="42"/>
        <v>0</v>
      </c>
      <c r="T111" s="178">
        <f t="shared" si="42"/>
        <v>0</v>
      </c>
      <c r="U111" s="178">
        <f t="shared" si="42"/>
        <v>0</v>
      </c>
      <c r="V111" s="178">
        <f t="shared" si="42"/>
        <v>-84226.472219335876</v>
      </c>
      <c r="W111" s="178">
        <f t="shared" si="42"/>
        <v>-141685.4465249824</v>
      </c>
      <c r="X111" s="178">
        <f t="shared" si="42"/>
        <v>0</v>
      </c>
      <c r="Y111" s="178">
        <f t="shared" si="42"/>
        <v>0</v>
      </c>
      <c r="Z111" s="178">
        <f t="shared" si="42"/>
        <v>0</v>
      </c>
      <c r="AA111" s="178">
        <f t="shared" si="42"/>
        <v>0</v>
      </c>
      <c r="AB111" s="178">
        <f t="shared" si="42"/>
        <v>0</v>
      </c>
      <c r="AC111" s="178">
        <f t="shared" si="42"/>
        <v>0</v>
      </c>
      <c r="AD111" s="178">
        <f t="shared" si="42"/>
        <v>0</v>
      </c>
      <c r="AE111" s="178">
        <f t="shared" si="42"/>
        <v>0</v>
      </c>
      <c r="AF111" s="178">
        <f t="shared" si="42"/>
        <v>0</v>
      </c>
      <c r="AG111" s="178">
        <f t="shared" si="42"/>
        <v>-24994.568706415361</v>
      </c>
      <c r="AH111" s="178">
        <f t="shared" si="42"/>
        <v>0</v>
      </c>
      <c r="AI111" s="178">
        <f t="shared" si="42"/>
        <v>-51980.404413835793</v>
      </c>
      <c r="AJ111" s="178">
        <f t="shared" si="42"/>
        <v>0</v>
      </c>
      <c r="AK111" s="178">
        <f t="shared" si="42"/>
        <v>-79268.494450948245</v>
      </c>
      <c r="AL111" s="178">
        <f t="shared" si="42"/>
        <v>-37185.731083610095</v>
      </c>
      <c r="AM111" s="178">
        <f t="shared" si="42"/>
        <v>-412012.44692615845</v>
      </c>
      <c r="AN111" s="178">
        <f t="shared" si="42"/>
        <v>-498503.69037908735</v>
      </c>
      <c r="AO111" s="178">
        <f t="shared" si="42"/>
        <v>0</v>
      </c>
      <c r="AP111" s="178">
        <f t="shared" si="42"/>
        <v>0</v>
      </c>
      <c r="AQ111" s="178">
        <f t="shared" si="42"/>
        <v>-36352.934005693904</v>
      </c>
      <c r="AR111" s="178">
        <f t="shared" si="42"/>
        <v>0</v>
      </c>
      <c r="AS111" s="178">
        <f t="shared" si="42"/>
        <v>-64497.654583922398</v>
      </c>
      <c r="AT111" s="265">
        <f t="shared" si="42"/>
        <v>0</v>
      </c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66"/>
      <c r="BI111" s="166"/>
      <c r="BJ111" s="166"/>
      <c r="BK111" s="166"/>
      <c r="BL111" s="166"/>
      <c r="BM111" s="166"/>
      <c r="BN111" s="166"/>
    </row>
    <row r="112" spans="2:66" ht="14.4" x14ac:dyDescent="0.25">
      <c r="B112" s="841" t="s">
        <v>445</v>
      </c>
      <c r="C112" s="801">
        <v>0</v>
      </c>
      <c r="D112" s="801">
        <v>0</v>
      </c>
      <c r="E112" s="801">
        <v>0</v>
      </c>
      <c r="F112" s="801">
        <v>0</v>
      </c>
      <c r="G112" s="262">
        <f>G110+G111</f>
        <v>-2088332.8053780654</v>
      </c>
      <c r="H112" s="262">
        <f t="shared" ref="H112:AT112" si="43">H110+H111</f>
        <v>-1416811.8561179056</v>
      </c>
      <c r="I112" s="262">
        <f t="shared" si="43"/>
        <v>-1031878.9584996784</v>
      </c>
      <c r="J112" s="262">
        <f t="shared" si="43"/>
        <v>-1048610.3818376288</v>
      </c>
      <c r="K112" s="262">
        <f t="shared" si="43"/>
        <v>-4689371.8414672893</v>
      </c>
      <c r="L112" s="262">
        <f t="shared" si="43"/>
        <v>-775779.2630919884</v>
      </c>
      <c r="M112" s="262">
        <f t="shared" si="43"/>
        <v>-616828.9061127184</v>
      </c>
      <c r="N112" s="262">
        <f t="shared" si="43"/>
        <v>-669390.74657752737</v>
      </c>
      <c r="O112" s="262">
        <f t="shared" si="43"/>
        <v>-536741.69097660435</v>
      </c>
      <c r="P112" s="262">
        <f t="shared" si="43"/>
        <v>-4756976.5727568232</v>
      </c>
      <c r="Q112" s="262">
        <f t="shared" si="43"/>
        <v>-218504.04720134148</v>
      </c>
      <c r="R112" s="262">
        <f t="shared" si="43"/>
        <v>-577715.82308739424</v>
      </c>
      <c r="S112" s="262">
        <f t="shared" si="43"/>
        <v>-427883.36325345747</v>
      </c>
      <c r="T112" s="262">
        <f t="shared" si="43"/>
        <v>-484033.35064451629</v>
      </c>
      <c r="U112" s="262">
        <f t="shared" si="43"/>
        <v>-4903373.4672712721</v>
      </c>
      <c r="V112" s="262">
        <f t="shared" si="43"/>
        <v>156420.59126448093</v>
      </c>
      <c r="W112" s="262">
        <f t="shared" si="43"/>
        <v>263130.11497496738</v>
      </c>
      <c r="X112" s="262">
        <f t="shared" si="43"/>
        <v>-504109.74785595434</v>
      </c>
      <c r="Y112" s="262">
        <f t="shared" si="43"/>
        <v>-304833.27849249355</v>
      </c>
      <c r="Z112" s="262">
        <f t="shared" si="43"/>
        <v>-5372228.5863354187</v>
      </c>
      <c r="AA112" s="262">
        <f t="shared" si="43"/>
        <v>-133636.35213198699</v>
      </c>
      <c r="AB112" s="262">
        <f t="shared" si="43"/>
        <v>-175430.12005121727</v>
      </c>
      <c r="AC112" s="262">
        <f t="shared" si="43"/>
        <v>-79890.413252119906</v>
      </c>
      <c r="AD112" s="262">
        <f t="shared" si="43"/>
        <v>-178594.09282967541</v>
      </c>
      <c r="AE112" s="262">
        <f t="shared" si="43"/>
        <v>-5529358.019937085</v>
      </c>
      <c r="AF112" s="262">
        <f t="shared" si="43"/>
        <v>-108434.30840317439</v>
      </c>
      <c r="AG112" s="262">
        <f t="shared" si="43"/>
        <v>46418.48474048567</v>
      </c>
      <c r="AH112" s="262">
        <f t="shared" si="43"/>
        <v>-37516.734617481939</v>
      </c>
      <c r="AI112" s="262">
        <f t="shared" si="43"/>
        <v>96535.036768552207</v>
      </c>
      <c r="AJ112" s="262">
        <f t="shared" si="43"/>
        <v>-6036099.2170274975</v>
      </c>
      <c r="AK112" s="262">
        <f t="shared" si="43"/>
        <v>147212.91826604673</v>
      </c>
      <c r="AL112" s="262">
        <f t="shared" si="43"/>
        <v>69059.214869561605</v>
      </c>
      <c r="AM112" s="262">
        <f t="shared" si="43"/>
        <v>765165.97286286578</v>
      </c>
      <c r="AN112" s="262">
        <f t="shared" si="43"/>
        <v>925792.56784687657</v>
      </c>
      <c r="AO112" s="262">
        <f t="shared" si="43"/>
        <v>-6645721.7768461751</v>
      </c>
      <c r="AP112" s="262">
        <f t="shared" si="43"/>
        <v>-108849.87000135425</v>
      </c>
      <c r="AQ112" s="262">
        <f t="shared" si="43"/>
        <v>67512.591724860104</v>
      </c>
      <c r="AR112" s="262">
        <f t="shared" si="43"/>
        <v>-35614.791077286936</v>
      </c>
      <c r="AS112" s="262">
        <f t="shared" si="43"/>
        <v>119781.35851299875</v>
      </c>
      <c r="AT112" s="267">
        <f t="shared" si="43"/>
        <v>-7290538.1917526266</v>
      </c>
      <c r="AU112" s="166"/>
      <c r="AV112" s="166"/>
      <c r="AW112" s="166"/>
      <c r="AX112" s="166"/>
      <c r="AY112" s="166"/>
      <c r="AZ112" s="166"/>
      <c r="BA112" s="166"/>
      <c r="BB112" s="166"/>
      <c r="BC112" s="166"/>
      <c r="BD112" s="166"/>
      <c r="BE112" s="166"/>
      <c r="BF112" s="166"/>
      <c r="BG112" s="166"/>
      <c r="BH112" s="166"/>
      <c r="BI112" s="166"/>
      <c r="BJ112" s="166"/>
      <c r="BK112" s="166"/>
      <c r="BL112" s="166"/>
      <c r="BM112" s="166"/>
      <c r="BN112" s="166"/>
    </row>
    <row r="113" spans="2:66" x14ac:dyDescent="0.25">
      <c r="B113" s="836" t="s">
        <v>446</v>
      </c>
      <c r="C113" s="268">
        <v>0</v>
      </c>
      <c r="D113" s="268">
        <v>0</v>
      </c>
      <c r="E113" s="268">
        <v>0</v>
      </c>
      <c r="F113" s="268">
        <v>0</v>
      </c>
      <c r="G113" s="178">
        <f>-G109</f>
        <v>2606586.1930182963</v>
      </c>
      <c r="H113" s="178">
        <f t="shared" ref="H113:AT113" si="44">-H109</f>
        <v>2606586.1930182963</v>
      </c>
      <c r="I113" s="178">
        <f t="shared" si="44"/>
        <v>2606586.1930182963</v>
      </c>
      <c r="J113" s="178">
        <f t="shared" si="44"/>
        <v>2606586.1930182963</v>
      </c>
      <c r="K113" s="178">
        <f t="shared" si="44"/>
        <v>2606586.1930182963</v>
      </c>
      <c r="L113" s="178">
        <f t="shared" si="44"/>
        <v>2465585.720269518</v>
      </c>
      <c r="M113" s="178">
        <f t="shared" si="44"/>
        <v>2465585.720269518</v>
      </c>
      <c r="N113" s="178">
        <f t="shared" si="44"/>
        <v>2465585.720269518</v>
      </c>
      <c r="O113" s="178">
        <f t="shared" si="44"/>
        <v>2465585.720269518</v>
      </c>
      <c r="P113" s="178">
        <f t="shared" si="44"/>
        <v>2465585.720269518</v>
      </c>
      <c r="Q113" s="178">
        <f t="shared" si="44"/>
        <v>2230540.8319507265</v>
      </c>
      <c r="R113" s="178">
        <f t="shared" si="44"/>
        <v>2531498.7427265975</v>
      </c>
      <c r="S113" s="178">
        <f t="shared" si="44"/>
        <v>2531498.7427265975</v>
      </c>
      <c r="T113" s="178">
        <f t="shared" si="44"/>
        <v>2531498.7427265975</v>
      </c>
      <c r="U113" s="178">
        <f t="shared" si="44"/>
        <v>2531498.7427265975</v>
      </c>
      <c r="V113" s="178">
        <f t="shared" si="44"/>
        <v>1904482.7785175557</v>
      </c>
      <c r="W113" s="178">
        <f t="shared" si="44"/>
        <v>1904482.7785175557</v>
      </c>
      <c r="X113" s="178">
        <f t="shared" si="44"/>
        <v>2776439.9375716699</v>
      </c>
      <c r="Y113" s="178">
        <f t="shared" si="44"/>
        <v>2776439.9375716699</v>
      </c>
      <c r="Z113" s="178">
        <f t="shared" si="44"/>
        <v>2776439.9375716699</v>
      </c>
      <c r="AA113" s="178">
        <f t="shared" si="44"/>
        <v>2776439.9375716699</v>
      </c>
      <c r="AB113" s="178">
        <f t="shared" si="44"/>
        <v>2776439.9375716699</v>
      </c>
      <c r="AC113" s="178">
        <f t="shared" si="44"/>
        <v>2848930.7361058006</v>
      </c>
      <c r="AD113" s="178">
        <f t="shared" si="44"/>
        <v>2848930.7361058006</v>
      </c>
      <c r="AE113" s="178">
        <f t="shared" si="44"/>
        <v>2848930.7361058006</v>
      </c>
      <c r="AF113" s="178">
        <f t="shared" si="44"/>
        <v>2848930.7361058006</v>
      </c>
      <c r="AG113" s="178">
        <f t="shared" si="44"/>
        <v>2848930.7361058006</v>
      </c>
      <c r="AH113" s="178">
        <f t="shared" si="44"/>
        <v>2848930.7361058006</v>
      </c>
      <c r="AI113" s="178">
        <f t="shared" si="44"/>
        <v>2848930.7361058006</v>
      </c>
      <c r="AJ113" s="178">
        <f t="shared" si="44"/>
        <v>2848930.7361058006</v>
      </c>
      <c r="AK113" s="178">
        <f t="shared" si="44"/>
        <v>2848930.7361058006</v>
      </c>
      <c r="AL113" s="178">
        <f t="shared" si="44"/>
        <v>2848930.7361058006</v>
      </c>
      <c r="AM113" s="178">
        <f t="shared" si="44"/>
        <v>1976973.5770516866</v>
      </c>
      <c r="AN113" s="178">
        <f t="shared" si="44"/>
        <v>1603524.8677416849</v>
      </c>
      <c r="AO113" s="178">
        <f t="shared" si="44"/>
        <v>3209675.3449990982</v>
      </c>
      <c r="AP113" s="178">
        <f t="shared" si="44"/>
        <v>3209675.3449990982</v>
      </c>
      <c r="AQ113" s="178">
        <f t="shared" si="44"/>
        <v>3209675.3449990982</v>
      </c>
      <c r="AR113" s="178">
        <f t="shared" si="44"/>
        <v>3209675.3449990982</v>
      </c>
      <c r="AS113" s="178">
        <f t="shared" si="44"/>
        <v>3209675.3449990982</v>
      </c>
      <c r="AT113" s="265">
        <f t="shared" si="44"/>
        <v>3209675.3449990982</v>
      </c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66"/>
      <c r="BL113" s="166"/>
      <c r="BM113" s="166"/>
      <c r="BN113" s="166"/>
    </row>
    <row r="114" spans="2:66" s="809" customFormat="1" ht="15" thickBot="1" x14ac:dyDescent="0.3">
      <c r="B114" s="842" t="s">
        <v>386</v>
      </c>
      <c r="C114" s="828"/>
      <c r="D114" s="828"/>
      <c r="E114" s="828"/>
      <c r="F114" s="828"/>
      <c r="G114" s="828">
        <f>G112+G113</f>
        <v>518253.38764023082</v>
      </c>
      <c r="H114" s="828">
        <f t="shared" ref="H114:AT114" si="45">H112+H113</f>
        <v>1189774.3369003907</v>
      </c>
      <c r="I114" s="828">
        <f t="shared" si="45"/>
        <v>1574707.2345186179</v>
      </c>
      <c r="J114" s="828">
        <f t="shared" si="45"/>
        <v>1557975.8111806675</v>
      </c>
      <c r="K114" s="828">
        <f t="shared" si="45"/>
        <v>-2082785.648448993</v>
      </c>
      <c r="L114" s="828">
        <f t="shared" si="45"/>
        <v>1689806.4571775296</v>
      </c>
      <c r="M114" s="828">
        <f t="shared" si="45"/>
        <v>1848756.8141567996</v>
      </c>
      <c r="N114" s="828">
        <f t="shared" si="45"/>
        <v>1796194.9736919906</v>
      </c>
      <c r="O114" s="828">
        <f t="shared" si="45"/>
        <v>1928844.0292929136</v>
      </c>
      <c r="P114" s="828">
        <f t="shared" si="45"/>
        <v>-2291390.8524873052</v>
      </c>
      <c r="Q114" s="828">
        <f t="shared" si="45"/>
        <v>2012036.784749385</v>
      </c>
      <c r="R114" s="828">
        <f t="shared" si="45"/>
        <v>1953782.9196392032</v>
      </c>
      <c r="S114" s="828">
        <f t="shared" si="45"/>
        <v>2103615.37947314</v>
      </c>
      <c r="T114" s="828">
        <f t="shared" si="45"/>
        <v>2047465.3920820812</v>
      </c>
      <c r="U114" s="828">
        <f t="shared" si="45"/>
        <v>-2371874.7245446746</v>
      </c>
      <c r="V114" s="828">
        <f t="shared" si="45"/>
        <v>2060903.3697820366</v>
      </c>
      <c r="W114" s="828">
        <f t="shared" si="45"/>
        <v>2167612.8934925231</v>
      </c>
      <c r="X114" s="828">
        <f t="shared" si="45"/>
        <v>2272330.1897157156</v>
      </c>
      <c r="Y114" s="828">
        <f t="shared" si="45"/>
        <v>2471606.6590791764</v>
      </c>
      <c r="Z114" s="828">
        <f t="shared" si="45"/>
        <v>-2595788.6487637488</v>
      </c>
      <c r="AA114" s="828">
        <f t="shared" si="45"/>
        <v>2642803.5854396829</v>
      </c>
      <c r="AB114" s="828">
        <f t="shared" si="45"/>
        <v>2601009.8175204527</v>
      </c>
      <c r="AC114" s="828">
        <f t="shared" si="45"/>
        <v>2769040.3228536807</v>
      </c>
      <c r="AD114" s="828">
        <f t="shared" si="45"/>
        <v>2670336.6432761252</v>
      </c>
      <c r="AE114" s="828">
        <f t="shared" si="45"/>
        <v>-2680427.2838312844</v>
      </c>
      <c r="AF114" s="828">
        <f t="shared" si="45"/>
        <v>2740496.4277026262</v>
      </c>
      <c r="AG114" s="828">
        <f t="shared" si="45"/>
        <v>2895349.220846286</v>
      </c>
      <c r="AH114" s="828">
        <f t="shared" si="45"/>
        <v>2811414.0014883187</v>
      </c>
      <c r="AI114" s="828">
        <f t="shared" si="45"/>
        <v>2945465.772874353</v>
      </c>
      <c r="AJ114" s="828">
        <f t="shared" si="45"/>
        <v>-3187168.4809216969</v>
      </c>
      <c r="AK114" s="828">
        <f t="shared" si="45"/>
        <v>2996143.6543718474</v>
      </c>
      <c r="AL114" s="828">
        <f t="shared" si="45"/>
        <v>2917989.9509753622</v>
      </c>
      <c r="AM114" s="828">
        <f t="shared" si="45"/>
        <v>2742139.5499145524</v>
      </c>
      <c r="AN114" s="828">
        <f t="shared" si="45"/>
        <v>2529317.4355885615</v>
      </c>
      <c r="AO114" s="828">
        <f t="shared" si="45"/>
        <v>-3436046.4318470769</v>
      </c>
      <c r="AP114" s="828">
        <f t="shared" si="45"/>
        <v>3100825.474997744</v>
      </c>
      <c r="AQ114" s="828">
        <f t="shared" si="45"/>
        <v>3277187.9367239582</v>
      </c>
      <c r="AR114" s="828">
        <f t="shared" si="45"/>
        <v>3174060.5539218113</v>
      </c>
      <c r="AS114" s="828">
        <f t="shared" si="45"/>
        <v>3329456.7035120968</v>
      </c>
      <c r="AT114" s="829">
        <f t="shared" si="45"/>
        <v>-4080862.8467535283</v>
      </c>
      <c r="AU114" s="812"/>
      <c r="AV114" s="812"/>
      <c r="AW114" s="812"/>
      <c r="AX114" s="812"/>
      <c r="AY114" s="812"/>
      <c r="AZ114" s="812"/>
      <c r="BA114" s="812"/>
      <c r="BB114" s="812"/>
      <c r="BC114" s="812"/>
      <c r="BD114" s="812"/>
      <c r="BE114" s="812"/>
      <c r="BF114" s="812"/>
      <c r="BG114" s="812"/>
      <c r="BH114" s="812"/>
      <c r="BI114" s="812"/>
      <c r="BJ114" s="812"/>
      <c r="BK114" s="812"/>
      <c r="BL114" s="812"/>
      <c r="BM114" s="812"/>
      <c r="BN114" s="812"/>
    </row>
    <row r="115" spans="2:66" s="812" customFormat="1" ht="15" thickBot="1" x14ac:dyDescent="0.3">
      <c r="B115" s="839"/>
      <c r="C115" s="811"/>
      <c r="D115" s="811"/>
      <c r="E115" s="811"/>
      <c r="F115" s="811"/>
      <c r="G115" s="811"/>
      <c r="H115" s="811"/>
      <c r="I115" s="811"/>
      <c r="J115" s="811"/>
      <c r="K115" s="811"/>
      <c r="L115" s="811"/>
      <c r="M115" s="811"/>
      <c r="N115" s="811"/>
      <c r="O115" s="811"/>
      <c r="P115" s="811"/>
      <c r="Q115" s="811"/>
      <c r="R115" s="811"/>
      <c r="S115" s="811"/>
      <c r="T115" s="811"/>
      <c r="U115" s="811"/>
      <c r="V115" s="811"/>
      <c r="W115" s="811"/>
      <c r="X115" s="811"/>
      <c r="Y115" s="811"/>
      <c r="Z115" s="811"/>
      <c r="AA115" s="811"/>
      <c r="AB115" s="811"/>
      <c r="AC115" s="811"/>
      <c r="AD115" s="811"/>
      <c r="AE115" s="811"/>
      <c r="AF115" s="811"/>
      <c r="AG115" s="811"/>
      <c r="AH115" s="811"/>
      <c r="AI115" s="811"/>
      <c r="AJ115" s="811"/>
      <c r="AK115" s="811"/>
      <c r="AL115" s="811"/>
      <c r="AM115" s="811"/>
      <c r="AN115" s="811"/>
      <c r="AO115" s="811"/>
      <c r="AP115" s="811"/>
      <c r="AQ115" s="811"/>
      <c r="AR115" s="811"/>
      <c r="AS115" s="811"/>
      <c r="AT115" s="811"/>
    </row>
    <row r="116" spans="2:66" ht="14.4" x14ac:dyDescent="0.25">
      <c r="B116" s="835" t="s">
        <v>447</v>
      </c>
      <c r="C116" s="818"/>
      <c r="D116" s="818"/>
      <c r="E116" s="818"/>
      <c r="F116" s="818"/>
      <c r="G116" s="818"/>
      <c r="H116" s="818"/>
      <c r="I116" s="818"/>
      <c r="J116" s="818"/>
      <c r="K116" s="818"/>
      <c r="L116" s="818"/>
      <c r="M116" s="818"/>
      <c r="N116" s="818"/>
      <c r="O116" s="818"/>
      <c r="P116" s="818"/>
      <c r="Q116" s="818"/>
      <c r="R116" s="818"/>
      <c r="S116" s="818"/>
      <c r="T116" s="818"/>
      <c r="U116" s="818"/>
      <c r="V116" s="818"/>
      <c r="W116" s="818"/>
      <c r="X116" s="818"/>
      <c r="Y116" s="818"/>
      <c r="Z116" s="818"/>
      <c r="AA116" s="818"/>
      <c r="AB116" s="818"/>
      <c r="AC116" s="818"/>
      <c r="AD116" s="818"/>
      <c r="AE116" s="818"/>
      <c r="AF116" s="818"/>
      <c r="AG116" s="818"/>
      <c r="AH116" s="818"/>
      <c r="AI116" s="818"/>
      <c r="AJ116" s="818"/>
      <c r="AK116" s="818"/>
      <c r="AL116" s="818"/>
      <c r="AM116" s="818"/>
      <c r="AN116" s="818"/>
      <c r="AO116" s="818"/>
      <c r="AP116" s="818"/>
      <c r="AQ116" s="818"/>
      <c r="AR116" s="818"/>
      <c r="AS116" s="818"/>
      <c r="AT116" s="819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</row>
    <row r="117" spans="2:66" x14ac:dyDescent="0.25">
      <c r="B117" s="836" t="s">
        <v>448</v>
      </c>
      <c r="C117" s="758">
        <f>-INVERSION_ANUALIZADA_TC_Alt_20!E298</f>
        <v>-5332198.1684703697</v>
      </c>
      <c r="D117" s="758">
        <f>-INVERSION_ANUALIZADA_TC_Alt_20!F298</f>
        <v>-19669755.173127942</v>
      </c>
      <c r="E117" s="758">
        <f>-INVERSION_ANUALIZADA_TC_Alt_20!G298</f>
        <v>-49167777.727487408</v>
      </c>
      <c r="F117" s="758">
        <f>-INVERSION_ANUALIZADA_TC_Alt_20!H298</f>
        <v>-19836102.472292583</v>
      </c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265"/>
      <c r="AU117" s="166"/>
      <c r="AV117" s="166"/>
      <c r="AW117" s="166"/>
      <c r="AX117" s="166"/>
      <c r="AY117" s="166"/>
      <c r="AZ117" s="166"/>
      <c r="BA117" s="166"/>
      <c r="BB117" s="166"/>
      <c r="BC117" s="166"/>
      <c r="BD117" s="166"/>
      <c r="BE117" s="166"/>
      <c r="BF117" s="166"/>
      <c r="BG117" s="166"/>
      <c r="BH117" s="166"/>
      <c r="BI117" s="166"/>
      <c r="BJ117" s="166"/>
      <c r="BK117" s="166"/>
      <c r="BL117" s="166"/>
      <c r="BM117" s="166"/>
      <c r="BN117" s="166"/>
    </row>
    <row r="118" spans="2:66" x14ac:dyDescent="0.25">
      <c r="B118" s="836" t="s">
        <v>383</v>
      </c>
      <c r="C118" s="178"/>
      <c r="D118" s="178"/>
      <c r="E118" s="178"/>
      <c r="F118" s="178"/>
      <c r="G118" s="758">
        <f>-INVERSION_ANUALIZADA_TC_Alt_20!I298</f>
        <v>0</v>
      </c>
      <c r="H118" s="758">
        <f>-INVERSION_ANUALIZADA_TC_Alt_20!J298</f>
        <v>0</v>
      </c>
      <c r="I118" s="758">
        <f>-INVERSION_ANUALIZADA_TC_Alt_20!K298</f>
        <v>0</v>
      </c>
      <c r="J118" s="758">
        <f>-INVERSION_ANUALIZADA_TC_Alt_20!L298</f>
        <v>0</v>
      </c>
      <c r="K118" s="758">
        <f>-INVERSION_ANUALIZADA_TC_Alt_20!M298</f>
        <v>0</v>
      </c>
      <c r="L118" s="758">
        <f>-INVERSION_ANUALIZADA_TC_Alt_20!N298</f>
        <v>0</v>
      </c>
      <c r="M118" s="758">
        <f>-INVERSION_ANUALIZADA_TC_Alt_20!O298</f>
        <v>0</v>
      </c>
      <c r="N118" s="758">
        <f>-INVERSION_ANUALIZADA_TC_Alt_20!P298</f>
        <v>0</v>
      </c>
      <c r="O118" s="758">
        <f>-INVERSION_ANUALIZADA_TC_Alt_20!Q298</f>
        <v>0</v>
      </c>
      <c r="P118" s="758">
        <f>-INVERSION_ANUALIZADA_TC_Alt_20!R298</f>
        <v>-1360136.2924377397</v>
      </c>
      <c r="Q118" s="758">
        <f>-INVERSION_ANUALIZADA_TC_Alt_20!S298</f>
        <v>-1649442.8153209686</v>
      </c>
      <c r="R118" s="758">
        <f>-INVERSION_ANUALIZADA_TC_Alt_20!T298</f>
        <v>0</v>
      </c>
      <c r="S118" s="758">
        <f>-INVERSION_ANUALIZADA_TC_Alt_20!U298</f>
        <v>0</v>
      </c>
      <c r="T118" s="758">
        <f>-INVERSION_ANUALIZADA_TC_Alt_20!V298</f>
        <v>0</v>
      </c>
      <c r="U118" s="758">
        <f>-INVERSION_ANUALIZADA_TC_Alt_20!W298</f>
        <v>-2314062.3198277643</v>
      </c>
      <c r="V118" s="758">
        <f>-INVERSION_ANUALIZADA_TC_Alt_20!X298</f>
        <v>-7351611.2293968759</v>
      </c>
      <c r="W118" s="758">
        <f>-INVERSION_ANUALIZADA_TC_Alt_20!Y298</f>
        <v>-3413683.8365870705</v>
      </c>
      <c r="X118" s="758">
        <f>-INVERSION_ANUALIZADA_TC_Alt_20!Z298</f>
        <v>0</v>
      </c>
      <c r="Y118" s="758">
        <f>-INVERSION_ANUALIZADA_TC_Alt_20!AA298</f>
        <v>0</v>
      </c>
      <c r="Z118" s="758">
        <f>-INVERSION_ANUALIZADA_TC_Alt_20!AB298</f>
        <v>0</v>
      </c>
      <c r="AA118" s="758">
        <f>-INVERSION_ANUALIZADA_TC_Alt_20!AC298</f>
        <v>-1687746.6137686879</v>
      </c>
      <c r="AB118" s="758">
        <f>-INVERSION_ANUALIZADA_TC_Alt_20!AD298</f>
        <v>-2046740.4793313304</v>
      </c>
      <c r="AC118" s="758">
        <f>-INVERSION_ANUALIZADA_TC_Alt_20!AE298</f>
        <v>0</v>
      </c>
      <c r="AD118" s="758">
        <f>-INVERSION_ANUALIZADA_TC_Alt_20!AF298</f>
        <v>0</v>
      </c>
      <c r="AE118" s="758">
        <f>-INVERSION_ANUALIZADA_TC_Alt_20!AG298</f>
        <v>0</v>
      </c>
      <c r="AF118" s="758">
        <f>-INVERSION_ANUALIZADA_TC_Alt_20!AH298</f>
        <v>0</v>
      </c>
      <c r="AG118" s="758">
        <f>-INVERSION_ANUALIZADA_TC_Alt_20!AI298</f>
        <v>0</v>
      </c>
      <c r="AH118" s="758">
        <f>-INVERSION_ANUALIZADA_TC_Alt_20!AJ298</f>
        <v>0</v>
      </c>
      <c r="AI118" s="758">
        <f>-INVERSION_ANUALIZADA_TC_Alt_20!AK298</f>
        <v>0</v>
      </c>
      <c r="AJ118" s="758">
        <f>-INVERSION_ANUALIZADA_TC_Alt_20!AL298</f>
        <v>0</v>
      </c>
      <c r="AK118" s="758">
        <f>-INVERSION_ANUALIZADA_TC_Alt_20!AM298</f>
        <v>0</v>
      </c>
      <c r="AL118" s="758">
        <f>-INVERSION_ANUALIZADA_TC_Alt_20!AN298</f>
        <v>-5293029.3906328678</v>
      </c>
      <c r="AM118" s="758">
        <f>-INVERSION_ANUALIZADA_TC_Alt_20!AO298</f>
        <v>-12529821.357005024</v>
      </c>
      <c r="AN118" s="758">
        <f>-INVERSION_ANUALIZADA_TC_Alt_20!AP298</f>
        <v>-4663255.9339658916</v>
      </c>
      <c r="AO118" s="758">
        <f>-INVERSION_ANUALIZADA_TC_Alt_20!AQ298</f>
        <v>0</v>
      </c>
      <c r="AP118" s="758">
        <f>-INVERSION_ANUALIZADA_TC_Alt_20!AR298</f>
        <v>0</v>
      </c>
      <c r="AQ118" s="758">
        <f>-INVERSION_ANUALIZADA_TC_Alt_20!AS298</f>
        <v>0</v>
      </c>
      <c r="AR118" s="758">
        <f>-INVERSION_ANUALIZADA_TC_Alt_20!AT298</f>
        <v>0</v>
      </c>
      <c r="AS118" s="758">
        <f>-INVERSION_ANUALIZADA_TC_Alt_20!AU298</f>
        <v>0</v>
      </c>
      <c r="AT118" s="847">
        <f>-INVERSION_ANUALIZADA_TC_Alt_20!AV298</f>
        <v>0</v>
      </c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66"/>
      <c r="BI118" s="166"/>
      <c r="BJ118" s="166"/>
      <c r="BK118" s="166"/>
      <c r="BL118" s="166"/>
      <c r="BM118" s="166"/>
      <c r="BN118" s="166"/>
    </row>
    <row r="119" spans="2:66" x14ac:dyDescent="0.25">
      <c r="B119" s="836" t="s">
        <v>384</v>
      </c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758">
        <f>AJ92</f>
        <v>36303657.245098598</v>
      </c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847">
        <f>AT92</f>
        <v>33465652.89421764</v>
      </c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66"/>
      <c r="BI119" s="166"/>
      <c r="BJ119" s="166"/>
      <c r="BK119" s="166"/>
      <c r="BL119" s="166"/>
      <c r="BM119" s="166"/>
      <c r="BN119" s="166"/>
    </row>
    <row r="120" spans="2:66" s="808" customFormat="1" ht="15" thickBot="1" x14ac:dyDescent="0.3">
      <c r="B120" s="842" t="s">
        <v>385</v>
      </c>
      <c r="C120" s="822">
        <f t="shared" ref="C120:AT120" si="46">C117+C118+C119</f>
        <v>-5332198.1684703697</v>
      </c>
      <c r="D120" s="822">
        <f t="shared" si="46"/>
        <v>-19669755.173127942</v>
      </c>
      <c r="E120" s="822">
        <f t="shared" si="46"/>
        <v>-49167777.727487408</v>
      </c>
      <c r="F120" s="822">
        <f t="shared" si="46"/>
        <v>-19836102.472292583</v>
      </c>
      <c r="G120" s="822">
        <f t="shared" si="46"/>
        <v>0</v>
      </c>
      <c r="H120" s="822">
        <f t="shared" si="46"/>
        <v>0</v>
      </c>
      <c r="I120" s="822">
        <f t="shared" si="46"/>
        <v>0</v>
      </c>
      <c r="J120" s="822">
        <f t="shared" si="46"/>
        <v>0</v>
      </c>
      <c r="K120" s="822">
        <f t="shared" si="46"/>
        <v>0</v>
      </c>
      <c r="L120" s="822">
        <f t="shared" si="46"/>
        <v>0</v>
      </c>
      <c r="M120" s="822">
        <f t="shared" si="46"/>
        <v>0</v>
      </c>
      <c r="N120" s="822">
        <f t="shared" si="46"/>
        <v>0</v>
      </c>
      <c r="O120" s="822">
        <f t="shared" si="46"/>
        <v>0</v>
      </c>
      <c r="P120" s="822">
        <f t="shared" si="46"/>
        <v>-1360136.2924377397</v>
      </c>
      <c r="Q120" s="822">
        <f t="shared" si="46"/>
        <v>-1649442.8153209686</v>
      </c>
      <c r="R120" s="822">
        <f t="shared" si="46"/>
        <v>0</v>
      </c>
      <c r="S120" s="822">
        <f t="shared" si="46"/>
        <v>0</v>
      </c>
      <c r="T120" s="822">
        <f t="shared" si="46"/>
        <v>0</v>
      </c>
      <c r="U120" s="822">
        <f t="shared" si="46"/>
        <v>-2314062.3198277643</v>
      </c>
      <c r="V120" s="822">
        <f t="shared" si="46"/>
        <v>-7351611.2293968759</v>
      </c>
      <c r="W120" s="822">
        <f t="shared" si="46"/>
        <v>-3413683.8365870705</v>
      </c>
      <c r="X120" s="822">
        <f t="shared" si="46"/>
        <v>0</v>
      </c>
      <c r="Y120" s="822">
        <f t="shared" si="46"/>
        <v>0</v>
      </c>
      <c r="Z120" s="822">
        <f t="shared" si="46"/>
        <v>0</v>
      </c>
      <c r="AA120" s="822">
        <f t="shared" si="46"/>
        <v>-1687746.6137686879</v>
      </c>
      <c r="AB120" s="822">
        <f t="shared" si="46"/>
        <v>-2046740.4793313304</v>
      </c>
      <c r="AC120" s="822">
        <f t="shared" si="46"/>
        <v>0</v>
      </c>
      <c r="AD120" s="822">
        <f t="shared" si="46"/>
        <v>0</v>
      </c>
      <c r="AE120" s="822">
        <f t="shared" si="46"/>
        <v>0</v>
      </c>
      <c r="AF120" s="822">
        <f t="shared" si="46"/>
        <v>0</v>
      </c>
      <c r="AG120" s="822">
        <f t="shared" si="46"/>
        <v>0</v>
      </c>
      <c r="AH120" s="822">
        <f t="shared" si="46"/>
        <v>0</v>
      </c>
      <c r="AI120" s="822">
        <f t="shared" si="46"/>
        <v>0</v>
      </c>
      <c r="AJ120" s="822">
        <f t="shared" si="46"/>
        <v>36303657.245098598</v>
      </c>
      <c r="AK120" s="822">
        <f t="shared" si="46"/>
        <v>0</v>
      </c>
      <c r="AL120" s="822">
        <f t="shared" si="46"/>
        <v>-5293029.3906328678</v>
      </c>
      <c r="AM120" s="822">
        <f t="shared" si="46"/>
        <v>-12529821.357005024</v>
      </c>
      <c r="AN120" s="822">
        <f t="shared" si="46"/>
        <v>-4663255.9339658916</v>
      </c>
      <c r="AO120" s="822">
        <f t="shared" si="46"/>
        <v>0</v>
      </c>
      <c r="AP120" s="822">
        <f t="shared" si="46"/>
        <v>0</v>
      </c>
      <c r="AQ120" s="822">
        <f t="shared" si="46"/>
        <v>0</v>
      </c>
      <c r="AR120" s="822">
        <f t="shared" si="46"/>
        <v>0</v>
      </c>
      <c r="AS120" s="822">
        <f t="shared" si="46"/>
        <v>0</v>
      </c>
      <c r="AT120" s="823">
        <f t="shared" si="46"/>
        <v>33465652.89421764</v>
      </c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6"/>
    </row>
    <row r="121" spans="2:66" ht="14.4" x14ac:dyDescent="0.25">
      <c r="B121" s="838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66"/>
      <c r="AV121" s="166"/>
      <c r="AW121" s="166"/>
      <c r="AX121" s="166"/>
      <c r="AY121" s="166"/>
      <c r="AZ121" s="166"/>
      <c r="BA121" s="166"/>
      <c r="BB121" s="166"/>
      <c r="BC121" s="166"/>
      <c r="BD121" s="166"/>
      <c r="BE121" s="166"/>
      <c r="BF121" s="166"/>
      <c r="BG121" s="166"/>
      <c r="BH121" s="166"/>
      <c r="BI121" s="166"/>
      <c r="BJ121" s="166"/>
      <c r="BK121" s="166"/>
      <c r="BL121" s="166"/>
      <c r="BM121" s="166"/>
      <c r="BN121" s="166"/>
    </row>
    <row r="122" spans="2:66" ht="14.4" x14ac:dyDescent="0.25">
      <c r="B122" s="838"/>
      <c r="C122" s="178"/>
      <c r="D122" s="178"/>
      <c r="E122" s="884" t="s">
        <v>473</v>
      </c>
      <c r="F122" s="178">
        <f>C120+D120+E120+F120</f>
        <v>-94005833.541378304</v>
      </c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66"/>
      <c r="AV122" s="166"/>
      <c r="AW122" s="166"/>
      <c r="AX122" s="166"/>
      <c r="AY122" s="166"/>
      <c r="AZ122" s="166"/>
      <c r="BA122" s="166"/>
      <c r="BB122" s="166"/>
      <c r="BC122" s="166"/>
      <c r="BD122" s="166"/>
      <c r="BE122" s="166"/>
      <c r="BF122" s="166"/>
      <c r="BG122" s="166"/>
      <c r="BH122" s="166"/>
      <c r="BI122" s="166"/>
      <c r="BJ122" s="166"/>
      <c r="BK122" s="166"/>
      <c r="BL122" s="166"/>
      <c r="BM122" s="166"/>
      <c r="BN122" s="166"/>
    </row>
    <row r="123" spans="2:66" ht="14.4" x14ac:dyDescent="0.25">
      <c r="B123" s="838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66"/>
      <c r="AV123" s="166"/>
      <c r="AW123" s="166"/>
      <c r="AX123" s="166"/>
      <c r="AY123" s="166"/>
      <c r="AZ123" s="166"/>
      <c r="BA123" s="166"/>
      <c r="BB123" s="166"/>
      <c r="BC123" s="166"/>
      <c r="BD123" s="166"/>
      <c r="BE123" s="166"/>
      <c r="BF123" s="166"/>
      <c r="BG123" s="166"/>
      <c r="BH123" s="166"/>
      <c r="BI123" s="166"/>
      <c r="BJ123" s="166"/>
      <c r="BK123" s="166"/>
      <c r="BL123" s="166"/>
      <c r="BM123" s="166"/>
      <c r="BN123" s="166"/>
    </row>
    <row r="124" spans="2:66" ht="14.4" x14ac:dyDescent="0.25">
      <c r="B124" s="844" t="s">
        <v>436</v>
      </c>
      <c r="C124" s="178">
        <f t="shared" ref="C124:AJ124" si="47">C114+C120</f>
        <v>-5332198.1684703697</v>
      </c>
      <c r="D124" s="178">
        <f t="shared" si="47"/>
        <v>-19669755.173127942</v>
      </c>
      <c r="E124" s="178">
        <f t="shared" si="47"/>
        <v>-49167777.727487408</v>
      </c>
      <c r="F124" s="178">
        <f t="shared" si="47"/>
        <v>-19836102.472292583</v>
      </c>
      <c r="G124" s="178">
        <f t="shared" si="47"/>
        <v>518253.38764023082</v>
      </c>
      <c r="H124" s="178">
        <f t="shared" si="47"/>
        <v>1189774.3369003907</v>
      </c>
      <c r="I124" s="178">
        <f t="shared" si="47"/>
        <v>1574707.2345186179</v>
      </c>
      <c r="J124" s="178">
        <f t="shared" si="47"/>
        <v>1557975.8111806675</v>
      </c>
      <c r="K124" s="178">
        <f t="shared" si="47"/>
        <v>-2082785.648448993</v>
      </c>
      <c r="L124" s="178">
        <f t="shared" si="47"/>
        <v>1689806.4571775296</v>
      </c>
      <c r="M124" s="178">
        <f t="shared" si="47"/>
        <v>1848756.8141567996</v>
      </c>
      <c r="N124" s="178">
        <f t="shared" si="47"/>
        <v>1796194.9736919906</v>
      </c>
      <c r="O124" s="178">
        <f t="shared" si="47"/>
        <v>1928844.0292929136</v>
      </c>
      <c r="P124" s="178">
        <f t="shared" si="47"/>
        <v>-3651527.1449250448</v>
      </c>
      <c r="Q124" s="178">
        <f t="shared" si="47"/>
        <v>362593.96942841634</v>
      </c>
      <c r="R124" s="178">
        <f t="shared" si="47"/>
        <v>1953782.9196392032</v>
      </c>
      <c r="S124" s="178">
        <f t="shared" si="47"/>
        <v>2103615.37947314</v>
      </c>
      <c r="T124" s="178">
        <f t="shared" si="47"/>
        <v>2047465.3920820812</v>
      </c>
      <c r="U124" s="178">
        <f t="shared" si="47"/>
        <v>-4685937.0443724394</v>
      </c>
      <c r="V124" s="178">
        <f t="shared" si="47"/>
        <v>-5290707.8596148398</v>
      </c>
      <c r="W124" s="178">
        <f t="shared" si="47"/>
        <v>-1246070.9430945474</v>
      </c>
      <c r="X124" s="178">
        <f t="shared" si="47"/>
        <v>2272330.1897157156</v>
      </c>
      <c r="Y124" s="178">
        <f t="shared" si="47"/>
        <v>2471606.6590791764</v>
      </c>
      <c r="Z124" s="178">
        <f t="shared" si="47"/>
        <v>-2595788.6487637488</v>
      </c>
      <c r="AA124" s="178">
        <f t="shared" si="47"/>
        <v>955056.971670995</v>
      </c>
      <c r="AB124" s="178">
        <f t="shared" si="47"/>
        <v>554269.33818912227</v>
      </c>
      <c r="AC124" s="178">
        <f t="shared" si="47"/>
        <v>2769040.3228536807</v>
      </c>
      <c r="AD124" s="178">
        <f t="shared" si="47"/>
        <v>2670336.6432761252</v>
      </c>
      <c r="AE124" s="178">
        <f t="shared" si="47"/>
        <v>-2680427.2838312844</v>
      </c>
      <c r="AF124" s="178">
        <f t="shared" si="47"/>
        <v>2740496.4277026262</v>
      </c>
      <c r="AG124" s="178">
        <f t="shared" si="47"/>
        <v>2895349.220846286</v>
      </c>
      <c r="AH124" s="178">
        <f t="shared" si="47"/>
        <v>2811414.0014883187</v>
      </c>
      <c r="AI124" s="178">
        <f t="shared" si="47"/>
        <v>2945465.772874353</v>
      </c>
      <c r="AJ124" s="178">
        <f t="shared" si="47"/>
        <v>33116488.764176901</v>
      </c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</row>
    <row r="125" spans="2:66" ht="14.4" x14ac:dyDescent="0.25">
      <c r="B125" s="844" t="s">
        <v>438</v>
      </c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848">
        <f>IRR(C124:AJ124)</f>
        <v>-2.0725886486476441E-2</v>
      </c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66"/>
      <c r="BI125" s="166"/>
      <c r="BJ125" s="166"/>
      <c r="BK125" s="166"/>
      <c r="BL125" s="166"/>
      <c r="BM125" s="166"/>
      <c r="BN125" s="166"/>
    </row>
    <row r="126" spans="2:66" ht="14.4" x14ac:dyDescent="0.25">
      <c r="B126" s="844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66"/>
      <c r="BI126" s="166"/>
      <c r="BJ126" s="166"/>
      <c r="BK126" s="166"/>
      <c r="BL126" s="166"/>
      <c r="BM126" s="166"/>
      <c r="BN126" s="166"/>
    </row>
    <row r="127" spans="2:66" ht="14.4" x14ac:dyDescent="0.25">
      <c r="B127" s="844" t="s">
        <v>437</v>
      </c>
      <c r="C127" s="178">
        <f>C114+C120</f>
        <v>-5332198.1684703697</v>
      </c>
      <c r="D127" s="178">
        <f t="shared" ref="D127:AT127" si="48">D114+D120</f>
        <v>-19669755.173127942</v>
      </c>
      <c r="E127" s="178">
        <f t="shared" si="48"/>
        <v>-49167777.727487408</v>
      </c>
      <c r="F127" s="178">
        <f t="shared" si="48"/>
        <v>-19836102.472292583</v>
      </c>
      <c r="G127" s="178">
        <f t="shared" si="48"/>
        <v>518253.38764023082</v>
      </c>
      <c r="H127" s="178">
        <f t="shared" si="48"/>
        <v>1189774.3369003907</v>
      </c>
      <c r="I127" s="178">
        <f t="shared" si="48"/>
        <v>1574707.2345186179</v>
      </c>
      <c r="J127" s="178">
        <f t="shared" si="48"/>
        <v>1557975.8111806675</v>
      </c>
      <c r="K127" s="178">
        <f t="shared" si="48"/>
        <v>-2082785.648448993</v>
      </c>
      <c r="L127" s="178">
        <f t="shared" si="48"/>
        <v>1689806.4571775296</v>
      </c>
      <c r="M127" s="178">
        <f t="shared" si="48"/>
        <v>1848756.8141567996</v>
      </c>
      <c r="N127" s="178">
        <f t="shared" si="48"/>
        <v>1796194.9736919906</v>
      </c>
      <c r="O127" s="178">
        <f t="shared" si="48"/>
        <v>1928844.0292929136</v>
      </c>
      <c r="P127" s="178">
        <f t="shared" si="48"/>
        <v>-3651527.1449250448</v>
      </c>
      <c r="Q127" s="178">
        <f t="shared" si="48"/>
        <v>362593.96942841634</v>
      </c>
      <c r="R127" s="178">
        <f t="shared" si="48"/>
        <v>1953782.9196392032</v>
      </c>
      <c r="S127" s="178">
        <f t="shared" si="48"/>
        <v>2103615.37947314</v>
      </c>
      <c r="T127" s="178">
        <f t="shared" si="48"/>
        <v>2047465.3920820812</v>
      </c>
      <c r="U127" s="178">
        <f t="shared" si="48"/>
        <v>-4685937.0443724394</v>
      </c>
      <c r="V127" s="178">
        <f t="shared" si="48"/>
        <v>-5290707.8596148398</v>
      </c>
      <c r="W127" s="178">
        <f t="shared" si="48"/>
        <v>-1246070.9430945474</v>
      </c>
      <c r="X127" s="178">
        <f t="shared" si="48"/>
        <v>2272330.1897157156</v>
      </c>
      <c r="Y127" s="178">
        <f t="shared" si="48"/>
        <v>2471606.6590791764</v>
      </c>
      <c r="Z127" s="178">
        <f t="shared" si="48"/>
        <v>-2595788.6487637488</v>
      </c>
      <c r="AA127" s="178">
        <f t="shared" si="48"/>
        <v>955056.971670995</v>
      </c>
      <c r="AB127" s="178">
        <f t="shared" si="48"/>
        <v>554269.33818912227</v>
      </c>
      <c r="AC127" s="178">
        <f t="shared" si="48"/>
        <v>2769040.3228536807</v>
      </c>
      <c r="AD127" s="178">
        <f t="shared" si="48"/>
        <v>2670336.6432761252</v>
      </c>
      <c r="AE127" s="178">
        <f t="shared" si="48"/>
        <v>-2680427.2838312844</v>
      </c>
      <c r="AF127" s="178">
        <f t="shared" si="48"/>
        <v>2740496.4277026262</v>
      </c>
      <c r="AG127" s="178">
        <f t="shared" si="48"/>
        <v>2895349.220846286</v>
      </c>
      <c r="AH127" s="178">
        <f t="shared" si="48"/>
        <v>2811414.0014883187</v>
      </c>
      <c r="AI127" s="178">
        <f t="shared" si="48"/>
        <v>2945465.772874353</v>
      </c>
      <c r="AJ127" s="178">
        <f>AJ114+AJ118</f>
        <v>-3187168.4809216969</v>
      </c>
      <c r="AK127" s="178">
        <f t="shared" si="48"/>
        <v>2996143.6543718474</v>
      </c>
      <c r="AL127" s="178">
        <f t="shared" si="48"/>
        <v>-2375039.4396575056</v>
      </c>
      <c r="AM127" s="178">
        <f t="shared" si="48"/>
        <v>-9787681.8070904724</v>
      </c>
      <c r="AN127" s="178">
        <f t="shared" si="48"/>
        <v>-2133938.4983773301</v>
      </c>
      <c r="AO127" s="178">
        <f t="shared" si="48"/>
        <v>-3436046.4318470769</v>
      </c>
      <c r="AP127" s="178">
        <f t="shared" si="48"/>
        <v>3100825.474997744</v>
      </c>
      <c r="AQ127" s="178">
        <f t="shared" si="48"/>
        <v>3277187.9367239582</v>
      </c>
      <c r="AR127" s="178">
        <f t="shared" si="48"/>
        <v>3174060.5539218113</v>
      </c>
      <c r="AS127" s="178">
        <f t="shared" si="48"/>
        <v>3329456.7035120968</v>
      </c>
      <c r="AT127" s="178">
        <f t="shared" si="48"/>
        <v>29384790.04746411</v>
      </c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66"/>
      <c r="BI127" s="166"/>
      <c r="BJ127" s="166"/>
      <c r="BK127" s="166"/>
      <c r="BL127" s="166"/>
      <c r="BM127" s="166"/>
      <c r="BN127" s="166"/>
    </row>
    <row r="128" spans="2:66" ht="14.4" x14ac:dyDescent="0.25">
      <c r="B128" s="844" t="s">
        <v>439</v>
      </c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849">
        <f>IRR(C127:AT127)</f>
        <v>-2.1251969063893039E-2</v>
      </c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</row>
    <row r="129" spans="1:66" ht="14.4" x14ac:dyDescent="0.25">
      <c r="B129" s="844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66"/>
      <c r="AV129" s="166"/>
      <c r="AW129" s="166"/>
      <c r="AX129" s="166"/>
      <c r="AY129" s="166"/>
      <c r="AZ129" s="166"/>
      <c r="BA129" s="166"/>
      <c r="BB129" s="166"/>
      <c r="BC129" s="166"/>
      <c r="BD129" s="166"/>
      <c r="BE129" s="166"/>
      <c r="BF129" s="166"/>
      <c r="BG129" s="166"/>
      <c r="BH129" s="166"/>
      <c r="BI129" s="166"/>
      <c r="BJ129" s="166"/>
      <c r="BK129" s="166"/>
      <c r="BL129" s="166"/>
      <c r="BM129" s="166"/>
      <c r="BN129" s="166"/>
    </row>
    <row r="130" spans="1:66" ht="14.4" x14ac:dyDescent="0.25">
      <c r="B130" s="844" t="s">
        <v>450</v>
      </c>
      <c r="C130" s="178">
        <f>C104</f>
        <v>0</v>
      </c>
      <c r="D130" s="178">
        <f t="shared" ref="D130:AT130" si="49">D104</f>
        <v>0</v>
      </c>
      <c r="E130" s="178">
        <f t="shared" si="49"/>
        <v>0</v>
      </c>
      <c r="F130" s="178">
        <f t="shared" si="49"/>
        <v>0</v>
      </c>
      <c r="G130" s="178">
        <f t="shared" si="49"/>
        <v>518253.38764023082</v>
      </c>
      <c r="H130" s="178">
        <f t="shared" si="49"/>
        <v>1189774.3369003907</v>
      </c>
      <c r="I130" s="178">
        <f t="shared" si="49"/>
        <v>1574707.2345186179</v>
      </c>
      <c r="J130" s="178">
        <f t="shared" si="49"/>
        <v>1557975.8111806675</v>
      </c>
      <c r="K130" s="178">
        <f t="shared" si="49"/>
        <v>-2082785.6484489935</v>
      </c>
      <c r="L130" s="178">
        <f t="shared" si="49"/>
        <v>1689806.4571775296</v>
      </c>
      <c r="M130" s="178">
        <f t="shared" si="49"/>
        <v>1848756.8141567996</v>
      </c>
      <c r="N130" s="178">
        <f t="shared" si="49"/>
        <v>1796194.9736919906</v>
      </c>
      <c r="O130" s="178">
        <f t="shared" si="49"/>
        <v>1928844.0292929136</v>
      </c>
      <c r="P130" s="178">
        <f t="shared" si="49"/>
        <v>-2291390.8524873052</v>
      </c>
      <c r="Q130" s="178">
        <f t="shared" si="49"/>
        <v>2012036.784749385</v>
      </c>
      <c r="R130" s="178">
        <f t="shared" si="49"/>
        <v>1953782.9196392032</v>
      </c>
      <c r="S130" s="178">
        <f t="shared" si="49"/>
        <v>2103615.37947314</v>
      </c>
      <c r="T130" s="178">
        <f t="shared" si="49"/>
        <v>2047465.3920820812</v>
      </c>
      <c r="U130" s="178">
        <f t="shared" si="49"/>
        <v>-2371874.7245446751</v>
      </c>
      <c r="V130" s="178">
        <f t="shared" si="49"/>
        <v>2145129.8420013725</v>
      </c>
      <c r="W130" s="178">
        <f t="shared" si="49"/>
        <v>2309298.3400175055</v>
      </c>
      <c r="X130" s="178">
        <f t="shared" si="49"/>
        <v>2272330.1897157156</v>
      </c>
      <c r="Y130" s="178">
        <f t="shared" si="49"/>
        <v>2471606.6590791764</v>
      </c>
      <c r="Z130" s="178">
        <f t="shared" si="49"/>
        <v>-2595788.6487637488</v>
      </c>
      <c r="AA130" s="178">
        <f t="shared" si="49"/>
        <v>2642803.5854396829</v>
      </c>
      <c r="AB130" s="178">
        <f t="shared" si="49"/>
        <v>2601009.8175204527</v>
      </c>
      <c r="AC130" s="178">
        <f t="shared" si="49"/>
        <v>2769040.3228536807</v>
      </c>
      <c r="AD130" s="178">
        <f t="shared" si="49"/>
        <v>2670336.6432761252</v>
      </c>
      <c r="AE130" s="178">
        <f t="shared" si="49"/>
        <v>-2680427.2838312844</v>
      </c>
      <c r="AF130" s="178">
        <f t="shared" si="49"/>
        <v>2740496.4277026262</v>
      </c>
      <c r="AG130" s="178">
        <f t="shared" si="49"/>
        <v>2920343.7895527016</v>
      </c>
      <c r="AH130" s="178">
        <f t="shared" si="49"/>
        <v>2811414.0014883187</v>
      </c>
      <c r="AI130" s="178">
        <f t="shared" si="49"/>
        <v>2997446.1772881886</v>
      </c>
      <c r="AJ130" s="178">
        <f t="shared" si="49"/>
        <v>-3187168.4809216969</v>
      </c>
      <c r="AK130" s="178">
        <f t="shared" si="49"/>
        <v>3075412.1488227956</v>
      </c>
      <c r="AL130" s="178">
        <f t="shared" si="49"/>
        <v>2955175.6820589723</v>
      </c>
      <c r="AM130" s="178">
        <f t="shared" si="49"/>
        <v>3154151.9968407108</v>
      </c>
      <c r="AN130" s="178">
        <f t="shared" si="49"/>
        <v>3027821.1259676488</v>
      </c>
      <c r="AO130" s="178">
        <f t="shared" si="49"/>
        <v>-3436046.4318470769</v>
      </c>
      <c r="AP130" s="178">
        <f t="shared" si="49"/>
        <v>3100825.474997744</v>
      </c>
      <c r="AQ130" s="178">
        <f t="shared" si="49"/>
        <v>3313540.8707296522</v>
      </c>
      <c r="AR130" s="178">
        <f t="shared" si="49"/>
        <v>3174060.5539218113</v>
      </c>
      <c r="AS130" s="178">
        <f t="shared" si="49"/>
        <v>3393954.3580960194</v>
      </c>
      <c r="AT130" s="178">
        <f t="shared" si="49"/>
        <v>-4080862.8467535283</v>
      </c>
      <c r="AU130" s="166"/>
      <c r="AV130" s="166"/>
      <c r="AW130" s="166"/>
      <c r="AX130" s="166"/>
      <c r="AY130" s="166"/>
      <c r="AZ130" s="166"/>
      <c r="BA130" s="166"/>
      <c r="BB130" s="166"/>
      <c r="BC130" s="166"/>
      <c r="BD130" s="166"/>
      <c r="BE130" s="166"/>
      <c r="BF130" s="166"/>
      <c r="BG130" s="166"/>
      <c r="BH130" s="166"/>
      <c r="BI130" s="166"/>
      <c r="BJ130" s="166"/>
      <c r="BK130" s="166"/>
      <c r="BL130" s="166"/>
      <c r="BM130" s="166"/>
      <c r="BN130" s="166"/>
    </row>
    <row r="131" spans="1:66" ht="14.4" x14ac:dyDescent="0.25">
      <c r="B131" s="844" t="s">
        <v>451</v>
      </c>
      <c r="C131" s="178">
        <f>C130+C91</f>
        <v>0</v>
      </c>
      <c r="D131" s="178">
        <f t="shared" ref="D131:AT131" si="50">D130+D91</f>
        <v>0</v>
      </c>
      <c r="E131" s="178">
        <f t="shared" si="50"/>
        <v>0</v>
      </c>
      <c r="F131" s="178">
        <f t="shared" si="50"/>
        <v>0</v>
      </c>
      <c r="G131" s="178">
        <f t="shared" si="50"/>
        <v>-2088332.8053780654</v>
      </c>
      <c r="H131" s="178">
        <f t="shared" si="50"/>
        <v>-1416811.8561179056</v>
      </c>
      <c r="I131" s="178">
        <f t="shared" si="50"/>
        <v>-1031878.9584996784</v>
      </c>
      <c r="J131" s="178">
        <f t="shared" si="50"/>
        <v>-1048610.3818376288</v>
      </c>
      <c r="K131" s="178">
        <f t="shared" si="50"/>
        <v>-4689371.8414672893</v>
      </c>
      <c r="L131" s="178">
        <f t="shared" si="50"/>
        <v>-775779.2630919884</v>
      </c>
      <c r="M131" s="178">
        <f t="shared" si="50"/>
        <v>-616828.9061127184</v>
      </c>
      <c r="N131" s="178">
        <f t="shared" si="50"/>
        <v>-669390.74657752737</v>
      </c>
      <c r="O131" s="178">
        <f t="shared" si="50"/>
        <v>-536741.69097660435</v>
      </c>
      <c r="P131" s="178">
        <f t="shared" si="50"/>
        <v>-4756976.5727568232</v>
      </c>
      <c r="Q131" s="178">
        <f t="shared" si="50"/>
        <v>-218504.04720134148</v>
      </c>
      <c r="R131" s="178">
        <f t="shared" si="50"/>
        <v>-577715.82308739424</v>
      </c>
      <c r="S131" s="178">
        <f t="shared" si="50"/>
        <v>-427883.36325345747</v>
      </c>
      <c r="T131" s="178">
        <f t="shared" si="50"/>
        <v>-484033.35064451629</v>
      </c>
      <c r="U131" s="178">
        <f t="shared" si="50"/>
        <v>-4903373.4672712721</v>
      </c>
      <c r="V131" s="178">
        <f t="shared" si="50"/>
        <v>240647.0634838168</v>
      </c>
      <c r="W131" s="178">
        <f t="shared" si="50"/>
        <v>404815.56149994978</v>
      </c>
      <c r="X131" s="178">
        <f t="shared" si="50"/>
        <v>-504109.74785595434</v>
      </c>
      <c r="Y131" s="178">
        <f t="shared" si="50"/>
        <v>-304833.27849249355</v>
      </c>
      <c r="Z131" s="178">
        <f t="shared" si="50"/>
        <v>-5372228.5863354187</v>
      </c>
      <c r="AA131" s="178">
        <f t="shared" si="50"/>
        <v>-133636.35213198699</v>
      </c>
      <c r="AB131" s="178">
        <f t="shared" si="50"/>
        <v>-175430.12005121727</v>
      </c>
      <c r="AC131" s="178">
        <f t="shared" si="50"/>
        <v>-79890.413252119906</v>
      </c>
      <c r="AD131" s="178">
        <f t="shared" si="50"/>
        <v>-178594.09282967541</v>
      </c>
      <c r="AE131" s="178">
        <f t="shared" si="50"/>
        <v>-5529358.019937085</v>
      </c>
      <c r="AF131" s="178">
        <f t="shared" si="50"/>
        <v>-108434.30840317439</v>
      </c>
      <c r="AG131" s="178">
        <f t="shared" si="50"/>
        <v>71413.053446901031</v>
      </c>
      <c r="AH131" s="178">
        <f t="shared" si="50"/>
        <v>-37516.734617481939</v>
      </c>
      <c r="AI131" s="178">
        <f t="shared" si="50"/>
        <v>148515.44118238799</v>
      </c>
      <c r="AJ131" s="178">
        <f t="shared" si="50"/>
        <v>-6036099.2170274975</v>
      </c>
      <c r="AK131" s="178">
        <f t="shared" si="50"/>
        <v>226481.41271699499</v>
      </c>
      <c r="AL131" s="178">
        <f t="shared" si="50"/>
        <v>106244.9459531717</v>
      </c>
      <c r="AM131" s="178">
        <f t="shared" si="50"/>
        <v>1177178.4197890242</v>
      </c>
      <c r="AN131" s="178">
        <f t="shared" si="50"/>
        <v>1424296.2582259639</v>
      </c>
      <c r="AO131" s="178">
        <f t="shared" si="50"/>
        <v>-6645721.7768461751</v>
      </c>
      <c r="AP131" s="178">
        <f t="shared" si="50"/>
        <v>-108849.87000135425</v>
      </c>
      <c r="AQ131" s="178">
        <f t="shared" si="50"/>
        <v>103865.52573055401</v>
      </c>
      <c r="AR131" s="178">
        <f t="shared" si="50"/>
        <v>-35614.791077286936</v>
      </c>
      <c r="AS131" s="178">
        <f t="shared" si="50"/>
        <v>184279.01309692115</v>
      </c>
      <c r="AT131" s="178">
        <f t="shared" si="50"/>
        <v>-7290538.1917526266</v>
      </c>
      <c r="AU131" s="166"/>
      <c r="AV131" s="166"/>
      <c r="AW131" s="166"/>
      <c r="AX131" s="166"/>
      <c r="AY131" s="166"/>
      <c r="AZ131" s="166"/>
      <c r="BA131" s="166"/>
      <c r="BB131" s="166"/>
      <c r="BC131" s="166"/>
      <c r="BD131" s="166"/>
      <c r="BE131" s="166"/>
      <c r="BF131" s="166"/>
      <c r="BG131" s="166"/>
      <c r="BH131" s="166"/>
      <c r="BI131" s="166"/>
      <c r="BJ131" s="166"/>
      <c r="BK131" s="166"/>
      <c r="BL131" s="166"/>
      <c r="BM131" s="166"/>
      <c r="BN131" s="166"/>
    </row>
    <row r="132" spans="1:66" ht="14.4" x14ac:dyDescent="0.25">
      <c r="B132" s="844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</row>
    <row r="133" spans="1:66" ht="14.4" x14ac:dyDescent="0.25">
      <c r="B133" s="844" t="s">
        <v>489</v>
      </c>
      <c r="C133" s="908"/>
      <c r="D133" s="908"/>
      <c r="E133" s="908"/>
      <c r="F133" s="908"/>
      <c r="G133" s="909">
        <f>ABS(G102)/ABS(G97)</f>
        <v>1.1856509679346194</v>
      </c>
      <c r="H133" s="909">
        <f t="shared" ref="H133:AT133" si="51">ABS(H102)/ABS(H97)</f>
        <v>1.3848294242766561</v>
      </c>
      <c r="I133" s="909">
        <f t="shared" si="51"/>
        <v>1.5366434470702139</v>
      </c>
      <c r="J133" s="909">
        <f t="shared" si="51"/>
        <v>1.5187103437888048</v>
      </c>
      <c r="K133" s="909">
        <f t="shared" si="51"/>
        <v>0.69660803682375871</v>
      </c>
      <c r="L133" s="909">
        <f t="shared" si="51"/>
        <v>1.5369599749491094</v>
      </c>
      <c r="M133" s="909">
        <f t="shared" si="51"/>
        <v>1.5739146238288324</v>
      </c>
      <c r="N133" s="909">
        <f t="shared" si="51"/>
        <v>1.5447262638282497</v>
      </c>
      <c r="O133" s="909">
        <f t="shared" si="51"/>
        <v>1.5714445064055786</v>
      </c>
      <c r="P133" s="909">
        <f t="shared" si="51"/>
        <v>0.69929745440784408</v>
      </c>
      <c r="Q133" s="909">
        <f t="shared" si="51"/>
        <v>1.5688547794715744</v>
      </c>
      <c r="R133" s="909">
        <f t="shared" si="51"/>
        <v>1.5396078120224024</v>
      </c>
      <c r="S133" s="909">
        <f t="shared" si="51"/>
        <v>1.5675438817063327</v>
      </c>
      <c r="T133" s="909">
        <f t="shared" si="51"/>
        <v>1.5396045820719193</v>
      </c>
      <c r="U133" s="909">
        <f t="shared" si="51"/>
        <v>0.7196548445290144</v>
      </c>
      <c r="V133" s="909">
        <f t="shared" si="51"/>
        <v>1.5394470407898473</v>
      </c>
      <c r="W133" s="909">
        <f t="shared" si="51"/>
        <v>1.5672643472607866</v>
      </c>
      <c r="X133" s="909">
        <f t="shared" si="51"/>
        <v>1.5452326416687103</v>
      </c>
      <c r="Y133" s="909">
        <f t="shared" si="51"/>
        <v>1.5792812563797727</v>
      </c>
      <c r="Z133" s="909">
        <f t="shared" si="51"/>
        <v>0.72374099813154813</v>
      </c>
      <c r="AA133" s="909">
        <f t="shared" si="51"/>
        <v>1.5909607737980391</v>
      </c>
      <c r="AB133" s="909">
        <f t="shared" si="51"/>
        <v>1.5680933305980376</v>
      </c>
      <c r="AC133" s="909">
        <f t="shared" si="51"/>
        <v>1.590725401818655</v>
      </c>
      <c r="AD133" s="909">
        <f t="shared" si="51"/>
        <v>1.5564110951260377</v>
      </c>
      <c r="AE133" s="909">
        <f t="shared" si="51"/>
        <v>0.7432107585824842</v>
      </c>
      <c r="AF133" s="909">
        <f t="shared" si="51"/>
        <v>1.5447409122027009</v>
      </c>
      <c r="AG133" s="909">
        <f t="shared" si="51"/>
        <v>1.5669598654922092</v>
      </c>
      <c r="AH133" s="909">
        <f t="shared" si="51"/>
        <v>1.5330837511432462</v>
      </c>
      <c r="AI133" s="909">
        <f t="shared" si="51"/>
        <v>1.5550972315109459</v>
      </c>
      <c r="AJ133" s="909">
        <f t="shared" si="51"/>
        <v>0.72522271058315713</v>
      </c>
      <c r="AK133" s="909">
        <f t="shared" si="51"/>
        <v>1.5432493288185021</v>
      </c>
      <c r="AL133" s="909">
        <f t="shared" si="51"/>
        <v>1.5098123498506966</v>
      </c>
      <c r="AM133" s="909">
        <f t="shared" si="51"/>
        <v>1.5314171328278676</v>
      </c>
      <c r="AN133" s="909">
        <f t="shared" si="51"/>
        <v>1.4982000254601933</v>
      </c>
      <c r="AO133" s="909">
        <f t="shared" si="51"/>
        <v>0.73349053974052414</v>
      </c>
      <c r="AP133" s="909">
        <f t="shared" si="51"/>
        <v>1.4866045541163349</v>
      </c>
      <c r="AQ133" s="909">
        <f t="shared" si="51"/>
        <v>1.5078037369629165</v>
      </c>
      <c r="AR133" s="909">
        <f t="shared" si="51"/>
        <v>1.4750268808394889</v>
      </c>
      <c r="AS133" s="909">
        <f t="shared" si="51"/>
        <v>1.4960244615161533</v>
      </c>
      <c r="AT133" s="909">
        <f t="shared" si="51"/>
        <v>0.71532088646553516</v>
      </c>
      <c r="AU133" s="166"/>
      <c r="AV133" s="166"/>
      <c r="AW133" s="166"/>
      <c r="AX133" s="166"/>
      <c r="AY133" s="166"/>
      <c r="AZ133" s="166"/>
      <c r="BA133" s="166"/>
      <c r="BB133" s="166"/>
      <c r="BC133" s="166"/>
      <c r="BD133" s="166"/>
      <c r="BE133" s="166"/>
      <c r="BF133" s="166"/>
      <c r="BG133" s="166"/>
      <c r="BH133" s="166"/>
      <c r="BI133" s="166"/>
      <c r="BJ133" s="166"/>
      <c r="BK133" s="166"/>
      <c r="BL133" s="166"/>
      <c r="BM133" s="166"/>
      <c r="BN133" s="166"/>
    </row>
    <row r="134" spans="1:66" ht="14.4" x14ac:dyDescent="0.25">
      <c r="B134" s="844" t="s">
        <v>490</v>
      </c>
      <c r="C134" s="908"/>
      <c r="D134" s="908"/>
      <c r="E134" s="908"/>
      <c r="F134" s="908"/>
      <c r="G134" s="909">
        <f>G133-1</f>
        <v>0.18565096793461944</v>
      </c>
      <c r="H134" s="909">
        <f t="shared" ref="H134:AT134" si="52">H133-1</f>
        <v>0.38482942427665612</v>
      </c>
      <c r="I134" s="909">
        <f t="shared" si="52"/>
        <v>0.53664344707021394</v>
      </c>
      <c r="J134" s="909">
        <f t="shared" si="52"/>
        <v>0.51871034378880476</v>
      </c>
      <c r="K134" s="909">
        <f t="shared" si="52"/>
        <v>-0.30339196317624129</v>
      </c>
      <c r="L134" s="909">
        <f t="shared" si="52"/>
        <v>0.53695997494910941</v>
      </c>
      <c r="M134" s="909">
        <f t="shared" si="52"/>
        <v>0.5739146238288324</v>
      </c>
      <c r="N134" s="909">
        <f t="shared" si="52"/>
        <v>0.54472626382824973</v>
      </c>
      <c r="O134" s="909">
        <f t="shared" si="52"/>
        <v>0.57144450640557864</v>
      </c>
      <c r="P134" s="909">
        <f t="shared" si="52"/>
        <v>-0.30070254559215592</v>
      </c>
      <c r="Q134" s="909">
        <f t="shared" si="52"/>
        <v>0.56885477947157437</v>
      </c>
      <c r="R134" s="909">
        <f t="shared" si="52"/>
        <v>0.53960781202240238</v>
      </c>
      <c r="S134" s="909">
        <f t="shared" si="52"/>
        <v>0.56754388170633274</v>
      </c>
      <c r="T134" s="909">
        <f t="shared" si="52"/>
        <v>0.5396045820719193</v>
      </c>
      <c r="U134" s="909">
        <f t="shared" si="52"/>
        <v>-0.2803451554709856</v>
      </c>
      <c r="V134" s="909">
        <f t="shared" si="52"/>
        <v>0.53944704078984729</v>
      </c>
      <c r="W134" s="909">
        <f t="shared" si="52"/>
        <v>0.56726434726078656</v>
      </c>
      <c r="X134" s="909">
        <f t="shared" si="52"/>
        <v>0.54523264166871033</v>
      </c>
      <c r="Y134" s="909">
        <f t="shared" si="52"/>
        <v>0.57928125637977268</v>
      </c>
      <c r="Z134" s="909">
        <f t="shared" si="52"/>
        <v>-0.27625900186845187</v>
      </c>
      <c r="AA134" s="909">
        <f t="shared" si="52"/>
        <v>0.59096077379803913</v>
      </c>
      <c r="AB134" s="909">
        <f t="shared" si="52"/>
        <v>0.56809333059803757</v>
      </c>
      <c r="AC134" s="909">
        <f t="shared" si="52"/>
        <v>0.59072540181865496</v>
      </c>
      <c r="AD134" s="909">
        <f t="shared" si="52"/>
        <v>0.5564110951260377</v>
      </c>
      <c r="AE134" s="909">
        <f t="shared" si="52"/>
        <v>-0.2567892414175158</v>
      </c>
      <c r="AF134" s="909">
        <f t="shared" si="52"/>
        <v>0.54474091220270093</v>
      </c>
      <c r="AG134" s="909">
        <f t="shared" si="52"/>
        <v>0.56695986549220923</v>
      </c>
      <c r="AH134" s="909">
        <f t="shared" si="52"/>
        <v>0.53308375114324624</v>
      </c>
      <c r="AI134" s="909">
        <f t="shared" si="52"/>
        <v>0.55509723151094592</v>
      </c>
      <c r="AJ134" s="909">
        <f t="shared" si="52"/>
        <v>-0.27477728941684287</v>
      </c>
      <c r="AK134" s="909">
        <f t="shared" si="52"/>
        <v>0.54324932881850208</v>
      </c>
      <c r="AL134" s="909">
        <f t="shared" si="52"/>
        <v>0.50981234985069657</v>
      </c>
      <c r="AM134" s="909">
        <f t="shared" si="52"/>
        <v>0.53141713282786762</v>
      </c>
      <c r="AN134" s="909">
        <f t="shared" si="52"/>
        <v>0.49820002546019326</v>
      </c>
      <c r="AO134" s="909">
        <f t="shared" si="52"/>
        <v>-0.26650946025947586</v>
      </c>
      <c r="AP134" s="909">
        <f t="shared" si="52"/>
        <v>0.48660455411633485</v>
      </c>
      <c r="AQ134" s="909">
        <f t="shared" si="52"/>
        <v>0.50780373696291647</v>
      </c>
      <c r="AR134" s="909">
        <f t="shared" si="52"/>
        <v>0.47502688083948885</v>
      </c>
      <c r="AS134" s="909">
        <f t="shared" si="52"/>
        <v>0.49602446151615331</v>
      </c>
      <c r="AT134" s="909">
        <f t="shared" si="52"/>
        <v>-0.28467911353446484</v>
      </c>
      <c r="AU134" s="166"/>
      <c r="AV134" s="166"/>
      <c r="AW134" s="166"/>
      <c r="AX134" s="166"/>
      <c r="AY134" s="166"/>
      <c r="AZ134" s="166"/>
      <c r="BA134" s="166"/>
      <c r="BB134" s="166"/>
      <c r="BC134" s="166"/>
      <c r="BD134" s="166"/>
      <c r="BE134" s="166"/>
      <c r="BF134" s="166"/>
      <c r="BG134" s="166"/>
      <c r="BH134" s="166"/>
      <c r="BI134" s="166"/>
      <c r="BJ134" s="166"/>
      <c r="BK134" s="166"/>
      <c r="BL134" s="166"/>
      <c r="BM134" s="166"/>
      <c r="BN134" s="166"/>
    </row>
    <row r="135" spans="1:66" ht="14.4" x14ac:dyDescent="0.25">
      <c r="B135" s="844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66"/>
      <c r="AV135" s="166"/>
      <c r="AW135" s="166"/>
      <c r="AX135" s="166"/>
      <c r="AY135" s="166"/>
      <c r="AZ135" s="166"/>
      <c r="BA135" s="166"/>
      <c r="BB135" s="166"/>
      <c r="BC135" s="166"/>
      <c r="BD135" s="166"/>
      <c r="BE135" s="166"/>
      <c r="BF135" s="166"/>
      <c r="BG135" s="166"/>
      <c r="BH135" s="166"/>
      <c r="BI135" s="166"/>
      <c r="BJ135" s="166"/>
      <c r="BK135" s="166"/>
      <c r="BL135" s="166"/>
      <c r="BM135" s="166"/>
      <c r="BN135" s="166"/>
    </row>
    <row r="136" spans="1:66" ht="14.4" x14ac:dyDescent="0.25">
      <c r="B136" s="907" t="s">
        <v>404</v>
      </c>
      <c r="C136" s="268">
        <f>C127/((1+$C$26)^C68)</f>
        <v>-5332198.1684703697</v>
      </c>
      <c r="D136" s="268">
        <f>D127/((1+$C$26)^D68)</f>
        <v>-17406862.985068977</v>
      </c>
      <c r="E136" s="268">
        <f t="shared" ref="E136:AT136" si="53">E127/((1+$C$26)^E68)</f>
        <v>-38505582.056141764</v>
      </c>
      <c r="F136" s="268">
        <f t="shared" si="53"/>
        <v>-13747414.037379377</v>
      </c>
      <c r="G136" s="268">
        <f t="shared" si="53"/>
        <v>317854.50832303322</v>
      </c>
      <c r="H136" s="268">
        <f t="shared" si="53"/>
        <v>645761.84294984245</v>
      </c>
      <c r="I136" s="268">
        <f t="shared" si="53"/>
        <v>756361.06002229545</v>
      </c>
      <c r="J136" s="268">
        <f t="shared" si="53"/>
        <v>662234.20124137227</v>
      </c>
      <c r="K136" s="268">
        <f t="shared" si="53"/>
        <v>-783460.36151765916</v>
      </c>
      <c r="L136" s="268">
        <f t="shared" si="53"/>
        <v>562510.94094625139</v>
      </c>
      <c r="M136" s="268">
        <f t="shared" si="53"/>
        <v>544622.21596936998</v>
      </c>
      <c r="N136" s="268">
        <f t="shared" si="53"/>
        <v>468263.81434723281</v>
      </c>
      <c r="O136" s="268">
        <f t="shared" si="53"/>
        <v>444995.67419714906</v>
      </c>
      <c r="P136" s="268">
        <f t="shared" si="53"/>
        <v>-745512.22281367041</v>
      </c>
      <c r="Q136" s="268">
        <f t="shared" si="53"/>
        <v>65512.227759645917</v>
      </c>
      <c r="R136" s="268">
        <f t="shared" si="53"/>
        <v>312391.82217103895</v>
      </c>
      <c r="S136" s="268">
        <f t="shared" si="53"/>
        <v>297653.66990619595</v>
      </c>
      <c r="T136" s="268">
        <f t="shared" si="53"/>
        <v>256379.34312044922</v>
      </c>
      <c r="U136" s="268">
        <f t="shared" si="53"/>
        <v>-519259.51916090614</v>
      </c>
      <c r="V136" s="268">
        <f t="shared" si="53"/>
        <v>-518827.93947532721</v>
      </c>
      <c r="W136" s="268">
        <f t="shared" si="53"/>
        <v>-108136.89598974114</v>
      </c>
      <c r="X136" s="268">
        <f t="shared" si="53"/>
        <v>174511.52966750591</v>
      </c>
      <c r="Y136" s="268">
        <f t="shared" si="53"/>
        <v>167978.46177898286</v>
      </c>
      <c r="Z136" s="268">
        <f t="shared" si="53"/>
        <v>-156122.36763237984</v>
      </c>
      <c r="AA136" s="268">
        <f t="shared" si="53"/>
        <v>50833.104692632383</v>
      </c>
      <c r="AB136" s="268">
        <f t="shared" si="53"/>
        <v>26107.168205639999</v>
      </c>
      <c r="AC136" s="268">
        <f t="shared" si="53"/>
        <v>115422.30671433224</v>
      </c>
      <c r="AD136" s="268">
        <f t="shared" si="53"/>
        <v>98502.678777185603</v>
      </c>
      <c r="AE136" s="268">
        <f t="shared" si="53"/>
        <v>-87499.911224248834</v>
      </c>
      <c r="AF136" s="268">
        <f t="shared" si="53"/>
        <v>79168.857805109932</v>
      </c>
      <c r="AG136" s="268">
        <f t="shared" si="53"/>
        <v>74019.755957126457</v>
      </c>
      <c r="AH136" s="268">
        <f t="shared" si="53"/>
        <v>63605.263393948866</v>
      </c>
      <c r="AI136" s="268">
        <f t="shared" si="53"/>
        <v>58971.719210772651</v>
      </c>
      <c r="AJ136" s="268">
        <f t="shared" si="53"/>
        <v>-56469.817855595473</v>
      </c>
      <c r="AK136" s="268">
        <f t="shared" si="53"/>
        <v>46978.111458619489</v>
      </c>
      <c r="AL136" s="268">
        <f t="shared" si="53"/>
        <v>-32955.302615588538</v>
      </c>
      <c r="AM136" s="268">
        <f t="shared" si="53"/>
        <v>-120186.55222213741</v>
      </c>
      <c r="AN136" s="268">
        <f t="shared" si="53"/>
        <v>-23188.864865741889</v>
      </c>
      <c r="AO136" s="268">
        <f t="shared" si="53"/>
        <v>-33042.901177531014</v>
      </c>
      <c r="AP136" s="268">
        <f t="shared" si="53"/>
        <v>26388.701921622836</v>
      </c>
      <c r="AQ136" s="268">
        <f t="shared" si="53"/>
        <v>24681.048657792042</v>
      </c>
      <c r="AR136" s="268">
        <f t="shared" si="53"/>
        <v>21154.317828852076</v>
      </c>
      <c r="AS136" s="268">
        <f t="shared" si="53"/>
        <v>19637.163014850423</v>
      </c>
      <c r="AT136" s="268">
        <f t="shared" si="53"/>
        <v>153373.2153326518</v>
      </c>
      <c r="AU136" s="166"/>
      <c r="AV136" s="166"/>
      <c r="AW136" s="166"/>
      <c r="AX136" s="166"/>
      <c r="AY136" s="166"/>
      <c r="AZ136" s="166"/>
      <c r="BA136" s="166"/>
      <c r="BB136" s="166"/>
      <c r="BC136" s="166"/>
      <c r="BD136" s="166"/>
      <c r="BE136" s="166"/>
      <c r="BF136" s="166"/>
      <c r="BG136" s="166"/>
      <c r="BH136" s="166"/>
      <c r="BI136" s="166"/>
      <c r="BJ136" s="166"/>
      <c r="BK136" s="166"/>
      <c r="BL136" s="166"/>
      <c r="BM136" s="166"/>
      <c r="BN136" s="166"/>
    </row>
    <row r="137" spans="1:66" ht="14.4" x14ac:dyDescent="0.25">
      <c r="B137" s="907" t="s">
        <v>403</v>
      </c>
      <c r="C137" s="824">
        <f>SUM(C136)</f>
        <v>-5332198.1684703697</v>
      </c>
      <c r="D137" s="824">
        <f>SUM(C136:D136)</f>
        <v>-22739061.153539345</v>
      </c>
      <c r="E137" s="824">
        <f>SUM(C136:E136)</f>
        <v>-61244643.209681109</v>
      </c>
      <c r="F137" s="824">
        <f>SUM(C136:F136)</f>
        <v>-74992057.247060478</v>
      </c>
      <c r="G137" s="824">
        <f>SUM(C136:G136)</f>
        <v>-74674202.738737449</v>
      </c>
      <c r="H137" s="824">
        <f>SUM(C136:H136)</f>
        <v>-74028440.895787612</v>
      </c>
      <c r="I137" s="824">
        <f>SUM(C136:I136)</f>
        <v>-73272079.835765317</v>
      </c>
      <c r="J137" s="824">
        <f>SUM(C136:J136)</f>
        <v>-72609845.634523943</v>
      </c>
      <c r="K137" s="824">
        <f>SUM(C136:K136)</f>
        <v>-73393305.996041596</v>
      </c>
      <c r="L137" s="824">
        <f>SUM(C136:L136)</f>
        <v>-72830795.055095345</v>
      </c>
      <c r="M137" s="824">
        <f>SUM(C136:M136)</f>
        <v>-72286172.839125976</v>
      </c>
      <c r="N137" s="824">
        <f>SUM(C136:N136)</f>
        <v>-71817909.024778739</v>
      </c>
      <c r="O137" s="824">
        <f>SUM(C136:O136)</f>
        <v>-71372913.350581586</v>
      </c>
      <c r="P137" s="824">
        <f>SUM(C136:P136)</f>
        <v>-72118425.573395252</v>
      </c>
      <c r="Q137" s="824">
        <f>SUM(C136:Q136)</f>
        <v>-72052913.345635608</v>
      </c>
      <c r="R137" s="824">
        <f>SUM(C136:R136)</f>
        <v>-71740521.523464575</v>
      </c>
      <c r="S137" s="824">
        <f>SUM(C136:S136)</f>
        <v>-71442867.853558376</v>
      </c>
      <c r="T137" s="824">
        <f>SUM(C136:T136)</f>
        <v>-71186488.510437921</v>
      </c>
      <c r="U137" s="824">
        <f>SUM(C136:U136)</f>
        <v>-71705748.029598832</v>
      </c>
      <c r="V137" s="824">
        <f>SUM(C136:V136)</f>
        <v>-72224575.96907416</v>
      </c>
      <c r="W137" s="824">
        <f>SUM(C136:W136)</f>
        <v>-72332712.865063906</v>
      </c>
      <c r="X137" s="824">
        <f>SUM(C136:X136)</f>
        <v>-72158201.335396394</v>
      </c>
      <c r="Y137" s="824">
        <f>SUM(C136:Y136)</f>
        <v>-71990222.873617411</v>
      </c>
      <c r="Z137" s="824">
        <f>SUM(C136:Z136)</f>
        <v>-72146345.241249785</v>
      </c>
      <c r="AA137" s="824">
        <f>SUM(C136:AA136)</f>
        <v>-72095512.136557147</v>
      </c>
      <c r="AB137" s="824">
        <f>SUM(C136:AB136)</f>
        <v>-72069404.968351513</v>
      </c>
      <c r="AC137" s="824">
        <f>SUM(C136:AC136)</f>
        <v>-71953982.661637187</v>
      </c>
      <c r="AD137" s="824">
        <f>SUM(C136:AD136)</f>
        <v>-71855479.982859999</v>
      </c>
      <c r="AE137" s="824">
        <f>SUM(C136:AE136)</f>
        <v>-71942979.894084245</v>
      </c>
      <c r="AF137" s="824">
        <f>SUM(C136:AF136)</f>
        <v>-71863811.036279142</v>
      </c>
      <c r="AG137" s="824">
        <f>SUM(C136:AG136)</f>
        <v>-71789791.280322015</v>
      </c>
      <c r="AH137" s="824">
        <f>SUM(C136:AH136)</f>
        <v>-71726186.016928062</v>
      </c>
      <c r="AI137" s="824">
        <f>SUM(C136:AI136)</f>
        <v>-71667214.297717288</v>
      </c>
      <c r="AJ137" s="824">
        <f>SUM(C136:AJ136)</f>
        <v>-71723684.115572885</v>
      </c>
      <c r="AK137" s="824">
        <f>SUM(C136:AK136)</f>
        <v>-71676706.00411427</v>
      </c>
      <c r="AL137" s="824">
        <f>SUM(C136:AL136)</f>
        <v>-71709661.306729853</v>
      </c>
      <c r="AM137" s="824">
        <f>SUM(C136:AM136)</f>
        <v>-71829847.858951986</v>
      </c>
      <c r="AN137" s="824">
        <f>SUM(C136:AN136)</f>
        <v>-71853036.723817721</v>
      </c>
      <c r="AO137" s="824">
        <f>SUM(C136:AO136)</f>
        <v>-71886079.624995247</v>
      </c>
      <c r="AP137" s="824">
        <f>SUM(C136:AP136)</f>
        <v>-71859690.92307362</v>
      </c>
      <c r="AQ137" s="824">
        <f>SUM(C136:AQ136)</f>
        <v>-71835009.87441583</v>
      </c>
      <c r="AR137" s="824">
        <f>SUM(C136:AR136)</f>
        <v>-71813855.556586981</v>
      </c>
      <c r="AS137" s="824">
        <f>SUM(C136:AS136)</f>
        <v>-71794218.393572137</v>
      </c>
      <c r="AT137" s="824">
        <f>SUM(C136:AT136)</f>
        <v>-71640845.17823948</v>
      </c>
      <c r="AU137" s="166"/>
      <c r="AV137" s="166"/>
      <c r="AW137" s="166"/>
      <c r="AX137" s="166"/>
      <c r="AY137" s="166"/>
      <c r="AZ137" s="166"/>
      <c r="BA137" s="166"/>
      <c r="BB137" s="166"/>
      <c r="BC137" s="166"/>
      <c r="BD137" s="166"/>
      <c r="BE137" s="166"/>
      <c r="BF137" s="166"/>
      <c r="BG137" s="166"/>
      <c r="BH137" s="166"/>
      <c r="BI137" s="166"/>
      <c r="BJ137" s="166"/>
      <c r="BK137" s="166"/>
      <c r="BL137" s="166"/>
      <c r="BM137" s="166"/>
      <c r="BN137" s="166"/>
    </row>
    <row r="138" spans="1:66" ht="14.4" x14ac:dyDescent="0.3">
      <c r="B138" s="180"/>
      <c r="C138" s="263"/>
      <c r="D138" s="263"/>
      <c r="E138" s="263"/>
      <c r="F138" s="263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263"/>
      <c r="AG138" s="263"/>
      <c r="AH138" s="263"/>
      <c r="AI138" s="263"/>
      <c r="AK138" s="263"/>
      <c r="AL138" s="263"/>
      <c r="AM138" s="263"/>
      <c r="AN138" s="263"/>
      <c r="AO138" s="263"/>
      <c r="AP138" s="263"/>
      <c r="AQ138" s="263"/>
      <c r="AR138" s="264"/>
      <c r="AS138" s="264"/>
      <c r="AU138" s="166"/>
      <c r="AV138" s="166"/>
      <c r="AW138" s="166"/>
      <c r="AX138" s="166"/>
      <c r="AY138" s="166"/>
      <c r="AZ138" s="166"/>
      <c r="BA138" s="166"/>
      <c r="BB138" s="166"/>
      <c r="BC138" s="166"/>
      <c r="BD138" s="166"/>
      <c r="BE138" s="166"/>
      <c r="BF138" s="166"/>
      <c r="BG138" s="166"/>
      <c r="BH138" s="166"/>
      <c r="BI138" s="166"/>
      <c r="BJ138" s="166"/>
      <c r="BK138" s="166"/>
      <c r="BL138" s="166"/>
      <c r="BM138" s="166"/>
      <c r="BN138" s="166"/>
    </row>
    <row r="139" spans="1:66" x14ac:dyDescent="0.25">
      <c r="AU139" s="166"/>
      <c r="AV139" s="166"/>
      <c r="AW139" s="166"/>
      <c r="AX139" s="166"/>
      <c r="AY139" s="166"/>
      <c r="AZ139" s="166"/>
      <c r="BA139" s="166"/>
      <c r="BB139" s="166"/>
      <c r="BC139" s="166"/>
      <c r="BD139" s="166"/>
      <c r="BE139" s="166"/>
      <c r="BF139" s="166"/>
      <c r="BG139" s="166"/>
      <c r="BH139" s="166"/>
      <c r="BI139" s="166"/>
      <c r="BJ139" s="166"/>
      <c r="BK139" s="166"/>
      <c r="BL139" s="166"/>
      <c r="BM139" s="166"/>
      <c r="BN139" s="166"/>
    </row>
    <row r="140" spans="1:66" s="304" customFormat="1" ht="14.4" x14ac:dyDescent="0.3">
      <c r="A140" s="306"/>
      <c r="B140" s="759" t="s">
        <v>530</v>
      </c>
      <c r="C140" s="759"/>
      <c r="D140" s="759"/>
      <c r="E140" s="759"/>
      <c r="F140" s="759"/>
      <c r="G140" s="759"/>
      <c r="H140" s="759"/>
      <c r="I140" s="759"/>
      <c r="J140" s="759"/>
      <c r="K140" s="759"/>
      <c r="L140" s="759"/>
      <c r="M140" s="759"/>
      <c r="N140" s="759"/>
      <c r="O140" s="759"/>
      <c r="P140" s="759"/>
      <c r="Q140" s="759"/>
      <c r="R140" s="759"/>
      <c r="S140" s="759"/>
      <c r="T140" s="759"/>
      <c r="U140" s="759"/>
      <c r="V140" s="759"/>
      <c r="W140" s="759"/>
      <c r="X140" s="759"/>
      <c r="Y140" s="759"/>
      <c r="Z140" s="759"/>
      <c r="AA140" s="759"/>
      <c r="AB140" s="759"/>
      <c r="AC140" s="759"/>
      <c r="AD140" s="759"/>
      <c r="AE140" s="759"/>
      <c r="AF140" s="759"/>
      <c r="AG140" s="759"/>
      <c r="AH140" s="759"/>
      <c r="AI140" s="759"/>
      <c r="AJ140" s="759"/>
      <c r="AK140" s="759"/>
      <c r="AL140" s="759"/>
      <c r="AM140" s="759"/>
      <c r="AN140" s="759"/>
      <c r="AO140" s="759"/>
      <c r="AP140" s="759"/>
      <c r="AQ140" s="759"/>
      <c r="AR140" s="759"/>
      <c r="AS140" s="759"/>
      <c r="AT140" s="760"/>
    </row>
    <row r="141" spans="1:66" x14ac:dyDescent="0.25"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  <c r="AF141" s="177"/>
      <c r="AG141" s="177"/>
      <c r="AH141" s="177"/>
      <c r="AI141" s="177"/>
      <c r="AJ141" s="13"/>
      <c r="AK141" s="38"/>
      <c r="AL141" s="38"/>
      <c r="AM141" s="38"/>
      <c r="AN141" s="38"/>
      <c r="AO141" s="38"/>
      <c r="AP141" s="38"/>
      <c r="AQ141" s="38"/>
      <c r="AR141" s="38"/>
      <c r="AS141" s="38"/>
      <c r="AT141" s="13"/>
      <c r="AU141" s="166"/>
      <c r="AV141" s="166"/>
      <c r="AW141" s="166"/>
      <c r="AX141" s="166"/>
      <c r="AY141" s="166"/>
      <c r="AZ141" s="166"/>
      <c r="BA141" s="166"/>
      <c r="BB141" s="166"/>
      <c r="BC141" s="166"/>
      <c r="BD141" s="166"/>
      <c r="BE141" s="166"/>
      <c r="BF141" s="166"/>
      <c r="BG141" s="166"/>
      <c r="BH141" s="166"/>
      <c r="BI141" s="166"/>
      <c r="BJ141" s="166"/>
      <c r="BK141" s="166"/>
      <c r="BL141" s="166"/>
      <c r="BM141" s="166"/>
      <c r="BN141" s="166"/>
    </row>
    <row r="142" spans="1:66" ht="14.4" x14ac:dyDescent="0.3">
      <c r="B142" s="813" t="s">
        <v>378</v>
      </c>
      <c r="C142" s="179">
        <v>2015</v>
      </c>
      <c r="D142" s="179">
        <v>2016</v>
      </c>
      <c r="E142" s="179">
        <v>2017</v>
      </c>
      <c r="F142" s="179">
        <v>2018</v>
      </c>
      <c r="G142" s="179">
        <v>2019</v>
      </c>
      <c r="H142" s="179">
        <v>2020</v>
      </c>
      <c r="I142" s="179">
        <v>2021</v>
      </c>
      <c r="J142" s="179">
        <v>2022</v>
      </c>
      <c r="K142" s="179">
        <v>2023</v>
      </c>
      <c r="L142" s="179">
        <v>2024</v>
      </c>
      <c r="M142" s="179">
        <v>2025</v>
      </c>
      <c r="N142" s="179">
        <v>2026</v>
      </c>
      <c r="O142" s="179">
        <v>2027</v>
      </c>
      <c r="P142" s="179">
        <v>2028</v>
      </c>
      <c r="Q142" s="179">
        <v>2029</v>
      </c>
      <c r="R142" s="179">
        <v>2030</v>
      </c>
      <c r="S142" s="179">
        <v>2031</v>
      </c>
      <c r="T142" s="179">
        <v>2032</v>
      </c>
      <c r="U142" s="179">
        <v>2033</v>
      </c>
      <c r="V142" s="179">
        <v>2034</v>
      </c>
      <c r="W142" s="179">
        <v>2035</v>
      </c>
      <c r="X142" s="179">
        <v>2036</v>
      </c>
      <c r="Y142" s="179">
        <v>2037</v>
      </c>
      <c r="Z142" s="179">
        <v>2038</v>
      </c>
      <c r="AA142" s="179">
        <v>2039</v>
      </c>
      <c r="AB142" s="179">
        <v>2040</v>
      </c>
      <c r="AC142" s="179">
        <v>2041</v>
      </c>
      <c r="AD142" s="179">
        <v>2042</v>
      </c>
      <c r="AE142" s="179">
        <v>2043</v>
      </c>
      <c r="AF142" s="179">
        <v>2044</v>
      </c>
      <c r="AG142" s="179">
        <v>2045</v>
      </c>
      <c r="AH142" s="179">
        <v>2046</v>
      </c>
      <c r="AI142" s="179">
        <v>2047</v>
      </c>
      <c r="AJ142" s="179">
        <v>2048</v>
      </c>
      <c r="AK142" s="179">
        <v>2049</v>
      </c>
      <c r="AL142" s="179">
        <v>2050</v>
      </c>
      <c r="AM142" s="179">
        <v>2051</v>
      </c>
      <c r="AN142" s="179">
        <v>2052</v>
      </c>
      <c r="AO142" s="179">
        <v>2053</v>
      </c>
      <c r="AP142" s="179">
        <v>2054</v>
      </c>
      <c r="AQ142" s="179">
        <v>2055</v>
      </c>
      <c r="AR142" s="179">
        <v>2056</v>
      </c>
      <c r="AS142" s="179">
        <v>2057</v>
      </c>
      <c r="AT142" s="179">
        <v>2058</v>
      </c>
      <c r="AU142" s="166"/>
      <c r="AV142" s="166"/>
      <c r="AW142" s="166"/>
      <c r="AX142" s="166"/>
      <c r="AY142" s="166"/>
      <c r="AZ142" s="166"/>
      <c r="BA142" s="166"/>
      <c r="BB142" s="166"/>
      <c r="BC142" s="166"/>
      <c r="BD142" s="166"/>
      <c r="BE142" s="166"/>
      <c r="BF142" s="166"/>
      <c r="BG142" s="166"/>
      <c r="BH142" s="166"/>
      <c r="BI142" s="166"/>
      <c r="BJ142" s="166"/>
      <c r="BK142" s="166"/>
      <c r="BL142" s="166"/>
      <c r="BM142" s="166"/>
      <c r="BN142" s="166"/>
    </row>
    <row r="143" spans="1:66" ht="14.4" x14ac:dyDescent="0.3">
      <c r="B143" s="813"/>
      <c r="C143" s="816" t="s">
        <v>134</v>
      </c>
      <c r="D143" s="816" t="s">
        <v>135</v>
      </c>
      <c r="E143" s="816" t="s">
        <v>136</v>
      </c>
      <c r="F143" s="816" t="s">
        <v>137</v>
      </c>
      <c r="G143" s="816" t="s">
        <v>138</v>
      </c>
      <c r="H143" s="816" t="s">
        <v>139</v>
      </c>
      <c r="I143" s="816" t="s">
        <v>140</v>
      </c>
      <c r="J143" s="816" t="s">
        <v>141</v>
      </c>
      <c r="K143" s="816" t="s">
        <v>142</v>
      </c>
      <c r="L143" s="816" t="s">
        <v>143</v>
      </c>
      <c r="M143" s="816" t="s">
        <v>144</v>
      </c>
      <c r="N143" s="816" t="s">
        <v>145</v>
      </c>
      <c r="O143" s="816" t="s">
        <v>146</v>
      </c>
      <c r="P143" s="816" t="s">
        <v>147</v>
      </c>
      <c r="Q143" s="816" t="s">
        <v>148</v>
      </c>
      <c r="R143" s="816" t="s">
        <v>149</v>
      </c>
      <c r="S143" s="816" t="s">
        <v>150</v>
      </c>
      <c r="T143" s="816" t="s">
        <v>151</v>
      </c>
      <c r="U143" s="816" t="s">
        <v>152</v>
      </c>
      <c r="V143" s="816" t="s">
        <v>153</v>
      </c>
      <c r="W143" s="816" t="s">
        <v>154</v>
      </c>
      <c r="X143" s="816" t="s">
        <v>155</v>
      </c>
      <c r="Y143" s="816" t="s">
        <v>156</v>
      </c>
      <c r="Z143" s="816" t="s">
        <v>157</v>
      </c>
      <c r="AA143" s="816" t="s">
        <v>158</v>
      </c>
      <c r="AB143" s="816" t="s">
        <v>159</v>
      </c>
      <c r="AC143" s="816" t="s">
        <v>160</v>
      </c>
      <c r="AD143" s="816" t="s">
        <v>161</v>
      </c>
      <c r="AE143" s="816" t="s">
        <v>162</v>
      </c>
      <c r="AF143" s="816" t="s">
        <v>163</v>
      </c>
      <c r="AG143" s="816" t="s">
        <v>164</v>
      </c>
      <c r="AH143" s="816" t="s">
        <v>165</v>
      </c>
      <c r="AI143" s="816" t="s">
        <v>166</v>
      </c>
      <c r="AJ143" s="816" t="s">
        <v>167</v>
      </c>
      <c r="AK143" s="816" t="s">
        <v>168</v>
      </c>
      <c r="AL143" s="816" t="s">
        <v>169</v>
      </c>
      <c r="AM143" s="816" t="s">
        <v>170</v>
      </c>
      <c r="AN143" s="816" t="s">
        <v>171</v>
      </c>
      <c r="AO143" s="816" t="s">
        <v>172</v>
      </c>
      <c r="AP143" s="816" t="s">
        <v>173</v>
      </c>
      <c r="AQ143" s="816" t="s">
        <v>174</v>
      </c>
      <c r="AR143" s="816" t="s">
        <v>224</v>
      </c>
      <c r="AS143" s="816" t="s">
        <v>225</v>
      </c>
      <c r="AT143" s="816" t="s">
        <v>226</v>
      </c>
      <c r="AU143" s="166"/>
      <c r="AV143" s="166"/>
      <c r="AW143" s="166"/>
      <c r="AX143" s="166"/>
      <c r="AY143" s="166"/>
      <c r="AZ143" s="166"/>
      <c r="BA143" s="166"/>
      <c r="BB143" s="166"/>
      <c r="BC143" s="166"/>
      <c r="BD143" s="166"/>
      <c r="BE143" s="166"/>
      <c r="BF143" s="166"/>
      <c r="BG143" s="166"/>
      <c r="BH143" s="166"/>
      <c r="BI143" s="166"/>
      <c r="BJ143" s="166"/>
      <c r="BK143" s="166"/>
      <c r="BL143" s="166"/>
      <c r="BM143" s="166"/>
      <c r="BN143" s="166"/>
    </row>
    <row r="144" spans="1:66" ht="14.4" x14ac:dyDescent="0.3">
      <c r="B144" s="813"/>
      <c r="C144" s="816">
        <v>0</v>
      </c>
      <c r="D144" s="816">
        <v>1</v>
      </c>
      <c r="E144" s="816">
        <v>2</v>
      </c>
      <c r="F144" s="816">
        <v>3</v>
      </c>
      <c r="G144" s="816">
        <v>4</v>
      </c>
      <c r="H144" s="816">
        <v>5</v>
      </c>
      <c r="I144" s="816">
        <v>6</v>
      </c>
      <c r="J144" s="816">
        <v>7</v>
      </c>
      <c r="K144" s="816">
        <v>8</v>
      </c>
      <c r="L144" s="816">
        <v>9</v>
      </c>
      <c r="M144" s="816">
        <v>10</v>
      </c>
      <c r="N144" s="816">
        <v>11</v>
      </c>
      <c r="O144" s="816">
        <v>12</v>
      </c>
      <c r="P144" s="816">
        <v>13</v>
      </c>
      <c r="Q144" s="816">
        <v>14</v>
      </c>
      <c r="R144" s="816">
        <v>15</v>
      </c>
      <c r="S144" s="816">
        <v>16</v>
      </c>
      <c r="T144" s="816">
        <v>17</v>
      </c>
      <c r="U144" s="816">
        <v>18</v>
      </c>
      <c r="V144" s="816">
        <v>19</v>
      </c>
      <c r="W144" s="816">
        <v>20</v>
      </c>
      <c r="X144" s="816">
        <v>21</v>
      </c>
      <c r="Y144" s="816">
        <v>22</v>
      </c>
      <c r="Z144" s="816">
        <v>23</v>
      </c>
      <c r="AA144" s="816">
        <v>24</v>
      </c>
      <c r="AB144" s="816">
        <v>25</v>
      </c>
      <c r="AC144" s="816">
        <v>26</v>
      </c>
      <c r="AD144" s="816">
        <v>27</v>
      </c>
      <c r="AE144" s="816">
        <v>28</v>
      </c>
      <c r="AF144" s="816">
        <v>29</v>
      </c>
      <c r="AG144" s="816">
        <v>30</v>
      </c>
      <c r="AH144" s="816">
        <v>31</v>
      </c>
      <c r="AI144" s="816">
        <v>32</v>
      </c>
      <c r="AJ144" s="816">
        <v>33</v>
      </c>
      <c r="AK144" s="816">
        <v>34</v>
      </c>
      <c r="AL144" s="816">
        <v>35</v>
      </c>
      <c r="AM144" s="816">
        <v>36</v>
      </c>
      <c r="AN144" s="816">
        <v>37</v>
      </c>
      <c r="AO144" s="816">
        <v>38</v>
      </c>
      <c r="AP144" s="816">
        <v>39</v>
      </c>
      <c r="AQ144" s="816">
        <v>40</v>
      </c>
      <c r="AR144" s="816">
        <v>41</v>
      </c>
      <c r="AS144" s="816">
        <v>42</v>
      </c>
      <c r="AT144" s="816">
        <v>43</v>
      </c>
      <c r="AU144" s="166"/>
      <c r="AV144" s="166"/>
      <c r="AW144" s="166"/>
      <c r="AX144" s="166"/>
      <c r="AY144" s="166"/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66"/>
      <c r="BM144" s="166"/>
      <c r="BN144" s="166"/>
    </row>
    <row r="145" spans="2:66" ht="14.4" x14ac:dyDescent="0.3">
      <c r="B145" s="813"/>
      <c r="C145" s="816">
        <v>0</v>
      </c>
      <c r="D145" s="816">
        <v>0</v>
      </c>
      <c r="E145" s="816">
        <v>0</v>
      </c>
      <c r="F145" s="816">
        <v>0</v>
      </c>
      <c r="G145" s="816">
        <v>1</v>
      </c>
      <c r="H145" s="816">
        <v>2</v>
      </c>
      <c r="I145" s="816">
        <v>3</v>
      </c>
      <c r="J145" s="816">
        <v>4</v>
      </c>
      <c r="K145" s="816">
        <v>5</v>
      </c>
      <c r="L145" s="816">
        <v>6</v>
      </c>
      <c r="M145" s="816">
        <v>7</v>
      </c>
      <c r="N145" s="816">
        <v>8</v>
      </c>
      <c r="O145" s="816">
        <v>9</v>
      </c>
      <c r="P145" s="816">
        <v>10</v>
      </c>
      <c r="Q145" s="816">
        <v>11</v>
      </c>
      <c r="R145" s="816">
        <v>12</v>
      </c>
      <c r="S145" s="816">
        <v>13</v>
      </c>
      <c r="T145" s="816">
        <v>14</v>
      </c>
      <c r="U145" s="816">
        <v>15</v>
      </c>
      <c r="V145" s="816">
        <v>16</v>
      </c>
      <c r="W145" s="816">
        <v>17</v>
      </c>
      <c r="X145" s="816">
        <v>18</v>
      </c>
      <c r="Y145" s="816">
        <v>19</v>
      </c>
      <c r="Z145" s="816">
        <v>20</v>
      </c>
      <c r="AA145" s="816">
        <v>21</v>
      </c>
      <c r="AB145" s="816">
        <v>22</v>
      </c>
      <c r="AC145" s="816">
        <v>23</v>
      </c>
      <c r="AD145" s="816">
        <v>24</v>
      </c>
      <c r="AE145" s="816">
        <v>25</v>
      </c>
      <c r="AF145" s="816">
        <v>26</v>
      </c>
      <c r="AG145" s="816">
        <v>27</v>
      </c>
      <c r="AH145" s="816">
        <v>28</v>
      </c>
      <c r="AI145" s="816">
        <v>29</v>
      </c>
      <c r="AJ145" s="816">
        <v>30</v>
      </c>
      <c r="AK145" s="816">
        <v>31</v>
      </c>
      <c r="AL145" s="816">
        <v>32</v>
      </c>
      <c r="AM145" s="816">
        <v>33</v>
      </c>
      <c r="AN145" s="816">
        <v>34</v>
      </c>
      <c r="AO145" s="816">
        <v>35</v>
      </c>
      <c r="AP145" s="816">
        <v>36</v>
      </c>
      <c r="AQ145" s="816">
        <v>37</v>
      </c>
      <c r="AR145" s="816">
        <v>38</v>
      </c>
      <c r="AS145" s="816">
        <v>39</v>
      </c>
      <c r="AT145" s="816">
        <v>40</v>
      </c>
      <c r="AU145" s="166"/>
      <c r="AV145" s="166"/>
      <c r="AW145" s="166"/>
      <c r="AX145" s="166"/>
      <c r="AY145" s="166"/>
      <c r="AZ145" s="166"/>
      <c r="BA145" s="166"/>
      <c r="BB145" s="166"/>
      <c r="BC145" s="166"/>
      <c r="BD145" s="166"/>
      <c r="BE145" s="166"/>
      <c r="BF145" s="166"/>
      <c r="BG145" s="166"/>
      <c r="BH145" s="166"/>
      <c r="BI145" s="166"/>
      <c r="BJ145" s="166"/>
      <c r="BK145" s="166"/>
      <c r="BL145" s="166"/>
      <c r="BM145" s="166"/>
      <c r="BN145" s="166"/>
    </row>
    <row r="146" spans="2:66" ht="14.4" x14ac:dyDescent="0.3">
      <c r="B146" s="813"/>
      <c r="C146" s="798"/>
      <c r="D146" s="798"/>
      <c r="E146" s="798"/>
      <c r="F146" s="798"/>
      <c r="G146" s="798"/>
      <c r="H146" s="798"/>
      <c r="I146" s="798"/>
      <c r="J146" s="798"/>
      <c r="K146" s="798"/>
      <c r="L146" s="798"/>
      <c r="M146" s="798"/>
      <c r="N146" s="798"/>
      <c r="O146" s="798"/>
      <c r="P146" s="798"/>
      <c r="Q146" s="798"/>
      <c r="R146" s="798"/>
      <c r="S146" s="798"/>
      <c r="T146" s="798"/>
      <c r="U146" s="798"/>
      <c r="V146" s="798"/>
      <c r="W146" s="798"/>
      <c r="X146" s="798"/>
      <c r="Y146" s="798"/>
      <c r="Z146" s="798"/>
      <c r="AA146" s="798"/>
      <c r="AB146" s="798"/>
      <c r="AC146" s="798"/>
      <c r="AD146" s="798"/>
      <c r="AE146" s="798"/>
      <c r="AF146" s="798"/>
      <c r="AG146" s="798"/>
      <c r="AH146" s="798"/>
      <c r="AI146" s="798"/>
      <c r="AJ146" s="798"/>
      <c r="AK146" s="798"/>
      <c r="AL146" s="798"/>
      <c r="AM146" s="798"/>
      <c r="AN146" s="798"/>
      <c r="AO146" s="798"/>
      <c r="AP146" s="798"/>
      <c r="AQ146" s="798"/>
      <c r="AR146" s="798"/>
      <c r="AS146" s="798"/>
      <c r="AT146" s="798"/>
      <c r="AU146" s="166"/>
      <c r="AV146" s="166"/>
      <c r="AW146" s="166"/>
      <c r="AX146" s="166"/>
      <c r="AY146" s="166"/>
      <c r="AZ146" s="166"/>
      <c r="BA146" s="166"/>
      <c r="BB146" s="166"/>
      <c r="BC146" s="166"/>
      <c r="BD146" s="166"/>
      <c r="BE146" s="166"/>
      <c r="BF146" s="166"/>
      <c r="BG146" s="166"/>
      <c r="BH146" s="166"/>
      <c r="BI146" s="166"/>
      <c r="BJ146" s="166"/>
      <c r="BK146" s="166"/>
      <c r="BL146" s="166"/>
      <c r="BM146" s="166"/>
      <c r="BN146" s="166"/>
    </row>
    <row r="147" spans="2:66" ht="14.4" x14ac:dyDescent="0.25">
      <c r="B147" s="830" t="s">
        <v>434</v>
      </c>
      <c r="C147" s="807"/>
      <c r="D147" s="807"/>
      <c r="E147" s="807"/>
      <c r="F147" s="807"/>
      <c r="G147" s="807"/>
      <c r="H147" s="807"/>
      <c r="I147" s="807"/>
      <c r="J147" s="807"/>
      <c r="K147" s="807"/>
      <c r="L147" s="807"/>
      <c r="M147" s="807"/>
      <c r="N147" s="807"/>
      <c r="O147" s="807"/>
      <c r="P147" s="807"/>
      <c r="Q147" s="807"/>
      <c r="R147" s="807"/>
      <c r="S147" s="807"/>
      <c r="T147" s="807"/>
      <c r="U147" s="807"/>
      <c r="V147" s="807"/>
      <c r="W147" s="807"/>
      <c r="X147" s="807"/>
      <c r="Y147" s="807"/>
      <c r="Z147" s="807"/>
      <c r="AA147" s="807"/>
      <c r="AB147" s="807"/>
      <c r="AC147" s="807"/>
      <c r="AD147" s="807"/>
      <c r="AE147" s="807"/>
      <c r="AF147" s="807"/>
      <c r="AG147" s="807"/>
      <c r="AH147" s="807"/>
      <c r="AI147" s="807"/>
      <c r="AJ147" s="807"/>
      <c r="AK147" s="807"/>
      <c r="AL147" s="807"/>
      <c r="AM147" s="807"/>
      <c r="AN147" s="807"/>
      <c r="AO147" s="807"/>
      <c r="AP147" s="807"/>
      <c r="AQ147" s="807"/>
      <c r="AR147" s="807"/>
      <c r="AS147" s="807"/>
      <c r="AT147" s="807"/>
      <c r="AU147" s="166"/>
      <c r="AV147" s="166"/>
      <c r="AW147" s="166"/>
      <c r="AX147" s="166"/>
      <c r="AY147" s="166"/>
      <c r="AZ147" s="166"/>
      <c r="BA147" s="166"/>
      <c r="BB147" s="166"/>
      <c r="BC147" s="166"/>
      <c r="BD147" s="166"/>
      <c r="BE147" s="166"/>
      <c r="BF147" s="166"/>
      <c r="BG147" s="166"/>
      <c r="BH147" s="166"/>
      <c r="BI147" s="166"/>
      <c r="BJ147" s="166"/>
      <c r="BK147" s="166"/>
      <c r="BL147" s="166"/>
      <c r="BM147" s="166"/>
      <c r="BN147" s="166"/>
    </row>
    <row r="148" spans="2:66" x14ac:dyDescent="0.25">
      <c r="B148" s="831" t="s">
        <v>449</v>
      </c>
      <c r="C148" s="178">
        <v>0</v>
      </c>
      <c r="D148" s="178">
        <v>0</v>
      </c>
      <c r="E148" s="178">
        <v>0</v>
      </c>
      <c r="F148" s="178">
        <v>0</v>
      </c>
      <c r="G148" s="268">
        <f>G72</f>
        <v>2791546.919500811</v>
      </c>
      <c r="H148" s="268">
        <f t="shared" ref="H148:AT148" si="54">H72</f>
        <v>3091692.739287667</v>
      </c>
      <c r="I148" s="268">
        <f t="shared" si="54"/>
        <v>2934364.0421133931</v>
      </c>
      <c r="J148" s="268">
        <f t="shared" si="54"/>
        <v>3003556.4739287407</v>
      </c>
      <c r="K148" s="268">
        <f t="shared" si="54"/>
        <v>6864999.4108087067</v>
      </c>
      <c r="L148" s="268">
        <f t="shared" si="54"/>
        <v>3146987.7384020691</v>
      </c>
      <c r="M148" s="268">
        <f t="shared" si="54"/>
        <v>3221309.8210025458</v>
      </c>
      <c r="N148" s="268">
        <f t="shared" si="54"/>
        <v>3297426.7865636172</v>
      </c>
      <c r="O148" s="268">
        <f t="shared" si="54"/>
        <v>3375382.9246263341</v>
      </c>
      <c r="P148" s="268">
        <f t="shared" si="54"/>
        <v>7620124.5585567057</v>
      </c>
      <c r="Q148" s="268">
        <f t="shared" si="54"/>
        <v>3536995.481726327</v>
      </c>
      <c r="R148" s="268">
        <f t="shared" si="54"/>
        <v>3620746.1717735282</v>
      </c>
      <c r="S148" s="268">
        <f t="shared" si="54"/>
        <v>3706524.6358547215</v>
      </c>
      <c r="T148" s="268">
        <f t="shared" si="54"/>
        <v>3794381.0340164835</v>
      </c>
      <c r="U148" s="268">
        <f t="shared" si="54"/>
        <v>8460551.8528040089</v>
      </c>
      <c r="V148" s="268">
        <f t="shared" si="54"/>
        <v>3976534.6360238022</v>
      </c>
      <c r="W148" s="268">
        <f t="shared" si="54"/>
        <v>4070938.621770741</v>
      </c>
      <c r="X148" s="268">
        <f t="shared" si="54"/>
        <v>4167634.1731139594</v>
      </c>
      <c r="Y148" s="268">
        <f t="shared" si="54"/>
        <v>4266678.1150930393</v>
      </c>
      <c r="Z148" s="268">
        <f t="shared" si="54"/>
        <v>9396213.810979465</v>
      </c>
      <c r="AA148" s="268">
        <f t="shared" si="54"/>
        <v>4472045.6967975702</v>
      </c>
      <c r="AB148" s="268">
        <f t="shared" si="54"/>
        <v>4578490.3244372597</v>
      </c>
      <c r="AC148" s="268">
        <f t="shared" si="54"/>
        <v>4687525.3956046067</v>
      </c>
      <c r="AD148" s="268">
        <f t="shared" si="54"/>
        <v>4799215.3044166798</v>
      </c>
      <c r="AE148" s="268">
        <f t="shared" si="54"/>
        <v>10438238.257315286</v>
      </c>
      <c r="AF148" s="268">
        <f t="shared" si="54"/>
        <v>5030825.4186769668</v>
      </c>
      <c r="AG148" s="268">
        <f t="shared" si="54"/>
        <v>5150882.7472600536</v>
      </c>
      <c r="AH148" s="268">
        <f t="shared" si="54"/>
        <v>5273869.24748501</v>
      </c>
      <c r="AI148" s="268">
        <f t="shared" si="54"/>
        <v>5399857.9116118001</v>
      </c>
      <c r="AJ148" s="268">
        <f t="shared" si="54"/>
        <v>11599097.173153548</v>
      </c>
      <c r="AK148" s="268">
        <f t="shared" si="54"/>
        <v>5661143.0252687559</v>
      </c>
      <c r="AL148" s="268">
        <f t="shared" si="54"/>
        <v>5796594.9293390466</v>
      </c>
      <c r="AM148" s="268">
        <f t="shared" si="54"/>
        <v>5935360.0062841373</v>
      </c>
      <c r="AN148" s="268">
        <f t="shared" si="54"/>
        <v>6077521.0181308491</v>
      </c>
      <c r="AO148" s="268">
        <f t="shared" si="54"/>
        <v>12892774.71989817</v>
      </c>
      <c r="AP148" s="268">
        <f t="shared" si="54"/>
        <v>6372372.4917223342</v>
      </c>
      <c r="AQ148" s="268">
        <f t="shared" si="54"/>
        <v>6525239.2401587041</v>
      </c>
      <c r="AR148" s="268">
        <f t="shared" si="54"/>
        <v>6681854.610653758</v>
      </c>
      <c r="AS148" s="268">
        <f t="shared" si="54"/>
        <v>6842312.4692722289</v>
      </c>
      <c r="AT148" s="268">
        <f t="shared" si="54"/>
        <v>14334956.983977951</v>
      </c>
      <c r="AU148" s="166"/>
      <c r="AV148" s="166"/>
      <c r="AW148" s="166"/>
      <c r="AX148" s="166"/>
      <c r="AY148" s="166"/>
      <c r="AZ148" s="166"/>
      <c r="BA148" s="166"/>
      <c r="BB148" s="166"/>
      <c r="BC148" s="166"/>
      <c r="BD148" s="166"/>
      <c r="BE148" s="166"/>
      <c r="BF148" s="166"/>
      <c r="BG148" s="166"/>
      <c r="BH148" s="166"/>
      <c r="BI148" s="166"/>
      <c r="BJ148" s="166"/>
      <c r="BK148" s="166"/>
      <c r="BL148" s="166"/>
      <c r="BM148" s="166"/>
      <c r="BN148" s="166"/>
    </row>
    <row r="149" spans="2:66" x14ac:dyDescent="0.25">
      <c r="B149" s="832" t="s">
        <v>379</v>
      </c>
      <c r="C149" s="178">
        <v>0</v>
      </c>
      <c r="D149" s="178">
        <v>0</v>
      </c>
      <c r="E149" s="178">
        <v>0</v>
      </c>
      <c r="F149" s="178">
        <v>0</v>
      </c>
      <c r="G149" s="758">
        <f>DEMANDA!C73*PARAMETROS!$C$67</f>
        <v>5865738.119440916</v>
      </c>
      <c r="H149" s="758">
        <f>DEMANDA!D73*PARAMETROS!$C$67</f>
        <v>7820984.1592545547</v>
      </c>
      <c r="I149" s="758">
        <f>DEMANDA!E73*PARAMETROS!$C$67</f>
        <v>7908413.1469716243</v>
      </c>
      <c r="J149" s="758">
        <f>DEMANDA!F73*PARAMETROS!$C$67</f>
        <v>7995842.134688694</v>
      </c>
      <c r="K149" s="758">
        <f>DEMANDA!G73*PARAMETROS!$C$67</f>
        <v>8083271.1224057637</v>
      </c>
      <c r="L149" s="758">
        <f>DEMANDA!H73*PARAMETROS!$C$67</f>
        <v>8170700.1101228334</v>
      </c>
      <c r="M149" s="758">
        <f>DEMANDA!I73*PARAMETROS!$C$67</f>
        <v>8258129.0978398994</v>
      </c>
      <c r="N149" s="758">
        <f>DEMANDA!J73*PARAMETROS!$C$67</f>
        <v>8304924.7978095012</v>
      </c>
      <c r="O149" s="758">
        <f>DEMANDA!K73*PARAMETROS!$C$67</f>
        <v>8351720.4977791049</v>
      </c>
      <c r="P149" s="758">
        <f>DEMANDA!L73*PARAMETROS!$C$67</f>
        <v>8398516.1977487057</v>
      </c>
      <c r="Q149" s="758">
        <f>DEMANDA!M73*PARAMETROS!$C$67</f>
        <v>8445311.8977183085</v>
      </c>
      <c r="R149" s="758">
        <f>DEMANDA!N73*PARAMETROS!$C$67</f>
        <v>8492107.5976879131</v>
      </c>
      <c r="S149" s="758">
        <f>DEMANDA!O73*PARAMETROS!$C$67</f>
        <v>8502475.3044506833</v>
      </c>
      <c r="T149" s="758">
        <f>DEMANDA!P73*PARAMETROS!$C$67</f>
        <v>8512843.0112134572</v>
      </c>
      <c r="U149" s="758">
        <f>DEMANDA!Q73*PARAMETROS!$C$67</f>
        <v>8523210.7179762274</v>
      </c>
      <c r="V149" s="758">
        <f>DEMANDA!R73*PARAMETROS!$C$67</f>
        <v>8533578.4247389995</v>
      </c>
      <c r="W149" s="758">
        <f>DEMANDA!S73*PARAMETROS!$C$67</f>
        <v>8543946.1315017734</v>
      </c>
      <c r="X149" s="758">
        <f>DEMANDA!T73*PARAMETROS!$C$67</f>
        <v>8609170.8888886422</v>
      </c>
      <c r="Y149" s="758">
        <f>DEMANDA!U73*PARAMETROS!$C$67</f>
        <v>8674395.646275511</v>
      </c>
      <c r="Z149" s="758">
        <f>DEMANDA!V73*PARAMETROS!$C$67</f>
        <v>8739620.4036623817</v>
      </c>
      <c r="AA149" s="758">
        <f>DEMANDA!W73*PARAMETROS!$C$67</f>
        <v>8804845.1610492524</v>
      </c>
      <c r="AB149" s="758">
        <f>DEMANDA!X73*PARAMETROS!$C$67</f>
        <v>8870069.9184361193</v>
      </c>
      <c r="AC149" s="758">
        <f>DEMANDA!Y73*PARAMETROS!$C$67</f>
        <v>8870069.9184361193</v>
      </c>
      <c r="AD149" s="758">
        <f>DEMANDA!Z73*PARAMETROS!$C$67</f>
        <v>8870069.9184361193</v>
      </c>
      <c r="AE149" s="758">
        <f>DEMANDA!AA73*PARAMETROS!$C$67</f>
        <v>8870069.9184361193</v>
      </c>
      <c r="AF149" s="758">
        <f>DEMANDA!AB73*PARAMETROS!$C$67</f>
        <v>8870069.9184361193</v>
      </c>
      <c r="AG149" s="758">
        <f>DEMANDA!AC73*PARAMETROS!$C$67</f>
        <v>8870069.9184361193</v>
      </c>
      <c r="AH149" s="758">
        <f>DEMANDA!AD73*PARAMETROS!$C$67</f>
        <v>8870069.9184361193</v>
      </c>
      <c r="AI149" s="758">
        <f>DEMANDA!AE73*PARAMETROS!$C$67</f>
        <v>8870069.9184361193</v>
      </c>
      <c r="AJ149" s="758">
        <f>DEMANDA!AF73*PARAMETROS!$C$67</f>
        <v>8870069.9184361193</v>
      </c>
      <c r="AK149" s="758">
        <f>DEMANDA!AG73*PARAMETROS!$C$67</f>
        <v>8870069.9184361193</v>
      </c>
      <c r="AL149" s="758">
        <f>DEMANDA!AH73*PARAMETROS!$C$67</f>
        <v>8870069.9184361193</v>
      </c>
      <c r="AM149" s="758">
        <f>DEMANDA!AI73*PARAMETROS!$C$67</f>
        <v>8870069.9184361193</v>
      </c>
      <c r="AN149" s="758">
        <f>DEMANDA!AJ73*PARAMETROS!$C$67</f>
        <v>8870069.9184361193</v>
      </c>
      <c r="AO149" s="758">
        <f>DEMANDA!AK73*PARAMETROS!$C$67</f>
        <v>8870069.9184361193</v>
      </c>
      <c r="AP149" s="758">
        <f>DEMANDA!AL73*PARAMETROS!$C$67</f>
        <v>8870069.9184361193</v>
      </c>
      <c r="AQ149" s="758">
        <f>DEMANDA!AM73*PARAMETROS!$C$67</f>
        <v>8870069.9184361193</v>
      </c>
      <c r="AR149" s="758">
        <f>DEMANDA!AN73*PARAMETROS!$C$67</f>
        <v>8870069.9184361193</v>
      </c>
      <c r="AS149" s="758">
        <f>DEMANDA!AO73*PARAMETROS!$C$67</f>
        <v>8870069.9184361193</v>
      </c>
      <c r="AT149" s="758">
        <f>DEMANDA!AP73*PARAMETROS!$C$67</f>
        <v>8870069.9184361193</v>
      </c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</row>
    <row r="150" spans="2:66" x14ac:dyDescent="0.25">
      <c r="B150" s="832" t="s">
        <v>395</v>
      </c>
      <c r="C150" s="178">
        <v>0</v>
      </c>
      <c r="D150" s="178">
        <v>0</v>
      </c>
      <c r="E150" s="178">
        <v>0</v>
      </c>
      <c r="F150" s="178">
        <v>0</v>
      </c>
      <c r="G150" s="758">
        <f>'INGRESOS de pasajeros'!C87*PARAMETROS!$C$67</f>
        <v>3581033.1219186783</v>
      </c>
      <c r="H150" s="758">
        <f>'INGRESOS de pasajeros'!D87*PARAMETROS!$C$67</f>
        <v>4774710.8292249059</v>
      </c>
      <c r="I150" s="758">
        <f>'INGRESOS de pasajeros'!E87*PARAMETROS!$C$67</f>
        <v>5047764.1495194668</v>
      </c>
      <c r="J150" s="758">
        <f>'INGRESOS de pasajeros'!F87*PARAMETROS!$C$67</f>
        <v>5103568.1270842962</v>
      </c>
      <c r="K150" s="758">
        <f>'INGRESOS de pasajeros'!G87*PARAMETROS!$C$67</f>
        <v>5367810.7376769492</v>
      </c>
      <c r="L150" s="758">
        <f>'INGRESOS de pasajeros'!H87*PARAMETROS!$C$67</f>
        <v>5425869.1959353983</v>
      </c>
      <c r="M150" s="758">
        <f>'INGRESOS de pasajeros'!I87*PARAMETROS!$C$67</f>
        <v>5705478.3314232752</v>
      </c>
      <c r="N150" s="758">
        <f>'INGRESOS de pasajeros'!J87*PARAMETROS!$C$67</f>
        <v>5737809.123182172</v>
      </c>
      <c r="O150" s="758">
        <f>'INGRESOS de pasajeros'!K87*PARAMETROS!$C$67</f>
        <v>6003253.5675046882</v>
      </c>
      <c r="P150" s="758">
        <f>'INGRESOS de pasajeros'!L87*PARAMETROS!$C$67</f>
        <v>6036890.5232506432</v>
      </c>
      <c r="Q150" s="758">
        <f>'INGRESOS de pasajeros'!M87*PARAMETROS!$C$67</f>
        <v>6315776.7891480625</v>
      </c>
      <c r="R150" s="758">
        <f>'INGRESOS de pasajeros'!N87*PARAMETROS!$C$67</f>
        <v>6350772.6779061584</v>
      </c>
      <c r="S150" s="758">
        <f>'INGRESOS de pasajeros'!O87*PARAMETROS!$C$67</f>
        <v>6615410.5610766122</v>
      </c>
      <c r="T150" s="758">
        <f>'INGRESOS de pasajeros'!P87*PARAMETROS!$C$67</f>
        <v>6623477.2280596606</v>
      </c>
      <c r="U150" s="758">
        <f>'INGRESOS de pasajeros'!Q87*PARAMETROS!$C$67</f>
        <v>6899458.2684024321</v>
      </c>
      <c r="V150" s="758">
        <f>'INGRESOS de pasajeros'!R87*PARAMETROS!$C$67</f>
        <v>6907850.8287315937</v>
      </c>
      <c r="W150" s="758">
        <f>'INGRESOS de pasajeros'!S87*PARAMETROS!$C$67</f>
        <v>7195659.6219788119</v>
      </c>
      <c r="X150" s="758">
        <f>'INGRESOS de pasajeros'!T87*PARAMETROS!$C$67</f>
        <v>7250591.5171310529</v>
      </c>
      <c r="Y150" s="758">
        <f>'INGRESOS de pasajeros'!U87*PARAMETROS!$C$67</f>
        <v>7600666.5581395449</v>
      </c>
      <c r="Z150" s="758">
        <f>'INGRESOS de pasajeros'!V87*PARAMETROS!$C$67</f>
        <v>7657817.7018559389</v>
      </c>
      <c r="AA150" s="758">
        <f>'INGRESOS de pasajeros'!W87*PARAMETROS!$C$67</f>
        <v>8026653.5869334508</v>
      </c>
      <c r="AB150" s="758">
        <f>'INGRESOS de pasajeros'!X87*PARAMETROS!$C$67</f>
        <v>8086113.6368559822</v>
      </c>
      <c r="AC150" s="758">
        <f>'INGRESOS de pasajeros'!Y87*PARAMETROS!$C$67</f>
        <v>8412792.6277849656</v>
      </c>
      <c r="AD150" s="758">
        <f>'INGRESOS de pasajeros'!Z87*PARAMETROS!$C$67</f>
        <v>8412792.6277849656</v>
      </c>
      <c r="AE150" s="758">
        <f>'INGRESOS de pasajeros'!AA87*PARAMETROS!$C$67</f>
        <v>8752669.4499474764</v>
      </c>
      <c r="AF150" s="758">
        <f>'INGRESOS de pasajeros'!AB87*PARAMETROS!$C$67</f>
        <v>8752669.4499474764</v>
      </c>
      <c r="AG150" s="758">
        <f>'INGRESOS de pasajeros'!AC87*PARAMETROS!$C$67</f>
        <v>9106277.2957253549</v>
      </c>
      <c r="AH150" s="758">
        <f>'INGRESOS de pasajeros'!AD87*PARAMETROS!$C$67</f>
        <v>9106277.2957253549</v>
      </c>
      <c r="AI150" s="758">
        <f>'INGRESOS de pasajeros'!AE87*PARAMETROS!$C$67</f>
        <v>9474170.8984726574</v>
      </c>
      <c r="AJ150" s="758">
        <f>'INGRESOS de pasajeros'!AF87*PARAMETROS!$C$67</f>
        <v>9474170.8984726574</v>
      </c>
      <c r="AK150" s="758">
        <f>'INGRESOS de pasajeros'!AG87*PARAMETROS!$C$67</f>
        <v>9856927.4027709551</v>
      </c>
      <c r="AL150" s="758">
        <f>'INGRESOS de pasajeros'!AH87*PARAMETROS!$C$67</f>
        <v>9856927.4027709551</v>
      </c>
      <c r="AM150" s="758">
        <f>'INGRESOS de pasajeros'!AI87*PARAMETROS!$C$67</f>
        <v>10255147.2698429</v>
      </c>
      <c r="AN150" s="758">
        <f>'INGRESOS de pasajeros'!AJ87*PARAMETROS!$C$67</f>
        <v>10255147.2698429</v>
      </c>
      <c r="AO150" s="758">
        <f>'INGRESOS de pasajeros'!AK87*PARAMETROS!$C$67</f>
        <v>10669455.219544556</v>
      </c>
      <c r="AP150" s="758">
        <f>'INGRESOS de pasajeros'!AL87*PARAMETROS!$C$67</f>
        <v>10669455.219544556</v>
      </c>
      <c r="AQ150" s="758">
        <f>'INGRESOS de pasajeros'!AM87*PARAMETROS!$C$67</f>
        <v>11100501.210414156</v>
      </c>
      <c r="AR150" s="758">
        <f>'INGRESOS de pasajeros'!AN87*PARAMETROS!$C$67</f>
        <v>11100501.210414156</v>
      </c>
      <c r="AS150" s="758">
        <f>'INGRESOS de pasajeros'!AO87*PARAMETROS!$C$67</f>
        <v>11548961.459314888</v>
      </c>
      <c r="AT150" s="758">
        <f>'INGRESOS de pasajeros'!AP87*PARAMETROS!$C$67</f>
        <v>11548961.459314888</v>
      </c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  <c r="BN150" s="166"/>
    </row>
    <row r="151" spans="2:66" x14ac:dyDescent="0.25">
      <c r="B151" s="832" t="s">
        <v>396</v>
      </c>
      <c r="C151" s="178">
        <v>0</v>
      </c>
      <c r="D151" s="178">
        <v>0</v>
      </c>
      <c r="E151" s="178">
        <v>0</v>
      </c>
      <c r="F151" s="178">
        <v>0</v>
      </c>
      <c r="G151" s="178">
        <f>$C$14*$C$15*12</f>
        <v>420000</v>
      </c>
      <c r="H151" s="178">
        <f t="shared" ref="H151:AT151" si="55">$G$75*((1+$C$25)^G145)</f>
        <v>428400</v>
      </c>
      <c r="I151" s="178">
        <f t="shared" si="55"/>
        <v>436968</v>
      </c>
      <c r="J151" s="178">
        <f t="shared" si="55"/>
        <v>445707.36</v>
      </c>
      <c r="K151" s="178">
        <f t="shared" si="55"/>
        <v>454621.50719999999</v>
      </c>
      <c r="L151" s="178">
        <f t="shared" si="55"/>
        <v>463713.93734400003</v>
      </c>
      <c r="M151" s="178">
        <f t="shared" si="55"/>
        <v>472988.21609088004</v>
      </c>
      <c r="N151" s="178">
        <f t="shared" si="55"/>
        <v>482447.98041269754</v>
      </c>
      <c r="O151" s="178">
        <f t="shared" si="55"/>
        <v>492096.9400209515</v>
      </c>
      <c r="P151" s="178">
        <f t="shared" si="55"/>
        <v>501938.87882137054</v>
      </c>
      <c r="Q151" s="178">
        <f t="shared" si="55"/>
        <v>511977.65639779798</v>
      </c>
      <c r="R151" s="178">
        <f t="shared" si="55"/>
        <v>522217.20952575386</v>
      </c>
      <c r="S151" s="178">
        <f t="shared" si="55"/>
        <v>532661.55371626897</v>
      </c>
      <c r="T151" s="178">
        <f t="shared" si="55"/>
        <v>543314.78479059436</v>
      </c>
      <c r="U151" s="178">
        <f t="shared" si="55"/>
        <v>554181.08048640634</v>
      </c>
      <c r="V151" s="178">
        <f t="shared" si="55"/>
        <v>565264.70209613431</v>
      </c>
      <c r="W151" s="178">
        <f t="shared" si="55"/>
        <v>576569.99613805709</v>
      </c>
      <c r="X151" s="178">
        <f t="shared" si="55"/>
        <v>588101.39606081822</v>
      </c>
      <c r="Y151" s="178">
        <f t="shared" si="55"/>
        <v>599863.42398203455</v>
      </c>
      <c r="Z151" s="178">
        <f t="shared" si="55"/>
        <v>611860.69246167527</v>
      </c>
      <c r="AA151" s="178">
        <f t="shared" si="55"/>
        <v>624097.90631090873</v>
      </c>
      <c r="AB151" s="178">
        <f t="shared" si="55"/>
        <v>636579.8644371269</v>
      </c>
      <c r="AC151" s="178">
        <f t="shared" si="55"/>
        <v>649311.46172586945</v>
      </c>
      <c r="AD151" s="178">
        <f t="shared" si="55"/>
        <v>662297.69096038677</v>
      </c>
      <c r="AE151" s="178">
        <f t="shared" si="55"/>
        <v>675543.6447795945</v>
      </c>
      <c r="AF151" s="178">
        <f t="shared" si="55"/>
        <v>689054.51767518639</v>
      </c>
      <c r="AG151" s="178">
        <f t="shared" si="55"/>
        <v>702835.60802869021</v>
      </c>
      <c r="AH151" s="178">
        <f t="shared" si="55"/>
        <v>716892.3201892639</v>
      </c>
      <c r="AI151" s="178">
        <f t="shared" si="55"/>
        <v>731230.1665930493</v>
      </c>
      <c r="AJ151" s="178">
        <f t="shared" si="55"/>
        <v>745854.76992491016</v>
      </c>
      <c r="AK151" s="178">
        <f t="shared" si="55"/>
        <v>760771.86532340851</v>
      </c>
      <c r="AL151" s="178">
        <f t="shared" si="55"/>
        <v>775987.30262987642</v>
      </c>
      <c r="AM151" s="178">
        <f t="shared" si="55"/>
        <v>791507.04868247418</v>
      </c>
      <c r="AN151" s="178">
        <f t="shared" si="55"/>
        <v>807337.18965612364</v>
      </c>
      <c r="AO151" s="178">
        <f t="shared" si="55"/>
        <v>823483.93344924611</v>
      </c>
      <c r="AP151" s="178">
        <f t="shared" si="55"/>
        <v>839953.61211823102</v>
      </c>
      <c r="AQ151" s="178">
        <f t="shared" si="55"/>
        <v>856752.68436059554</v>
      </c>
      <c r="AR151" s="178">
        <f t="shared" si="55"/>
        <v>873887.73804780759</v>
      </c>
      <c r="AS151" s="178">
        <f t="shared" si="55"/>
        <v>891365.49280876387</v>
      </c>
      <c r="AT151" s="178">
        <f t="shared" si="55"/>
        <v>909192.80266493873</v>
      </c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  <c r="BN151" s="166"/>
    </row>
    <row r="152" spans="2:66" x14ac:dyDescent="0.25">
      <c r="B152" s="832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66"/>
      <c r="AV152" s="166"/>
      <c r="AW152" s="166"/>
      <c r="AX152" s="166"/>
      <c r="AY152" s="166"/>
      <c r="AZ152" s="166"/>
      <c r="BA152" s="166"/>
      <c r="BB152" s="166"/>
      <c r="BC152" s="166"/>
      <c r="BD152" s="166"/>
      <c r="BE152" s="166"/>
      <c r="BF152" s="166"/>
      <c r="BG152" s="166"/>
      <c r="BH152" s="166"/>
      <c r="BI152" s="166"/>
      <c r="BJ152" s="166"/>
      <c r="BK152" s="166"/>
      <c r="BL152" s="166"/>
      <c r="BM152" s="166"/>
      <c r="BN152" s="166"/>
    </row>
    <row r="153" spans="2:66" x14ac:dyDescent="0.25">
      <c r="B153" s="831" t="str">
        <f>B77</f>
        <v>Activos iniciales - Depreciacion 50 años</v>
      </c>
      <c r="C153" s="965">
        <f t="shared" ref="C153:AT159" si="56">C77</f>
        <v>0</v>
      </c>
      <c r="D153" s="965">
        <f t="shared" si="56"/>
        <v>0</v>
      </c>
      <c r="E153" s="965">
        <f t="shared" si="56"/>
        <v>0</v>
      </c>
      <c r="F153" s="965">
        <f t="shared" si="56"/>
        <v>0</v>
      </c>
      <c r="G153" s="965">
        <f t="shared" si="56"/>
        <v>-504404.99186940648</v>
      </c>
      <c r="H153" s="965">
        <f t="shared" si="56"/>
        <v>-504404.99186940648</v>
      </c>
      <c r="I153" s="965">
        <f t="shared" si="56"/>
        <v>-504404.99186940648</v>
      </c>
      <c r="J153" s="965">
        <f t="shared" si="56"/>
        <v>-504404.99186940648</v>
      </c>
      <c r="K153" s="965">
        <f t="shared" si="56"/>
        <v>-504404.99186940648</v>
      </c>
      <c r="L153" s="965">
        <f t="shared" si="56"/>
        <v>-504404.99186940648</v>
      </c>
      <c r="M153" s="965">
        <f t="shared" si="56"/>
        <v>-504404.99186940648</v>
      </c>
      <c r="N153" s="965">
        <f t="shared" si="56"/>
        <v>-504404.99186940648</v>
      </c>
      <c r="O153" s="965">
        <f t="shared" si="56"/>
        <v>-504404.99186940648</v>
      </c>
      <c r="P153" s="965">
        <f t="shared" si="56"/>
        <v>-504404.99186940648</v>
      </c>
      <c r="Q153" s="965">
        <f t="shared" si="56"/>
        <v>-504404.99186940648</v>
      </c>
      <c r="R153" s="965">
        <f t="shared" si="56"/>
        <v>-504404.99186940648</v>
      </c>
      <c r="S153" s="965">
        <f t="shared" si="56"/>
        <v>-504404.99186940648</v>
      </c>
      <c r="T153" s="965">
        <f t="shared" si="56"/>
        <v>-504404.99186940648</v>
      </c>
      <c r="U153" s="965">
        <f t="shared" si="56"/>
        <v>-504404.99186940648</v>
      </c>
      <c r="V153" s="965">
        <f t="shared" si="56"/>
        <v>-504404.99186940648</v>
      </c>
      <c r="W153" s="965">
        <f t="shared" si="56"/>
        <v>-504404.99186940648</v>
      </c>
      <c r="X153" s="965">
        <f t="shared" si="56"/>
        <v>-504404.99186940648</v>
      </c>
      <c r="Y153" s="965">
        <f t="shared" si="56"/>
        <v>-504404.99186940648</v>
      </c>
      <c r="Z153" s="965">
        <f t="shared" si="56"/>
        <v>-504404.99186940648</v>
      </c>
      <c r="AA153" s="965">
        <f t="shared" si="56"/>
        <v>-504404.99186940648</v>
      </c>
      <c r="AB153" s="965">
        <f t="shared" si="56"/>
        <v>-504404.99186940648</v>
      </c>
      <c r="AC153" s="965">
        <f t="shared" si="56"/>
        <v>-504404.99186940648</v>
      </c>
      <c r="AD153" s="965">
        <f t="shared" si="56"/>
        <v>-504404.99186940648</v>
      </c>
      <c r="AE153" s="965">
        <f t="shared" si="56"/>
        <v>-504404.99186940648</v>
      </c>
      <c r="AF153" s="965">
        <f t="shared" si="56"/>
        <v>-504404.99186940648</v>
      </c>
      <c r="AG153" s="965">
        <f t="shared" si="56"/>
        <v>-504404.99186940648</v>
      </c>
      <c r="AH153" s="965">
        <f t="shared" si="56"/>
        <v>-504404.99186940648</v>
      </c>
      <c r="AI153" s="965">
        <f t="shared" si="56"/>
        <v>-504404.99186940648</v>
      </c>
      <c r="AJ153" s="965">
        <f t="shared" si="56"/>
        <v>-504404.99186940648</v>
      </c>
      <c r="AK153" s="965">
        <f t="shared" si="56"/>
        <v>-504404.99186940648</v>
      </c>
      <c r="AL153" s="965">
        <f t="shared" si="56"/>
        <v>-504404.99186940648</v>
      </c>
      <c r="AM153" s="965">
        <f t="shared" si="56"/>
        <v>-504404.99186940648</v>
      </c>
      <c r="AN153" s="965">
        <f t="shared" si="56"/>
        <v>-504404.99186940648</v>
      </c>
      <c r="AO153" s="965">
        <f t="shared" si="56"/>
        <v>-504404.99186940648</v>
      </c>
      <c r="AP153" s="965">
        <f t="shared" si="56"/>
        <v>-504404.99186940648</v>
      </c>
      <c r="AQ153" s="965">
        <f t="shared" si="56"/>
        <v>-504404.99186940648</v>
      </c>
      <c r="AR153" s="965">
        <f t="shared" si="56"/>
        <v>-504404.99186940648</v>
      </c>
      <c r="AS153" s="965">
        <f t="shared" si="56"/>
        <v>-504404.99186940648</v>
      </c>
      <c r="AT153" s="965">
        <f t="shared" si="56"/>
        <v>-504404.99186940648</v>
      </c>
      <c r="AU153" s="166"/>
      <c r="AV153" s="166"/>
      <c r="AW153" s="166"/>
      <c r="AX153" s="166"/>
      <c r="AY153" s="166"/>
      <c r="AZ153" s="166"/>
      <c r="BA153" s="166"/>
      <c r="BB153" s="166"/>
      <c r="BC153" s="166"/>
      <c r="BD153" s="166"/>
      <c r="BE153" s="166"/>
      <c r="BF153" s="166"/>
      <c r="BG153" s="166"/>
      <c r="BH153" s="166"/>
      <c r="BI153" s="166"/>
      <c r="BJ153" s="166"/>
      <c r="BK153" s="166"/>
      <c r="BL153" s="166"/>
      <c r="BM153" s="166"/>
      <c r="BN153" s="166"/>
    </row>
    <row r="154" spans="2:66" x14ac:dyDescent="0.25">
      <c r="B154" s="831" t="str">
        <f t="shared" ref="B154:Q166" si="57">B78</f>
        <v>Activos iniciales - Depreciacion 40 años</v>
      </c>
      <c r="C154" s="965">
        <f t="shared" si="57"/>
        <v>0</v>
      </c>
      <c r="D154" s="965">
        <f t="shared" si="57"/>
        <v>0</v>
      </c>
      <c r="E154" s="965">
        <f t="shared" si="57"/>
        <v>0</v>
      </c>
      <c r="F154" s="965">
        <f t="shared" si="57"/>
        <v>0</v>
      </c>
      <c r="G154" s="965">
        <f t="shared" si="57"/>
        <v>-1099119.8758722784</v>
      </c>
      <c r="H154" s="965">
        <f t="shared" si="57"/>
        <v>-1099119.8758722784</v>
      </c>
      <c r="I154" s="965">
        <f t="shared" si="57"/>
        <v>-1099119.8758722784</v>
      </c>
      <c r="J154" s="965">
        <f t="shared" si="57"/>
        <v>-1099119.8758722784</v>
      </c>
      <c r="K154" s="965">
        <f t="shared" si="57"/>
        <v>-1099119.8758722784</v>
      </c>
      <c r="L154" s="965">
        <f t="shared" si="57"/>
        <v>-1099119.8758722784</v>
      </c>
      <c r="M154" s="965">
        <f t="shared" si="57"/>
        <v>-1099119.8758722784</v>
      </c>
      <c r="N154" s="965">
        <f t="shared" si="57"/>
        <v>-1099119.8758722784</v>
      </c>
      <c r="O154" s="965">
        <f t="shared" si="57"/>
        <v>-1099119.8758722784</v>
      </c>
      <c r="P154" s="965">
        <f t="shared" si="57"/>
        <v>-1099119.8758722784</v>
      </c>
      <c r="Q154" s="965">
        <f t="shared" si="57"/>
        <v>-1099119.8758722784</v>
      </c>
      <c r="R154" s="965">
        <f t="shared" si="56"/>
        <v>-1099119.8758722784</v>
      </c>
      <c r="S154" s="965">
        <f t="shared" si="56"/>
        <v>-1099119.8758722784</v>
      </c>
      <c r="T154" s="965">
        <f t="shared" si="56"/>
        <v>-1099119.8758722784</v>
      </c>
      <c r="U154" s="965">
        <f t="shared" si="56"/>
        <v>-1099119.8758722784</v>
      </c>
      <c r="V154" s="965">
        <f t="shared" si="56"/>
        <v>-1099119.8758722784</v>
      </c>
      <c r="W154" s="965">
        <f t="shared" si="56"/>
        <v>-1099119.8758722784</v>
      </c>
      <c r="X154" s="965">
        <f t="shared" si="56"/>
        <v>-1099119.8758722784</v>
      </c>
      <c r="Y154" s="965">
        <f t="shared" si="56"/>
        <v>-1099119.8758722784</v>
      </c>
      <c r="Z154" s="965">
        <f t="shared" si="56"/>
        <v>-1099119.8758722784</v>
      </c>
      <c r="AA154" s="965">
        <f t="shared" si="56"/>
        <v>-1099119.8758722784</v>
      </c>
      <c r="AB154" s="965">
        <f t="shared" si="56"/>
        <v>-1099119.8758722784</v>
      </c>
      <c r="AC154" s="965">
        <f t="shared" si="56"/>
        <v>-1099119.8758722784</v>
      </c>
      <c r="AD154" s="965">
        <f t="shared" si="56"/>
        <v>-1099119.8758722784</v>
      </c>
      <c r="AE154" s="965">
        <f t="shared" si="56"/>
        <v>-1099119.8758722784</v>
      </c>
      <c r="AF154" s="965">
        <f t="shared" si="56"/>
        <v>-1099119.8758722784</v>
      </c>
      <c r="AG154" s="965">
        <f t="shared" si="56"/>
        <v>-1099119.8758722784</v>
      </c>
      <c r="AH154" s="965">
        <f t="shared" si="56"/>
        <v>-1099119.8758722784</v>
      </c>
      <c r="AI154" s="965">
        <f t="shared" si="56"/>
        <v>-1099119.8758722784</v>
      </c>
      <c r="AJ154" s="965">
        <f t="shared" si="56"/>
        <v>-1099119.8758722784</v>
      </c>
      <c r="AK154" s="965">
        <f t="shared" si="56"/>
        <v>-1099119.8758722784</v>
      </c>
      <c r="AL154" s="965">
        <f t="shared" si="56"/>
        <v>-1099119.8758722784</v>
      </c>
      <c r="AM154" s="965">
        <f t="shared" si="56"/>
        <v>-1099119.8758722784</v>
      </c>
      <c r="AN154" s="965">
        <f t="shared" si="56"/>
        <v>-1099119.8758722784</v>
      </c>
      <c r="AO154" s="965">
        <f t="shared" si="56"/>
        <v>-1099119.8758722784</v>
      </c>
      <c r="AP154" s="965">
        <f t="shared" si="56"/>
        <v>-1099119.8758722784</v>
      </c>
      <c r="AQ154" s="965">
        <f t="shared" si="56"/>
        <v>-1099119.8758722784</v>
      </c>
      <c r="AR154" s="965">
        <f t="shared" si="56"/>
        <v>-1099119.8758722784</v>
      </c>
      <c r="AS154" s="965">
        <f t="shared" si="56"/>
        <v>-1099119.8758722784</v>
      </c>
      <c r="AT154" s="965">
        <f t="shared" si="56"/>
        <v>-1099119.8758722784</v>
      </c>
      <c r="AU154" s="166"/>
      <c r="AV154" s="166"/>
      <c r="AW154" s="166"/>
      <c r="AX154" s="166"/>
      <c r="AY154" s="166"/>
      <c r="AZ154" s="166"/>
      <c r="BA154" s="166"/>
      <c r="BB154" s="166"/>
      <c r="BC154" s="166"/>
      <c r="BD154" s="166"/>
      <c r="BE154" s="166"/>
      <c r="BF154" s="166"/>
      <c r="BG154" s="166"/>
      <c r="BH154" s="166"/>
      <c r="BI154" s="166"/>
      <c r="BJ154" s="166"/>
      <c r="BK154" s="166"/>
      <c r="BL154" s="166"/>
      <c r="BM154" s="166"/>
      <c r="BN154" s="166"/>
    </row>
    <row r="155" spans="2:66" x14ac:dyDescent="0.25">
      <c r="B155" s="831" t="str">
        <f t="shared" si="57"/>
        <v>Activos iniciales - Depreciacion 15 años</v>
      </c>
      <c r="C155" s="965">
        <f t="shared" si="56"/>
        <v>0</v>
      </c>
      <c r="D155" s="965">
        <f t="shared" si="56"/>
        <v>0</v>
      </c>
      <c r="E155" s="965">
        <f t="shared" si="56"/>
        <v>0</v>
      </c>
      <c r="F155" s="965">
        <f t="shared" si="56"/>
        <v>0</v>
      </c>
      <c r="G155" s="965">
        <f t="shared" si="56"/>
        <v>-627015.96420904167</v>
      </c>
      <c r="H155" s="965">
        <f t="shared" si="56"/>
        <v>-627015.96420904167</v>
      </c>
      <c r="I155" s="965">
        <f t="shared" si="56"/>
        <v>-627015.96420904167</v>
      </c>
      <c r="J155" s="965">
        <f t="shared" si="56"/>
        <v>-627015.96420904167</v>
      </c>
      <c r="K155" s="965">
        <f t="shared" si="56"/>
        <v>-627015.96420904167</v>
      </c>
      <c r="L155" s="965">
        <f t="shared" si="56"/>
        <v>-627015.96420904167</v>
      </c>
      <c r="M155" s="965">
        <f t="shared" si="56"/>
        <v>-627015.96420904167</v>
      </c>
      <c r="N155" s="965">
        <f t="shared" si="56"/>
        <v>-627015.96420904167</v>
      </c>
      <c r="O155" s="965">
        <f t="shared" si="56"/>
        <v>-627015.96420904167</v>
      </c>
      <c r="P155" s="965">
        <f t="shared" si="56"/>
        <v>-627015.96420904167</v>
      </c>
      <c r="Q155" s="965">
        <f t="shared" si="56"/>
        <v>-627015.96420904167</v>
      </c>
      <c r="R155" s="965">
        <f t="shared" si="56"/>
        <v>-627015.96420904167</v>
      </c>
      <c r="S155" s="965">
        <f t="shared" si="56"/>
        <v>-627015.96420904167</v>
      </c>
      <c r="T155" s="965">
        <f t="shared" si="56"/>
        <v>-627015.96420904167</v>
      </c>
      <c r="U155" s="965">
        <f t="shared" si="56"/>
        <v>-627015.96420904167</v>
      </c>
      <c r="V155" s="965">
        <f t="shared" si="56"/>
        <v>0</v>
      </c>
      <c r="W155" s="965">
        <f t="shared" si="56"/>
        <v>0</v>
      </c>
      <c r="X155" s="965">
        <f t="shared" si="56"/>
        <v>0</v>
      </c>
      <c r="Y155" s="965">
        <f t="shared" si="56"/>
        <v>0</v>
      </c>
      <c r="Z155" s="965">
        <f t="shared" si="56"/>
        <v>0</v>
      </c>
      <c r="AA155" s="965">
        <f t="shared" si="56"/>
        <v>0</v>
      </c>
      <c r="AB155" s="965">
        <f t="shared" si="56"/>
        <v>0</v>
      </c>
      <c r="AC155" s="965">
        <f t="shared" si="56"/>
        <v>0</v>
      </c>
      <c r="AD155" s="965">
        <f t="shared" si="56"/>
        <v>0</v>
      </c>
      <c r="AE155" s="965">
        <f t="shared" si="56"/>
        <v>0</v>
      </c>
      <c r="AF155" s="965">
        <f t="shared" si="56"/>
        <v>0</v>
      </c>
      <c r="AG155" s="965">
        <f t="shared" si="56"/>
        <v>0</v>
      </c>
      <c r="AH155" s="965">
        <f t="shared" si="56"/>
        <v>0</v>
      </c>
      <c r="AI155" s="965">
        <f t="shared" si="56"/>
        <v>0</v>
      </c>
      <c r="AJ155" s="965">
        <f t="shared" si="56"/>
        <v>0</v>
      </c>
      <c r="AK155" s="965">
        <f t="shared" si="56"/>
        <v>0</v>
      </c>
      <c r="AL155" s="965">
        <f t="shared" si="56"/>
        <v>0</v>
      </c>
      <c r="AM155" s="965">
        <f t="shared" si="56"/>
        <v>0</v>
      </c>
      <c r="AN155" s="965">
        <f t="shared" si="56"/>
        <v>0</v>
      </c>
      <c r="AO155" s="965">
        <f t="shared" si="56"/>
        <v>0</v>
      </c>
      <c r="AP155" s="965">
        <f t="shared" si="56"/>
        <v>0</v>
      </c>
      <c r="AQ155" s="965">
        <f t="shared" si="56"/>
        <v>0</v>
      </c>
      <c r="AR155" s="965">
        <f t="shared" si="56"/>
        <v>0</v>
      </c>
      <c r="AS155" s="965">
        <f t="shared" si="56"/>
        <v>0</v>
      </c>
      <c r="AT155" s="965">
        <f t="shared" si="56"/>
        <v>0</v>
      </c>
      <c r="AU155" s="166"/>
      <c r="AV155" s="166"/>
      <c r="AW155" s="166"/>
      <c r="AX155" s="166"/>
      <c r="AY155" s="166"/>
      <c r="AZ155" s="166"/>
      <c r="BA155" s="166"/>
      <c r="BB155" s="166"/>
      <c r="BC155" s="166"/>
      <c r="BD155" s="166"/>
      <c r="BE155" s="166"/>
      <c r="BF155" s="166"/>
      <c r="BG155" s="166"/>
      <c r="BH155" s="166"/>
      <c r="BI155" s="166"/>
      <c r="BJ155" s="166"/>
      <c r="BK155" s="166"/>
      <c r="BL155" s="166"/>
      <c r="BM155" s="166"/>
      <c r="BN155" s="166"/>
    </row>
    <row r="156" spans="2:66" x14ac:dyDescent="0.25">
      <c r="B156" s="831" t="str">
        <f t="shared" si="57"/>
        <v>Activos iniciales - Depreciacion 10 años</v>
      </c>
      <c r="C156" s="965">
        <f t="shared" si="56"/>
        <v>0</v>
      </c>
      <c r="D156" s="965">
        <f t="shared" si="56"/>
        <v>0</v>
      </c>
      <c r="E156" s="965">
        <f t="shared" si="56"/>
        <v>0</v>
      </c>
      <c r="F156" s="965">
        <f t="shared" si="56"/>
        <v>0</v>
      </c>
      <c r="G156" s="965">
        <f t="shared" si="56"/>
        <v>-235044.88831879152</v>
      </c>
      <c r="H156" s="965">
        <f t="shared" si="56"/>
        <v>-235044.88831879152</v>
      </c>
      <c r="I156" s="965">
        <f t="shared" si="56"/>
        <v>-235044.88831879152</v>
      </c>
      <c r="J156" s="965">
        <f t="shared" si="56"/>
        <v>-235044.88831879152</v>
      </c>
      <c r="K156" s="965">
        <f t="shared" si="56"/>
        <v>-235044.88831879152</v>
      </c>
      <c r="L156" s="965">
        <f t="shared" si="56"/>
        <v>-235044.88831879152</v>
      </c>
      <c r="M156" s="965">
        <f t="shared" si="56"/>
        <v>-235044.88831879152</v>
      </c>
      <c r="N156" s="965">
        <f t="shared" si="56"/>
        <v>-235044.88831879152</v>
      </c>
      <c r="O156" s="965">
        <f t="shared" si="56"/>
        <v>-235044.88831879152</v>
      </c>
      <c r="P156" s="965">
        <f t="shared" si="56"/>
        <v>-235044.88831879152</v>
      </c>
      <c r="Q156" s="965">
        <f t="shared" si="56"/>
        <v>0</v>
      </c>
      <c r="R156" s="965">
        <f t="shared" si="56"/>
        <v>0</v>
      </c>
      <c r="S156" s="965">
        <f t="shared" si="56"/>
        <v>0</v>
      </c>
      <c r="T156" s="965">
        <f t="shared" si="56"/>
        <v>0</v>
      </c>
      <c r="U156" s="965">
        <f t="shared" si="56"/>
        <v>0</v>
      </c>
      <c r="V156" s="965">
        <f t="shared" si="56"/>
        <v>0</v>
      </c>
      <c r="W156" s="965">
        <f t="shared" si="56"/>
        <v>0</v>
      </c>
      <c r="X156" s="965">
        <f t="shared" si="56"/>
        <v>0</v>
      </c>
      <c r="Y156" s="965">
        <f t="shared" si="56"/>
        <v>0</v>
      </c>
      <c r="Z156" s="965">
        <f t="shared" si="56"/>
        <v>0</v>
      </c>
      <c r="AA156" s="965">
        <f t="shared" si="56"/>
        <v>0</v>
      </c>
      <c r="AB156" s="965">
        <f t="shared" si="56"/>
        <v>0</v>
      </c>
      <c r="AC156" s="965">
        <f t="shared" si="56"/>
        <v>0</v>
      </c>
      <c r="AD156" s="965">
        <f t="shared" si="56"/>
        <v>0</v>
      </c>
      <c r="AE156" s="965">
        <f t="shared" si="56"/>
        <v>0</v>
      </c>
      <c r="AF156" s="965">
        <f t="shared" si="56"/>
        <v>0</v>
      </c>
      <c r="AG156" s="965">
        <f t="shared" si="56"/>
        <v>0</v>
      </c>
      <c r="AH156" s="965">
        <f t="shared" si="56"/>
        <v>0</v>
      </c>
      <c r="AI156" s="965">
        <f t="shared" si="56"/>
        <v>0</v>
      </c>
      <c r="AJ156" s="965">
        <f t="shared" si="56"/>
        <v>0</v>
      </c>
      <c r="AK156" s="965">
        <f t="shared" si="56"/>
        <v>0</v>
      </c>
      <c r="AL156" s="965">
        <f t="shared" si="56"/>
        <v>0</v>
      </c>
      <c r="AM156" s="965">
        <f t="shared" si="56"/>
        <v>0</v>
      </c>
      <c r="AN156" s="965">
        <f t="shared" si="56"/>
        <v>0</v>
      </c>
      <c r="AO156" s="965">
        <f t="shared" si="56"/>
        <v>0</v>
      </c>
      <c r="AP156" s="965">
        <f t="shared" si="56"/>
        <v>0</v>
      </c>
      <c r="AQ156" s="965">
        <f t="shared" si="56"/>
        <v>0</v>
      </c>
      <c r="AR156" s="965">
        <f t="shared" si="56"/>
        <v>0</v>
      </c>
      <c r="AS156" s="965">
        <f t="shared" si="56"/>
        <v>0</v>
      </c>
      <c r="AT156" s="965">
        <f t="shared" si="56"/>
        <v>0</v>
      </c>
      <c r="AU156" s="166"/>
      <c r="AV156" s="166"/>
      <c r="AW156" s="166"/>
      <c r="AX156" s="166"/>
      <c r="AY156" s="166"/>
      <c r="AZ156" s="166"/>
      <c r="BA156" s="166"/>
      <c r="BB156" s="166"/>
      <c r="BC156" s="166"/>
      <c r="BD156" s="166"/>
      <c r="BE156" s="166"/>
      <c r="BF156" s="166"/>
      <c r="BG156" s="166"/>
      <c r="BH156" s="166"/>
      <c r="BI156" s="166"/>
      <c r="BJ156" s="166"/>
      <c r="BK156" s="166"/>
      <c r="BL156" s="166"/>
      <c r="BM156" s="166"/>
      <c r="BN156" s="166"/>
    </row>
    <row r="157" spans="2:66" x14ac:dyDescent="0.25">
      <c r="B157" s="831" t="str">
        <f t="shared" si="57"/>
        <v>Activos iniciales - Depreciacion 5 años</v>
      </c>
      <c r="C157" s="965">
        <f t="shared" si="56"/>
        <v>0</v>
      </c>
      <c r="D157" s="965">
        <f t="shared" si="56"/>
        <v>0</v>
      </c>
      <c r="E157" s="965">
        <f t="shared" si="56"/>
        <v>0</v>
      </c>
      <c r="F157" s="965">
        <f t="shared" si="56"/>
        <v>0</v>
      </c>
      <c r="G157" s="965">
        <f t="shared" si="56"/>
        <v>-141000.47274877818</v>
      </c>
      <c r="H157" s="965">
        <f t="shared" si="56"/>
        <v>-141000.47274877818</v>
      </c>
      <c r="I157" s="965">
        <f t="shared" si="56"/>
        <v>-141000.47274877818</v>
      </c>
      <c r="J157" s="965">
        <f t="shared" si="56"/>
        <v>-141000.47274877818</v>
      </c>
      <c r="K157" s="965">
        <f t="shared" si="56"/>
        <v>-141000.47274877818</v>
      </c>
      <c r="L157" s="965">
        <f t="shared" si="56"/>
        <v>0</v>
      </c>
      <c r="M157" s="965">
        <f t="shared" si="56"/>
        <v>0</v>
      </c>
      <c r="N157" s="965">
        <f t="shared" si="56"/>
        <v>0</v>
      </c>
      <c r="O157" s="965">
        <f t="shared" si="56"/>
        <v>0</v>
      </c>
      <c r="P157" s="965">
        <f t="shared" si="56"/>
        <v>0</v>
      </c>
      <c r="Q157" s="965">
        <f t="shared" si="56"/>
        <v>0</v>
      </c>
      <c r="R157" s="965">
        <f t="shared" si="56"/>
        <v>0</v>
      </c>
      <c r="S157" s="965">
        <f t="shared" si="56"/>
        <v>0</v>
      </c>
      <c r="T157" s="965">
        <f t="shared" si="56"/>
        <v>0</v>
      </c>
      <c r="U157" s="965">
        <f t="shared" si="56"/>
        <v>0</v>
      </c>
      <c r="V157" s="965">
        <f t="shared" si="56"/>
        <v>0</v>
      </c>
      <c r="W157" s="965">
        <f t="shared" si="56"/>
        <v>0</v>
      </c>
      <c r="X157" s="965">
        <f t="shared" si="56"/>
        <v>0</v>
      </c>
      <c r="Y157" s="965">
        <f t="shared" si="56"/>
        <v>0</v>
      </c>
      <c r="Z157" s="965">
        <f t="shared" si="56"/>
        <v>0</v>
      </c>
      <c r="AA157" s="965">
        <f t="shared" si="56"/>
        <v>0</v>
      </c>
      <c r="AB157" s="965">
        <f t="shared" si="56"/>
        <v>0</v>
      </c>
      <c r="AC157" s="965">
        <f t="shared" si="56"/>
        <v>0</v>
      </c>
      <c r="AD157" s="965">
        <f t="shared" si="56"/>
        <v>0</v>
      </c>
      <c r="AE157" s="965">
        <f t="shared" si="56"/>
        <v>0</v>
      </c>
      <c r="AF157" s="965">
        <f t="shared" si="56"/>
        <v>0</v>
      </c>
      <c r="AG157" s="965">
        <f t="shared" si="56"/>
        <v>0</v>
      </c>
      <c r="AH157" s="965">
        <f t="shared" si="56"/>
        <v>0</v>
      </c>
      <c r="AI157" s="965">
        <f t="shared" si="56"/>
        <v>0</v>
      </c>
      <c r="AJ157" s="965">
        <f t="shared" si="56"/>
        <v>0</v>
      </c>
      <c r="AK157" s="965">
        <f t="shared" si="56"/>
        <v>0</v>
      </c>
      <c r="AL157" s="965">
        <f t="shared" si="56"/>
        <v>0</v>
      </c>
      <c r="AM157" s="965">
        <f t="shared" si="56"/>
        <v>0</v>
      </c>
      <c r="AN157" s="965">
        <f t="shared" si="56"/>
        <v>0</v>
      </c>
      <c r="AO157" s="965">
        <f t="shared" si="56"/>
        <v>0</v>
      </c>
      <c r="AP157" s="965">
        <f t="shared" si="56"/>
        <v>0</v>
      </c>
      <c r="AQ157" s="965">
        <f t="shared" si="56"/>
        <v>0</v>
      </c>
      <c r="AR157" s="965">
        <f t="shared" si="56"/>
        <v>0</v>
      </c>
      <c r="AS157" s="965">
        <f t="shared" si="56"/>
        <v>0</v>
      </c>
      <c r="AT157" s="965">
        <f t="shared" si="56"/>
        <v>0</v>
      </c>
      <c r="AU157" s="166"/>
      <c r="AV157" s="166"/>
      <c r="AW157" s="166"/>
      <c r="AX157" s="166"/>
      <c r="AY157" s="166"/>
      <c r="AZ157" s="166"/>
      <c r="BA157" s="166"/>
      <c r="BB157" s="166"/>
      <c r="BC157" s="166"/>
      <c r="BD157" s="166"/>
      <c r="BE157" s="166"/>
      <c r="BF157" s="166"/>
      <c r="BG157" s="166"/>
      <c r="BH157" s="166"/>
      <c r="BI157" s="166"/>
      <c r="BJ157" s="166"/>
      <c r="BK157" s="166"/>
      <c r="BL157" s="166"/>
      <c r="BM157" s="166"/>
      <c r="BN157" s="166"/>
    </row>
    <row r="158" spans="2:66" x14ac:dyDescent="0.25">
      <c r="B158" s="831" t="str">
        <f t="shared" si="57"/>
        <v>Activos iniciales - Valor residual</v>
      </c>
      <c r="C158" s="965">
        <f t="shared" si="56"/>
        <v>0</v>
      </c>
      <c r="D158" s="965">
        <f t="shared" si="56"/>
        <v>0</v>
      </c>
      <c r="E158" s="965">
        <f t="shared" si="56"/>
        <v>0</v>
      </c>
      <c r="F158" s="965">
        <f t="shared" si="56"/>
        <v>0</v>
      </c>
      <c r="G158" s="965">
        <f t="shared" si="56"/>
        <v>91399247.348360002</v>
      </c>
      <c r="H158" s="965">
        <f t="shared" si="56"/>
        <v>88792661.1553417</v>
      </c>
      <c r="I158" s="965">
        <f t="shared" si="56"/>
        <v>86186074.962323397</v>
      </c>
      <c r="J158" s="965">
        <f t="shared" si="56"/>
        <v>83579488.769305095</v>
      </c>
      <c r="K158" s="965">
        <f t="shared" si="56"/>
        <v>80972902.576286793</v>
      </c>
      <c r="L158" s="965">
        <f t="shared" si="56"/>
        <v>78507316.856017277</v>
      </c>
      <c r="M158" s="965">
        <f t="shared" si="56"/>
        <v>76041731.135747761</v>
      </c>
      <c r="N158" s="965">
        <f t="shared" si="56"/>
        <v>73576145.415478244</v>
      </c>
      <c r="O158" s="965">
        <f t="shared" si="56"/>
        <v>71110559.695208728</v>
      </c>
      <c r="P158" s="965">
        <f t="shared" si="56"/>
        <v>68644973.974939212</v>
      </c>
      <c r="Q158" s="965">
        <f t="shared" si="56"/>
        <v>66414433.142988488</v>
      </c>
      <c r="R158" s="965">
        <f t="shared" si="56"/>
        <v>64183892.311037764</v>
      </c>
      <c r="S158" s="965">
        <f t="shared" si="56"/>
        <v>61953351.47908704</v>
      </c>
      <c r="T158" s="965">
        <f t="shared" si="56"/>
        <v>59722810.647136316</v>
      </c>
      <c r="U158" s="965">
        <f t="shared" si="56"/>
        <v>57492269.815185592</v>
      </c>
      <c r="V158" s="965">
        <f t="shared" si="56"/>
        <v>55888744.94744391</v>
      </c>
      <c r="W158" s="965">
        <f t="shared" si="56"/>
        <v>54285220.079702228</v>
      </c>
      <c r="X158" s="965">
        <f t="shared" si="56"/>
        <v>52681695.211960547</v>
      </c>
      <c r="Y158" s="965">
        <f t="shared" si="56"/>
        <v>51078170.344218865</v>
      </c>
      <c r="Z158" s="965">
        <f t="shared" si="56"/>
        <v>49474645.476477183</v>
      </c>
      <c r="AA158" s="965">
        <f t="shared" si="56"/>
        <v>47871120.608735502</v>
      </c>
      <c r="AB158" s="965">
        <f t="shared" si="56"/>
        <v>46267595.74099382</v>
      </c>
      <c r="AC158" s="965">
        <f t="shared" si="56"/>
        <v>44664070.873252138</v>
      </c>
      <c r="AD158" s="965">
        <f t="shared" si="56"/>
        <v>43060546.005510457</v>
      </c>
      <c r="AE158" s="965">
        <f t="shared" si="56"/>
        <v>41457021.137768775</v>
      </c>
      <c r="AF158" s="965">
        <f t="shared" si="56"/>
        <v>39853496.270027094</v>
      </c>
      <c r="AG158" s="965">
        <f t="shared" si="56"/>
        <v>38249971.402285412</v>
      </c>
      <c r="AH158" s="965">
        <f t="shared" si="56"/>
        <v>36646446.53454373</v>
      </c>
      <c r="AI158" s="965">
        <f t="shared" si="56"/>
        <v>35042921.666802049</v>
      </c>
      <c r="AJ158" s="965">
        <f t="shared" si="56"/>
        <v>33439396.799060363</v>
      </c>
      <c r="AK158" s="965">
        <f t="shared" si="56"/>
        <v>31835871.931318678</v>
      </c>
      <c r="AL158" s="965">
        <f t="shared" si="56"/>
        <v>30232347.063576993</v>
      </c>
      <c r="AM158" s="965">
        <f t="shared" si="56"/>
        <v>28628822.195835307</v>
      </c>
      <c r="AN158" s="965">
        <f t="shared" si="56"/>
        <v>27025297.328093622</v>
      </c>
      <c r="AO158" s="965">
        <f t="shared" si="56"/>
        <v>25421772.460351937</v>
      </c>
      <c r="AP158" s="965">
        <f t="shared" si="56"/>
        <v>23818247.592610251</v>
      </c>
      <c r="AQ158" s="965">
        <f t="shared" si="56"/>
        <v>22214722.724868566</v>
      </c>
      <c r="AR158" s="965">
        <f t="shared" si="56"/>
        <v>20611197.85712688</v>
      </c>
      <c r="AS158" s="965">
        <f t="shared" si="56"/>
        <v>19007672.989385195</v>
      </c>
      <c r="AT158" s="965">
        <f t="shared" si="56"/>
        <v>17404148.12164351</v>
      </c>
      <c r="AU158" s="166"/>
      <c r="AV158" s="166"/>
      <c r="AW158" s="166"/>
      <c r="AX158" s="166"/>
      <c r="AY158" s="166"/>
      <c r="AZ158" s="166"/>
      <c r="BA158" s="166"/>
      <c r="BB158" s="166"/>
      <c r="BC158" s="166"/>
      <c r="BD158" s="166"/>
      <c r="BE158" s="166"/>
      <c r="BF158" s="166"/>
      <c r="BG158" s="166"/>
      <c r="BH158" s="166"/>
      <c r="BI158" s="166"/>
      <c r="BJ158" s="166"/>
      <c r="BK158" s="166"/>
      <c r="BL158" s="166"/>
      <c r="BM158" s="166"/>
      <c r="BN158" s="166"/>
    </row>
    <row r="159" spans="2:66" x14ac:dyDescent="0.25">
      <c r="B159" s="831" t="str">
        <f t="shared" si="57"/>
        <v>Activos nuevos 1 - Depreciacion 10 años</v>
      </c>
      <c r="C159" s="965">
        <f t="shared" si="56"/>
        <v>0</v>
      </c>
      <c r="D159" s="965">
        <f t="shared" si="56"/>
        <v>0</v>
      </c>
      <c r="E159" s="965">
        <f t="shared" si="56"/>
        <v>0</v>
      </c>
      <c r="F159" s="965">
        <f t="shared" si="56"/>
        <v>0</v>
      </c>
      <c r="G159" s="965">
        <f t="shared" si="56"/>
        <v>0</v>
      </c>
      <c r="H159" s="965">
        <f t="shared" si="56"/>
        <v>0</v>
      </c>
      <c r="I159" s="965">
        <f t="shared" ref="C159:AT164" si="58">I83</f>
        <v>0</v>
      </c>
      <c r="J159" s="965">
        <f t="shared" si="58"/>
        <v>0</v>
      </c>
      <c r="K159" s="965">
        <f t="shared" si="58"/>
        <v>0</v>
      </c>
      <c r="L159" s="965">
        <f t="shared" si="58"/>
        <v>0</v>
      </c>
      <c r="M159" s="965">
        <f t="shared" si="58"/>
        <v>0</v>
      </c>
      <c r="N159" s="965">
        <f t="shared" si="58"/>
        <v>0</v>
      </c>
      <c r="O159" s="965">
        <f t="shared" si="58"/>
        <v>0</v>
      </c>
      <c r="P159" s="965">
        <f t="shared" si="58"/>
        <v>0</v>
      </c>
      <c r="Q159" s="965">
        <f t="shared" si="58"/>
        <v>0</v>
      </c>
      <c r="R159" s="965">
        <f t="shared" si="58"/>
        <v>-300957.91077587084</v>
      </c>
      <c r="S159" s="965">
        <f t="shared" si="58"/>
        <v>-300957.91077587084</v>
      </c>
      <c r="T159" s="965">
        <f t="shared" si="58"/>
        <v>-300957.91077587084</v>
      </c>
      <c r="U159" s="965">
        <f t="shared" si="58"/>
        <v>-300957.91077587084</v>
      </c>
      <c r="V159" s="965">
        <f t="shared" si="58"/>
        <v>-300957.91077587084</v>
      </c>
      <c r="W159" s="965">
        <f t="shared" si="58"/>
        <v>-300957.91077587084</v>
      </c>
      <c r="X159" s="965">
        <f t="shared" si="58"/>
        <v>-300957.91077587084</v>
      </c>
      <c r="Y159" s="965">
        <f t="shared" si="58"/>
        <v>-300957.91077587084</v>
      </c>
      <c r="Z159" s="965">
        <f t="shared" si="58"/>
        <v>-300957.91077587084</v>
      </c>
      <c r="AA159" s="965">
        <f t="shared" si="58"/>
        <v>-300957.91077587084</v>
      </c>
      <c r="AB159" s="965">
        <f t="shared" si="58"/>
        <v>-300957.91077587084</v>
      </c>
      <c r="AC159" s="965">
        <f t="shared" si="58"/>
        <v>0</v>
      </c>
      <c r="AD159" s="965">
        <f t="shared" si="58"/>
        <v>0</v>
      </c>
      <c r="AE159" s="965">
        <f t="shared" si="58"/>
        <v>0</v>
      </c>
      <c r="AF159" s="965">
        <f t="shared" si="58"/>
        <v>0</v>
      </c>
      <c r="AG159" s="965">
        <f t="shared" si="58"/>
        <v>0</v>
      </c>
      <c r="AH159" s="965">
        <f t="shared" si="58"/>
        <v>0</v>
      </c>
      <c r="AI159" s="965">
        <f t="shared" si="58"/>
        <v>0</v>
      </c>
      <c r="AJ159" s="965">
        <f t="shared" si="58"/>
        <v>0</v>
      </c>
      <c r="AK159" s="965">
        <f t="shared" si="58"/>
        <v>0</v>
      </c>
      <c r="AL159" s="965">
        <f t="shared" si="58"/>
        <v>0</v>
      </c>
      <c r="AM159" s="965">
        <f t="shared" si="58"/>
        <v>0</v>
      </c>
      <c r="AN159" s="965">
        <f t="shared" si="58"/>
        <v>0</v>
      </c>
      <c r="AO159" s="965">
        <f t="shared" si="58"/>
        <v>0</v>
      </c>
      <c r="AP159" s="965">
        <f t="shared" si="58"/>
        <v>0</v>
      </c>
      <c r="AQ159" s="965">
        <f t="shared" si="58"/>
        <v>0</v>
      </c>
      <c r="AR159" s="965">
        <f t="shared" si="58"/>
        <v>0</v>
      </c>
      <c r="AS159" s="965">
        <f t="shared" si="58"/>
        <v>0</v>
      </c>
      <c r="AT159" s="965">
        <f t="shared" si="58"/>
        <v>0</v>
      </c>
      <c r="AU159" s="166"/>
      <c r="AV159" s="166"/>
      <c r="AW159" s="166"/>
      <c r="AX159" s="166"/>
      <c r="AY159" s="166"/>
      <c r="AZ159" s="166"/>
      <c r="BA159" s="166"/>
      <c r="BB159" s="166"/>
      <c r="BC159" s="166"/>
      <c r="BD159" s="166"/>
      <c r="BE159" s="166"/>
      <c r="BF159" s="166"/>
      <c r="BG159" s="166"/>
      <c r="BH159" s="166"/>
      <c r="BI159" s="166"/>
      <c r="BJ159" s="166"/>
      <c r="BK159" s="166"/>
      <c r="BL159" s="166"/>
      <c r="BM159" s="166"/>
      <c r="BN159" s="166"/>
    </row>
    <row r="160" spans="2:66" x14ac:dyDescent="0.25">
      <c r="B160" s="831" t="str">
        <f t="shared" si="57"/>
        <v>Activos nuevos 1 - Valor residual</v>
      </c>
      <c r="C160" s="965">
        <f t="shared" si="58"/>
        <v>0</v>
      </c>
      <c r="D160" s="965">
        <f t="shared" si="58"/>
        <v>0</v>
      </c>
      <c r="E160" s="965">
        <f t="shared" si="58"/>
        <v>0</v>
      </c>
      <c r="F160" s="965">
        <f t="shared" si="58"/>
        <v>0</v>
      </c>
      <c r="G160" s="965">
        <f t="shared" si="58"/>
        <v>0</v>
      </c>
      <c r="H160" s="965">
        <f t="shared" si="58"/>
        <v>0</v>
      </c>
      <c r="I160" s="965">
        <f t="shared" si="58"/>
        <v>0</v>
      </c>
      <c r="J160" s="965">
        <f t="shared" si="58"/>
        <v>0</v>
      </c>
      <c r="K160" s="965">
        <f t="shared" si="58"/>
        <v>0</v>
      </c>
      <c r="L160" s="965">
        <f t="shared" si="58"/>
        <v>0</v>
      </c>
      <c r="M160" s="965">
        <f t="shared" si="58"/>
        <v>0</v>
      </c>
      <c r="N160" s="965">
        <f t="shared" si="58"/>
        <v>0</v>
      </c>
      <c r="O160" s="965">
        <f t="shared" si="58"/>
        <v>0</v>
      </c>
      <c r="P160" s="965">
        <f t="shared" si="58"/>
        <v>0</v>
      </c>
      <c r="Q160" s="965">
        <f t="shared" si="58"/>
        <v>0</v>
      </c>
      <c r="R160" s="965">
        <f t="shared" si="58"/>
        <v>3009579.1077587083</v>
      </c>
      <c r="S160" s="965">
        <f t="shared" si="58"/>
        <v>2708621.1969828373</v>
      </c>
      <c r="T160" s="965">
        <f t="shared" si="58"/>
        <v>2407663.2862069663</v>
      </c>
      <c r="U160" s="965">
        <f t="shared" si="58"/>
        <v>2106705.3754310952</v>
      </c>
      <c r="V160" s="965">
        <f t="shared" si="58"/>
        <v>1805747.4646552245</v>
      </c>
      <c r="W160" s="965">
        <f t="shared" si="58"/>
        <v>1504789.5538793537</v>
      </c>
      <c r="X160" s="965">
        <f t="shared" si="58"/>
        <v>1203831.6431034829</v>
      </c>
      <c r="Y160" s="965">
        <f t="shared" si="58"/>
        <v>902873.73232761212</v>
      </c>
      <c r="Z160" s="965">
        <f t="shared" si="58"/>
        <v>601915.82155174133</v>
      </c>
      <c r="AA160" s="965">
        <f t="shared" si="58"/>
        <v>300957.91077587049</v>
      </c>
      <c r="AB160" s="965">
        <f t="shared" si="58"/>
        <v>0</v>
      </c>
      <c r="AC160" s="965">
        <f t="shared" si="58"/>
        <v>0</v>
      </c>
      <c r="AD160" s="965">
        <f t="shared" si="58"/>
        <v>0</v>
      </c>
      <c r="AE160" s="965">
        <f t="shared" si="58"/>
        <v>0</v>
      </c>
      <c r="AF160" s="965">
        <f t="shared" si="58"/>
        <v>0</v>
      </c>
      <c r="AG160" s="965">
        <f t="shared" si="58"/>
        <v>0</v>
      </c>
      <c r="AH160" s="965">
        <f t="shared" si="58"/>
        <v>0</v>
      </c>
      <c r="AI160" s="965">
        <f t="shared" si="58"/>
        <v>0</v>
      </c>
      <c r="AJ160" s="965">
        <f t="shared" si="58"/>
        <v>0</v>
      </c>
      <c r="AK160" s="965">
        <f t="shared" si="58"/>
        <v>0</v>
      </c>
      <c r="AL160" s="965">
        <f t="shared" si="58"/>
        <v>0</v>
      </c>
      <c r="AM160" s="965">
        <f t="shared" si="58"/>
        <v>0</v>
      </c>
      <c r="AN160" s="965">
        <f t="shared" si="58"/>
        <v>0</v>
      </c>
      <c r="AO160" s="965">
        <f t="shared" si="58"/>
        <v>0</v>
      </c>
      <c r="AP160" s="965">
        <f t="shared" si="58"/>
        <v>0</v>
      </c>
      <c r="AQ160" s="965">
        <f t="shared" si="58"/>
        <v>0</v>
      </c>
      <c r="AR160" s="965">
        <f t="shared" si="58"/>
        <v>0</v>
      </c>
      <c r="AS160" s="965">
        <f t="shared" si="58"/>
        <v>0</v>
      </c>
      <c r="AT160" s="965">
        <f t="shared" si="58"/>
        <v>0</v>
      </c>
      <c r="AU160" s="166"/>
      <c r="AV160" s="166"/>
      <c r="AW160" s="166"/>
      <c r="AX160" s="166"/>
      <c r="AY160" s="166"/>
      <c r="AZ160" s="166"/>
      <c r="BA160" s="166"/>
      <c r="BB160" s="166"/>
      <c r="BC160" s="166"/>
      <c r="BD160" s="166"/>
      <c r="BE160" s="166"/>
      <c r="BF160" s="166"/>
      <c r="BG160" s="166"/>
      <c r="BH160" s="166"/>
      <c r="BI160" s="166"/>
      <c r="BJ160" s="166"/>
      <c r="BK160" s="166"/>
      <c r="BL160" s="166"/>
      <c r="BM160" s="166"/>
      <c r="BN160" s="166"/>
    </row>
    <row r="161" spans="2:66" x14ac:dyDescent="0.25">
      <c r="B161" s="831" t="str">
        <f t="shared" si="57"/>
        <v>Activos nuevos 2 - Depreciacion 15 años</v>
      </c>
      <c r="C161" s="965">
        <f t="shared" si="58"/>
        <v>0</v>
      </c>
      <c r="D161" s="965">
        <f t="shared" si="58"/>
        <v>0</v>
      </c>
      <c r="E161" s="965">
        <f t="shared" si="58"/>
        <v>0</v>
      </c>
      <c r="F161" s="965">
        <f t="shared" si="58"/>
        <v>0</v>
      </c>
      <c r="G161" s="965">
        <f t="shared" si="58"/>
        <v>0</v>
      </c>
      <c r="H161" s="965">
        <f t="shared" si="58"/>
        <v>0</v>
      </c>
      <c r="I161" s="965">
        <f t="shared" si="58"/>
        <v>0</v>
      </c>
      <c r="J161" s="965">
        <f t="shared" si="58"/>
        <v>0</v>
      </c>
      <c r="K161" s="965">
        <f t="shared" si="58"/>
        <v>0</v>
      </c>
      <c r="L161" s="965">
        <f t="shared" si="58"/>
        <v>0</v>
      </c>
      <c r="M161" s="965">
        <f t="shared" si="58"/>
        <v>0</v>
      </c>
      <c r="N161" s="965">
        <f t="shared" si="58"/>
        <v>0</v>
      </c>
      <c r="O161" s="965">
        <f t="shared" si="58"/>
        <v>0</v>
      </c>
      <c r="P161" s="965">
        <f t="shared" si="58"/>
        <v>0</v>
      </c>
      <c r="Q161" s="965">
        <f t="shared" si="58"/>
        <v>0</v>
      </c>
      <c r="R161" s="965">
        <f t="shared" si="58"/>
        <v>0</v>
      </c>
      <c r="S161" s="965">
        <f t="shared" si="58"/>
        <v>0</v>
      </c>
      <c r="T161" s="965">
        <f t="shared" si="58"/>
        <v>0</v>
      </c>
      <c r="U161" s="965">
        <f t="shared" si="58"/>
        <v>0</v>
      </c>
      <c r="V161" s="965">
        <f t="shared" si="58"/>
        <v>0</v>
      </c>
      <c r="W161" s="965">
        <f t="shared" si="58"/>
        <v>0</v>
      </c>
      <c r="X161" s="965">
        <f t="shared" si="58"/>
        <v>-871957.15905411413</v>
      </c>
      <c r="Y161" s="965">
        <f t="shared" si="58"/>
        <v>-871957.15905411413</v>
      </c>
      <c r="Z161" s="965">
        <f t="shared" si="58"/>
        <v>-871957.15905411413</v>
      </c>
      <c r="AA161" s="965">
        <f t="shared" si="58"/>
        <v>-871957.15905411413</v>
      </c>
      <c r="AB161" s="965">
        <f t="shared" si="58"/>
        <v>-871957.15905411413</v>
      </c>
      <c r="AC161" s="965">
        <f t="shared" si="58"/>
        <v>-871957.15905411413</v>
      </c>
      <c r="AD161" s="965">
        <f t="shared" si="58"/>
        <v>-871957.15905411413</v>
      </c>
      <c r="AE161" s="965">
        <f t="shared" si="58"/>
        <v>-871957.15905411413</v>
      </c>
      <c r="AF161" s="965">
        <f t="shared" si="58"/>
        <v>-871957.15905411413</v>
      </c>
      <c r="AG161" s="965">
        <f t="shared" si="58"/>
        <v>-871957.15905411413</v>
      </c>
      <c r="AH161" s="965">
        <f t="shared" si="58"/>
        <v>-871957.15905411413</v>
      </c>
      <c r="AI161" s="965">
        <f t="shared" si="58"/>
        <v>-871957.15905411413</v>
      </c>
      <c r="AJ161" s="965">
        <f t="shared" si="58"/>
        <v>-871957.15905411413</v>
      </c>
      <c r="AK161" s="965">
        <f t="shared" si="58"/>
        <v>-871957.15905411413</v>
      </c>
      <c r="AL161" s="965">
        <f t="shared" si="58"/>
        <v>-871957.15905411413</v>
      </c>
      <c r="AM161" s="965">
        <f t="shared" si="58"/>
        <v>0</v>
      </c>
      <c r="AN161" s="965">
        <f t="shared" si="58"/>
        <v>0</v>
      </c>
      <c r="AO161" s="965">
        <f t="shared" si="58"/>
        <v>0</v>
      </c>
      <c r="AP161" s="965">
        <f t="shared" si="58"/>
        <v>0</v>
      </c>
      <c r="AQ161" s="965">
        <f t="shared" si="58"/>
        <v>0</v>
      </c>
      <c r="AR161" s="965">
        <f t="shared" si="58"/>
        <v>0</v>
      </c>
      <c r="AS161" s="965">
        <f t="shared" si="58"/>
        <v>0</v>
      </c>
      <c r="AT161" s="965">
        <f t="shared" si="58"/>
        <v>0</v>
      </c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/>
      <c r="BK161" s="166"/>
      <c r="BL161" s="166"/>
      <c r="BM161" s="166"/>
      <c r="BN161" s="166"/>
    </row>
    <row r="162" spans="2:66" x14ac:dyDescent="0.25">
      <c r="B162" s="831" t="str">
        <f t="shared" si="57"/>
        <v>Activos nuevos 2 - Valor residual</v>
      </c>
      <c r="C162" s="965">
        <f t="shared" si="58"/>
        <v>0</v>
      </c>
      <c r="D162" s="965">
        <f t="shared" si="58"/>
        <v>0</v>
      </c>
      <c r="E162" s="965">
        <f t="shared" si="58"/>
        <v>0</v>
      </c>
      <c r="F162" s="965">
        <f t="shared" si="58"/>
        <v>0</v>
      </c>
      <c r="G162" s="965">
        <f t="shared" si="58"/>
        <v>0</v>
      </c>
      <c r="H162" s="965">
        <f t="shared" si="58"/>
        <v>0</v>
      </c>
      <c r="I162" s="965">
        <f t="shared" si="58"/>
        <v>0</v>
      </c>
      <c r="J162" s="965">
        <f t="shared" si="58"/>
        <v>0</v>
      </c>
      <c r="K162" s="965">
        <f t="shared" si="58"/>
        <v>0</v>
      </c>
      <c r="L162" s="965">
        <f t="shared" si="58"/>
        <v>0</v>
      </c>
      <c r="M162" s="965">
        <f t="shared" si="58"/>
        <v>0</v>
      </c>
      <c r="N162" s="965">
        <f t="shared" si="58"/>
        <v>0</v>
      </c>
      <c r="O162" s="965">
        <f t="shared" si="58"/>
        <v>0</v>
      </c>
      <c r="P162" s="965">
        <f t="shared" si="58"/>
        <v>0</v>
      </c>
      <c r="Q162" s="965">
        <f t="shared" si="58"/>
        <v>0</v>
      </c>
      <c r="R162" s="965">
        <f t="shared" si="58"/>
        <v>0</v>
      </c>
      <c r="S162" s="965">
        <f t="shared" si="58"/>
        <v>0</v>
      </c>
      <c r="T162" s="965">
        <f t="shared" si="58"/>
        <v>0</v>
      </c>
      <c r="U162" s="965">
        <f t="shared" si="58"/>
        <v>0</v>
      </c>
      <c r="V162" s="965">
        <f t="shared" si="58"/>
        <v>0</v>
      </c>
      <c r="W162" s="965">
        <f t="shared" si="58"/>
        <v>0</v>
      </c>
      <c r="X162" s="965">
        <f t="shared" si="58"/>
        <v>12207400.226757599</v>
      </c>
      <c r="Y162" s="965">
        <f t="shared" si="58"/>
        <v>11335443.067703485</v>
      </c>
      <c r="Z162" s="965">
        <f t="shared" si="58"/>
        <v>10463485.908649372</v>
      </c>
      <c r="AA162" s="965">
        <f t="shared" si="58"/>
        <v>9591528.7495952584</v>
      </c>
      <c r="AB162" s="965">
        <f t="shared" si="58"/>
        <v>8719571.5905411448</v>
      </c>
      <c r="AC162" s="965">
        <f t="shared" si="58"/>
        <v>7847614.4314870303</v>
      </c>
      <c r="AD162" s="965">
        <f t="shared" si="58"/>
        <v>6975657.2724329159</v>
      </c>
      <c r="AE162" s="965">
        <f t="shared" si="58"/>
        <v>6103700.1133788014</v>
      </c>
      <c r="AF162" s="965">
        <f t="shared" si="58"/>
        <v>5231742.9543246869</v>
      </c>
      <c r="AG162" s="965">
        <f t="shared" si="58"/>
        <v>4359785.7952705724</v>
      </c>
      <c r="AH162" s="965">
        <f t="shared" si="58"/>
        <v>3487828.6362164584</v>
      </c>
      <c r="AI162" s="965">
        <f t="shared" si="58"/>
        <v>2615871.4771623444</v>
      </c>
      <c r="AJ162" s="965">
        <f t="shared" si="58"/>
        <v>1743914.3181082304</v>
      </c>
      <c r="AK162" s="965">
        <f t="shared" si="58"/>
        <v>871957.15905411623</v>
      </c>
      <c r="AL162" s="965">
        <f t="shared" si="58"/>
        <v>2.0954757928848267E-9</v>
      </c>
      <c r="AM162" s="965">
        <f t="shared" si="58"/>
        <v>0</v>
      </c>
      <c r="AN162" s="965">
        <f t="shared" si="58"/>
        <v>0</v>
      </c>
      <c r="AO162" s="965">
        <f t="shared" si="58"/>
        <v>0</v>
      </c>
      <c r="AP162" s="965">
        <f t="shared" si="58"/>
        <v>0</v>
      </c>
      <c r="AQ162" s="965">
        <f t="shared" si="58"/>
        <v>0</v>
      </c>
      <c r="AR162" s="965">
        <f t="shared" si="58"/>
        <v>0</v>
      </c>
      <c r="AS162" s="965">
        <f t="shared" si="58"/>
        <v>0</v>
      </c>
      <c r="AT162" s="965">
        <f t="shared" si="58"/>
        <v>0</v>
      </c>
      <c r="AU162" s="166"/>
      <c r="AV162" s="166"/>
      <c r="AW162" s="166"/>
      <c r="AX162" s="166"/>
      <c r="AY162" s="166"/>
      <c r="AZ162" s="166"/>
      <c r="BA162" s="166"/>
      <c r="BB162" s="166"/>
      <c r="BC162" s="166"/>
      <c r="BD162" s="166"/>
      <c r="BE162" s="166"/>
      <c r="BF162" s="166"/>
      <c r="BG162" s="166"/>
      <c r="BH162" s="166"/>
      <c r="BI162" s="166"/>
      <c r="BJ162" s="166"/>
      <c r="BK162" s="166"/>
      <c r="BL162" s="166"/>
      <c r="BM162" s="166"/>
      <c r="BN162" s="166"/>
    </row>
    <row r="163" spans="2:66" x14ac:dyDescent="0.25">
      <c r="B163" s="831" t="str">
        <f t="shared" si="57"/>
        <v>Activos nuevos 3 - Depreciacion 10 años</v>
      </c>
      <c r="C163" s="965">
        <f t="shared" si="58"/>
        <v>0</v>
      </c>
      <c r="D163" s="965">
        <f t="shared" si="58"/>
        <v>0</v>
      </c>
      <c r="E163" s="965">
        <f t="shared" si="58"/>
        <v>0</v>
      </c>
      <c r="F163" s="965">
        <f t="shared" si="58"/>
        <v>0</v>
      </c>
      <c r="G163" s="965">
        <f t="shared" si="58"/>
        <v>0</v>
      </c>
      <c r="H163" s="965">
        <f t="shared" si="58"/>
        <v>0</v>
      </c>
      <c r="I163" s="965">
        <f t="shared" si="58"/>
        <v>0</v>
      </c>
      <c r="J163" s="965">
        <f t="shared" si="58"/>
        <v>0</v>
      </c>
      <c r="K163" s="965">
        <f t="shared" si="58"/>
        <v>0</v>
      </c>
      <c r="L163" s="965">
        <f t="shared" si="58"/>
        <v>0</v>
      </c>
      <c r="M163" s="965">
        <f t="shared" si="58"/>
        <v>0</v>
      </c>
      <c r="N163" s="965">
        <f t="shared" si="58"/>
        <v>0</v>
      </c>
      <c r="O163" s="965">
        <f t="shared" si="58"/>
        <v>0</v>
      </c>
      <c r="P163" s="965">
        <f t="shared" si="58"/>
        <v>0</v>
      </c>
      <c r="Q163" s="965">
        <f t="shared" si="58"/>
        <v>0</v>
      </c>
      <c r="R163" s="965">
        <f t="shared" si="58"/>
        <v>0</v>
      </c>
      <c r="S163" s="965">
        <f t="shared" si="58"/>
        <v>0</v>
      </c>
      <c r="T163" s="965">
        <f t="shared" si="58"/>
        <v>0</v>
      </c>
      <c r="U163" s="965">
        <f t="shared" si="58"/>
        <v>0</v>
      </c>
      <c r="V163" s="965">
        <f t="shared" si="58"/>
        <v>0</v>
      </c>
      <c r="W163" s="965">
        <f t="shared" si="58"/>
        <v>0</v>
      </c>
      <c r="X163" s="965">
        <f t="shared" si="58"/>
        <v>0</v>
      </c>
      <c r="Y163" s="965">
        <f t="shared" si="58"/>
        <v>0</v>
      </c>
      <c r="Z163" s="965">
        <f t="shared" si="58"/>
        <v>0</v>
      </c>
      <c r="AA163" s="965">
        <f t="shared" si="58"/>
        <v>0</v>
      </c>
      <c r="AB163" s="965">
        <f t="shared" si="58"/>
        <v>0</v>
      </c>
      <c r="AC163" s="965">
        <f t="shared" si="58"/>
        <v>-373448.70931000181</v>
      </c>
      <c r="AD163" s="965">
        <f t="shared" si="58"/>
        <v>-373448.70931000181</v>
      </c>
      <c r="AE163" s="965">
        <f t="shared" si="58"/>
        <v>-373448.70931000181</v>
      </c>
      <c r="AF163" s="965">
        <f t="shared" si="58"/>
        <v>-373448.70931000181</v>
      </c>
      <c r="AG163" s="965">
        <f t="shared" si="58"/>
        <v>-373448.70931000181</v>
      </c>
      <c r="AH163" s="965">
        <f t="shared" si="58"/>
        <v>-373448.70931000181</v>
      </c>
      <c r="AI163" s="965">
        <f t="shared" si="58"/>
        <v>-373448.70931000181</v>
      </c>
      <c r="AJ163" s="965">
        <f t="shared" si="58"/>
        <v>-373448.70931000181</v>
      </c>
      <c r="AK163" s="965">
        <f t="shared" si="58"/>
        <v>-373448.70931000181</v>
      </c>
      <c r="AL163" s="965">
        <f t="shared" si="58"/>
        <v>-373448.70931000181</v>
      </c>
      <c r="AM163" s="965">
        <f t="shared" si="58"/>
        <v>-373448.70931000181</v>
      </c>
      <c r="AN163" s="965">
        <f t="shared" si="58"/>
        <v>0</v>
      </c>
      <c r="AO163" s="965">
        <f t="shared" si="58"/>
        <v>0</v>
      </c>
      <c r="AP163" s="965">
        <f t="shared" si="58"/>
        <v>0</v>
      </c>
      <c r="AQ163" s="965">
        <f t="shared" si="58"/>
        <v>0</v>
      </c>
      <c r="AR163" s="965">
        <f t="shared" si="58"/>
        <v>0</v>
      </c>
      <c r="AS163" s="965">
        <f t="shared" si="58"/>
        <v>0</v>
      </c>
      <c r="AT163" s="965">
        <f t="shared" si="58"/>
        <v>0</v>
      </c>
      <c r="AU163" s="166"/>
      <c r="AV163" s="166"/>
      <c r="AW163" s="166"/>
      <c r="AX163" s="166"/>
      <c r="AY163" s="166"/>
      <c r="AZ163" s="166"/>
      <c r="BA163" s="166"/>
      <c r="BB163" s="166"/>
      <c r="BC163" s="166"/>
      <c r="BD163" s="166"/>
      <c r="BE163" s="166"/>
      <c r="BF163" s="166"/>
      <c r="BG163" s="166"/>
      <c r="BH163" s="166"/>
      <c r="BI163" s="166"/>
      <c r="BJ163" s="166"/>
      <c r="BK163" s="166"/>
      <c r="BL163" s="166"/>
      <c r="BM163" s="166"/>
      <c r="BN163" s="166"/>
    </row>
    <row r="164" spans="2:66" x14ac:dyDescent="0.25">
      <c r="B164" s="831" t="str">
        <f t="shared" si="57"/>
        <v>Activos nuevos 3 - Valor residual</v>
      </c>
      <c r="C164" s="965">
        <f t="shared" si="58"/>
        <v>0</v>
      </c>
      <c r="D164" s="965">
        <f t="shared" si="58"/>
        <v>0</v>
      </c>
      <c r="E164" s="965">
        <f t="shared" si="58"/>
        <v>0</v>
      </c>
      <c r="F164" s="965">
        <f t="shared" si="58"/>
        <v>0</v>
      </c>
      <c r="G164" s="965">
        <f t="shared" si="58"/>
        <v>0</v>
      </c>
      <c r="H164" s="965">
        <f t="shared" si="58"/>
        <v>0</v>
      </c>
      <c r="I164" s="965">
        <f t="shared" si="58"/>
        <v>0</v>
      </c>
      <c r="J164" s="965">
        <f t="shared" si="58"/>
        <v>0</v>
      </c>
      <c r="K164" s="965">
        <f t="shared" si="58"/>
        <v>0</v>
      </c>
      <c r="L164" s="965">
        <f t="shared" si="58"/>
        <v>0</v>
      </c>
      <c r="M164" s="965">
        <f t="shared" si="58"/>
        <v>0</v>
      </c>
      <c r="N164" s="965">
        <f t="shared" si="58"/>
        <v>0</v>
      </c>
      <c r="O164" s="965">
        <f t="shared" si="58"/>
        <v>0</v>
      </c>
      <c r="P164" s="965">
        <f t="shared" si="58"/>
        <v>0</v>
      </c>
      <c r="Q164" s="965">
        <f t="shared" si="58"/>
        <v>0</v>
      </c>
      <c r="R164" s="965">
        <f t="shared" si="58"/>
        <v>0</v>
      </c>
      <c r="S164" s="965">
        <f t="shared" si="58"/>
        <v>0</v>
      </c>
      <c r="T164" s="965">
        <f t="shared" si="58"/>
        <v>0</v>
      </c>
      <c r="U164" s="965">
        <f t="shared" si="58"/>
        <v>0</v>
      </c>
      <c r="V164" s="965">
        <f t="shared" si="58"/>
        <v>0</v>
      </c>
      <c r="W164" s="965">
        <f t="shared" si="58"/>
        <v>0</v>
      </c>
      <c r="X164" s="965">
        <f t="shared" si="58"/>
        <v>0</v>
      </c>
      <c r="Y164" s="965">
        <f t="shared" si="58"/>
        <v>0</v>
      </c>
      <c r="Z164" s="965">
        <f t="shared" si="58"/>
        <v>0</v>
      </c>
      <c r="AA164" s="965">
        <f t="shared" si="58"/>
        <v>0</v>
      </c>
      <c r="AB164" s="965">
        <f t="shared" si="58"/>
        <v>0</v>
      </c>
      <c r="AC164" s="965">
        <f t="shared" si="58"/>
        <v>3734487.0931000183</v>
      </c>
      <c r="AD164" s="965">
        <f t="shared" si="58"/>
        <v>3361038.3837900166</v>
      </c>
      <c r="AE164" s="965">
        <f t="shared" si="58"/>
        <v>2987589.6744800149</v>
      </c>
      <c r="AF164" s="965">
        <f t="shared" si="58"/>
        <v>2614140.9651700133</v>
      </c>
      <c r="AG164" s="965">
        <f t="shared" si="58"/>
        <v>2240692.2558600116</v>
      </c>
      <c r="AH164" s="965">
        <f t="shared" si="58"/>
        <v>1867243.5465500099</v>
      </c>
      <c r="AI164" s="965">
        <f t="shared" si="58"/>
        <v>1493794.8372400082</v>
      </c>
      <c r="AJ164" s="965">
        <f t="shared" si="58"/>
        <v>1120346.1279300065</v>
      </c>
      <c r="AK164" s="965">
        <f t="shared" si="58"/>
        <v>746897.41862000467</v>
      </c>
      <c r="AL164" s="965">
        <f t="shared" si="58"/>
        <v>373448.70931000286</v>
      </c>
      <c r="AM164" s="965">
        <f t="shared" si="58"/>
        <v>1.0477378964424133E-9</v>
      </c>
      <c r="AN164" s="965">
        <f t="shared" si="58"/>
        <v>0</v>
      </c>
      <c r="AO164" s="965">
        <f t="shared" si="58"/>
        <v>0</v>
      </c>
      <c r="AP164" s="965">
        <f t="shared" si="58"/>
        <v>0</v>
      </c>
      <c r="AQ164" s="965">
        <f t="shared" si="58"/>
        <v>0</v>
      </c>
      <c r="AR164" s="965">
        <f t="shared" ref="C164:AT166" si="59">AR88</f>
        <v>0</v>
      </c>
      <c r="AS164" s="965">
        <f t="shared" si="59"/>
        <v>0</v>
      </c>
      <c r="AT164" s="965">
        <f t="shared" si="59"/>
        <v>0</v>
      </c>
      <c r="AU164" s="166"/>
      <c r="AV164" s="166"/>
      <c r="AW164" s="166"/>
      <c r="AX164" s="166"/>
      <c r="AY164" s="166"/>
      <c r="AZ164" s="166"/>
      <c r="BA164" s="166"/>
      <c r="BB164" s="166"/>
      <c r="BC164" s="166"/>
      <c r="BD164" s="166"/>
      <c r="BE164" s="166"/>
      <c r="BF164" s="166"/>
      <c r="BG164" s="166"/>
      <c r="BH164" s="166"/>
      <c r="BI164" s="166"/>
      <c r="BJ164" s="166"/>
      <c r="BK164" s="166"/>
      <c r="BL164" s="166"/>
      <c r="BM164" s="166"/>
      <c r="BN164" s="166"/>
    </row>
    <row r="165" spans="2:66" x14ac:dyDescent="0.25">
      <c r="B165" s="831" t="str">
        <f t="shared" si="57"/>
        <v>Activos nuevos 4 - Depreciacion 15 años</v>
      </c>
      <c r="C165" s="965">
        <f t="shared" si="59"/>
        <v>0</v>
      </c>
      <c r="D165" s="965">
        <f t="shared" si="59"/>
        <v>0</v>
      </c>
      <c r="E165" s="965">
        <f t="shared" si="59"/>
        <v>0</v>
      </c>
      <c r="F165" s="965">
        <f t="shared" si="59"/>
        <v>0</v>
      </c>
      <c r="G165" s="965">
        <f t="shared" si="59"/>
        <v>0</v>
      </c>
      <c r="H165" s="965">
        <f t="shared" si="59"/>
        <v>0</v>
      </c>
      <c r="I165" s="965">
        <f t="shared" si="59"/>
        <v>0</v>
      </c>
      <c r="J165" s="965">
        <f t="shared" si="59"/>
        <v>0</v>
      </c>
      <c r="K165" s="965">
        <f t="shared" si="59"/>
        <v>0</v>
      </c>
      <c r="L165" s="965">
        <f t="shared" si="59"/>
        <v>0</v>
      </c>
      <c r="M165" s="965">
        <f t="shared" si="59"/>
        <v>0</v>
      </c>
      <c r="N165" s="965">
        <f t="shared" si="59"/>
        <v>0</v>
      </c>
      <c r="O165" s="965">
        <f t="shared" si="59"/>
        <v>0</v>
      </c>
      <c r="P165" s="965">
        <f t="shared" si="59"/>
        <v>0</v>
      </c>
      <c r="Q165" s="965">
        <f t="shared" si="59"/>
        <v>0</v>
      </c>
      <c r="R165" s="965">
        <f t="shared" si="59"/>
        <v>0</v>
      </c>
      <c r="S165" s="965">
        <f t="shared" si="59"/>
        <v>0</v>
      </c>
      <c r="T165" s="965">
        <f t="shared" si="59"/>
        <v>0</v>
      </c>
      <c r="U165" s="965">
        <f t="shared" si="59"/>
        <v>0</v>
      </c>
      <c r="V165" s="965">
        <f t="shared" si="59"/>
        <v>0</v>
      </c>
      <c r="W165" s="965">
        <f t="shared" si="59"/>
        <v>0</v>
      </c>
      <c r="X165" s="965">
        <f t="shared" si="59"/>
        <v>0</v>
      </c>
      <c r="Y165" s="965">
        <f t="shared" si="59"/>
        <v>0</v>
      </c>
      <c r="Z165" s="965">
        <f t="shared" si="59"/>
        <v>0</v>
      </c>
      <c r="AA165" s="965">
        <f t="shared" si="59"/>
        <v>0</v>
      </c>
      <c r="AB165" s="965">
        <f t="shared" si="59"/>
        <v>0</v>
      </c>
      <c r="AC165" s="965">
        <f t="shared" si="59"/>
        <v>0</v>
      </c>
      <c r="AD165" s="965">
        <f t="shared" si="59"/>
        <v>0</v>
      </c>
      <c r="AE165" s="965">
        <f t="shared" si="59"/>
        <v>0</v>
      </c>
      <c r="AF165" s="965">
        <f t="shared" si="59"/>
        <v>0</v>
      </c>
      <c r="AG165" s="965">
        <f t="shared" si="59"/>
        <v>0</v>
      </c>
      <c r="AH165" s="965">
        <f t="shared" si="59"/>
        <v>0</v>
      </c>
      <c r="AI165" s="965">
        <f t="shared" si="59"/>
        <v>0</v>
      </c>
      <c r="AJ165" s="965">
        <f t="shared" si="59"/>
        <v>0</v>
      </c>
      <c r="AK165" s="965">
        <f t="shared" si="59"/>
        <v>0</v>
      </c>
      <c r="AL165" s="965">
        <f t="shared" si="59"/>
        <v>0</v>
      </c>
      <c r="AM165" s="965">
        <f t="shared" si="59"/>
        <v>0</v>
      </c>
      <c r="AN165" s="965">
        <f t="shared" si="59"/>
        <v>0</v>
      </c>
      <c r="AO165" s="965">
        <f t="shared" si="59"/>
        <v>-1606150.4772574131</v>
      </c>
      <c r="AP165" s="965">
        <f t="shared" si="59"/>
        <v>-1606150.4772574131</v>
      </c>
      <c r="AQ165" s="965">
        <f t="shared" si="59"/>
        <v>-1606150.4772574131</v>
      </c>
      <c r="AR165" s="965">
        <f t="shared" si="59"/>
        <v>-1606150.4772574131</v>
      </c>
      <c r="AS165" s="965">
        <f t="shared" si="59"/>
        <v>-1606150.4772574131</v>
      </c>
      <c r="AT165" s="965">
        <f t="shared" si="59"/>
        <v>-1606150.4772574131</v>
      </c>
      <c r="AU165" s="166"/>
      <c r="AV165" s="166"/>
      <c r="AW165" s="166"/>
      <c r="AX165" s="166"/>
      <c r="AY165" s="166"/>
      <c r="AZ165" s="166"/>
      <c r="BA165" s="166"/>
      <c r="BB165" s="166"/>
      <c r="BC165" s="166"/>
      <c r="BD165" s="166"/>
      <c r="BE165" s="166"/>
      <c r="BF165" s="166"/>
      <c r="BG165" s="166"/>
      <c r="BH165" s="166"/>
      <c r="BI165" s="166"/>
      <c r="BJ165" s="166"/>
      <c r="BK165" s="166"/>
      <c r="BL165" s="166"/>
      <c r="BM165" s="166"/>
      <c r="BN165" s="166"/>
    </row>
    <row r="166" spans="2:66" x14ac:dyDescent="0.25">
      <c r="B166" s="846" t="str">
        <f t="shared" si="57"/>
        <v>Activos nuevos 4 - Valor residual</v>
      </c>
      <c r="C166" s="968">
        <f t="shared" si="59"/>
        <v>0</v>
      </c>
      <c r="D166" s="968">
        <f t="shared" si="59"/>
        <v>0</v>
      </c>
      <c r="E166" s="968">
        <f t="shared" si="59"/>
        <v>0</v>
      </c>
      <c r="F166" s="968">
        <f t="shared" si="59"/>
        <v>0</v>
      </c>
      <c r="G166" s="968">
        <f t="shared" si="59"/>
        <v>0</v>
      </c>
      <c r="H166" s="968">
        <f t="shared" si="59"/>
        <v>0</v>
      </c>
      <c r="I166" s="968">
        <f t="shared" si="59"/>
        <v>0</v>
      </c>
      <c r="J166" s="968">
        <f t="shared" si="59"/>
        <v>0</v>
      </c>
      <c r="K166" s="968">
        <f t="shared" si="59"/>
        <v>0</v>
      </c>
      <c r="L166" s="968">
        <f t="shared" si="59"/>
        <v>0</v>
      </c>
      <c r="M166" s="968">
        <f t="shared" si="59"/>
        <v>0</v>
      </c>
      <c r="N166" s="968">
        <f t="shared" si="59"/>
        <v>0</v>
      </c>
      <c r="O166" s="968">
        <f t="shared" si="59"/>
        <v>0</v>
      </c>
      <c r="P166" s="968">
        <f t="shared" si="59"/>
        <v>0</v>
      </c>
      <c r="Q166" s="968">
        <f t="shared" si="59"/>
        <v>0</v>
      </c>
      <c r="R166" s="968">
        <f t="shared" si="59"/>
        <v>0</v>
      </c>
      <c r="S166" s="968">
        <f t="shared" si="59"/>
        <v>0</v>
      </c>
      <c r="T166" s="968">
        <f t="shared" si="59"/>
        <v>0</v>
      </c>
      <c r="U166" s="968">
        <f t="shared" si="59"/>
        <v>0</v>
      </c>
      <c r="V166" s="968">
        <f t="shared" si="59"/>
        <v>0</v>
      </c>
      <c r="W166" s="968">
        <f t="shared" si="59"/>
        <v>0</v>
      </c>
      <c r="X166" s="968">
        <f t="shared" si="59"/>
        <v>0</v>
      </c>
      <c r="Y166" s="968">
        <f t="shared" si="59"/>
        <v>0</v>
      </c>
      <c r="Z166" s="968">
        <f t="shared" si="59"/>
        <v>0</v>
      </c>
      <c r="AA166" s="968">
        <f t="shared" si="59"/>
        <v>0</v>
      </c>
      <c r="AB166" s="968">
        <f t="shared" si="59"/>
        <v>0</v>
      </c>
      <c r="AC166" s="968">
        <f t="shared" si="59"/>
        <v>0</v>
      </c>
      <c r="AD166" s="968">
        <f t="shared" si="59"/>
        <v>0</v>
      </c>
      <c r="AE166" s="968">
        <f t="shared" si="59"/>
        <v>0</v>
      </c>
      <c r="AF166" s="968">
        <f t="shared" si="59"/>
        <v>0</v>
      </c>
      <c r="AG166" s="968">
        <f t="shared" si="59"/>
        <v>0</v>
      </c>
      <c r="AH166" s="968">
        <f t="shared" si="59"/>
        <v>0</v>
      </c>
      <c r="AI166" s="968">
        <f t="shared" si="59"/>
        <v>0</v>
      </c>
      <c r="AJ166" s="968">
        <f t="shared" si="59"/>
        <v>0</v>
      </c>
      <c r="AK166" s="968">
        <f t="shared" si="59"/>
        <v>0</v>
      </c>
      <c r="AL166" s="968">
        <f t="shared" si="59"/>
        <v>0</v>
      </c>
      <c r="AM166" s="968">
        <f t="shared" si="59"/>
        <v>0</v>
      </c>
      <c r="AN166" s="968">
        <f t="shared" si="59"/>
        <v>0</v>
      </c>
      <c r="AO166" s="968">
        <f t="shared" si="59"/>
        <v>24092257.158861194</v>
      </c>
      <c r="AP166" s="968">
        <f t="shared" si="59"/>
        <v>22486106.681603782</v>
      </c>
      <c r="AQ166" s="968">
        <f t="shared" si="59"/>
        <v>20879956.20434637</v>
      </c>
      <c r="AR166" s="968">
        <f t="shared" si="59"/>
        <v>19273805.727088958</v>
      </c>
      <c r="AS166" s="968">
        <f t="shared" si="59"/>
        <v>17667655.249831546</v>
      </c>
      <c r="AT166" s="968">
        <f t="shared" si="59"/>
        <v>16061504.772574132</v>
      </c>
      <c r="AU166" s="166"/>
      <c r="AV166" s="166"/>
      <c r="AW166" s="166"/>
      <c r="AX166" s="166"/>
      <c r="AY166" s="166"/>
      <c r="AZ166" s="166"/>
      <c r="BA166" s="166"/>
      <c r="BB166" s="166"/>
      <c r="BC166" s="166"/>
      <c r="BD166" s="166"/>
      <c r="BE166" s="166"/>
      <c r="BF166" s="166"/>
      <c r="BG166" s="166"/>
      <c r="BH166" s="166"/>
      <c r="BI166" s="166"/>
      <c r="BJ166" s="166"/>
      <c r="BK166" s="166"/>
      <c r="BL166" s="166"/>
      <c r="BM166" s="166"/>
      <c r="BN166" s="166"/>
    </row>
    <row r="167" spans="2:66" x14ac:dyDescent="0.25">
      <c r="B167" s="845" t="s">
        <v>441</v>
      </c>
      <c r="C167" s="824">
        <v>0</v>
      </c>
      <c r="D167" s="824">
        <v>0</v>
      </c>
      <c r="E167" s="824">
        <v>0</v>
      </c>
      <c r="F167" s="824">
        <v>0</v>
      </c>
      <c r="G167" s="824">
        <f>SUM(G153:G157)+G159+G161+G163+G165</f>
        <v>-2606586.1930182963</v>
      </c>
      <c r="H167" s="824">
        <f t="shared" ref="H167:AT167" si="60">SUM(H153:H157)+H159+H161+H163+H165</f>
        <v>-2606586.1930182963</v>
      </c>
      <c r="I167" s="824">
        <f t="shared" si="60"/>
        <v>-2606586.1930182963</v>
      </c>
      <c r="J167" s="824">
        <f t="shared" si="60"/>
        <v>-2606586.1930182963</v>
      </c>
      <c r="K167" s="824">
        <f t="shared" si="60"/>
        <v>-2606586.1930182963</v>
      </c>
      <c r="L167" s="824">
        <f t="shared" si="60"/>
        <v>-2465585.720269518</v>
      </c>
      <c r="M167" s="824">
        <f t="shared" si="60"/>
        <v>-2465585.720269518</v>
      </c>
      <c r="N167" s="824">
        <f t="shared" si="60"/>
        <v>-2465585.720269518</v>
      </c>
      <c r="O167" s="824">
        <f t="shared" si="60"/>
        <v>-2465585.720269518</v>
      </c>
      <c r="P167" s="824">
        <f t="shared" si="60"/>
        <v>-2465585.720269518</v>
      </c>
      <c r="Q167" s="824">
        <f t="shared" si="60"/>
        <v>-2230540.8319507265</v>
      </c>
      <c r="R167" s="824">
        <f t="shared" si="60"/>
        <v>-2531498.7427265975</v>
      </c>
      <c r="S167" s="824">
        <f t="shared" si="60"/>
        <v>-2531498.7427265975</v>
      </c>
      <c r="T167" s="824">
        <f t="shared" si="60"/>
        <v>-2531498.7427265975</v>
      </c>
      <c r="U167" s="824">
        <f t="shared" si="60"/>
        <v>-2531498.7427265975</v>
      </c>
      <c r="V167" s="824">
        <f t="shared" si="60"/>
        <v>-1904482.7785175557</v>
      </c>
      <c r="W167" s="824">
        <f t="shared" si="60"/>
        <v>-1904482.7785175557</v>
      </c>
      <c r="X167" s="824">
        <f t="shared" si="60"/>
        <v>-2776439.9375716699</v>
      </c>
      <c r="Y167" s="824">
        <f t="shared" si="60"/>
        <v>-2776439.9375716699</v>
      </c>
      <c r="Z167" s="824">
        <f t="shared" si="60"/>
        <v>-2776439.9375716699</v>
      </c>
      <c r="AA167" s="824">
        <f t="shared" si="60"/>
        <v>-2776439.9375716699</v>
      </c>
      <c r="AB167" s="824">
        <f t="shared" si="60"/>
        <v>-2776439.9375716699</v>
      </c>
      <c r="AC167" s="824">
        <f t="shared" si="60"/>
        <v>-2848930.7361058006</v>
      </c>
      <c r="AD167" s="824">
        <f t="shared" si="60"/>
        <v>-2848930.7361058006</v>
      </c>
      <c r="AE167" s="824">
        <f t="shared" si="60"/>
        <v>-2848930.7361058006</v>
      </c>
      <c r="AF167" s="824">
        <f t="shared" si="60"/>
        <v>-2848930.7361058006</v>
      </c>
      <c r="AG167" s="824">
        <f t="shared" si="60"/>
        <v>-2848930.7361058006</v>
      </c>
      <c r="AH167" s="824">
        <f t="shared" si="60"/>
        <v>-2848930.7361058006</v>
      </c>
      <c r="AI167" s="824">
        <f t="shared" si="60"/>
        <v>-2848930.7361058006</v>
      </c>
      <c r="AJ167" s="824">
        <f t="shared" si="60"/>
        <v>-2848930.7361058006</v>
      </c>
      <c r="AK167" s="824">
        <f t="shared" si="60"/>
        <v>-2848930.7361058006</v>
      </c>
      <c r="AL167" s="824">
        <f t="shared" si="60"/>
        <v>-2848930.7361058006</v>
      </c>
      <c r="AM167" s="824">
        <f t="shared" si="60"/>
        <v>-1976973.5770516866</v>
      </c>
      <c r="AN167" s="824">
        <f t="shared" si="60"/>
        <v>-1603524.8677416849</v>
      </c>
      <c r="AO167" s="824">
        <f t="shared" si="60"/>
        <v>-3209675.3449990982</v>
      </c>
      <c r="AP167" s="824">
        <f t="shared" si="60"/>
        <v>-3209675.3449990982</v>
      </c>
      <c r="AQ167" s="824">
        <f t="shared" si="60"/>
        <v>-3209675.3449990982</v>
      </c>
      <c r="AR167" s="824">
        <f t="shared" si="60"/>
        <v>-3209675.3449990982</v>
      </c>
      <c r="AS167" s="824">
        <f t="shared" si="60"/>
        <v>-3209675.3449990982</v>
      </c>
      <c r="AT167" s="824">
        <f t="shared" si="60"/>
        <v>-3209675.3449990982</v>
      </c>
      <c r="AU167" s="166"/>
      <c r="AV167" s="166"/>
      <c r="AW167" s="166"/>
      <c r="AX167" s="166"/>
      <c r="AY167" s="166"/>
      <c r="AZ167" s="166"/>
      <c r="BA167" s="166"/>
      <c r="BB167" s="166"/>
      <c r="BC167" s="166"/>
      <c r="BD167" s="166"/>
      <c r="BE167" s="166"/>
      <c r="BF167" s="166"/>
      <c r="BG167" s="166"/>
      <c r="BH167" s="166"/>
      <c r="BI167" s="166"/>
      <c r="BJ167" s="166"/>
      <c r="BK167" s="166"/>
      <c r="BL167" s="166"/>
      <c r="BM167" s="166"/>
      <c r="BN167" s="166"/>
    </row>
    <row r="168" spans="2:66" x14ac:dyDescent="0.25">
      <c r="B168" s="833" t="s">
        <v>435</v>
      </c>
      <c r="C168" s="824">
        <f>C158+C162+C166</f>
        <v>0</v>
      </c>
      <c r="D168" s="824">
        <f t="shared" ref="D168:F168" si="61">D158+D162+D166</f>
        <v>0</v>
      </c>
      <c r="E168" s="824">
        <f t="shared" si="61"/>
        <v>0</v>
      </c>
      <c r="F168" s="824">
        <f t="shared" si="61"/>
        <v>0</v>
      </c>
      <c r="G168" s="824">
        <f>G158+G160+G162+G164+G166</f>
        <v>91399247.348360002</v>
      </c>
      <c r="H168" s="824">
        <f t="shared" ref="H168:AT168" si="62">H158+H160+H162+H164+H166</f>
        <v>88792661.1553417</v>
      </c>
      <c r="I168" s="824">
        <f t="shared" si="62"/>
        <v>86186074.962323397</v>
      </c>
      <c r="J168" s="824">
        <f t="shared" si="62"/>
        <v>83579488.769305095</v>
      </c>
      <c r="K168" s="824">
        <f t="shared" si="62"/>
        <v>80972902.576286793</v>
      </c>
      <c r="L168" s="824">
        <f t="shared" si="62"/>
        <v>78507316.856017277</v>
      </c>
      <c r="M168" s="824">
        <f t="shared" si="62"/>
        <v>76041731.135747761</v>
      </c>
      <c r="N168" s="824">
        <f t="shared" si="62"/>
        <v>73576145.415478244</v>
      </c>
      <c r="O168" s="824">
        <f t="shared" si="62"/>
        <v>71110559.695208728</v>
      </c>
      <c r="P168" s="824">
        <f t="shared" si="62"/>
        <v>68644973.974939212</v>
      </c>
      <c r="Q168" s="824">
        <f t="shared" si="62"/>
        <v>66414433.142988488</v>
      </c>
      <c r="R168" s="824">
        <f t="shared" si="62"/>
        <v>67193471.41879648</v>
      </c>
      <c r="S168" s="824">
        <f t="shared" si="62"/>
        <v>64661972.676069878</v>
      </c>
      <c r="T168" s="824">
        <f t="shared" si="62"/>
        <v>62130473.933343284</v>
      </c>
      <c r="U168" s="824">
        <f t="shared" si="62"/>
        <v>59598975.19061669</v>
      </c>
      <c r="V168" s="824">
        <f t="shared" si="62"/>
        <v>57694492.412099138</v>
      </c>
      <c r="W168" s="824">
        <f t="shared" si="62"/>
        <v>55790009.633581579</v>
      </c>
      <c r="X168" s="824">
        <f t="shared" si="62"/>
        <v>66092927.081821628</v>
      </c>
      <c r="Y168" s="824">
        <f t="shared" si="62"/>
        <v>63316487.144249961</v>
      </c>
      <c r="Z168" s="824">
        <f t="shared" si="62"/>
        <v>60540047.206678294</v>
      </c>
      <c r="AA168" s="824">
        <f t="shared" si="62"/>
        <v>57763607.269106627</v>
      </c>
      <c r="AB168" s="824">
        <f t="shared" si="62"/>
        <v>54987167.331534967</v>
      </c>
      <c r="AC168" s="824">
        <f t="shared" si="62"/>
        <v>56246172.397839189</v>
      </c>
      <c r="AD168" s="824">
        <f t="shared" si="62"/>
        <v>53397241.661733389</v>
      </c>
      <c r="AE168" s="824">
        <f t="shared" si="62"/>
        <v>50548310.925627589</v>
      </c>
      <c r="AF168" s="824">
        <f t="shared" si="62"/>
        <v>47699380.18952179</v>
      </c>
      <c r="AG168" s="824">
        <f t="shared" si="62"/>
        <v>44850449.45341599</v>
      </c>
      <c r="AH168" s="824">
        <f t="shared" si="62"/>
        <v>42001518.717310205</v>
      </c>
      <c r="AI168" s="824">
        <f t="shared" si="62"/>
        <v>39152587.981204405</v>
      </c>
      <c r="AJ168" s="824">
        <f t="shared" si="62"/>
        <v>36303657.245098598</v>
      </c>
      <c r="AK168" s="824">
        <f t="shared" si="62"/>
        <v>33454726.508992799</v>
      </c>
      <c r="AL168" s="824">
        <f t="shared" si="62"/>
        <v>30605795.772886999</v>
      </c>
      <c r="AM168" s="824">
        <f t="shared" si="62"/>
        <v>28628822.195835307</v>
      </c>
      <c r="AN168" s="824">
        <f t="shared" si="62"/>
        <v>27025297.328093622</v>
      </c>
      <c r="AO168" s="824">
        <f t="shared" si="62"/>
        <v>49514029.619213134</v>
      </c>
      <c r="AP168" s="824">
        <f t="shared" si="62"/>
        <v>46304354.274214029</v>
      </c>
      <c r="AQ168" s="824">
        <f t="shared" si="62"/>
        <v>43094678.929214939</v>
      </c>
      <c r="AR168" s="824">
        <f t="shared" si="62"/>
        <v>39885003.584215835</v>
      </c>
      <c r="AS168" s="824">
        <f t="shared" si="62"/>
        <v>36675328.239216745</v>
      </c>
      <c r="AT168" s="824">
        <f t="shared" si="62"/>
        <v>33465652.89421764</v>
      </c>
      <c r="AU168" s="166"/>
      <c r="AV168" s="166"/>
      <c r="AW168" s="166"/>
      <c r="AX168" s="166"/>
      <c r="AY168" s="166"/>
      <c r="AZ168" s="166"/>
      <c r="BA168" s="166"/>
      <c r="BB168" s="166"/>
      <c r="BC168" s="166"/>
      <c r="BD168" s="166"/>
      <c r="BE168" s="166"/>
      <c r="BF168" s="166"/>
      <c r="BG168" s="166"/>
      <c r="BH168" s="166"/>
      <c r="BI168" s="166"/>
      <c r="BJ168" s="166"/>
      <c r="BK168" s="166"/>
      <c r="BL168" s="166"/>
      <c r="BM168" s="166"/>
      <c r="BN168" s="166"/>
    </row>
    <row r="169" spans="2:66" x14ac:dyDescent="0.25">
      <c r="B169" s="481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  <c r="R169" s="382"/>
      <c r="S169" s="382"/>
      <c r="T169" s="382"/>
      <c r="U169" s="382"/>
      <c r="V169" s="382"/>
      <c r="W169" s="382"/>
      <c r="X169" s="382"/>
      <c r="Y169" s="382"/>
      <c r="Z169" s="382"/>
      <c r="AA169" s="382"/>
      <c r="AB169" s="382"/>
      <c r="AC169" s="382"/>
      <c r="AD169" s="382"/>
      <c r="AE169" s="382"/>
      <c r="AF169" s="382"/>
      <c r="AG169" s="382"/>
      <c r="AH169" s="382"/>
      <c r="AI169" s="382"/>
      <c r="AJ169" s="382"/>
      <c r="AK169" s="382"/>
      <c r="AL169" s="382"/>
      <c r="AM169" s="382"/>
      <c r="AN169" s="382"/>
      <c r="AO169" s="382"/>
      <c r="AP169" s="382"/>
      <c r="AQ169" s="382"/>
      <c r="AR169" s="382"/>
      <c r="AS169" s="382"/>
      <c r="AT169" s="382"/>
      <c r="AU169" s="166"/>
      <c r="AV169" s="166"/>
      <c r="AW169" s="166"/>
      <c r="AX169" s="166"/>
      <c r="AY169" s="166"/>
      <c r="AZ169" s="166"/>
      <c r="BA169" s="166"/>
      <c r="BB169" s="166"/>
      <c r="BC169" s="166"/>
      <c r="BD169" s="166"/>
      <c r="BE169" s="166"/>
      <c r="BF169" s="166"/>
      <c r="BG169" s="166"/>
      <c r="BH169" s="166"/>
      <c r="BI169" s="166"/>
      <c r="BJ169" s="166"/>
      <c r="BK169" s="166"/>
      <c r="BL169" s="166"/>
      <c r="BM169" s="166"/>
      <c r="BN169" s="166"/>
    </row>
    <row r="170" spans="2:66" ht="13.8" thickBot="1" x14ac:dyDescent="0.3">
      <c r="B170" s="834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66"/>
      <c r="AV170" s="166"/>
      <c r="AW170" s="166"/>
      <c r="AX170" s="166"/>
      <c r="AY170" s="166"/>
      <c r="AZ170" s="166"/>
      <c r="BA170" s="166"/>
      <c r="BB170" s="166"/>
      <c r="BC170" s="166"/>
      <c r="BD170" s="166"/>
      <c r="BE170" s="166"/>
      <c r="BF170" s="166"/>
      <c r="BG170" s="166"/>
      <c r="BH170" s="166"/>
      <c r="BI170" s="166"/>
      <c r="BJ170" s="166"/>
      <c r="BK170" s="166"/>
      <c r="BL170" s="166"/>
      <c r="BM170" s="166"/>
      <c r="BN170" s="166"/>
    </row>
    <row r="171" spans="2:66" ht="14.4" x14ac:dyDescent="0.25">
      <c r="B171" s="835" t="s">
        <v>390</v>
      </c>
      <c r="C171" s="818"/>
      <c r="D171" s="818"/>
      <c r="E171" s="818"/>
      <c r="F171" s="818"/>
      <c r="G171" s="818"/>
      <c r="H171" s="818"/>
      <c r="I171" s="818"/>
      <c r="J171" s="818"/>
      <c r="K171" s="818"/>
      <c r="L171" s="818"/>
      <c r="M171" s="818"/>
      <c r="N171" s="818"/>
      <c r="O171" s="818"/>
      <c r="P171" s="818"/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  <c r="AA171" s="818"/>
      <c r="AB171" s="818"/>
      <c r="AC171" s="818"/>
      <c r="AD171" s="818"/>
      <c r="AE171" s="818"/>
      <c r="AF171" s="818"/>
      <c r="AG171" s="818"/>
      <c r="AH171" s="818"/>
      <c r="AI171" s="818"/>
      <c r="AJ171" s="818"/>
      <c r="AK171" s="818"/>
      <c r="AL171" s="818"/>
      <c r="AM171" s="818"/>
      <c r="AN171" s="818"/>
      <c r="AO171" s="818"/>
      <c r="AP171" s="818"/>
      <c r="AQ171" s="818"/>
      <c r="AR171" s="818"/>
      <c r="AS171" s="818"/>
      <c r="AT171" s="819"/>
      <c r="AU171" s="166"/>
      <c r="AV171" s="166"/>
      <c r="AW171" s="166"/>
      <c r="AX171" s="166"/>
      <c r="AY171" s="166"/>
      <c r="AZ171" s="166"/>
      <c r="BA171" s="166"/>
      <c r="BB171" s="166"/>
      <c r="BC171" s="166"/>
      <c r="BD171" s="166"/>
      <c r="BE171" s="166"/>
      <c r="BF171" s="166"/>
      <c r="BG171" s="166"/>
      <c r="BH171" s="166"/>
      <c r="BI171" s="166"/>
      <c r="BJ171" s="166"/>
      <c r="BK171" s="166"/>
      <c r="BL171" s="166"/>
      <c r="BM171" s="166"/>
      <c r="BN171" s="166"/>
    </row>
    <row r="172" spans="2:66" x14ac:dyDescent="0.25">
      <c r="B172" s="836" t="s">
        <v>391</v>
      </c>
      <c r="C172" s="268">
        <v>0</v>
      </c>
      <c r="D172" s="268">
        <v>0</v>
      </c>
      <c r="E172" s="268">
        <v>0</v>
      </c>
      <c r="F172" s="268">
        <v>0</v>
      </c>
      <c r="G172" s="268">
        <f>-G148</f>
        <v>-2791546.919500811</v>
      </c>
      <c r="H172" s="268">
        <f t="shared" ref="H172:AT172" si="63">-H148</f>
        <v>-3091692.739287667</v>
      </c>
      <c r="I172" s="268">
        <f t="shared" si="63"/>
        <v>-2934364.0421133931</v>
      </c>
      <c r="J172" s="268">
        <f t="shared" si="63"/>
        <v>-3003556.4739287407</v>
      </c>
      <c r="K172" s="268">
        <f t="shared" si="63"/>
        <v>-6864999.4108087067</v>
      </c>
      <c r="L172" s="268">
        <f t="shared" si="63"/>
        <v>-3146987.7384020691</v>
      </c>
      <c r="M172" s="268">
        <f t="shared" si="63"/>
        <v>-3221309.8210025458</v>
      </c>
      <c r="N172" s="268">
        <f t="shared" si="63"/>
        <v>-3297426.7865636172</v>
      </c>
      <c r="O172" s="268">
        <f t="shared" si="63"/>
        <v>-3375382.9246263341</v>
      </c>
      <c r="P172" s="268">
        <f t="shared" si="63"/>
        <v>-7620124.5585567057</v>
      </c>
      <c r="Q172" s="268">
        <f t="shared" si="63"/>
        <v>-3536995.481726327</v>
      </c>
      <c r="R172" s="268">
        <f t="shared" si="63"/>
        <v>-3620746.1717735282</v>
      </c>
      <c r="S172" s="268">
        <f t="shared" si="63"/>
        <v>-3706524.6358547215</v>
      </c>
      <c r="T172" s="268">
        <f t="shared" si="63"/>
        <v>-3794381.0340164835</v>
      </c>
      <c r="U172" s="268">
        <f t="shared" si="63"/>
        <v>-8460551.8528040089</v>
      </c>
      <c r="V172" s="268">
        <f t="shared" si="63"/>
        <v>-3976534.6360238022</v>
      </c>
      <c r="W172" s="268">
        <f t="shared" si="63"/>
        <v>-4070938.621770741</v>
      </c>
      <c r="X172" s="268">
        <f t="shared" si="63"/>
        <v>-4167634.1731139594</v>
      </c>
      <c r="Y172" s="268">
        <f t="shared" si="63"/>
        <v>-4266678.1150930393</v>
      </c>
      <c r="Z172" s="268">
        <f t="shared" si="63"/>
        <v>-9396213.810979465</v>
      </c>
      <c r="AA172" s="268">
        <f t="shared" si="63"/>
        <v>-4472045.6967975702</v>
      </c>
      <c r="AB172" s="268">
        <f t="shared" si="63"/>
        <v>-4578490.3244372597</v>
      </c>
      <c r="AC172" s="268">
        <f t="shared" si="63"/>
        <v>-4687525.3956046067</v>
      </c>
      <c r="AD172" s="268">
        <f t="shared" si="63"/>
        <v>-4799215.3044166798</v>
      </c>
      <c r="AE172" s="268">
        <f t="shared" si="63"/>
        <v>-10438238.257315286</v>
      </c>
      <c r="AF172" s="268">
        <f t="shared" si="63"/>
        <v>-5030825.4186769668</v>
      </c>
      <c r="AG172" s="268">
        <f t="shared" si="63"/>
        <v>-5150882.7472600536</v>
      </c>
      <c r="AH172" s="268">
        <f t="shared" si="63"/>
        <v>-5273869.24748501</v>
      </c>
      <c r="AI172" s="268">
        <f t="shared" si="63"/>
        <v>-5399857.9116118001</v>
      </c>
      <c r="AJ172" s="268">
        <f t="shared" si="63"/>
        <v>-11599097.173153548</v>
      </c>
      <c r="AK172" s="268">
        <f t="shared" si="63"/>
        <v>-5661143.0252687559</v>
      </c>
      <c r="AL172" s="268">
        <f t="shared" si="63"/>
        <v>-5796594.9293390466</v>
      </c>
      <c r="AM172" s="268">
        <f t="shared" si="63"/>
        <v>-5935360.0062841373</v>
      </c>
      <c r="AN172" s="268">
        <f t="shared" si="63"/>
        <v>-6077521.0181308491</v>
      </c>
      <c r="AO172" s="268">
        <f t="shared" si="63"/>
        <v>-12892774.71989817</v>
      </c>
      <c r="AP172" s="268">
        <f t="shared" si="63"/>
        <v>-6372372.4917223342</v>
      </c>
      <c r="AQ172" s="268">
        <f t="shared" si="63"/>
        <v>-6525239.2401587041</v>
      </c>
      <c r="AR172" s="268">
        <f t="shared" si="63"/>
        <v>-6681854.610653758</v>
      </c>
      <c r="AS172" s="268">
        <f t="shared" si="63"/>
        <v>-6842312.4692722289</v>
      </c>
      <c r="AT172" s="799">
        <f t="shared" si="63"/>
        <v>-14334956.983977951</v>
      </c>
      <c r="AU172" s="166"/>
      <c r="AV172" s="166"/>
      <c r="AW172" s="166"/>
      <c r="AX172" s="166"/>
      <c r="AY172" s="166"/>
      <c r="AZ172" s="166"/>
      <c r="BA172" s="166"/>
      <c r="BB172" s="166"/>
      <c r="BC172" s="166"/>
      <c r="BD172" s="166"/>
      <c r="BE172" s="166"/>
      <c r="BF172" s="166"/>
      <c r="BG172" s="166"/>
      <c r="BH172" s="166"/>
      <c r="BI172" s="166"/>
      <c r="BJ172" s="166"/>
      <c r="BK172" s="166"/>
      <c r="BL172" s="166"/>
      <c r="BM172" s="166"/>
      <c r="BN172" s="166"/>
    </row>
    <row r="173" spans="2:66" ht="15" thickBot="1" x14ac:dyDescent="0.3">
      <c r="B173" s="842" t="s">
        <v>389</v>
      </c>
      <c r="C173" s="820"/>
      <c r="D173" s="820"/>
      <c r="E173" s="820"/>
      <c r="F173" s="820"/>
      <c r="G173" s="820">
        <f>G172</f>
        <v>-2791546.919500811</v>
      </c>
      <c r="H173" s="820">
        <f t="shared" ref="H173:AT173" si="64">H172</f>
        <v>-3091692.739287667</v>
      </c>
      <c r="I173" s="820">
        <f t="shared" si="64"/>
        <v>-2934364.0421133931</v>
      </c>
      <c r="J173" s="820">
        <f t="shared" si="64"/>
        <v>-3003556.4739287407</v>
      </c>
      <c r="K173" s="820">
        <f t="shared" si="64"/>
        <v>-6864999.4108087067</v>
      </c>
      <c r="L173" s="820">
        <f t="shared" si="64"/>
        <v>-3146987.7384020691</v>
      </c>
      <c r="M173" s="820">
        <f t="shared" si="64"/>
        <v>-3221309.8210025458</v>
      </c>
      <c r="N173" s="820">
        <f t="shared" si="64"/>
        <v>-3297426.7865636172</v>
      </c>
      <c r="O173" s="820">
        <f t="shared" si="64"/>
        <v>-3375382.9246263341</v>
      </c>
      <c r="P173" s="820">
        <f t="shared" si="64"/>
        <v>-7620124.5585567057</v>
      </c>
      <c r="Q173" s="820">
        <f t="shared" si="64"/>
        <v>-3536995.481726327</v>
      </c>
      <c r="R173" s="820">
        <f t="shared" si="64"/>
        <v>-3620746.1717735282</v>
      </c>
      <c r="S173" s="820">
        <f t="shared" si="64"/>
        <v>-3706524.6358547215</v>
      </c>
      <c r="T173" s="820">
        <f t="shared" si="64"/>
        <v>-3794381.0340164835</v>
      </c>
      <c r="U173" s="820">
        <f t="shared" si="64"/>
        <v>-8460551.8528040089</v>
      </c>
      <c r="V173" s="820">
        <f t="shared" si="64"/>
        <v>-3976534.6360238022</v>
      </c>
      <c r="W173" s="820">
        <f t="shared" si="64"/>
        <v>-4070938.621770741</v>
      </c>
      <c r="X173" s="820">
        <f t="shared" si="64"/>
        <v>-4167634.1731139594</v>
      </c>
      <c r="Y173" s="820">
        <f t="shared" si="64"/>
        <v>-4266678.1150930393</v>
      </c>
      <c r="Z173" s="820">
        <f t="shared" si="64"/>
        <v>-9396213.810979465</v>
      </c>
      <c r="AA173" s="820">
        <f t="shared" si="64"/>
        <v>-4472045.6967975702</v>
      </c>
      <c r="AB173" s="820">
        <f t="shared" si="64"/>
        <v>-4578490.3244372597</v>
      </c>
      <c r="AC173" s="820">
        <f t="shared" si="64"/>
        <v>-4687525.3956046067</v>
      </c>
      <c r="AD173" s="820">
        <f t="shared" si="64"/>
        <v>-4799215.3044166798</v>
      </c>
      <c r="AE173" s="820">
        <f t="shared" si="64"/>
        <v>-10438238.257315286</v>
      </c>
      <c r="AF173" s="820">
        <f t="shared" si="64"/>
        <v>-5030825.4186769668</v>
      </c>
      <c r="AG173" s="820">
        <f t="shared" si="64"/>
        <v>-5150882.7472600536</v>
      </c>
      <c r="AH173" s="820">
        <f t="shared" si="64"/>
        <v>-5273869.24748501</v>
      </c>
      <c r="AI173" s="820">
        <f t="shared" si="64"/>
        <v>-5399857.9116118001</v>
      </c>
      <c r="AJ173" s="820">
        <f t="shared" si="64"/>
        <v>-11599097.173153548</v>
      </c>
      <c r="AK173" s="820">
        <f t="shared" si="64"/>
        <v>-5661143.0252687559</v>
      </c>
      <c r="AL173" s="820">
        <f t="shared" si="64"/>
        <v>-5796594.9293390466</v>
      </c>
      <c r="AM173" s="820">
        <f t="shared" si="64"/>
        <v>-5935360.0062841373</v>
      </c>
      <c r="AN173" s="820">
        <f t="shared" si="64"/>
        <v>-6077521.0181308491</v>
      </c>
      <c r="AO173" s="820">
        <f t="shared" si="64"/>
        <v>-12892774.71989817</v>
      </c>
      <c r="AP173" s="820">
        <f t="shared" si="64"/>
        <v>-6372372.4917223342</v>
      </c>
      <c r="AQ173" s="820">
        <f t="shared" si="64"/>
        <v>-6525239.2401587041</v>
      </c>
      <c r="AR173" s="820">
        <f t="shared" si="64"/>
        <v>-6681854.610653758</v>
      </c>
      <c r="AS173" s="820">
        <f t="shared" si="64"/>
        <v>-6842312.4692722289</v>
      </c>
      <c r="AT173" s="821">
        <f t="shared" si="64"/>
        <v>-14334956.983977951</v>
      </c>
      <c r="AU173" s="166"/>
      <c r="AV173" s="166"/>
      <c r="AW173" s="166"/>
      <c r="AX173" s="166"/>
      <c r="AY173" s="166"/>
      <c r="AZ173" s="166"/>
      <c r="BA173" s="166"/>
      <c r="BB173" s="166"/>
      <c r="BC173" s="166"/>
      <c r="BD173" s="166"/>
      <c r="BE173" s="166"/>
      <c r="BF173" s="166"/>
      <c r="BG173" s="166"/>
      <c r="BH173" s="166"/>
      <c r="BI173" s="166"/>
      <c r="BJ173" s="166"/>
      <c r="BK173" s="166"/>
      <c r="BL173" s="166"/>
      <c r="BM173" s="166"/>
      <c r="BN173" s="166"/>
    </row>
    <row r="174" spans="2:66" ht="15" thickBot="1" x14ac:dyDescent="0.3">
      <c r="B174" s="837"/>
      <c r="C174" s="824"/>
      <c r="D174" s="824"/>
      <c r="E174" s="824"/>
      <c r="F174" s="824"/>
      <c r="G174" s="824"/>
      <c r="H174" s="824"/>
      <c r="I174" s="824"/>
      <c r="J174" s="824"/>
      <c r="K174" s="824"/>
      <c r="L174" s="824"/>
      <c r="M174" s="824"/>
      <c r="N174" s="824"/>
      <c r="O174" s="824"/>
      <c r="P174" s="824"/>
      <c r="Q174" s="824"/>
      <c r="R174" s="824"/>
      <c r="S174" s="824"/>
      <c r="T174" s="824"/>
      <c r="U174" s="824"/>
      <c r="V174" s="824"/>
      <c r="W174" s="824"/>
      <c r="X174" s="824"/>
      <c r="Y174" s="824"/>
      <c r="Z174" s="824"/>
      <c r="AA174" s="824"/>
      <c r="AB174" s="824"/>
      <c r="AC174" s="824"/>
      <c r="AD174" s="824"/>
      <c r="AE174" s="824"/>
      <c r="AF174" s="824"/>
      <c r="AG174" s="824"/>
      <c r="AH174" s="824"/>
      <c r="AI174" s="824"/>
      <c r="AJ174" s="824"/>
      <c r="AK174" s="824"/>
      <c r="AL174" s="824"/>
      <c r="AM174" s="824"/>
      <c r="AN174" s="824"/>
      <c r="AO174" s="824"/>
      <c r="AP174" s="824"/>
      <c r="AQ174" s="824"/>
      <c r="AR174" s="824"/>
      <c r="AS174" s="824"/>
      <c r="AT174" s="824"/>
      <c r="AU174" s="166"/>
      <c r="AV174" s="166"/>
      <c r="AW174" s="166"/>
      <c r="AX174" s="166"/>
      <c r="AY174" s="166"/>
      <c r="AZ174" s="166"/>
      <c r="BA174" s="166"/>
      <c r="BB174" s="166"/>
      <c r="BC174" s="166"/>
      <c r="BD174" s="166"/>
      <c r="BE174" s="166"/>
      <c r="BF174" s="166"/>
      <c r="BG174" s="166"/>
      <c r="BH174" s="166"/>
      <c r="BI174" s="166"/>
      <c r="BJ174" s="166"/>
      <c r="BK174" s="166"/>
      <c r="BL174" s="166"/>
      <c r="BM174" s="166"/>
      <c r="BN174" s="166"/>
    </row>
    <row r="175" spans="2:66" ht="14.4" x14ac:dyDescent="0.25">
      <c r="B175" s="835" t="s">
        <v>392</v>
      </c>
      <c r="C175" s="818"/>
      <c r="D175" s="818"/>
      <c r="E175" s="818"/>
      <c r="F175" s="818"/>
      <c r="G175" s="818"/>
      <c r="H175" s="818"/>
      <c r="I175" s="818"/>
      <c r="J175" s="818"/>
      <c r="K175" s="818"/>
      <c r="L175" s="818"/>
      <c r="M175" s="818"/>
      <c r="N175" s="818"/>
      <c r="O175" s="818"/>
      <c r="P175" s="818"/>
      <c r="Q175" s="818"/>
      <c r="R175" s="818"/>
      <c r="S175" s="818"/>
      <c r="T175" s="818"/>
      <c r="U175" s="818"/>
      <c r="V175" s="818"/>
      <c r="W175" s="818"/>
      <c r="X175" s="818"/>
      <c r="Y175" s="818"/>
      <c r="Z175" s="818"/>
      <c r="AA175" s="818"/>
      <c r="AB175" s="818"/>
      <c r="AC175" s="818"/>
      <c r="AD175" s="818"/>
      <c r="AE175" s="818"/>
      <c r="AF175" s="818"/>
      <c r="AG175" s="818"/>
      <c r="AH175" s="818"/>
      <c r="AI175" s="818"/>
      <c r="AJ175" s="818"/>
      <c r="AK175" s="818"/>
      <c r="AL175" s="818"/>
      <c r="AM175" s="818"/>
      <c r="AN175" s="818"/>
      <c r="AO175" s="818"/>
      <c r="AP175" s="818"/>
      <c r="AQ175" s="818"/>
      <c r="AR175" s="818"/>
      <c r="AS175" s="818"/>
      <c r="AT175" s="819"/>
      <c r="AU175" s="166"/>
      <c r="AV175" s="166"/>
      <c r="AW175" s="166"/>
      <c r="AX175" s="166"/>
      <c r="AY175" s="166"/>
      <c r="AZ175" s="166"/>
      <c r="BA175" s="166"/>
      <c r="BB175" s="166"/>
      <c r="BC175" s="166"/>
      <c r="BD175" s="166"/>
      <c r="BE175" s="166"/>
      <c r="BF175" s="166"/>
      <c r="BG175" s="166"/>
      <c r="BH175" s="166"/>
      <c r="BI175" s="166"/>
      <c r="BJ175" s="166"/>
      <c r="BK175" s="166"/>
      <c r="BL175" s="166"/>
      <c r="BM175" s="166"/>
      <c r="BN175" s="166"/>
    </row>
    <row r="176" spans="2:66" x14ac:dyDescent="0.25">
      <c r="B176" s="836" t="s">
        <v>393</v>
      </c>
      <c r="C176" s="268">
        <v>0</v>
      </c>
      <c r="D176" s="268">
        <v>0</v>
      </c>
      <c r="E176" s="268">
        <v>0</v>
      </c>
      <c r="F176" s="268">
        <v>0</v>
      </c>
      <c r="G176" s="178">
        <f t="shared" ref="G176:AT176" si="65">G150</f>
        <v>3581033.1219186783</v>
      </c>
      <c r="H176" s="178">
        <f t="shared" si="65"/>
        <v>4774710.8292249059</v>
      </c>
      <c r="I176" s="178">
        <f t="shared" si="65"/>
        <v>5047764.1495194668</v>
      </c>
      <c r="J176" s="178">
        <f t="shared" si="65"/>
        <v>5103568.1270842962</v>
      </c>
      <c r="K176" s="178">
        <f t="shared" si="65"/>
        <v>5367810.7376769492</v>
      </c>
      <c r="L176" s="178">
        <f t="shared" si="65"/>
        <v>5425869.1959353983</v>
      </c>
      <c r="M176" s="178">
        <f t="shared" si="65"/>
        <v>5705478.3314232752</v>
      </c>
      <c r="N176" s="178">
        <f t="shared" si="65"/>
        <v>5737809.123182172</v>
      </c>
      <c r="O176" s="178">
        <f t="shared" si="65"/>
        <v>6003253.5675046882</v>
      </c>
      <c r="P176" s="178">
        <f t="shared" si="65"/>
        <v>6036890.5232506432</v>
      </c>
      <c r="Q176" s="178">
        <f t="shared" si="65"/>
        <v>6315776.7891480625</v>
      </c>
      <c r="R176" s="178">
        <f t="shared" si="65"/>
        <v>6350772.6779061584</v>
      </c>
      <c r="S176" s="178">
        <f t="shared" si="65"/>
        <v>6615410.5610766122</v>
      </c>
      <c r="T176" s="178">
        <f t="shared" si="65"/>
        <v>6623477.2280596606</v>
      </c>
      <c r="U176" s="178">
        <f t="shared" si="65"/>
        <v>6899458.2684024321</v>
      </c>
      <c r="V176" s="178">
        <f t="shared" si="65"/>
        <v>6907850.8287315937</v>
      </c>
      <c r="W176" s="178">
        <f t="shared" si="65"/>
        <v>7195659.6219788119</v>
      </c>
      <c r="X176" s="178">
        <f t="shared" si="65"/>
        <v>7250591.5171310529</v>
      </c>
      <c r="Y176" s="178">
        <f t="shared" si="65"/>
        <v>7600666.5581395449</v>
      </c>
      <c r="Z176" s="178">
        <f t="shared" si="65"/>
        <v>7657817.7018559389</v>
      </c>
      <c r="AA176" s="178">
        <f t="shared" si="65"/>
        <v>8026653.5869334508</v>
      </c>
      <c r="AB176" s="178">
        <f t="shared" si="65"/>
        <v>8086113.6368559822</v>
      </c>
      <c r="AC176" s="178">
        <f t="shared" si="65"/>
        <v>8412792.6277849656</v>
      </c>
      <c r="AD176" s="178">
        <f t="shared" si="65"/>
        <v>8412792.6277849656</v>
      </c>
      <c r="AE176" s="178">
        <f t="shared" si="65"/>
        <v>8752669.4499474764</v>
      </c>
      <c r="AF176" s="178">
        <f t="shared" si="65"/>
        <v>8752669.4499474764</v>
      </c>
      <c r="AG176" s="178">
        <f t="shared" si="65"/>
        <v>9106277.2957253549</v>
      </c>
      <c r="AH176" s="178">
        <f t="shared" si="65"/>
        <v>9106277.2957253549</v>
      </c>
      <c r="AI176" s="178">
        <f t="shared" si="65"/>
        <v>9474170.8984726574</v>
      </c>
      <c r="AJ176" s="178">
        <f t="shared" si="65"/>
        <v>9474170.8984726574</v>
      </c>
      <c r="AK176" s="178">
        <f t="shared" si="65"/>
        <v>9856927.4027709551</v>
      </c>
      <c r="AL176" s="178">
        <f t="shared" si="65"/>
        <v>9856927.4027709551</v>
      </c>
      <c r="AM176" s="178">
        <f t="shared" si="65"/>
        <v>10255147.2698429</v>
      </c>
      <c r="AN176" s="178">
        <f t="shared" si="65"/>
        <v>10255147.2698429</v>
      </c>
      <c r="AO176" s="178">
        <f t="shared" si="65"/>
        <v>10669455.219544556</v>
      </c>
      <c r="AP176" s="178">
        <f t="shared" si="65"/>
        <v>10669455.219544556</v>
      </c>
      <c r="AQ176" s="178">
        <f t="shared" si="65"/>
        <v>11100501.210414156</v>
      </c>
      <c r="AR176" s="178">
        <f t="shared" si="65"/>
        <v>11100501.210414156</v>
      </c>
      <c r="AS176" s="178">
        <f t="shared" si="65"/>
        <v>11548961.459314888</v>
      </c>
      <c r="AT176" s="265">
        <f t="shared" si="65"/>
        <v>11548961.459314888</v>
      </c>
      <c r="AU176" s="166"/>
      <c r="AV176" s="166"/>
      <c r="AW176" s="166"/>
      <c r="AX176" s="166"/>
      <c r="AY176" s="166"/>
      <c r="AZ176" s="166"/>
      <c r="BA176" s="166"/>
      <c r="BB176" s="166"/>
      <c r="BC176" s="166"/>
      <c r="BD176" s="166"/>
      <c r="BE176" s="166"/>
      <c r="BF176" s="166"/>
      <c r="BG176" s="166"/>
      <c r="BH176" s="166"/>
      <c r="BI176" s="166"/>
      <c r="BJ176" s="166"/>
      <c r="BK176" s="166"/>
      <c r="BL176" s="166"/>
      <c r="BM176" s="166"/>
      <c r="BN176" s="166"/>
    </row>
    <row r="177" spans="2:66" x14ac:dyDescent="0.25">
      <c r="B177" s="836" t="s">
        <v>394</v>
      </c>
      <c r="C177" s="268">
        <v>0</v>
      </c>
      <c r="D177" s="268">
        <v>0</v>
      </c>
      <c r="E177" s="268">
        <v>0</v>
      </c>
      <c r="F177" s="268">
        <v>0</v>
      </c>
      <c r="G177" s="178">
        <f t="shared" ref="G177:AT177" si="66">G151</f>
        <v>420000</v>
      </c>
      <c r="H177" s="178">
        <f t="shared" si="66"/>
        <v>428400</v>
      </c>
      <c r="I177" s="178">
        <f t="shared" si="66"/>
        <v>436968</v>
      </c>
      <c r="J177" s="178">
        <f t="shared" si="66"/>
        <v>445707.36</v>
      </c>
      <c r="K177" s="178">
        <f t="shared" si="66"/>
        <v>454621.50719999999</v>
      </c>
      <c r="L177" s="178">
        <f t="shared" si="66"/>
        <v>463713.93734400003</v>
      </c>
      <c r="M177" s="178">
        <f t="shared" si="66"/>
        <v>472988.21609088004</v>
      </c>
      <c r="N177" s="178">
        <f t="shared" si="66"/>
        <v>482447.98041269754</v>
      </c>
      <c r="O177" s="178">
        <f t="shared" si="66"/>
        <v>492096.9400209515</v>
      </c>
      <c r="P177" s="178">
        <f t="shared" si="66"/>
        <v>501938.87882137054</v>
      </c>
      <c r="Q177" s="178">
        <f t="shared" si="66"/>
        <v>511977.65639779798</v>
      </c>
      <c r="R177" s="178">
        <f t="shared" si="66"/>
        <v>522217.20952575386</v>
      </c>
      <c r="S177" s="178">
        <f t="shared" si="66"/>
        <v>532661.55371626897</v>
      </c>
      <c r="T177" s="178">
        <f t="shared" si="66"/>
        <v>543314.78479059436</v>
      </c>
      <c r="U177" s="178">
        <f t="shared" si="66"/>
        <v>554181.08048640634</v>
      </c>
      <c r="V177" s="178">
        <f t="shared" si="66"/>
        <v>565264.70209613431</v>
      </c>
      <c r="W177" s="178">
        <f t="shared" si="66"/>
        <v>576569.99613805709</v>
      </c>
      <c r="X177" s="178">
        <f t="shared" si="66"/>
        <v>588101.39606081822</v>
      </c>
      <c r="Y177" s="178">
        <f t="shared" si="66"/>
        <v>599863.42398203455</v>
      </c>
      <c r="Z177" s="178">
        <f t="shared" si="66"/>
        <v>611860.69246167527</v>
      </c>
      <c r="AA177" s="178">
        <f t="shared" si="66"/>
        <v>624097.90631090873</v>
      </c>
      <c r="AB177" s="178">
        <f t="shared" si="66"/>
        <v>636579.8644371269</v>
      </c>
      <c r="AC177" s="178">
        <f t="shared" si="66"/>
        <v>649311.46172586945</v>
      </c>
      <c r="AD177" s="178">
        <f t="shared" si="66"/>
        <v>662297.69096038677</v>
      </c>
      <c r="AE177" s="178">
        <f t="shared" si="66"/>
        <v>675543.6447795945</v>
      </c>
      <c r="AF177" s="178">
        <f t="shared" si="66"/>
        <v>689054.51767518639</v>
      </c>
      <c r="AG177" s="178">
        <f t="shared" si="66"/>
        <v>702835.60802869021</v>
      </c>
      <c r="AH177" s="178">
        <f t="shared" si="66"/>
        <v>716892.3201892639</v>
      </c>
      <c r="AI177" s="178">
        <f t="shared" si="66"/>
        <v>731230.1665930493</v>
      </c>
      <c r="AJ177" s="178">
        <f t="shared" si="66"/>
        <v>745854.76992491016</v>
      </c>
      <c r="AK177" s="178">
        <f t="shared" si="66"/>
        <v>760771.86532340851</v>
      </c>
      <c r="AL177" s="178">
        <f t="shared" si="66"/>
        <v>775987.30262987642</v>
      </c>
      <c r="AM177" s="178">
        <f t="shared" si="66"/>
        <v>791507.04868247418</v>
      </c>
      <c r="AN177" s="178">
        <f t="shared" si="66"/>
        <v>807337.18965612364</v>
      </c>
      <c r="AO177" s="178">
        <f t="shared" si="66"/>
        <v>823483.93344924611</v>
      </c>
      <c r="AP177" s="178">
        <f t="shared" si="66"/>
        <v>839953.61211823102</v>
      </c>
      <c r="AQ177" s="178">
        <f t="shared" si="66"/>
        <v>856752.68436059554</v>
      </c>
      <c r="AR177" s="178">
        <f t="shared" si="66"/>
        <v>873887.73804780759</v>
      </c>
      <c r="AS177" s="178">
        <f t="shared" si="66"/>
        <v>891365.49280876387</v>
      </c>
      <c r="AT177" s="265">
        <f t="shared" si="66"/>
        <v>909192.80266493873</v>
      </c>
      <c r="AU177" s="166"/>
      <c r="AV177" s="166"/>
      <c r="AW177" s="166"/>
      <c r="AX177" s="166"/>
      <c r="AY177" s="166"/>
      <c r="AZ177" s="166"/>
      <c r="BA177" s="166"/>
      <c r="BB177" s="166"/>
      <c r="BC177" s="166"/>
      <c r="BD177" s="166"/>
      <c r="BE177" s="166"/>
      <c r="BF177" s="166"/>
      <c r="BG177" s="166"/>
      <c r="BH177" s="166"/>
      <c r="BI177" s="166"/>
      <c r="BJ177" s="166"/>
      <c r="BK177" s="166"/>
      <c r="BL177" s="166"/>
      <c r="BM177" s="166"/>
      <c r="BN177" s="166"/>
    </row>
    <row r="178" spans="2:66" ht="15" thickBot="1" x14ac:dyDescent="0.3">
      <c r="B178" s="842" t="s">
        <v>388</v>
      </c>
      <c r="C178" s="822">
        <v>0</v>
      </c>
      <c r="D178" s="822">
        <v>0</v>
      </c>
      <c r="E178" s="822">
        <v>0</v>
      </c>
      <c r="F178" s="822">
        <v>0</v>
      </c>
      <c r="G178" s="822">
        <f>G176+G177</f>
        <v>4001033.1219186783</v>
      </c>
      <c r="H178" s="822">
        <f t="shared" ref="H178:AT178" si="67">H176+H177</f>
        <v>5203110.8292249059</v>
      </c>
      <c r="I178" s="822">
        <f t="shared" si="67"/>
        <v>5484732.1495194668</v>
      </c>
      <c r="J178" s="822">
        <f t="shared" si="67"/>
        <v>5549275.4870842965</v>
      </c>
      <c r="K178" s="822">
        <f t="shared" si="67"/>
        <v>5822432.2448769491</v>
      </c>
      <c r="L178" s="822">
        <f t="shared" si="67"/>
        <v>5889583.1332793981</v>
      </c>
      <c r="M178" s="822">
        <f t="shared" si="67"/>
        <v>6178466.5475141555</v>
      </c>
      <c r="N178" s="822">
        <f t="shared" si="67"/>
        <v>6220257.1035948694</v>
      </c>
      <c r="O178" s="822">
        <f t="shared" si="67"/>
        <v>6495350.5075256396</v>
      </c>
      <c r="P178" s="822">
        <f t="shared" si="67"/>
        <v>6538829.4020720134</v>
      </c>
      <c r="Q178" s="822">
        <f t="shared" si="67"/>
        <v>6827754.4455458606</v>
      </c>
      <c r="R178" s="822">
        <f t="shared" si="67"/>
        <v>6872989.8874319121</v>
      </c>
      <c r="S178" s="822">
        <f t="shared" si="67"/>
        <v>7148072.1147928815</v>
      </c>
      <c r="T178" s="822">
        <f t="shared" si="67"/>
        <v>7166792.0128502548</v>
      </c>
      <c r="U178" s="822">
        <f t="shared" si="67"/>
        <v>7453639.3488888387</v>
      </c>
      <c r="V178" s="822">
        <f t="shared" si="67"/>
        <v>7473115.5308277281</v>
      </c>
      <c r="W178" s="822">
        <f t="shared" si="67"/>
        <v>7772229.6181168687</v>
      </c>
      <c r="X178" s="822">
        <f t="shared" si="67"/>
        <v>7838692.9131918708</v>
      </c>
      <c r="Y178" s="822">
        <f t="shared" si="67"/>
        <v>8200529.9821215793</v>
      </c>
      <c r="Z178" s="822">
        <f t="shared" si="67"/>
        <v>8269678.3943176139</v>
      </c>
      <c r="AA178" s="822">
        <f t="shared" si="67"/>
        <v>8650751.4932443593</v>
      </c>
      <c r="AB178" s="822">
        <f t="shared" si="67"/>
        <v>8722693.5012931097</v>
      </c>
      <c r="AC178" s="822">
        <f t="shared" si="67"/>
        <v>9062104.0895108357</v>
      </c>
      <c r="AD178" s="822">
        <f t="shared" si="67"/>
        <v>9075090.3187453523</v>
      </c>
      <c r="AE178" s="822">
        <f t="shared" si="67"/>
        <v>9428213.094727071</v>
      </c>
      <c r="AF178" s="822">
        <f t="shared" si="67"/>
        <v>9441723.967622662</v>
      </c>
      <c r="AG178" s="822">
        <f t="shared" si="67"/>
        <v>9809112.9037540443</v>
      </c>
      <c r="AH178" s="822">
        <f t="shared" si="67"/>
        <v>9823169.6159146186</v>
      </c>
      <c r="AI178" s="822">
        <f t="shared" si="67"/>
        <v>10205401.065065706</v>
      </c>
      <c r="AJ178" s="822">
        <f t="shared" si="67"/>
        <v>10220025.668397568</v>
      </c>
      <c r="AK178" s="822">
        <f t="shared" si="67"/>
        <v>10617699.268094365</v>
      </c>
      <c r="AL178" s="822">
        <f t="shared" si="67"/>
        <v>10632914.705400832</v>
      </c>
      <c r="AM178" s="822">
        <f t="shared" si="67"/>
        <v>11046654.318525374</v>
      </c>
      <c r="AN178" s="822">
        <f t="shared" si="67"/>
        <v>11062484.459499024</v>
      </c>
      <c r="AO178" s="822">
        <f t="shared" si="67"/>
        <v>11492939.152993802</v>
      </c>
      <c r="AP178" s="822">
        <f t="shared" si="67"/>
        <v>11509408.831662787</v>
      </c>
      <c r="AQ178" s="822">
        <f t="shared" si="67"/>
        <v>11957253.894774752</v>
      </c>
      <c r="AR178" s="822">
        <f t="shared" si="67"/>
        <v>11974388.948461965</v>
      </c>
      <c r="AS178" s="822">
        <f t="shared" si="67"/>
        <v>12440326.952123653</v>
      </c>
      <c r="AT178" s="823">
        <f t="shared" si="67"/>
        <v>12458154.261979828</v>
      </c>
      <c r="AU178" s="166"/>
      <c r="AV178" s="166"/>
      <c r="AW178" s="166"/>
      <c r="AX178" s="166"/>
      <c r="AY178" s="166"/>
      <c r="AZ178" s="166"/>
      <c r="BA178" s="166"/>
      <c r="BB178" s="166"/>
      <c r="BC178" s="166"/>
      <c r="BD178" s="166"/>
      <c r="BE178" s="166"/>
      <c r="BF178" s="166"/>
      <c r="BG178" s="166"/>
      <c r="BH178" s="166"/>
      <c r="BI178" s="166"/>
      <c r="BJ178" s="166"/>
      <c r="BK178" s="166"/>
      <c r="BL178" s="166"/>
      <c r="BM178" s="166"/>
      <c r="BN178" s="166"/>
    </row>
    <row r="179" spans="2:66" ht="15" thickBot="1" x14ac:dyDescent="0.3">
      <c r="B179" s="83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66"/>
      <c r="AV179" s="166"/>
      <c r="AW179" s="166"/>
      <c r="AX179" s="166"/>
      <c r="AY179" s="166"/>
      <c r="AZ179" s="166"/>
      <c r="BA179" s="166"/>
      <c r="BB179" s="166"/>
      <c r="BC179" s="166"/>
      <c r="BD179" s="166"/>
      <c r="BE179" s="166"/>
      <c r="BF179" s="166"/>
      <c r="BG179" s="166"/>
      <c r="BH179" s="166"/>
      <c r="BI179" s="166"/>
      <c r="BJ179" s="166"/>
      <c r="BK179" s="166"/>
      <c r="BL179" s="166"/>
      <c r="BM179" s="166"/>
      <c r="BN179" s="166"/>
    </row>
    <row r="180" spans="2:66" ht="15" thickBot="1" x14ac:dyDescent="0.3">
      <c r="B180" s="843" t="s">
        <v>387</v>
      </c>
      <c r="C180" s="825"/>
      <c r="D180" s="825"/>
      <c r="E180" s="825"/>
      <c r="F180" s="825"/>
      <c r="G180" s="826">
        <f>G178+G173</f>
        <v>1209486.2024178673</v>
      </c>
      <c r="H180" s="826">
        <f t="shared" ref="H180:AT180" si="68">H178+H173</f>
        <v>2111418.089937239</v>
      </c>
      <c r="I180" s="826">
        <f t="shared" si="68"/>
        <v>2550368.1074060737</v>
      </c>
      <c r="J180" s="826">
        <f t="shared" si="68"/>
        <v>2545719.0131555558</v>
      </c>
      <c r="K180" s="826">
        <f t="shared" si="68"/>
        <v>-1042567.1659317575</v>
      </c>
      <c r="L180" s="826">
        <f t="shared" si="68"/>
        <v>2742595.394877329</v>
      </c>
      <c r="M180" s="826">
        <f t="shared" si="68"/>
        <v>2957156.7265116097</v>
      </c>
      <c r="N180" s="826">
        <f t="shared" si="68"/>
        <v>2922830.3170312522</v>
      </c>
      <c r="O180" s="826">
        <f t="shared" si="68"/>
        <v>3119967.5828993055</v>
      </c>
      <c r="P180" s="826">
        <f t="shared" si="68"/>
        <v>-1081295.1564846924</v>
      </c>
      <c r="Q180" s="826">
        <f t="shared" si="68"/>
        <v>3290758.9638195336</v>
      </c>
      <c r="R180" s="826">
        <f t="shared" si="68"/>
        <v>3252243.7156583839</v>
      </c>
      <c r="S180" s="826">
        <f t="shared" si="68"/>
        <v>3441547.47893816</v>
      </c>
      <c r="T180" s="826">
        <f t="shared" si="68"/>
        <v>3372410.9788337713</v>
      </c>
      <c r="U180" s="826">
        <f t="shared" si="68"/>
        <v>-1006912.5039151702</v>
      </c>
      <c r="V180" s="826">
        <f t="shared" si="68"/>
        <v>3496580.8948039259</v>
      </c>
      <c r="W180" s="826">
        <f t="shared" si="68"/>
        <v>3701290.9963461277</v>
      </c>
      <c r="X180" s="826">
        <f t="shared" si="68"/>
        <v>3671058.7400779114</v>
      </c>
      <c r="Y180" s="826">
        <f t="shared" si="68"/>
        <v>3933851.86702854</v>
      </c>
      <c r="Z180" s="826">
        <f t="shared" si="68"/>
        <v>-1126535.4166618511</v>
      </c>
      <c r="AA180" s="826">
        <f t="shared" si="68"/>
        <v>4178705.7964467891</v>
      </c>
      <c r="AB180" s="826">
        <f t="shared" si="68"/>
        <v>4144203.17685585</v>
      </c>
      <c r="AC180" s="826">
        <f t="shared" si="68"/>
        <v>4374578.693906229</v>
      </c>
      <c r="AD180" s="826">
        <f t="shared" si="68"/>
        <v>4275875.0143286726</v>
      </c>
      <c r="AE180" s="826">
        <f t="shared" si="68"/>
        <v>-1010025.1625882145</v>
      </c>
      <c r="AF180" s="826">
        <f t="shared" si="68"/>
        <v>4410898.5489456952</v>
      </c>
      <c r="AG180" s="826">
        <f t="shared" si="68"/>
        <v>4658230.1564939907</v>
      </c>
      <c r="AH180" s="826">
        <f t="shared" si="68"/>
        <v>4549300.3684296086</v>
      </c>
      <c r="AI180" s="826">
        <f t="shared" si="68"/>
        <v>4805543.1534539061</v>
      </c>
      <c r="AJ180" s="826">
        <f t="shared" si="68"/>
        <v>-1379071.5047559794</v>
      </c>
      <c r="AK180" s="826">
        <f t="shared" si="68"/>
        <v>4956556.2428256087</v>
      </c>
      <c r="AL180" s="826">
        <f t="shared" si="68"/>
        <v>4836319.7760617854</v>
      </c>
      <c r="AM180" s="826">
        <f t="shared" si="68"/>
        <v>5111294.3122412367</v>
      </c>
      <c r="AN180" s="826">
        <f t="shared" si="68"/>
        <v>4984963.4413681747</v>
      </c>
      <c r="AO180" s="826">
        <f t="shared" si="68"/>
        <v>-1399835.5669043679</v>
      </c>
      <c r="AP180" s="826">
        <f t="shared" si="68"/>
        <v>5137036.3399404529</v>
      </c>
      <c r="AQ180" s="826">
        <f t="shared" si="68"/>
        <v>5432014.6546160476</v>
      </c>
      <c r="AR180" s="826">
        <f t="shared" si="68"/>
        <v>5292534.3378082067</v>
      </c>
      <c r="AS180" s="826">
        <f t="shared" si="68"/>
        <v>5598014.4828514243</v>
      </c>
      <c r="AT180" s="827">
        <f t="shared" si="68"/>
        <v>-1876802.7219981235</v>
      </c>
      <c r="AU180" s="166"/>
      <c r="AV180" s="166"/>
      <c r="AW180" s="166"/>
      <c r="AX180" s="166"/>
      <c r="AY180" s="166"/>
      <c r="AZ180" s="166"/>
      <c r="BA180" s="166"/>
      <c r="BB180" s="166"/>
      <c r="BC180" s="166"/>
      <c r="BD180" s="166"/>
      <c r="BE180" s="166"/>
      <c r="BF180" s="166"/>
      <c r="BG180" s="166"/>
      <c r="BH180" s="166"/>
      <c r="BI180" s="166"/>
      <c r="BJ180" s="166"/>
      <c r="BK180" s="166"/>
      <c r="BL180" s="166"/>
      <c r="BM180" s="166"/>
      <c r="BN180" s="166"/>
    </row>
    <row r="181" spans="2:66" ht="15" thickBot="1" x14ac:dyDescent="0.3">
      <c r="B181" s="839"/>
      <c r="C181" s="801"/>
      <c r="D181" s="801"/>
      <c r="E181" s="801"/>
      <c r="F181" s="801"/>
      <c r="G181" s="824"/>
      <c r="H181" s="824"/>
      <c r="I181" s="824"/>
      <c r="J181" s="824"/>
      <c r="K181" s="824"/>
      <c r="L181" s="824"/>
      <c r="M181" s="824"/>
      <c r="N181" s="824"/>
      <c r="O181" s="824"/>
      <c r="P181" s="824"/>
      <c r="Q181" s="824"/>
      <c r="R181" s="824"/>
      <c r="S181" s="824"/>
      <c r="T181" s="824"/>
      <c r="U181" s="824"/>
      <c r="V181" s="824"/>
      <c r="W181" s="824"/>
      <c r="X181" s="824"/>
      <c r="Y181" s="824"/>
      <c r="Z181" s="824"/>
      <c r="AA181" s="824"/>
      <c r="AB181" s="824"/>
      <c r="AC181" s="824"/>
      <c r="AD181" s="824"/>
      <c r="AE181" s="824"/>
      <c r="AF181" s="824"/>
      <c r="AG181" s="824"/>
      <c r="AH181" s="824"/>
      <c r="AI181" s="824"/>
      <c r="AJ181" s="824"/>
      <c r="AK181" s="824"/>
      <c r="AL181" s="824"/>
      <c r="AM181" s="824"/>
      <c r="AN181" s="824"/>
      <c r="AO181" s="824"/>
      <c r="AP181" s="824"/>
      <c r="AQ181" s="824"/>
      <c r="AR181" s="824"/>
      <c r="AS181" s="824"/>
      <c r="AT181" s="824"/>
      <c r="AU181" s="166"/>
      <c r="AV181" s="166"/>
      <c r="AW181" s="166"/>
      <c r="AX181" s="166"/>
      <c r="AY181" s="166"/>
      <c r="AZ181" s="166"/>
      <c r="BA181" s="166"/>
      <c r="BB181" s="166"/>
      <c r="BC181" s="166"/>
      <c r="BD181" s="166"/>
      <c r="BE181" s="166"/>
      <c r="BF181" s="166"/>
      <c r="BG181" s="166"/>
      <c r="BH181" s="166"/>
      <c r="BI181" s="166"/>
      <c r="BJ181" s="166"/>
      <c r="BK181" s="166"/>
      <c r="BL181" s="166"/>
      <c r="BM181" s="166"/>
      <c r="BN181" s="166"/>
    </row>
    <row r="182" spans="2:66" ht="14.4" x14ac:dyDescent="0.25">
      <c r="B182" s="835" t="s">
        <v>397</v>
      </c>
      <c r="C182" s="818"/>
      <c r="D182" s="818"/>
      <c r="E182" s="818"/>
      <c r="F182" s="818"/>
      <c r="G182" s="818"/>
      <c r="H182" s="818"/>
      <c r="I182" s="818"/>
      <c r="J182" s="818"/>
      <c r="K182" s="818"/>
      <c r="L182" s="818"/>
      <c r="M182" s="818"/>
      <c r="N182" s="818"/>
      <c r="O182" s="818"/>
      <c r="P182" s="818"/>
      <c r="Q182" s="818"/>
      <c r="R182" s="818"/>
      <c r="S182" s="818"/>
      <c r="T182" s="818"/>
      <c r="U182" s="818"/>
      <c r="V182" s="818"/>
      <c r="W182" s="818"/>
      <c r="X182" s="818"/>
      <c r="Y182" s="818"/>
      <c r="Z182" s="818"/>
      <c r="AA182" s="818"/>
      <c r="AB182" s="818"/>
      <c r="AC182" s="818"/>
      <c r="AD182" s="818"/>
      <c r="AE182" s="818"/>
      <c r="AF182" s="818"/>
      <c r="AG182" s="818"/>
      <c r="AH182" s="818"/>
      <c r="AI182" s="818"/>
      <c r="AJ182" s="818"/>
      <c r="AK182" s="818"/>
      <c r="AL182" s="818"/>
      <c r="AM182" s="818"/>
      <c r="AN182" s="818"/>
      <c r="AO182" s="818"/>
      <c r="AP182" s="818"/>
      <c r="AQ182" s="818"/>
      <c r="AR182" s="818"/>
      <c r="AS182" s="818"/>
      <c r="AT182" s="819"/>
      <c r="AU182" s="166"/>
      <c r="AV182" s="166"/>
      <c r="AW182" s="166"/>
      <c r="AX182" s="166"/>
      <c r="AY182" s="166"/>
      <c r="AZ182" s="166"/>
      <c r="BA182" s="166"/>
      <c r="BB182" s="166"/>
      <c r="BC182" s="166"/>
      <c r="BD182" s="166"/>
      <c r="BE182" s="166"/>
      <c r="BF182" s="166"/>
      <c r="BG182" s="166"/>
      <c r="BH182" s="166"/>
      <c r="BI182" s="166"/>
      <c r="BJ182" s="166"/>
      <c r="BK182" s="166"/>
      <c r="BL182" s="166"/>
      <c r="BM182" s="166"/>
      <c r="BN182" s="166"/>
    </row>
    <row r="183" spans="2:66" x14ac:dyDescent="0.25">
      <c r="B183" s="836" t="s">
        <v>442</v>
      </c>
      <c r="C183" s="268">
        <v>0</v>
      </c>
      <c r="D183" s="268">
        <v>0</v>
      </c>
      <c r="E183" s="268">
        <v>0</v>
      </c>
      <c r="F183" s="268">
        <v>0</v>
      </c>
      <c r="G183" s="178">
        <f>G180</f>
        <v>1209486.2024178673</v>
      </c>
      <c r="H183" s="178">
        <f t="shared" ref="H183:AT183" si="69">H180</f>
        <v>2111418.089937239</v>
      </c>
      <c r="I183" s="178">
        <f t="shared" si="69"/>
        <v>2550368.1074060737</v>
      </c>
      <c r="J183" s="178">
        <f t="shared" si="69"/>
        <v>2545719.0131555558</v>
      </c>
      <c r="K183" s="178">
        <f t="shared" si="69"/>
        <v>-1042567.1659317575</v>
      </c>
      <c r="L183" s="178">
        <f t="shared" si="69"/>
        <v>2742595.394877329</v>
      </c>
      <c r="M183" s="178">
        <f t="shared" si="69"/>
        <v>2957156.7265116097</v>
      </c>
      <c r="N183" s="178">
        <f t="shared" si="69"/>
        <v>2922830.3170312522</v>
      </c>
      <c r="O183" s="178">
        <f t="shared" si="69"/>
        <v>3119967.5828993055</v>
      </c>
      <c r="P183" s="178">
        <f t="shared" si="69"/>
        <v>-1081295.1564846924</v>
      </c>
      <c r="Q183" s="178">
        <f t="shared" si="69"/>
        <v>3290758.9638195336</v>
      </c>
      <c r="R183" s="178">
        <f t="shared" si="69"/>
        <v>3252243.7156583839</v>
      </c>
      <c r="S183" s="178">
        <f t="shared" si="69"/>
        <v>3441547.47893816</v>
      </c>
      <c r="T183" s="178">
        <f t="shared" si="69"/>
        <v>3372410.9788337713</v>
      </c>
      <c r="U183" s="178">
        <f t="shared" si="69"/>
        <v>-1006912.5039151702</v>
      </c>
      <c r="V183" s="178">
        <f t="shared" si="69"/>
        <v>3496580.8948039259</v>
      </c>
      <c r="W183" s="178">
        <f t="shared" si="69"/>
        <v>3701290.9963461277</v>
      </c>
      <c r="X183" s="178">
        <f t="shared" si="69"/>
        <v>3671058.7400779114</v>
      </c>
      <c r="Y183" s="178">
        <f t="shared" si="69"/>
        <v>3933851.86702854</v>
      </c>
      <c r="Z183" s="178">
        <f t="shared" si="69"/>
        <v>-1126535.4166618511</v>
      </c>
      <c r="AA183" s="178">
        <f t="shared" si="69"/>
        <v>4178705.7964467891</v>
      </c>
      <c r="AB183" s="178">
        <f t="shared" si="69"/>
        <v>4144203.17685585</v>
      </c>
      <c r="AC183" s="178">
        <f t="shared" si="69"/>
        <v>4374578.693906229</v>
      </c>
      <c r="AD183" s="178">
        <f t="shared" si="69"/>
        <v>4275875.0143286726</v>
      </c>
      <c r="AE183" s="178">
        <f t="shared" si="69"/>
        <v>-1010025.1625882145</v>
      </c>
      <c r="AF183" s="178">
        <f t="shared" si="69"/>
        <v>4410898.5489456952</v>
      </c>
      <c r="AG183" s="178">
        <f t="shared" si="69"/>
        <v>4658230.1564939907</v>
      </c>
      <c r="AH183" s="178">
        <f t="shared" si="69"/>
        <v>4549300.3684296086</v>
      </c>
      <c r="AI183" s="178">
        <f t="shared" si="69"/>
        <v>4805543.1534539061</v>
      </c>
      <c r="AJ183" s="178">
        <f t="shared" si="69"/>
        <v>-1379071.5047559794</v>
      </c>
      <c r="AK183" s="178">
        <f t="shared" si="69"/>
        <v>4956556.2428256087</v>
      </c>
      <c r="AL183" s="178">
        <f t="shared" si="69"/>
        <v>4836319.7760617854</v>
      </c>
      <c r="AM183" s="178">
        <f t="shared" si="69"/>
        <v>5111294.3122412367</v>
      </c>
      <c r="AN183" s="178">
        <f t="shared" si="69"/>
        <v>4984963.4413681747</v>
      </c>
      <c r="AO183" s="178">
        <f t="shared" si="69"/>
        <v>-1399835.5669043679</v>
      </c>
      <c r="AP183" s="178">
        <f t="shared" si="69"/>
        <v>5137036.3399404529</v>
      </c>
      <c r="AQ183" s="178">
        <f t="shared" si="69"/>
        <v>5432014.6546160476</v>
      </c>
      <c r="AR183" s="178">
        <f t="shared" si="69"/>
        <v>5292534.3378082067</v>
      </c>
      <c r="AS183" s="178">
        <f t="shared" si="69"/>
        <v>5598014.4828514243</v>
      </c>
      <c r="AT183" s="265">
        <f t="shared" si="69"/>
        <v>-1876802.7219981235</v>
      </c>
      <c r="AU183" s="166"/>
      <c r="AV183" s="166"/>
      <c r="AW183" s="166"/>
      <c r="AX183" s="166"/>
      <c r="AY183" s="166"/>
      <c r="AZ183" s="166"/>
      <c r="BA183" s="166"/>
      <c r="BB183" s="166"/>
      <c r="BC183" s="166"/>
      <c r="BD183" s="166"/>
      <c r="BE183" s="166"/>
      <c r="BF183" s="166"/>
      <c r="BG183" s="166"/>
      <c r="BH183" s="166"/>
      <c r="BI183" s="166"/>
      <c r="BJ183" s="166"/>
      <c r="BK183" s="166"/>
      <c r="BL183" s="166"/>
      <c r="BM183" s="166"/>
      <c r="BN183" s="166"/>
    </row>
    <row r="184" spans="2:66" x14ac:dyDescent="0.25">
      <c r="B184" s="836" t="s">
        <v>440</v>
      </c>
      <c r="C184" s="268">
        <v>0</v>
      </c>
      <c r="D184" s="268">
        <v>0</v>
      </c>
      <c r="E184" s="268">
        <v>0</v>
      </c>
      <c r="F184" s="268">
        <v>0</v>
      </c>
      <c r="G184" s="178">
        <f>IF(G183&gt;0,-$C$23*G183,0)</f>
        <v>0</v>
      </c>
      <c r="H184" s="178">
        <f t="shared" ref="H184:AT184" si="70">IF(H183&gt;0,-$C$23*H183,0)</f>
        <v>0</v>
      </c>
      <c r="I184" s="178">
        <f t="shared" si="70"/>
        <v>0</v>
      </c>
      <c r="J184" s="178">
        <f t="shared" si="70"/>
        <v>0</v>
      </c>
      <c r="K184" s="178">
        <f t="shared" si="70"/>
        <v>0</v>
      </c>
      <c r="L184" s="178">
        <f t="shared" si="70"/>
        <v>0</v>
      </c>
      <c r="M184" s="178">
        <f t="shared" si="70"/>
        <v>0</v>
      </c>
      <c r="N184" s="178">
        <f t="shared" si="70"/>
        <v>0</v>
      </c>
      <c r="O184" s="178">
        <f t="shared" si="70"/>
        <v>0</v>
      </c>
      <c r="P184" s="178">
        <f t="shared" si="70"/>
        <v>0</v>
      </c>
      <c r="Q184" s="178">
        <f t="shared" si="70"/>
        <v>0</v>
      </c>
      <c r="R184" s="178">
        <f t="shared" si="70"/>
        <v>0</v>
      </c>
      <c r="S184" s="178">
        <f t="shared" si="70"/>
        <v>0</v>
      </c>
      <c r="T184" s="178">
        <f t="shared" si="70"/>
        <v>0</v>
      </c>
      <c r="U184" s="178">
        <f t="shared" si="70"/>
        <v>0</v>
      </c>
      <c r="V184" s="178">
        <f t="shared" si="70"/>
        <v>0</v>
      </c>
      <c r="W184" s="178">
        <f t="shared" si="70"/>
        <v>0</v>
      </c>
      <c r="X184" s="178">
        <f t="shared" si="70"/>
        <v>0</v>
      </c>
      <c r="Y184" s="178">
        <f t="shared" si="70"/>
        <v>0</v>
      </c>
      <c r="Z184" s="178">
        <f t="shared" si="70"/>
        <v>0</v>
      </c>
      <c r="AA184" s="178">
        <f t="shared" si="70"/>
        <v>0</v>
      </c>
      <c r="AB184" s="178">
        <f t="shared" si="70"/>
        <v>0</v>
      </c>
      <c r="AC184" s="178">
        <f t="shared" si="70"/>
        <v>0</v>
      </c>
      <c r="AD184" s="178">
        <f t="shared" si="70"/>
        <v>0</v>
      </c>
      <c r="AE184" s="178">
        <f t="shared" si="70"/>
        <v>0</v>
      </c>
      <c r="AF184" s="178">
        <f t="shared" si="70"/>
        <v>0</v>
      </c>
      <c r="AG184" s="178">
        <f t="shared" si="70"/>
        <v>0</v>
      </c>
      <c r="AH184" s="178">
        <f t="shared" si="70"/>
        <v>0</v>
      </c>
      <c r="AI184" s="178">
        <f t="shared" si="70"/>
        <v>0</v>
      </c>
      <c r="AJ184" s="178">
        <f t="shared" si="70"/>
        <v>0</v>
      </c>
      <c r="AK184" s="178">
        <f t="shared" si="70"/>
        <v>0</v>
      </c>
      <c r="AL184" s="178">
        <f t="shared" si="70"/>
        <v>0</v>
      </c>
      <c r="AM184" s="178">
        <f t="shared" si="70"/>
        <v>0</v>
      </c>
      <c r="AN184" s="178">
        <f t="shared" si="70"/>
        <v>0</v>
      </c>
      <c r="AO184" s="178">
        <f t="shared" si="70"/>
        <v>0</v>
      </c>
      <c r="AP184" s="178">
        <f t="shared" si="70"/>
        <v>0</v>
      </c>
      <c r="AQ184" s="178">
        <f t="shared" si="70"/>
        <v>0</v>
      </c>
      <c r="AR184" s="178">
        <f t="shared" si="70"/>
        <v>0</v>
      </c>
      <c r="AS184" s="178">
        <f t="shared" si="70"/>
        <v>0</v>
      </c>
      <c r="AT184" s="265">
        <f t="shared" si="70"/>
        <v>0</v>
      </c>
      <c r="AU184" s="166"/>
      <c r="AV184" s="166"/>
      <c r="AW184" s="166"/>
      <c r="AX184" s="166"/>
      <c r="AY184" s="166"/>
      <c r="AZ184" s="166"/>
      <c r="BA184" s="166"/>
      <c r="BB184" s="166"/>
      <c r="BC184" s="166"/>
      <c r="BD184" s="166"/>
      <c r="BE184" s="166"/>
      <c r="BF184" s="166"/>
      <c r="BG184" s="166"/>
      <c r="BH184" s="166"/>
      <c r="BI184" s="166"/>
      <c r="BJ184" s="166"/>
      <c r="BK184" s="166"/>
      <c r="BL184" s="166"/>
      <c r="BM184" s="166"/>
      <c r="BN184" s="166"/>
    </row>
    <row r="185" spans="2:66" ht="14.4" x14ac:dyDescent="0.25">
      <c r="B185" s="840" t="s">
        <v>175</v>
      </c>
      <c r="C185" s="800">
        <v>0</v>
      </c>
      <c r="D185" s="800">
        <v>0</v>
      </c>
      <c r="E185" s="800">
        <v>0</v>
      </c>
      <c r="F185" s="800">
        <v>0</v>
      </c>
      <c r="G185" s="261">
        <f>G167</f>
        <v>-2606586.1930182963</v>
      </c>
      <c r="H185" s="261">
        <f t="shared" ref="H185:AT185" si="71">H167</f>
        <v>-2606586.1930182963</v>
      </c>
      <c r="I185" s="261">
        <f t="shared" si="71"/>
        <v>-2606586.1930182963</v>
      </c>
      <c r="J185" s="261">
        <f t="shared" si="71"/>
        <v>-2606586.1930182963</v>
      </c>
      <c r="K185" s="261">
        <f t="shared" si="71"/>
        <v>-2606586.1930182963</v>
      </c>
      <c r="L185" s="261">
        <f t="shared" si="71"/>
        <v>-2465585.720269518</v>
      </c>
      <c r="M185" s="261">
        <f t="shared" si="71"/>
        <v>-2465585.720269518</v>
      </c>
      <c r="N185" s="261">
        <f t="shared" si="71"/>
        <v>-2465585.720269518</v>
      </c>
      <c r="O185" s="261">
        <f t="shared" si="71"/>
        <v>-2465585.720269518</v>
      </c>
      <c r="P185" s="261">
        <f t="shared" si="71"/>
        <v>-2465585.720269518</v>
      </c>
      <c r="Q185" s="261">
        <f t="shared" si="71"/>
        <v>-2230540.8319507265</v>
      </c>
      <c r="R185" s="261">
        <f t="shared" si="71"/>
        <v>-2531498.7427265975</v>
      </c>
      <c r="S185" s="261">
        <f t="shared" si="71"/>
        <v>-2531498.7427265975</v>
      </c>
      <c r="T185" s="261">
        <f t="shared" si="71"/>
        <v>-2531498.7427265975</v>
      </c>
      <c r="U185" s="261">
        <f t="shared" si="71"/>
        <v>-2531498.7427265975</v>
      </c>
      <c r="V185" s="261">
        <f t="shared" si="71"/>
        <v>-1904482.7785175557</v>
      </c>
      <c r="W185" s="261">
        <f t="shared" si="71"/>
        <v>-1904482.7785175557</v>
      </c>
      <c r="X185" s="261">
        <f t="shared" si="71"/>
        <v>-2776439.9375716699</v>
      </c>
      <c r="Y185" s="261">
        <f t="shared" si="71"/>
        <v>-2776439.9375716699</v>
      </c>
      <c r="Z185" s="261">
        <f t="shared" si="71"/>
        <v>-2776439.9375716699</v>
      </c>
      <c r="AA185" s="261">
        <f t="shared" si="71"/>
        <v>-2776439.9375716699</v>
      </c>
      <c r="AB185" s="261">
        <f t="shared" si="71"/>
        <v>-2776439.9375716699</v>
      </c>
      <c r="AC185" s="261">
        <f t="shared" si="71"/>
        <v>-2848930.7361058006</v>
      </c>
      <c r="AD185" s="261">
        <f t="shared" si="71"/>
        <v>-2848930.7361058006</v>
      </c>
      <c r="AE185" s="261">
        <f t="shared" si="71"/>
        <v>-2848930.7361058006</v>
      </c>
      <c r="AF185" s="261">
        <f t="shared" si="71"/>
        <v>-2848930.7361058006</v>
      </c>
      <c r="AG185" s="261">
        <f t="shared" si="71"/>
        <v>-2848930.7361058006</v>
      </c>
      <c r="AH185" s="261">
        <f t="shared" si="71"/>
        <v>-2848930.7361058006</v>
      </c>
      <c r="AI185" s="261">
        <f t="shared" si="71"/>
        <v>-2848930.7361058006</v>
      </c>
      <c r="AJ185" s="261">
        <f t="shared" si="71"/>
        <v>-2848930.7361058006</v>
      </c>
      <c r="AK185" s="261">
        <f t="shared" si="71"/>
        <v>-2848930.7361058006</v>
      </c>
      <c r="AL185" s="261">
        <f t="shared" si="71"/>
        <v>-2848930.7361058006</v>
      </c>
      <c r="AM185" s="261">
        <f t="shared" si="71"/>
        <v>-1976973.5770516866</v>
      </c>
      <c r="AN185" s="261">
        <f t="shared" si="71"/>
        <v>-1603524.8677416849</v>
      </c>
      <c r="AO185" s="261">
        <f t="shared" si="71"/>
        <v>-3209675.3449990982</v>
      </c>
      <c r="AP185" s="261">
        <f t="shared" si="71"/>
        <v>-3209675.3449990982</v>
      </c>
      <c r="AQ185" s="261">
        <f t="shared" si="71"/>
        <v>-3209675.3449990982</v>
      </c>
      <c r="AR185" s="261">
        <f t="shared" si="71"/>
        <v>-3209675.3449990982</v>
      </c>
      <c r="AS185" s="261">
        <f t="shared" si="71"/>
        <v>-3209675.3449990982</v>
      </c>
      <c r="AT185" s="266">
        <f t="shared" si="71"/>
        <v>-3209675.3449990982</v>
      </c>
      <c r="AU185" s="166"/>
      <c r="AV185" s="166"/>
      <c r="AW185" s="166"/>
      <c r="AX185" s="166"/>
      <c r="AY185" s="166"/>
      <c r="AZ185" s="166"/>
      <c r="BA185" s="166"/>
      <c r="BB185" s="166"/>
      <c r="BC185" s="166"/>
      <c r="BD185" s="166"/>
      <c r="BE185" s="166"/>
      <c r="BF185" s="166"/>
      <c r="BG185" s="166"/>
      <c r="BH185" s="166"/>
      <c r="BI185" s="166"/>
      <c r="BJ185" s="166"/>
      <c r="BK185" s="166"/>
      <c r="BL185" s="166"/>
      <c r="BM185" s="166"/>
      <c r="BN185" s="166"/>
    </row>
    <row r="186" spans="2:66" x14ac:dyDescent="0.25">
      <c r="B186" s="836" t="s">
        <v>444</v>
      </c>
      <c r="C186" s="268">
        <v>0</v>
      </c>
      <c r="D186" s="268">
        <v>0</v>
      </c>
      <c r="E186" s="268">
        <v>0</v>
      </c>
      <c r="F186" s="268">
        <v>0</v>
      </c>
      <c r="G186" s="178">
        <f t="shared" ref="G186:AT186" si="72">G183+G184+G185</f>
        <v>-1397099.990600429</v>
      </c>
      <c r="H186" s="178">
        <f t="shared" si="72"/>
        <v>-495168.10308105731</v>
      </c>
      <c r="I186" s="178">
        <f t="shared" si="72"/>
        <v>-56218.085612222552</v>
      </c>
      <c r="J186" s="178">
        <f t="shared" si="72"/>
        <v>-60867.17986274045</v>
      </c>
      <c r="K186" s="178">
        <f t="shared" si="72"/>
        <v>-3649153.3589500538</v>
      </c>
      <c r="L186" s="178">
        <f t="shared" si="72"/>
        <v>277009.67460781103</v>
      </c>
      <c r="M186" s="178">
        <f t="shared" si="72"/>
        <v>491571.00624209177</v>
      </c>
      <c r="N186" s="178">
        <f t="shared" si="72"/>
        <v>457244.59676173422</v>
      </c>
      <c r="O186" s="178">
        <f t="shared" si="72"/>
        <v>654381.86262978753</v>
      </c>
      <c r="P186" s="178">
        <f t="shared" si="72"/>
        <v>-3546880.8767542103</v>
      </c>
      <c r="Q186" s="178">
        <f t="shared" si="72"/>
        <v>1060218.1318688071</v>
      </c>
      <c r="R186" s="178">
        <f t="shared" si="72"/>
        <v>720744.97293178644</v>
      </c>
      <c r="S186" s="178">
        <f t="shared" si="72"/>
        <v>910048.73621156253</v>
      </c>
      <c r="T186" s="178">
        <f t="shared" si="72"/>
        <v>840912.23610717384</v>
      </c>
      <c r="U186" s="178">
        <f t="shared" si="72"/>
        <v>-3538411.2466417677</v>
      </c>
      <c r="V186" s="178">
        <f t="shared" si="72"/>
        <v>1592098.1162863702</v>
      </c>
      <c r="W186" s="178">
        <f t="shared" si="72"/>
        <v>1796808.217828572</v>
      </c>
      <c r="X186" s="178">
        <f t="shared" si="72"/>
        <v>894618.80250624148</v>
      </c>
      <c r="Y186" s="178">
        <f t="shared" si="72"/>
        <v>1157411.9294568701</v>
      </c>
      <c r="Z186" s="178">
        <f t="shared" si="72"/>
        <v>-3902975.354233521</v>
      </c>
      <c r="AA186" s="178">
        <f t="shared" si="72"/>
        <v>1402265.8588751191</v>
      </c>
      <c r="AB186" s="178">
        <f t="shared" si="72"/>
        <v>1367763.2392841801</v>
      </c>
      <c r="AC186" s="178">
        <f t="shared" si="72"/>
        <v>1525647.9578004284</v>
      </c>
      <c r="AD186" s="178">
        <f t="shared" si="72"/>
        <v>1426944.2782228719</v>
      </c>
      <c r="AE186" s="178">
        <f t="shared" si="72"/>
        <v>-3858955.8986940151</v>
      </c>
      <c r="AF186" s="178">
        <f t="shared" si="72"/>
        <v>1561967.8128398946</v>
      </c>
      <c r="AG186" s="178">
        <f t="shared" si="72"/>
        <v>1809299.4203881901</v>
      </c>
      <c r="AH186" s="178">
        <f t="shared" si="72"/>
        <v>1700369.632323808</v>
      </c>
      <c r="AI186" s="178">
        <f t="shared" si="72"/>
        <v>1956612.4173481055</v>
      </c>
      <c r="AJ186" s="178">
        <f t="shared" si="72"/>
        <v>-4228002.24086178</v>
      </c>
      <c r="AK186" s="178">
        <f t="shared" si="72"/>
        <v>2107625.5067198081</v>
      </c>
      <c r="AL186" s="178">
        <f t="shared" si="72"/>
        <v>1987389.0399559848</v>
      </c>
      <c r="AM186" s="178">
        <f t="shared" si="72"/>
        <v>3134320.7351895501</v>
      </c>
      <c r="AN186" s="178">
        <f t="shared" si="72"/>
        <v>3381438.5736264898</v>
      </c>
      <c r="AO186" s="178">
        <f t="shared" si="72"/>
        <v>-4609510.9119034661</v>
      </c>
      <c r="AP186" s="178">
        <f t="shared" si="72"/>
        <v>1927360.9949413547</v>
      </c>
      <c r="AQ186" s="178">
        <f t="shared" si="72"/>
        <v>2222339.3096169494</v>
      </c>
      <c r="AR186" s="178">
        <f t="shared" si="72"/>
        <v>2082858.9928091085</v>
      </c>
      <c r="AS186" s="178">
        <f t="shared" si="72"/>
        <v>2388339.137852326</v>
      </c>
      <c r="AT186" s="265">
        <f t="shared" si="72"/>
        <v>-5086478.0669972217</v>
      </c>
      <c r="AU186" s="166"/>
      <c r="AV186" s="166"/>
      <c r="AW186" s="166"/>
      <c r="AX186" s="166"/>
      <c r="AY186" s="166"/>
      <c r="AZ186" s="166"/>
      <c r="BA186" s="166"/>
      <c r="BB186" s="166"/>
      <c r="BC186" s="166"/>
      <c r="BD186" s="166"/>
      <c r="BE186" s="166"/>
      <c r="BF186" s="166"/>
      <c r="BG186" s="166"/>
      <c r="BH186" s="166"/>
      <c r="BI186" s="166"/>
      <c r="BJ186" s="166"/>
      <c r="BK186" s="166"/>
      <c r="BL186" s="166"/>
      <c r="BM186" s="166"/>
      <c r="BN186" s="166"/>
    </row>
    <row r="187" spans="2:66" x14ac:dyDescent="0.25">
      <c r="B187" s="836" t="s">
        <v>443</v>
      </c>
      <c r="C187" s="268">
        <v>0</v>
      </c>
      <c r="D187" s="268">
        <v>0</v>
      </c>
      <c r="E187" s="268">
        <v>0</v>
      </c>
      <c r="F187" s="268">
        <v>0</v>
      </c>
      <c r="G187" s="178">
        <f>IF(G186&gt;0,-$C$24*G186,0)</f>
        <v>0</v>
      </c>
      <c r="H187" s="178">
        <f t="shared" ref="H187:AT187" si="73">IF(H186&gt;0,-$C$24*H186,0)</f>
        <v>0</v>
      </c>
      <c r="I187" s="178">
        <f t="shared" si="73"/>
        <v>0</v>
      </c>
      <c r="J187" s="178">
        <f t="shared" si="73"/>
        <v>0</v>
      </c>
      <c r="K187" s="178">
        <f t="shared" si="73"/>
        <v>0</v>
      </c>
      <c r="L187" s="178">
        <f t="shared" si="73"/>
        <v>-96953.386112733861</v>
      </c>
      <c r="M187" s="178">
        <f t="shared" si="73"/>
        <v>-172049.8521847321</v>
      </c>
      <c r="N187" s="178">
        <f t="shared" si="73"/>
        <v>-160035.60886660696</v>
      </c>
      <c r="O187" s="178">
        <f t="shared" si="73"/>
        <v>-229033.65192042562</v>
      </c>
      <c r="P187" s="178">
        <f t="shared" si="73"/>
        <v>0</v>
      </c>
      <c r="Q187" s="178">
        <f t="shared" si="73"/>
        <v>-371076.34615408245</v>
      </c>
      <c r="R187" s="178">
        <f t="shared" si="73"/>
        <v>-252260.74052612524</v>
      </c>
      <c r="S187" s="178">
        <f t="shared" si="73"/>
        <v>-318517.05767404684</v>
      </c>
      <c r="T187" s="178">
        <f t="shared" si="73"/>
        <v>-294319.2826375108</v>
      </c>
      <c r="U187" s="178">
        <f t="shared" si="73"/>
        <v>0</v>
      </c>
      <c r="V187" s="178">
        <f t="shared" si="73"/>
        <v>-557234.34070022951</v>
      </c>
      <c r="W187" s="178">
        <f t="shared" si="73"/>
        <v>-628882.87624000013</v>
      </c>
      <c r="X187" s="178">
        <f t="shared" si="73"/>
        <v>-313116.58087718452</v>
      </c>
      <c r="Y187" s="178">
        <f t="shared" si="73"/>
        <v>-405094.1753099045</v>
      </c>
      <c r="Z187" s="178">
        <f t="shared" si="73"/>
        <v>0</v>
      </c>
      <c r="AA187" s="178">
        <f t="shared" si="73"/>
        <v>-490793.05060629168</v>
      </c>
      <c r="AB187" s="178">
        <f t="shared" si="73"/>
        <v>-478717.13374946301</v>
      </c>
      <c r="AC187" s="178">
        <f t="shared" si="73"/>
        <v>-533976.78523014986</v>
      </c>
      <c r="AD187" s="178">
        <f t="shared" si="73"/>
        <v>-499430.49737800512</v>
      </c>
      <c r="AE187" s="178">
        <f t="shared" si="73"/>
        <v>0</v>
      </c>
      <c r="AF187" s="178">
        <f t="shared" si="73"/>
        <v>-546688.73449396307</v>
      </c>
      <c r="AG187" s="178">
        <f t="shared" si="73"/>
        <v>-633254.79713586648</v>
      </c>
      <c r="AH187" s="178">
        <f t="shared" si="73"/>
        <v>-595129.37131333281</v>
      </c>
      <c r="AI187" s="178">
        <f t="shared" si="73"/>
        <v>-684814.34607183689</v>
      </c>
      <c r="AJ187" s="178">
        <f t="shared" si="73"/>
        <v>0</v>
      </c>
      <c r="AK187" s="178">
        <f t="shared" si="73"/>
        <v>-737668.92735193274</v>
      </c>
      <c r="AL187" s="178">
        <f t="shared" si="73"/>
        <v>-695586.16398459463</v>
      </c>
      <c r="AM187" s="178">
        <f t="shared" si="73"/>
        <v>-1097012.2573163426</v>
      </c>
      <c r="AN187" s="178">
        <f t="shared" si="73"/>
        <v>-1183503.5007692713</v>
      </c>
      <c r="AO187" s="178">
        <f t="shared" si="73"/>
        <v>0</v>
      </c>
      <c r="AP187" s="178">
        <f t="shared" si="73"/>
        <v>-674576.34822947416</v>
      </c>
      <c r="AQ187" s="178">
        <f t="shared" si="73"/>
        <v>-777818.75836593227</v>
      </c>
      <c r="AR187" s="178">
        <f t="shared" si="73"/>
        <v>-729000.64748318796</v>
      </c>
      <c r="AS187" s="178">
        <f t="shared" si="73"/>
        <v>-835918.69824831409</v>
      </c>
      <c r="AT187" s="265">
        <f t="shared" si="73"/>
        <v>0</v>
      </c>
      <c r="AU187" s="166"/>
      <c r="AV187" s="166"/>
      <c r="AW187" s="166"/>
      <c r="AX187" s="166"/>
      <c r="AY187" s="166"/>
      <c r="AZ187" s="166"/>
      <c r="BA187" s="166"/>
      <c r="BB187" s="166"/>
      <c r="BC187" s="166"/>
      <c r="BD187" s="166"/>
      <c r="BE187" s="166"/>
      <c r="BF187" s="166"/>
      <c r="BG187" s="166"/>
      <c r="BH187" s="166"/>
      <c r="BI187" s="166"/>
      <c r="BJ187" s="166"/>
      <c r="BK187" s="166"/>
      <c r="BL187" s="166"/>
      <c r="BM187" s="166"/>
      <c r="BN187" s="166"/>
    </row>
    <row r="188" spans="2:66" ht="14.4" x14ac:dyDescent="0.25">
      <c r="B188" s="841" t="s">
        <v>445</v>
      </c>
      <c r="C188" s="801">
        <v>0</v>
      </c>
      <c r="D188" s="801">
        <v>0</v>
      </c>
      <c r="E188" s="801">
        <v>0</v>
      </c>
      <c r="F188" s="801">
        <v>0</v>
      </c>
      <c r="G188" s="262">
        <f>G186+G187</f>
        <v>-1397099.990600429</v>
      </c>
      <c r="H188" s="262">
        <f t="shared" ref="H188:AT188" si="74">H186+H187</f>
        <v>-495168.10308105731</v>
      </c>
      <c r="I188" s="262">
        <f t="shared" si="74"/>
        <v>-56218.085612222552</v>
      </c>
      <c r="J188" s="262">
        <f t="shared" si="74"/>
        <v>-60867.17986274045</v>
      </c>
      <c r="K188" s="262">
        <f t="shared" si="74"/>
        <v>-3649153.3589500538</v>
      </c>
      <c r="L188" s="262">
        <f t="shared" si="74"/>
        <v>180056.28849507717</v>
      </c>
      <c r="M188" s="262">
        <f t="shared" si="74"/>
        <v>319521.15405735967</v>
      </c>
      <c r="N188" s="262">
        <f t="shared" si="74"/>
        <v>297208.98789512727</v>
      </c>
      <c r="O188" s="262">
        <f t="shared" si="74"/>
        <v>425348.21070936194</v>
      </c>
      <c r="P188" s="262">
        <f t="shared" si="74"/>
        <v>-3546880.8767542103</v>
      </c>
      <c r="Q188" s="262">
        <f t="shared" si="74"/>
        <v>689141.78571472468</v>
      </c>
      <c r="R188" s="262">
        <f t="shared" si="74"/>
        <v>468484.2324056612</v>
      </c>
      <c r="S188" s="262">
        <f t="shared" si="74"/>
        <v>591531.67853751569</v>
      </c>
      <c r="T188" s="262">
        <f t="shared" si="74"/>
        <v>546592.95346966304</v>
      </c>
      <c r="U188" s="262">
        <f t="shared" si="74"/>
        <v>-3538411.2466417677</v>
      </c>
      <c r="V188" s="262">
        <f t="shared" si="74"/>
        <v>1034863.7755861407</v>
      </c>
      <c r="W188" s="262">
        <f t="shared" si="74"/>
        <v>1167925.3415885719</v>
      </c>
      <c r="X188" s="262">
        <f t="shared" si="74"/>
        <v>581502.22162905696</v>
      </c>
      <c r="Y188" s="262">
        <f t="shared" si="74"/>
        <v>752317.75414696557</v>
      </c>
      <c r="Z188" s="262">
        <f t="shared" si="74"/>
        <v>-3902975.354233521</v>
      </c>
      <c r="AA188" s="262">
        <f t="shared" si="74"/>
        <v>911472.80826882739</v>
      </c>
      <c r="AB188" s="262">
        <f t="shared" si="74"/>
        <v>889046.10553471709</v>
      </c>
      <c r="AC188" s="262">
        <f t="shared" si="74"/>
        <v>991671.17257027852</v>
      </c>
      <c r="AD188" s="262">
        <f t="shared" si="74"/>
        <v>927513.78084486676</v>
      </c>
      <c r="AE188" s="262">
        <f t="shared" si="74"/>
        <v>-3858955.8986940151</v>
      </c>
      <c r="AF188" s="262">
        <f t="shared" si="74"/>
        <v>1015279.0783459315</v>
      </c>
      <c r="AG188" s="262">
        <f t="shared" si="74"/>
        <v>1176044.6232523236</v>
      </c>
      <c r="AH188" s="262">
        <f t="shared" si="74"/>
        <v>1105240.2610104752</v>
      </c>
      <c r="AI188" s="262">
        <f t="shared" si="74"/>
        <v>1271798.0712762685</v>
      </c>
      <c r="AJ188" s="262">
        <f t="shared" si="74"/>
        <v>-4228002.24086178</v>
      </c>
      <c r="AK188" s="262">
        <f t="shared" si="74"/>
        <v>1369956.5793678754</v>
      </c>
      <c r="AL188" s="262">
        <f t="shared" si="74"/>
        <v>1291802.8759713902</v>
      </c>
      <c r="AM188" s="262">
        <f t="shared" si="74"/>
        <v>2037308.4778732075</v>
      </c>
      <c r="AN188" s="262">
        <f t="shared" si="74"/>
        <v>2197935.0728572188</v>
      </c>
      <c r="AO188" s="262">
        <f t="shared" si="74"/>
        <v>-4609510.9119034661</v>
      </c>
      <c r="AP188" s="262">
        <f t="shared" si="74"/>
        <v>1252784.6467118806</v>
      </c>
      <c r="AQ188" s="262">
        <f t="shared" si="74"/>
        <v>1444520.551251017</v>
      </c>
      <c r="AR188" s="262">
        <f t="shared" si="74"/>
        <v>1353858.3453259205</v>
      </c>
      <c r="AS188" s="262">
        <f t="shared" si="74"/>
        <v>1552420.4396040118</v>
      </c>
      <c r="AT188" s="267">
        <f t="shared" si="74"/>
        <v>-5086478.0669972217</v>
      </c>
      <c r="AU188" s="166"/>
      <c r="AV188" s="166"/>
      <c r="AW188" s="166"/>
      <c r="AX188" s="166"/>
      <c r="AY188" s="166"/>
      <c r="AZ188" s="166"/>
      <c r="BA188" s="166"/>
      <c r="BB188" s="166"/>
      <c r="BC188" s="166"/>
      <c r="BD188" s="166"/>
      <c r="BE188" s="166"/>
      <c r="BF188" s="166"/>
      <c r="BG188" s="166"/>
      <c r="BH188" s="166"/>
      <c r="BI188" s="166"/>
      <c r="BJ188" s="166"/>
      <c r="BK188" s="166"/>
      <c r="BL188" s="166"/>
      <c r="BM188" s="166"/>
      <c r="BN188" s="166"/>
    </row>
    <row r="189" spans="2:66" x14ac:dyDescent="0.25">
      <c r="B189" s="836" t="s">
        <v>446</v>
      </c>
      <c r="C189" s="268">
        <v>0</v>
      </c>
      <c r="D189" s="268">
        <v>0</v>
      </c>
      <c r="E189" s="268">
        <v>0</v>
      </c>
      <c r="F189" s="268">
        <v>0</v>
      </c>
      <c r="G189" s="178">
        <f>-G185</f>
        <v>2606586.1930182963</v>
      </c>
      <c r="H189" s="178">
        <f t="shared" ref="H189:AT189" si="75">-H185</f>
        <v>2606586.1930182963</v>
      </c>
      <c r="I189" s="178">
        <f t="shared" si="75"/>
        <v>2606586.1930182963</v>
      </c>
      <c r="J189" s="178">
        <f t="shared" si="75"/>
        <v>2606586.1930182963</v>
      </c>
      <c r="K189" s="178">
        <f t="shared" si="75"/>
        <v>2606586.1930182963</v>
      </c>
      <c r="L189" s="178">
        <f t="shared" si="75"/>
        <v>2465585.720269518</v>
      </c>
      <c r="M189" s="178">
        <f t="shared" si="75"/>
        <v>2465585.720269518</v>
      </c>
      <c r="N189" s="178">
        <f t="shared" si="75"/>
        <v>2465585.720269518</v>
      </c>
      <c r="O189" s="178">
        <f t="shared" si="75"/>
        <v>2465585.720269518</v>
      </c>
      <c r="P189" s="178">
        <f t="shared" si="75"/>
        <v>2465585.720269518</v>
      </c>
      <c r="Q189" s="178">
        <f t="shared" si="75"/>
        <v>2230540.8319507265</v>
      </c>
      <c r="R189" s="178">
        <f t="shared" si="75"/>
        <v>2531498.7427265975</v>
      </c>
      <c r="S189" s="178">
        <f t="shared" si="75"/>
        <v>2531498.7427265975</v>
      </c>
      <c r="T189" s="178">
        <f t="shared" si="75"/>
        <v>2531498.7427265975</v>
      </c>
      <c r="U189" s="178">
        <f t="shared" si="75"/>
        <v>2531498.7427265975</v>
      </c>
      <c r="V189" s="178">
        <f t="shared" si="75"/>
        <v>1904482.7785175557</v>
      </c>
      <c r="W189" s="178">
        <f t="shared" si="75"/>
        <v>1904482.7785175557</v>
      </c>
      <c r="X189" s="178">
        <f t="shared" si="75"/>
        <v>2776439.9375716699</v>
      </c>
      <c r="Y189" s="178">
        <f t="shared" si="75"/>
        <v>2776439.9375716699</v>
      </c>
      <c r="Z189" s="178">
        <f t="shared" si="75"/>
        <v>2776439.9375716699</v>
      </c>
      <c r="AA189" s="178">
        <f t="shared" si="75"/>
        <v>2776439.9375716699</v>
      </c>
      <c r="AB189" s="178">
        <f t="shared" si="75"/>
        <v>2776439.9375716699</v>
      </c>
      <c r="AC189" s="178">
        <f t="shared" si="75"/>
        <v>2848930.7361058006</v>
      </c>
      <c r="AD189" s="178">
        <f t="shared" si="75"/>
        <v>2848930.7361058006</v>
      </c>
      <c r="AE189" s="178">
        <f t="shared" si="75"/>
        <v>2848930.7361058006</v>
      </c>
      <c r="AF189" s="178">
        <f t="shared" si="75"/>
        <v>2848930.7361058006</v>
      </c>
      <c r="AG189" s="178">
        <f t="shared" si="75"/>
        <v>2848930.7361058006</v>
      </c>
      <c r="AH189" s="178">
        <f t="shared" si="75"/>
        <v>2848930.7361058006</v>
      </c>
      <c r="AI189" s="178">
        <f t="shared" si="75"/>
        <v>2848930.7361058006</v>
      </c>
      <c r="AJ189" s="178">
        <f t="shared" si="75"/>
        <v>2848930.7361058006</v>
      </c>
      <c r="AK189" s="178">
        <f t="shared" si="75"/>
        <v>2848930.7361058006</v>
      </c>
      <c r="AL189" s="178">
        <f t="shared" si="75"/>
        <v>2848930.7361058006</v>
      </c>
      <c r="AM189" s="178">
        <f t="shared" si="75"/>
        <v>1976973.5770516866</v>
      </c>
      <c r="AN189" s="178">
        <f t="shared" si="75"/>
        <v>1603524.8677416849</v>
      </c>
      <c r="AO189" s="178">
        <f t="shared" si="75"/>
        <v>3209675.3449990982</v>
      </c>
      <c r="AP189" s="178">
        <f t="shared" si="75"/>
        <v>3209675.3449990982</v>
      </c>
      <c r="AQ189" s="178">
        <f t="shared" si="75"/>
        <v>3209675.3449990982</v>
      </c>
      <c r="AR189" s="178">
        <f t="shared" si="75"/>
        <v>3209675.3449990982</v>
      </c>
      <c r="AS189" s="178">
        <f t="shared" si="75"/>
        <v>3209675.3449990982</v>
      </c>
      <c r="AT189" s="265">
        <f t="shared" si="75"/>
        <v>3209675.3449990982</v>
      </c>
      <c r="AU189" s="166"/>
      <c r="AV189" s="166"/>
      <c r="AW189" s="166"/>
      <c r="AX189" s="166"/>
      <c r="AY189" s="166"/>
      <c r="AZ189" s="166"/>
      <c r="BA189" s="166"/>
      <c r="BB189" s="166"/>
      <c r="BC189" s="166"/>
      <c r="BD189" s="166"/>
      <c r="BE189" s="166"/>
      <c r="BF189" s="166"/>
      <c r="BG189" s="166"/>
      <c r="BH189" s="166"/>
      <c r="BI189" s="166"/>
      <c r="BJ189" s="166"/>
      <c r="BK189" s="166"/>
      <c r="BL189" s="166"/>
      <c r="BM189" s="166"/>
      <c r="BN189" s="166"/>
    </row>
    <row r="190" spans="2:66" ht="15" thickBot="1" x14ac:dyDescent="0.3">
      <c r="B190" s="842" t="s">
        <v>386</v>
      </c>
      <c r="C190" s="828"/>
      <c r="D190" s="828"/>
      <c r="E190" s="828"/>
      <c r="F190" s="828"/>
      <c r="G190" s="828">
        <f>G188+G189</f>
        <v>1209486.2024178673</v>
      </c>
      <c r="H190" s="828">
        <f t="shared" ref="H190:AT190" si="76">H188+H189</f>
        <v>2111418.089937239</v>
      </c>
      <c r="I190" s="828">
        <f t="shared" si="76"/>
        <v>2550368.1074060737</v>
      </c>
      <c r="J190" s="828">
        <f t="shared" si="76"/>
        <v>2545719.0131555558</v>
      </c>
      <c r="K190" s="828">
        <f t="shared" si="76"/>
        <v>-1042567.1659317575</v>
      </c>
      <c r="L190" s="828">
        <f t="shared" si="76"/>
        <v>2645642.0087645953</v>
      </c>
      <c r="M190" s="828">
        <f t="shared" si="76"/>
        <v>2785106.8743268778</v>
      </c>
      <c r="N190" s="828">
        <f t="shared" si="76"/>
        <v>2762794.7081646454</v>
      </c>
      <c r="O190" s="828">
        <f t="shared" si="76"/>
        <v>2890933.9309788798</v>
      </c>
      <c r="P190" s="828">
        <f t="shared" si="76"/>
        <v>-1081295.1564846924</v>
      </c>
      <c r="Q190" s="828">
        <f t="shared" si="76"/>
        <v>2919682.617665451</v>
      </c>
      <c r="R190" s="828">
        <f t="shared" si="76"/>
        <v>2999982.9751322586</v>
      </c>
      <c r="S190" s="828">
        <f t="shared" si="76"/>
        <v>3123030.4212641129</v>
      </c>
      <c r="T190" s="828">
        <f t="shared" si="76"/>
        <v>3078091.6961962604</v>
      </c>
      <c r="U190" s="828">
        <f t="shared" si="76"/>
        <v>-1006912.5039151702</v>
      </c>
      <c r="V190" s="828">
        <f t="shared" si="76"/>
        <v>2939346.5541036963</v>
      </c>
      <c r="W190" s="828">
        <f t="shared" si="76"/>
        <v>3072408.1201061276</v>
      </c>
      <c r="X190" s="828">
        <f t="shared" si="76"/>
        <v>3357942.159200727</v>
      </c>
      <c r="Y190" s="828">
        <f t="shared" si="76"/>
        <v>3528757.6917186356</v>
      </c>
      <c r="Z190" s="828">
        <f t="shared" si="76"/>
        <v>-1126535.4166618511</v>
      </c>
      <c r="AA190" s="828">
        <f t="shared" si="76"/>
        <v>3687912.7458404973</v>
      </c>
      <c r="AB190" s="828">
        <f t="shared" si="76"/>
        <v>3665486.0431063869</v>
      </c>
      <c r="AC190" s="828">
        <f t="shared" si="76"/>
        <v>3840601.908676079</v>
      </c>
      <c r="AD190" s="828">
        <f t="shared" si="76"/>
        <v>3776444.5169506674</v>
      </c>
      <c r="AE190" s="828">
        <f t="shared" si="76"/>
        <v>-1010025.1625882145</v>
      </c>
      <c r="AF190" s="828">
        <f t="shared" si="76"/>
        <v>3864209.8144517322</v>
      </c>
      <c r="AG190" s="828">
        <f t="shared" si="76"/>
        <v>4024975.3593581244</v>
      </c>
      <c r="AH190" s="828">
        <f t="shared" si="76"/>
        <v>3954170.9971162761</v>
      </c>
      <c r="AI190" s="828">
        <f t="shared" si="76"/>
        <v>4120728.8073820691</v>
      </c>
      <c r="AJ190" s="828">
        <f t="shared" si="76"/>
        <v>-1379071.5047559794</v>
      </c>
      <c r="AK190" s="828">
        <f t="shared" si="76"/>
        <v>4218887.3154736757</v>
      </c>
      <c r="AL190" s="828">
        <f t="shared" si="76"/>
        <v>4140733.6120771905</v>
      </c>
      <c r="AM190" s="828">
        <f t="shared" si="76"/>
        <v>4014282.0549248941</v>
      </c>
      <c r="AN190" s="828">
        <f t="shared" si="76"/>
        <v>3801459.9405989037</v>
      </c>
      <c r="AO190" s="828">
        <f t="shared" si="76"/>
        <v>-1399835.5669043679</v>
      </c>
      <c r="AP190" s="828">
        <f t="shared" si="76"/>
        <v>4462459.9917109786</v>
      </c>
      <c r="AQ190" s="828">
        <f t="shared" si="76"/>
        <v>4654195.8962501157</v>
      </c>
      <c r="AR190" s="828">
        <f t="shared" si="76"/>
        <v>4563533.6903250189</v>
      </c>
      <c r="AS190" s="828">
        <f t="shared" si="76"/>
        <v>4762095.7846031096</v>
      </c>
      <c r="AT190" s="829">
        <f t="shared" si="76"/>
        <v>-1876802.7219981235</v>
      </c>
      <c r="AU190" s="166"/>
      <c r="AV190" s="166"/>
      <c r="AW190" s="166"/>
      <c r="AX190" s="166"/>
      <c r="AY190" s="166"/>
      <c r="AZ190" s="166"/>
      <c r="BA190" s="166"/>
      <c r="BB190" s="166"/>
      <c r="BC190" s="166"/>
      <c r="BD190" s="166"/>
      <c r="BE190" s="166"/>
      <c r="BF190" s="166"/>
      <c r="BG190" s="166"/>
      <c r="BH190" s="166"/>
      <c r="BI190" s="166"/>
      <c r="BJ190" s="166"/>
      <c r="BK190" s="166"/>
      <c r="BL190" s="166"/>
      <c r="BM190" s="166"/>
      <c r="BN190" s="166"/>
    </row>
    <row r="191" spans="2:66" ht="15" thickBot="1" x14ac:dyDescent="0.3">
      <c r="B191" s="839"/>
      <c r="C191" s="811"/>
      <c r="D191" s="811"/>
      <c r="E191" s="811"/>
      <c r="F191" s="811"/>
      <c r="G191" s="811"/>
      <c r="H191" s="811"/>
      <c r="I191" s="811"/>
      <c r="J191" s="811"/>
      <c r="K191" s="811"/>
      <c r="L191" s="811"/>
      <c r="M191" s="811"/>
      <c r="N191" s="811"/>
      <c r="O191" s="811"/>
      <c r="P191" s="811"/>
      <c r="Q191" s="811"/>
      <c r="R191" s="811"/>
      <c r="S191" s="811"/>
      <c r="T191" s="811"/>
      <c r="U191" s="811"/>
      <c r="V191" s="811"/>
      <c r="W191" s="811"/>
      <c r="X191" s="811"/>
      <c r="Y191" s="811"/>
      <c r="Z191" s="811"/>
      <c r="AA191" s="811"/>
      <c r="AB191" s="811"/>
      <c r="AC191" s="811"/>
      <c r="AD191" s="811"/>
      <c r="AE191" s="811"/>
      <c r="AF191" s="811"/>
      <c r="AG191" s="811"/>
      <c r="AH191" s="811"/>
      <c r="AI191" s="811"/>
      <c r="AJ191" s="811"/>
      <c r="AK191" s="811"/>
      <c r="AL191" s="811"/>
      <c r="AM191" s="811"/>
      <c r="AN191" s="811"/>
      <c r="AO191" s="811"/>
      <c r="AP191" s="811"/>
      <c r="AQ191" s="811"/>
      <c r="AR191" s="811"/>
      <c r="AS191" s="811"/>
      <c r="AT191" s="811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6"/>
      <c r="BN191" s="166"/>
    </row>
    <row r="192" spans="2:66" ht="14.4" x14ac:dyDescent="0.25">
      <c r="B192" s="835" t="s">
        <v>447</v>
      </c>
      <c r="C192" s="818"/>
      <c r="D192" s="818"/>
      <c r="E192" s="818"/>
      <c r="F192" s="818"/>
      <c r="G192" s="818"/>
      <c r="H192" s="818"/>
      <c r="I192" s="818"/>
      <c r="J192" s="818"/>
      <c r="K192" s="818"/>
      <c r="L192" s="818"/>
      <c r="M192" s="818"/>
      <c r="N192" s="818"/>
      <c r="O192" s="818"/>
      <c r="P192" s="818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  <c r="AA192" s="818"/>
      <c r="AB192" s="818"/>
      <c r="AC192" s="818"/>
      <c r="AD192" s="818"/>
      <c r="AE192" s="818"/>
      <c r="AF192" s="818"/>
      <c r="AG192" s="818"/>
      <c r="AH192" s="818"/>
      <c r="AI192" s="818"/>
      <c r="AJ192" s="818"/>
      <c r="AK192" s="818"/>
      <c r="AL192" s="818"/>
      <c r="AM192" s="818"/>
      <c r="AN192" s="818"/>
      <c r="AO192" s="818"/>
      <c r="AP192" s="818"/>
      <c r="AQ192" s="818"/>
      <c r="AR192" s="818"/>
      <c r="AS192" s="818"/>
      <c r="AT192" s="819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  <c r="BN192" s="166"/>
    </row>
    <row r="193" spans="2:66" x14ac:dyDescent="0.25">
      <c r="B193" s="836" t="s">
        <v>448</v>
      </c>
      <c r="C193" s="268">
        <f>C117</f>
        <v>-5332198.1684703697</v>
      </c>
      <c r="D193" s="268">
        <f t="shared" ref="D193:F193" si="77">D117</f>
        <v>-19669755.173127942</v>
      </c>
      <c r="E193" s="268">
        <f t="shared" si="77"/>
        <v>-49167777.727487408</v>
      </c>
      <c r="F193" s="268">
        <f t="shared" si="77"/>
        <v>-19836102.472292583</v>
      </c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265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66"/>
      <c r="BI193" s="166"/>
      <c r="BJ193" s="166"/>
      <c r="BK193" s="166"/>
      <c r="BL193" s="166"/>
      <c r="BM193" s="166"/>
      <c r="BN193" s="166"/>
    </row>
    <row r="194" spans="2:66" x14ac:dyDescent="0.25">
      <c r="B194" s="836" t="s">
        <v>383</v>
      </c>
      <c r="C194" s="178"/>
      <c r="D194" s="178"/>
      <c r="E194" s="178"/>
      <c r="F194" s="178"/>
      <c r="G194" s="268">
        <f t="shared" ref="G194:AT194" si="78">G118</f>
        <v>0</v>
      </c>
      <c r="H194" s="268">
        <f t="shared" si="78"/>
        <v>0</v>
      </c>
      <c r="I194" s="268">
        <f t="shared" si="78"/>
        <v>0</v>
      </c>
      <c r="J194" s="268">
        <f t="shared" si="78"/>
        <v>0</v>
      </c>
      <c r="K194" s="268">
        <f t="shared" si="78"/>
        <v>0</v>
      </c>
      <c r="L194" s="268">
        <f t="shared" si="78"/>
        <v>0</v>
      </c>
      <c r="M194" s="268">
        <f t="shared" si="78"/>
        <v>0</v>
      </c>
      <c r="N194" s="268">
        <f t="shared" si="78"/>
        <v>0</v>
      </c>
      <c r="O194" s="268">
        <f t="shared" si="78"/>
        <v>0</v>
      </c>
      <c r="P194" s="268">
        <f t="shared" si="78"/>
        <v>-1360136.2924377397</v>
      </c>
      <c r="Q194" s="268">
        <f t="shared" si="78"/>
        <v>-1649442.8153209686</v>
      </c>
      <c r="R194" s="268">
        <f t="shared" si="78"/>
        <v>0</v>
      </c>
      <c r="S194" s="268">
        <f t="shared" si="78"/>
        <v>0</v>
      </c>
      <c r="T194" s="268">
        <f t="shared" si="78"/>
        <v>0</v>
      </c>
      <c r="U194" s="268">
        <f t="shared" si="78"/>
        <v>-2314062.3198277643</v>
      </c>
      <c r="V194" s="268">
        <f t="shared" si="78"/>
        <v>-7351611.2293968759</v>
      </c>
      <c r="W194" s="268">
        <f t="shared" si="78"/>
        <v>-3413683.8365870705</v>
      </c>
      <c r="X194" s="268">
        <f t="shared" si="78"/>
        <v>0</v>
      </c>
      <c r="Y194" s="268">
        <f t="shared" si="78"/>
        <v>0</v>
      </c>
      <c r="Z194" s="268">
        <f t="shared" si="78"/>
        <v>0</v>
      </c>
      <c r="AA194" s="268">
        <f t="shared" si="78"/>
        <v>-1687746.6137686879</v>
      </c>
      <c r="AB194" s="268">
        <f t="shared" si="78"/>
        <v>-2046740.4793313304</v>
      </c>
      <c r="AC194" s="268">
        <f t="shared" si="78"/>
        <v>0</v>
      </c>
      <c r="AD194" s="268">
        <f t="shared" si="78"/>
        <v>0</v>
      </c>
      <c r="AE194" s="268">
        <f t="shared" si="78"/>
        <v>0</v>
      </c>
      <c r="AF194" s="268">
        <f t="shared" si="78"/>
        <v>0</v>
      </c>
      <c r="AG194" s="268">
        <f t="shared" si="78"/>
        <v>0</v>
      </c>
      <c r="AH194" s="268">
        <f t="shared" si="78"/>
        <v>0</v>
      </c>
      <c r="AI194" s="268">
        <f t="shared" si="78"/>
        <v>0</v>
      </c>
      <c r="AJ194" s="268">
        <f t="shared" si="78"/>
        <v>0</v>
      </c>
      <c r="AK194" s="268">
        <f t="shared" si="78"/>
        <v>0</v>
      </c>
      <c r="AL194" s="268">
        <f t="shared" si="78"/>
        <v>-5293029.3906328678</v>
      </c>
      <c r="AM194" s="268">
        <f t="shared" si="78"/>
        <v>-12529821.357005024</v>
      </c>
      <c r="AN194" s="268">
        <f t="shared" si="78"/>
        <v>-4663255.9339658916</v>
      </c>
      <c r="AO194" s="268">
        <f t="shared" si="78"/>
        <v>0</v>
      </c>
      <c r="AP194" s="268">
        <f t="shared" si="78"/>
        <v>0</v>
      </c>
      <c r="AQ194" s="268">
        <f t="shared" si="78"/>
        <v>0</v>
      </c>
      <c r="AR194" s="268">
        <f t="shared" si="78"/>
        <v>0</v>
      </c>
      <c r="AS194" s="268">
        <f t="shared" si="78"/>
        <v>0</v>
      </c>
      <c r="AT194" s="799">
        <f t="shared" si="78"/>
        <v>0</v>
      </c>
      <c r="AU194" s="166"/>
      <c r="AV194" s="166"/>
      <c r="AW194" s="166"/>
      <c r="AX194" s="166"/>
      <c r="AY194" s="166"/>
      <c r="AZ194" s="166"/>
      <c r="BA194" s="166"/>
      <c r="BB194" s="166"/>
      <c r="BC194" s="166"/>
      <c r="BD194" s="166"/>
      <c r="BE194" s="166"/>
      <c r="BF194" s="166"/>
      <c r="BG194" s="166"/>
      <c r="BH194" s="166"/>
      <c r="BI194" s="166"/>
      <c r="BJ194" s="166"/>
      <c r="BK194" s="166"/>
      <c r="BL194" s="166"/>
      <c r="BM194" s="166"/>
      <c r="BN194" s="166"/>
    </row>
    <row r="195" spans="2:66" x14ac:dyDescent="0.25">
      <c r="B195" s="836" t="s">
        <v>384</v>
      </c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758">
        <f>AJ168</f>
        <v>36303657.245098598</v>
      </c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847">
        <f>AT168</f>
        <v>33465652.89421764</v>
      </c>
      <c r="AU195" s="166"/>
      <c r="AV195" s="166"/>
      <c r="AW195" s="166"/>
      <c r="AX195" s="166"/>
      <c r="AY195" s="166"/>
      <c r="AZ195" s="166"/>
      <c r="BA195" s="166"/>
      <c r="BB195" s="166"/>
      <c r="BC195" s="166"/>
      <c r="BD195" s="166"/>
      <c r="BE195" s="166"/>
      <c r="BF195" s="166"/>
      <c r="BG195" s="166"/>
      <c r="BH195" s="166"/>
      <c r="BI195" s="166"/>
      <c r="BJ195" s="166"/>
      <c r="BK195" s="166"/>
      <c r="BL195" s="166"/>
      <c r="BM195" s="166"/>
      <c r="BN195" s="166"/>
    </row>
    <row r="196" spans="2:66" ht="15" thickBot="1" x14ac:dyDescent="0.3">
      <c r="B196" s="842" t="s">
        <v>385</v>
      </c>
      <c r="C196" s="822">
        <f t="shared" ref="C196:AT196" si="79">C193+C194+C195</f>
        <v>-5332198.1684703697</v>
      </c>
      <c r="D196" s="822">
        <f t="shared" si="79"/>
        <v>-19669755.173127942</v>
      </c>
      <c r="E196" s="822">
        <f t="shared" si="79"/>
        <v>-49167777.727487408</v>
      </c>
      <c r="F196" s="822">
        <f t="shared" si="79"/>
        <v>-19836102.472292583</v>
      </c>
      <c r="G196" s="822">
        <f t="shared" si="79"/>
        <v>0</v>
      </c>
      <c r="H196" s="822">
        <f t="shared" si="79"/>
        <v>0</v>
      </c>
      <c r="I196" s="822">
        <f t="shared" si="79"/>
        <v>0</v>
      </c>
      <c r="J196" s="822">
        <f t="shared" si="79"/>
        <v>0</v>
      </c>
      <c r="K196" s="822">
        <f t="shared" si="79"/>
        <v>0</v>
      </c>
      <c r="L196" s="822">
        <f t="shared" si="79"/>
        <v>0</v>
      </c>
      <c r="M196" s="822">
        <f t="shared" si="79"/>
        <v>0</v>
      </c>
      <c r="N196" s="822">
        <f t="shared" si="79"/>
        <v>0</v>
      </c>
      <c r="O196" s="822">
        <f t="shared" si="79"/>
        <v>0</v>
      </c>
      <c r="P196" s="822">
        <f t="shared" si="79"/>
        <v>-1360136.2924377397</v>
      </c>
      <c r="Q196" s="822">
        <f t="shared" si="79"/>
        <v>-1649442.8153209686</v>
      </c>
      <c r="R196" s="822">
        <f t="shared" si="79"/>
        <v>0</v>
      </c>
      <c r="S196" s="822">
        <f t="shared" si="79"/>
        <v>0</v>
      </c>
      <c r="T196" s="822">
        <f t="shared" si="79"/>
        <v>0</v>
      </c>
      <c r="U196" s="822">
        <f t="shared" si="79"/>
        <v>-2314062.3198277643</v>
      </c>
      <c r="V196" s="822">
        <f t="shared" si="79"/>
        <v>-7351611.2293968759</v>
      </c>
      <c r="W196" s="822">
        <f t="shared" si="79"/>
        <v>-3413683.8365870705</v>
      </c>
      <c r="X196" s="822">
        <f t="shared" si="79"/>
        <v>0</v>
      </c>
      <c r="Y196" s="822">
        <f t="shared" si="79"/>
        <v>0</v>
      </c>
      <c r="Z196" s="822">
        <f t="shared" si="79"/>
        <v>0</v>
      </c>
      <c r="AA196" s="822">
        <f t="shared" si="79"/>
        <v>-1687746.6137686879</v>
      </c>
      <c r="AB196" s="822">
        <f t="shared" si="79"/>
        <v>-2046740.4793313304</v>
      </c>
      <c r="AC196" s="822">
        <f t="shared" si="79"/>
        <v>0</v>
      </c>
      <c r="AD196" s="822">
        <f t="shared" si="79"/>
        <v>0</v>
      </c>
      <c r="AE196" s="822">
        <f t="shared" si="79"/>
        <v>0</v>
      </c>
      <c r="AF196" s="822">
        <f t="shared" si="79"/>
        <v>0</v>
      </c>
      <c r="AG196" s="822">
        <f t="shared" si="79"/>
        <v>0</v>
      </c>
      <c r="AH196" s="822">
        <f t="shared" si="79"/>
        <v>0</v>
      </c>
      <c r="AI196" s="822">
        <f t="shared" si="79"/>
        <v>0</v>
      </c>
      <c r="AJ196" s="822">
        <f t="shared" si="79"/>
        <v>36303657.245098598</v>
      </c>
      <c r="AK196" s="822">
        <f t="shared" si="79"/>
        <v>0</v>
      </c>
      <c r="AL196" s="822">
        <f t="shared" si="79"/>
        <v>-5293029.3906328678</v>
      </c>
      <c r="AM196" s="822">
        <f t="shared" si="79"/>
        <v>-12529821.357005024</v>
      </c>
      <c r="AN196" s="822">
        <f t="shared" si="79"/>
        <v>-4663255.9339658916</v>
      </c>
      <c r="AO196" s="822">
        <f t="shared" si="79"/>
        <v>0</v>
      </c>
      <c r="AP196" s="822">
        <f t="shared" si="79"/>
        <v>0</v>
      </c>
      <c r="AQ196" s="822">
        <f t="shared" si="79"/>
        <v>0</v>
      </c>
      <c r="AR196" s="822">
        <f t="shared" si="79"/>
        <v>0</v>
      </c>
      <c r="AS196" s="822">
        <f t="shared" si="79"/>
        <v>0</v>
      </c>
      <c r="AT196" s="823">
        <f t="shared" si="79"/>
        <v>33465652.89421764</v>
      </c>
      <c r="AU196" s="166"/>
      <c r="AV196" s="166"/>
      <c r="AW196" s="166"/>
      <c r="AX196" s="166"/>
      <c r="AY196" s="166"/>
      <c r="AZ196" s="166"/>
      <c r="BA196" s="166"/>
      <c r="BB196" s="166"/>
      <c r="BC196" s="166"/>
      <c r="BD196" s="166"/>
      <c r="BE196" s="166"/>
      <c r="BF196" s="166"/>
      <c r="BG196" s="166"/>
      <c r="BH196" s="166"/>
      <c r="BI196" s="166"/>
      <c r="BJ196" s="166"/>
      <c r="BK196" s="166"/>
      <c r="BL196" s="166"/>
      <c r="BM196" s="166"/>
      <c r="BN196" s="166"/>
    </row>
    <row r="197" spans="2:66" ht="14.4" x14ac:dyDescent="0.25">
      <c r="B197" s="838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66"/>
      <c r="AV197" s="166"/>
      <c r="AW197" s="166"/>
      <c r="AX197" s="166"/>
      <c r="AY197" s="166"/>
      <c r="AZ197" s="166"/>
      <c r="BA197" s="166"/>
      <c r="BB197" s="166"/>
      <c r="BC197" s="166"/>
      <c r="BD197" s="166"/>
      <c r="BE197" s="166"/>
      <c r="BF197" s="166"/>
      <c r="BG197" s="166"/>
      <c r="BH197" s="166"/>
      <c r="BI197" s="166"/>
      <c r="BJ197" s="166"/>
      <c r="BK197" s="166"/>
      <c r="BL197" s="166"/>
      <c r="BM197" s="166"/>
      <c r="BN197" s="166"/>
    </row>
    <row r="198" spans="2:66" ht="14.4" x14ac:dyDescent="0.25">
      <c r="B198" s="838"/>
      <c r="C198" s="178"/>
      <c r="D198" s="178"/>
      <c r="E198" s="884" t="s">
        <v>473</v>
      </c>
      <c r="F198" s="178">
        <f>C196+D196+E196+F196</f>
        <v>-94005833.541378304</v>
      </c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66"/>
      <c r="AV198" s="166"/>
      <c r="AW198" s="166"/>
      <c r="AX198" s="166"/>
      <c r="AY198" s="166"/>
      <c r="AZ198" s="166"/>
      <c r="BA198" s="166"/>
      <c r="BB198" s="166"/>
      <c r="BC198" s="166"/>
      <c r="BD198" s="166"/>
      <c r="BE198" s="166"/>
      <c r="BF198" s="166"/>
      <c r="BG198" s="166"/>
      <c r="BH198" s="166"/>
      <c r="BI198" s="166"/>
      <c r="BJ198" s="166"/>
      <c r="BK198" s="166"/>
      <c r="BL198" s="166"/>
      <c r="BM198" s="166"/>
      <c r="BN198" s="166"/>
    </row>
    <row r="199" spans="2:66" ht="14.4" x14ac:dyDescent="0.25">
      <c r="B199" s="838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66"/>
      <c r="AV199" s="166"/>
      <c r="AW199" s="166"/>
      <c r="AX199" s="166"/>
      <c r="AY199" s="166"/>
      <c r="AZ199" s="166"/>
      <c r="BA199" s="166"/>
      <c r="BB199" s="166"/>
      <c r="BC199" s="166"/>
      <c r="BD199" s="166"/>
      <c r="BE199" s="166"/>
      <c r="BF199" s="166"/>
      <c r="BG199" s="166"/>
      <c r="BH199" s="166"/>
      <c r="BI199" s="166"/>
      <c r="BJ199" s="166"/>
      <c r="BK199" s="166"/>
      <c r="BL199" s="166"/>
      <c r="BM199" s="166"/>
      <c r="BN199" s="166"/>
    </row>
    <row r="200" spans="2:66" ht="14.4" x14ac:dyDescent="0.25">
      <c r="B200" s="844" t="s">
        <v>436</v>
      </c>
      <c r="C200" s="178">
        <f t="shared" ref="C200:AJ200" si="80">C190+C196</f>
        <v>-5332198.1684703697</v>
      </c>
      <c r="D200" s="178">
        <f t="shared" si="80"/>
        <v>-19669755.173127942</v>
      </c>
      <c r="E200" s="178">
        <f t="shared" si="80"/>
        <v>-49167777.727487408</v>
      </c>
      <c r="F200" s="178">
        <f t="shared" si="80"/>
        <v>-19836102.472292583</v>
      </c>
      <c r="G200" s="178">
        <f t="shared" si="80"/>
        <v>1209486.2024178673</v>
      </c>
      <c r="H200" s="178">
        <f t="shared" si="80"/>
        <v>2111418.089937239</v>
      </c>
      <c r="I200" s="178">
        <f t="shared" si="80"/>
        <v>2550368.1074060737</v>
      </c>
      <c r="J200" s="178">
        <f t="shared" si="80"/>
        <v>2545719.0131555558</v>
      </c>
      <c r="K200" s="178">
        <f t="shared" si="80"/>
        <v>-1042567.1659317575</v>
      </c>
      <c r="L200" s="178">
        <f t="shared" si="80"/>
        <v>2645642.0087645953</v>
      </c>
      <c r="M200" s="178">
        <f t="shared" si="80"/>
        <v>2785106.8743268778</v>
      </c>
      <c r="N200" s="178">
        <f t="shared" si="80"/>
        <v>2762794.7081646454</v>
      </c>
      <c r="O200" s="178">
        <f t="shared" si="80"/>
        <v>2890933.9309788798</v>
      </c>
      <c r="P200" s="178">
        <f t="shared" si="80"/>
        <v>-2441431.448922432</v>
      </c>
      <c r="Q200" s="178">
        <f t="shared" si="80"/>
        <v>1270239.8023444824</v>
      </c>
      <c r="R200" s="178">
        <f t="shared" si="80"/>
        <v>2999982.9751322586</v>
      </c>
      <c r="S200" s="178">
        <f t="shared" si="80"/>
        <v>3123030.4212641129</v>
      </c>
      <c r="T200" s="178">
        <f t="shared" si="80"/>
        <v>3078091.6961962604</v>
      </c>
      <c r="U200" s="178">
        <f t="shared" si="80"/>
        <v>-3320974.8237429345</v>
      </c>
      <c r="V200" s="178">
        <f t="shared" si="80"/>
        <v>-4412264.6752931792</v>
      </c>
      <c r="W200" s="178">
        <f t="shared" si="80"/>
        <v>-341275.71648094291</v>
      </c>
      <c r="X200" s="178">
        <f t="shared" si="80"/>
        <v>3357942.159200727</v>
      </c>
      <c r="Y200" s="178">
        <f t="shared" si="80"/>
        <v>3528757.6917186356</v>
      </c>
      <c r="Z200" s="178">
        <f t="shared" si="80"/>
        <v>-1126535.4166618511</v>
      </c>
      <c r="AA200" s="178">
        <f t="shared" si="80"/>
        <v>2000166.1320718094</v>
      </c>
      <c r="AB200" s="178">
        <f t="shared" si="80"/>
        <v>1618745.5637750565</v>
      </c>
      <c r="AC200" s="178">
        <f t="shared" si="80"/>
        <v>3840601.908676079</v>
      </c>
      <c r="AD200" s="178">
        <f t="shared" si="80"/>
        <v>3776444.5169506674</v>
      </c>
      <c r="AE200" s="178">
        <f t="shared" si="80"/>
        <v>-1010025.1625882145</v>
      </c>
      <c r="AF200" s="178">
        <f t="shared" si="80"/>
        <v>3864209.8144517322</v>
      </c>
      <c r="AG200" s="178">
        <f t="shared" si="80"/>
        <v>4024975.3593581244</v>
      </c>
      <c r="AH200" s="178">
        <f t="shared" si="80"/>
        <v>3954170.9971162761</v>
      </c>
      <c r="AI200" s="178">
        <f t="shared" si="80"/>
        <v>4120728.8073820691</v>
      </c>
      <c r="AJ200" s="178">
        <f t="shared" si="80"/>
        <v>34924585.740342617</v>
      </c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66"/>
      <c r="AV200" s="166"/>
      <c r="AW200" s="166"/>
      <c r="AX200" s="166"/>
      <c r="AY200" s="166"/>
      <c r="AZ200" s="166"/>
      <c r="BA200" s="166"/>
      <c r="BB200" s="166"/>
      <c r="BC200" s="166"/>
      <c r="BD200" s="166"/>
      <c r="BE200" s="166"/>
      <c r="BF200" s="166"/>
      <c r="BG200" s="166"/>
      <c r="BH200" s="166"/>
      <c r="BI200" s="166"/>
      <c r="BJ200" s="166"/>
      <c r="BK200" s="166"/>
      <c r="BL200" s="166"/>
      <c r="BM200" s="166"/>
      <c r="BN200" s="166"/>
    </row>
    <row r="201" spans="2:66" ht="14.4" x14ac:dyDescent="0.25">
      <c r="B201" s="844" t="s">
        <v>438</v>
      </c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848">
        <f>IRR(C200:AJ200)</f>
        <v>-4.1016596957607065E-3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66"/>
      <c r="AV201" s="166"/>
      <c r="AW201" s="166"/>
      <c r="AX201" s="166"/>
      <c r="AY201" s="166"/>
      <c r="AZ201" s="166"/>
      <c r="BA201" s="166"/>
      <c r="BB201" s="166"/>
      <c r="BC201" s="166"/>
      <c r="BD201" s="166"/>
      <c r="BE201" s="166"/>
      <c r="BF201" s="166"/>
      <c r="BG201" s="166"/>
      <c r="BH201" s="166"/>
      <c r="BI201" s="166"/>
      <c r="BJ201" s="166"/>
      <c r="BK201" s="166"/>
      <c r="BL201" s="166"/>
      <c r="BM201" s="166"/>
      <c r="BN201" s="166"/>
    </row>
    <row r="202" spans="2:66" ht="14.4" x14ac:dyDescent="0.25">
      <c r="B202" s="844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66"/>
      <c r="AV202" s="166"/>
      <c r="AW202" s="166"/>
      <c r="AX202" s="166"/>
      <c r="AY202" s="166"/>
      <c r="AZ202" s="166"/>
      <c r="BA202" s="166"/>
      <c r="BB202" s="166"/>
      <c r="BC202" s="166"/>
      <c r="BD202" s="166"/>
      <c r="BE202" s="166"/>
      <c r="BF202" s="166"/>
      <c r="BG202" s="166"/>
      <c r="BH202" s="166"/>
      <c r="BI202" s="166"/>
      <c r="BJ202" s="166"/>
      <c r="BK202" s="166"/>
      <c r="BL202" s="166"/>
      <c r="BM202" s="166"/>
      <c r="BN202" s="166"/>
    </row>
    <row r="203" spans="2:66" ht="14.4" x14ac:dyDescent="0.25">
      <c r="B203" s="844" t="s">
        <v>437</v>
      </c>
      <c r="C203" s="178">
        <f>C190+C196</f>
        <v>-5332198.1684703697</v>
      </c>
      <c r="D203" s="178">
        <f t="shared" ref="D203:AI203" si="81">D190+D196</f>
        <v>-19669755.173127942</v>
      </c>
      <c r="E203" s="178">
        <f t="shared" si="81"/>
        <v>-49167777.727487408</v>
      </c>
      <c r="F203" s="178">
        <f t="shared" si="81"/>
        <v>-19836102.472292583</v>
      </c>
      <c r="G203" s="178">
        <f t="shared" si="81"/>
        <v>1209486.2024178673</v>
      </c>
      <c r="H203" s="178">
        <f t="shared" si="81"/>
        <v>2111418.089937239</v>
      </c>
      <c r="I203" s="178">
        <f t="shared" si="81"/>
        <v>2550368.1074060737</v>
      </c>
      <c r="J203" s="178">
        <f t="shared" si="81"/>
        <v>2545719.0131555558</v>
      </c>
      <c r="K203" s="178">
        <f t="shared" si="81"/>
        <v>-1042567.1659317575</v>
      </c>
      <c r="L203" s="178">
        <f t="shared" si="81"/>
        <v>2645642.0087645953</v>
      </c>
      <c r="M203" s="178">
        <f t="shared" si="81"/>
        <v>2785106.8743268778</v>
      </c>
      <c r="N203" s="178">
        <f t="shared" si="81"/>
        <v>2762794.7081646454</v>
      </c>
      <c r="O203" s="178">
        <f t="shared" si="81"/>
        <v>2890933.9309788798</v>
      </c>
      <c r="P203" s="178">
        <f t="shared" si="81"/>
        <v>-2441431.448922432</v>
      </c>
      <c r="Q203" s="178">
        <f t="shared" si="81"/>
        <v>1270239.8023444824</v>
      </c>
      <c r="R203" s="178">
        <f t="shared" si="81"/>
        <v>2999982.9751322586</v>
      </c>
      <c r="S203" s="178">
        <f t="shared" si="81"/>
        <v>3123030.4212641129</v>
      </c>
      <c r="T203" s="178">
        <f t="shared" si="81"/>
        <v>3078091.6961962604</v>
      </c>
      <c r="U203" s="178">
        <f t="shared" si="81"/>
        <v>-3320974.8237429345</v>
      </c>
      <c r="V203" s="178">
        <f t="shared" si="81"/>
        <v>-4412264.6752931792</v>
      </c>
      <c r="W203" s="178">
        <f t="shared" si="81"/>
        <v>-341275.71648094291</v>
      </c>
      <c r="X203" s="178">
        <f t="shared" si="81"/>
        <v>3357942.159200727</v>
      </c>
      <c r="Y203" s="178">
        <f t="shared" si="81"/>
        <v>3528757.6917186356</v>
      </c>
      <c r="Z203" s="178">
        <f t="shared" si="81"/>
        <v>-1126535.4166618511</v>
      </c>
      <c r="AA203" s="178">
        <f t="shared" si="81"/>
        <v>2000166.1320718094</v>
      </c>
      <c r="AB203" s="178">
        <f t="shared" si="81"/>
        <v>1618745.5637750565</v>
      </c>
      <c r="AC203" s="178">
        <f t="shared" si="81"/>
        <v>3840601.908676079</v>
      </c>
      <c r="AD203" s="178">
        <f t="shared" si="81"/>
        <v>3776444.5169506674</v>
      </c>
      <c r="AE203" s="178">
        <f t="shared" si="81"/>
        <v>-1010025.1625882145</v>
      </c>
      <c r="AF203" s="178">
        <f t="shared" si="81"/>
        <v>3864209.8144517322</v>
      </c>
      <c r="AG203" s="178">
        <f t="shared" si="81"/>
        <v>4024975.3593581244</v>
      </c>
      <c r="AH203" s="178">
        <f t="shared" si="81"/>
        <v>3954170.9971162761</v>
      </c>
      <c r="AI203" s="178">
        <f t="shared" si="81"/>
        <v>4120728.8073820691</v>
      </c>
      <c r="AJ203" s="178">
        <f>AJ190+AJ194</f>
        <v>-1379071.5047559794</v>
      </c>
      <c r="AK203" s="178">
        <f t="shared" ref="AK203:AT203" si="82">AK190+AK196</f>
        <v>4218887.3154736757</v>
      </c>
      <c r="AL203" s="178">
        <f t="shared" si="82"/>
        <v>-1152295.7785556773</v>
      </c>
      <c r="AM203" s="178">
        <f t="shared" si="82"/>
        <v>-8515539.3020801302</v>
      </c>
      <c r="AN203" s="178">
        <f t="shared" si="82"/>
        <v>-861795.99336698791</v>
      </c>
      <c r="AO203" s="178">
        <f t="shared" si="82"/>
        <v>-1399835.5669043679</v>
      </c>
      <c r="AP203" s="178">
        <f t="shared" si="82"/>
        <v>4462459.9917109786</v>
      </c>
      <c r="AQ203" s="178">
        <f t="shared" si="82"/>
        <v>4654195.8962501157</v>
      </c>
      <c r="AR203" s="178">
        <f t="shared" si="82"/>
        <v>4563533.6903250189</v>
      </c>
      <c r="AS203" s="178">
        <f t="shared" si="82"/>
        <v>4762095.7846031096</v>
      </c>
      <c r="AT203" s="178">
        <f t="shared" si="82"/>
        <v>31588850.172219515</v>
      </c>
      <c r="AU203" s="166"/>
      <c r="AV203" s="166"/>
      <c r="AW203" s="166"/>
      <c r="AX203" s="166"/>
      <c r="AY203" s="166"/>
      <c r="AZ203" s="166"/>
      <c r="BA203" s="166"/>
      <c r="BB203" s="166"/>
      <c r="BC203" s="166"/>
      <c r="BD203" s="166"/>
      <c r="BE203" s="166"/>
      <c r="BF203" s="166"/>
      <c r="BG203" s="166"/>
      <c r="BH203" s="166"/>
      <c r="BI203" s="166"/>
      <c r="BJ203" s="166"/>
      <c r="BK203" s="166"/>
      <c r="BL203" s="166"/>
      <c r="BM203" s="166"/>
      <c r="BN203" s="166"/>
    </row>
    <row r="204" spans="2:66" ht="14.4" x14ac:dyDescent="0.25">
      <c r="B204" s="844" t="s">
        <v>439</v>
      </c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849">
        <f>IRR(C203:AT203)</f>
        <v>-1.0154382988141197E-3</v>
      </c>
      <c r="AU204" s="166"/>
      <c r="AV204" s="166"/>
      <c r="AW204" s="166"/>
      <c r="AX204" s="166"/>
      <c r="AY204" s="166"/>
      <c r="AZ204" s="166"/>
      <c r="BA204" s="166"/>
      <c r="BB204" s="166"/>
      <c r="BC204" s="166"/>
      <c r="BD204" s="166"/>
      <c r="BE204" s="166"/>
      <c r="BF204" s="166"/>
      <c r="BG204" s="166"/>
      <c r="BH204" s="166"/>
      <c r="BI204" s="166"/>
      <c r="BJ204" s="166"/>
      <c r="BK204" s="166"/>
      <c r="BL204" s="166"/>
      <c r="BM204" s="166"/>
      <c r="BN204" s="166"/>
    </row>
    <row r="205" spans="2:66" ht="14.4" x14ac:dyDescent="0.25">
      <c r="B205" s="844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66"/>
      <c r="BI205" s="166"/>
      <c r="BJ205" s="166"/>
      <c r="BK205" s="166"/>
      <c r="BL205" s="166"/>
      <c r="BM205" s="166"/>
      <c r="BN205" s="166"/>
    </row>
    <row r="206" spans="2:66" ht="14.4" x14ac:dyDescent="0.25">
      <c r="B206" s="844" t="s">
        <v>450</v>
      </c>
      <c r="C206" s="178">
        <f>C180</f>
        <v>0</v>
      </c>
      <c r="D206" s="178">
        <f t="shared" ref="D206:AT206" si="83">D180</f>
        <v>0</v>
      </c>
      <c r="E206" s="178">
        <f t="shared" si="83"/>
        <v>0</v>
      </c>
      <c r="F206" s="178">
        <f t="shared" si="83"/>
        <v>0</v>
      </c>
      <c r="G206" s="178">
        <f t="shared" si="83"/>
        <v>1209486.2024178673</v>
      </c>
      <c r="H206" s="178">
        <f t="shared" si="83"/>
        <v>2111418.089937239</v>
      </c>
      <c r="I206" s="178">
        <f t="shared" si="83"/>
        <v>2550368.1074060737</v>
      </c>
      <c r="J206" s="178">
        <f t="shared" si="83"/>
        <v>2545719.0131555558</v>
      </c>
      <c r="K206" s="178">
        <f t="shared" si="83"/>
        <v>-1042567.1659317575</v>
      </c>
      <c r="L206" s="178">
        <f t="shared" si="83"/>
        <v>2742595.394877329</v>
      </c>
      <c r="M206" s="178">
        <f t="shared" si="83"/>
        <v>2957156.7265116097</v>
      </c>
      <c r="N206" s="178">
        <f t="shared" si="83"/>
        <v>2922830.3170312522</v>
      </c>
      <c r="O206" s="178">
        <f t="shared" si="83"/>
        <v>3119967.5828993055</v>
      </c>
      <c r="P206" s="178">
        <f t="shared" si="83"/>
        <v>-1081295.1564846924</v>
      </c>
      <c r="Q206" s="178">
        <f t="shared" si="83"/>
        <v>3290758.9638195336</v>
      </c>
      <c r="R206" s="178">
        <f t="shared" si="83"/>
        <v>3252243.7156583839</v>
      </c>
      <c r="S206" s="178">
        <f t="shared" si="83"/>
        <v>3441547.47893816</v>
      </c>
      <c r="T206" s="178">
        <f t="shared" si="83"/>
        <v>3372410.9788337713</v>
      </c>
      <c r="U206" s="178">
        <f t="shared" si="83"/>
        <v>-1006912.5039151702</v>
      </c>
      <c r="V206" s="178">
        <f t="shared" si="83"/>
        <v>3496580.8948039259</v>
      </c>
      <c r="W206" s="178">
        <f t="shared" si="83"/>
        <v>3701290.9963461277</v>
      </c>
      <c r="X206" s="178">
        <f t="shared" si="83"/>
        <v>3671058.7400779114</v>
      </c>
      <c r="Y206" s="178">
        <f t="shared" si="83"/>
        <v>3933851.86702854</v>
      </c>
      <c r="Z206" s="178">
        <f t="shared" si="83"/>
        <v>-1126535.4166618511</v>
      </c>
      <c r="AA206" s="178">
        <f t="shared" si="83"/>
        <v>4178705.7964467891</v>
      </c>
      <c r="AB206" s="178">
        <f t="shared" si="83"/>
        <v>4144203.17685585</v>
      </c>
      <c r="AC206" s="178">
        <f t="shared" si="83"/>
        <v>4374578.693906229</v>
      </c>
      <c r="AD206" s="178">
        <f t="shared" si="83"/>
        <v>4275875.0143286726</v>
      </c>
      <c r="AE206" s="178">
        <f t="shared" si="83"/>
        <v>-1010025.1625882145</v>
      </c>
      <c r="AF206" s="178">
        <f t="shared" si="83"/>
        <v>4410898.5489456952</v>
      </c>
      <c r="AG206" s="178">
        <f t="shared" si="83"/>
        <v>4658230.1564939907</v>
      </c>
      <c r="AH206" s="178">
        <f t="shared" si="83"/>
        <v>4549300.3684296086</v>
      </c>
      <c r="AI206" s="178">
        <f t="shared" si="83"/>
        <v>4805543.1534539061</v>
      </c>
      <c r="AJ206" s="178">
        <f t="shared" si="83"/>
        <v>-1379071.5047559794</v>
      </c>
      <c r="AK206" s="178">
        <f t="shared" si="83"/>
        <v>4956556.2428256087</v>
      </c>
      <c r="AL206" s="178">
        <f t="shared" si="83"/>
        <v>4836319.7760617854</v>
      </c>
      <c r="AM206" s="178">
        <f t="shared" si="83"/>
        <v>5111294.3122412367</v>
      </c>
      <c r="AN206" s="178">
        <f t="shared" si="83"/>
        <v>4984963.4413681747</v>
      </c>
      <c r="AO206" s="178">
        <f t="shared" si="83"/>
        <v>-1399835.5669043679</v>
      </c>
      <c r="AP206" s="178">
        <f t="shared" si="83"/>
        <v>5137036.3399404529</v>
      </c>
      <c r="AQ206" s="178">
        <f t="shared" si="83"/>
        <v>5432014.6546160476</v>
      </c>
      <c r="AR206" s="178">
        <f t="shared" si="83"/>
        <v>5292534.3378082067</v>
      </c>
      <c r="AS206" s="178">
        <f t="shared" si="83"/>
        <v>5598014.4828514243</v>
      </c>
      <c r="AT206" s="178">
        <f t="shared" si="83"/>
        <v>-1876802.7219981235</v>
      </c>
      <c r="AU206" s="166"/>
      <c r="AV206" s="166"/>
      <c r="AW206" s="166"/>
      <c r="AX206" s="166"/>
      <c r="AY206" s="166"/>
      <c r="AZ206" s="166"/>
      <c r="BA206" s="166"/>
      <c r="BB206" s="166"/>
      <c r="BC206" s="166"/>
      <c r="BD206" s="166"/>
      <c r="BE206" s="166"/>
      <c r="BF206" s="166"/>
      <c r="BG206" s="166"/>
      <c r="BH206" s="166"/>
      <c r="BI206" s="166"/>
      <c r="BJ206" s="166"/>
      <c r="BK206" s="166"/>
      <c r="BL206" s="166"/>
      <c r="BM206" s="166"/>
      <c r="BN206" s="166"/>
    </row>
    <row r="207" spans="2:66" ht="14.4" x14ac:dyDescent="0.25">
      <c r="B207" s="844" t="s">
        <v>451</v>
      </c>
      <c r="C207" s="178">
        <f>C206+C167</f>
        <v>0</v>
      </c>
      <c r="D207" s="178">
        <f t="shared" ref="D207:AT207" si="84">D206+D167</f>
        <v>0</v>
      </c>
      <c r="E207" s="178">
        <f t="shared" si="84"/>
        <v>0</v>
      </c>
      <c r="F207" s="178">
        <f t="shared" si="84"/>
        <v>0</v>
      </c>
      <c r="G207" s="178">
        <f t="shared" si="84"/>
        <v>-1397099.990600429</v>
      </c>
      <c r="H207" s="178">
        <f t="shared" si="84"/>
        <v>-495168.10308105731</v>
      </c>
      <c r="I207" s="178">
        <f t="shared" si="84"/>
        <v>-56218.085612222552</v>
      </c>
      <c r="J207" s="178">
        <f t="shared" si="84"/>
        <v>-60867.17986274045</v>
      </c>
      <c r="K207" s="178">
        <f t="shared" si="84"/>
        <v>-3649153.3589500538</v>
      </c>
      <c r="L207" s="178">
        <f t="shared" si="84"/>
        <v>277009.67460781103</v>
      </c>
      <c r="M207" s="178">
        <f t="shared" si="84"/>
        <v>491571.00624209177</v>
      </c>
      <c r="N207" s="178">
        <f t="shared" si="84"/>
        <v>457244.59676173422</v>
      </c>
      <c r="O207" s="178">
        <f t="shared" si="84"/>
        <v>654381.86262978753</v>
      </c>
      <c r="P207" s="178">
        <f t="shared" si="84"/>
        <v>-3546880.8767542103</v>
      </c>
      <c r="Q207" s="178">
        <f t="shared" si="84"/>
        <v>1060218.1318688071</v>
      </c>
      <c r="R207" s="178">
        <f t="shared" si="84"/>
        <v>720744.97293178644</v>
      </c>
      <c r="S207" s="178">
        <f t="shared" si="84"/>
        <v>910048.73621156253</v>
      </c>
      <c r="T207" s="178">
        <f t="shared" si="84"/>
        <v>840912.23610717384</v>
      </c>
      <c r="U207" s="178">
        <f t="shared" si="84"/>
        <v>-3538411.2466417677</v>
      </c>
      <c r="V207" s="178">
        <f t="shared" si="84"/>
        <v>1592098.1162863702</v>
      </c>
      <c r="W207" s="178">
        <f t="shared" si="84"/>
        <v>1796808.217828572</v>
      </c>
      <c r="X207" s="178">
        <f t="shared" si="84"/>
        <v>894618.80250624148</v>
      </c>
      <c r="Y207" s="178">
        <f t="shared" si="84"/>
        <v>1157411.9294568701</v>
      </c>
      <c r="Z207" s="178">
        <f t="shared" si="84"/>
        <v>-3902975.354233521</v>
      </c>
      <c r="AA207" s="178">
        <f t="shared" si="84"/>
        <v>1402265.8588751191</v>
      </c>
      <c r="AB207" s="178">
        <f t="shared" si="84"/>
        <v>1367763.2392841801</v>
      </c>
      <c r="AC207" s="178">
        <f t="shared" si="84"/>
        <v>1525647.9578004284</v>
      </c>
      <c r="AD207" s="178">
        <f t="shared" si="84"/>
        <v>1426944.2782228719</v>
      </c>
      <c r="AE207" s="178">
        <f t="shared" si="84"/>
        <v>-3858955.8986940151</v>
      </c>
      <c r="AF207" s="178">
        <f t="shared" si="84"/>
        <v>1561967.8128398946</v>
      </c>
      <c r="AG207" s="178">
        <f t="shared" si="84"/>
        <v>1809299.4203881901</v>
      </c>
      <c r="AH207" s="178">
        <f t="shared" si="84"/>
        <v>1700369.632323808</v>
      </c>
      <c r="AI207" s="178">
        <f t="shared" si="84"/>
        <v>1956612.4173481055</v>
      </c>
      <c r="AJ207" s="178">
        <f t="shared" si="84"/>
        <v>-4228002.24086178</v>
      </c>
      <c r="AK207" s="178">
        <f t="shared" si="84"/>
        <v>2107625.5067198081</v>
      </c>
      <c r="AL207" s="178">
        <f t="shared" si="84"/>
        <v>1987389.0399559848</v>
      </c>
      <c r="AM207" s="178">
        <f t="shared" si="84"/>
        <v>3134320.7351895501</v>
      </c>
      <c r="AN207" s="178">
        <f t="shared" si="84"/>
        <v>3381438.5736264898</v>
      </c>
      <c r="AO207" s="178">
        <f t="shared" si="84"/>
        <v>-4609510.9119034661</v>
      </c>
      <c r="AP207" s="178">
        <f t="shared" si="84"/>
        <v>1927360.9949413547</v>
      </c>
      <c r="AQ207" s="178">
        <f t="shared" si="84"/>
        <v>2222339.3096169494</v>
      </c>
      <c r="AR207" s="178">
        <f t="shared" si="84"/>
        <v>2082858.9928091085</v>
      </c>
      <c r="AS207" s="178">
        <f t="shared" si="84"/>
        <v>2388339.137852326</v>
      </c>
      <c r="AT207" s="178">
        <f t="shared" si="84"/>
        <v>-5086478.0669972217</v>
      </c>
      <c r="AU207" s="166"/>
      <c r="AV207" s="166"/>
      <c r="AW207" s="166"/>
      <c r="AX207" s="166"/>
      <c r="AY207" s="166"/>
      <c r="AZ207" s="166"/>
      <c r="BA207" s="166"/>
      <c r="BB207" s="166"/>
      <c r="BC207" s="166"/>
      <c r="BD207" s="166"/>
      <c r="BE207" s="166"/>
      <c r="BF207" s="166"/>
      <c r="BG207" s="166"/>
      <c r="BH207" s="166"/>
      <c r="BI207" s="166"/>
      <c r="BJ207" s="166"/>
      <c r="BK207" s="166"/>
      <c r="BL207" s="166"/>
      <c r="BM207" s="166"/>
      <c r="BN207" s="166"/>
    </row>
    <row r="208" spans="2:66" ht="14.4" x14ac:dyDescent="0.25">
      <c r="B208" s="844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</row>
    <row r="209" spans="1:66" ht="14.4" x14ac:dyDescent="0.25">
      <c r="B209" s="844" t="s">
        <v>489</v>
      </c>
      <c r="C209" s="908"/>
      <c r="D209" s="908"/>
      <c r="E209" s="908"/>
      <c r="F209" s="908"/>
      <c r="G209" s="909">
        <f>ABS(G178)/ABS(G173)</f>
        <v>1.4332673737162724</v>
      </c>
      <c r="H209" s="909">
        <f t="shared" ref="H209:AT209" si="85">ABS(H178)/ABS(H173)</f>
        <v>1.6829327064447273</v>
      </c>
      <c r="I209" s="909">
        <f t="shared" si="85"/>
        <v>1.8691382769157854</v>
      </c>
      <c r="J209" s="909">
        <f t="shared" si="85"/>
        <v>1.8475682196265417</v>
      </c>
      <c r="K209" s="909">
        <f t="shared" si="85"/>
        <v>0.84813295624027718</v>
      </c>
      <c r="L209" s="909">
        <f t="shared" si="85"/>
        <v>1.8714985957555474</v>
      </c>
      <c r="M209" s="909">
        <f t="shared" si="85"/>
        <v>1.9179982338958239</v>
      </c>
      <c r="N209" s="909">
        <f t="shared" si="85"/>
        <v>1.8863973353225691</v>
      </c>
      <c r="O209" s="909">
        <f t="shared" si="85"/>
        <v>1.9243299656866919</v>
      </c>
      <c r="P209" s="909">
        <f t="shared" si="85"/>
        <v>0.8581000680270382</v>
      </c>
      <c r="Q209" s="909">
        <f t="shared" si="85"/>
        <v>1.9303825749343024</v>
      </c>
      <c r="R209" s="909">
        <f t="shared" si="85"/>
        <v>1.89822471981386</v>
      </c>
      <c r="S209" s="909">
        <f t="shared" si="85"/>
        <v>1.9285106176407598</v>
      </c>
      <c r="T209" s="909">
        <f t="shared" si="85"/>
        <v>1.8887908063529291</v>
      </c>
      <c r="U209" s="909">
        <f t="shared" si="85"/>
        <v>0.88098737275849714</v>
      </c>
      <c r="V209" s="909">
        <f t="shared" si="85"/>
        <v>1.8793035179746882</v>
      </c>
      <c r="W209" s="909">
        <f t="shared" si="85"/>
        <v>1.9091984282327923</v>
      </c>
      <c r="X209" s="909">
        <f t="shared" si="85"/>
        <v>1.8808495629871904</v>
      </c>
      <c r="Y209" s="909">
        <f t="shared" si="85"/>
        <v>1.9219940574173728</v>
      </c>
      <c r="Z209" s="909">
        <f t="shared" si="85"/>
        <v>0.88010751571601153</v>
      </c>
      <c r="AA209" s="909">
        <f t="shared" si="85"/>
        <v>1.9344058803869464</v>
      </c>
      <c r="AB209" s="909">
        <f t="shared" si="85"/>
        <v>1.9051462126580365</v>
      </c>
      <c r="AC209" s="909">
        <f t="shared" si="85"/>
        <v>1.9332383986672752</v>
      </c>
      <c r="AD209" s="909">
        <f t="shared" si="85"/>
        <v>1.8909529460771679</v>
      </c>
      <c r="AE209" s="909">
        <f t="shared" si="85"/>
        <v>0.90323796624584873</v>
      </c>
      <c r="AF209" s="909">
        <f t="shared" si="85"/>
        <v>1.8767743226728184</v>
      </c>
      <c r="AG209" s="909">
        <f t="shared" si="85"/>
        <v>1.9043556968894073</v>
      </c>
      <c r="AH209" s="909">
        <f t="shared" si="85"/>
        <v>1.8626115201090865</v>
      </c>
      <c r="AI209" s="909">
        <f t="shared" si="85"/>
        <v>1.8899388154492203</v>
      </c>
      <c r="AJ209" s="909">
        <f t="shared" si="85"/>
        <v>0.88110527188720511</v>
      </c>
      <c r="AK209" s="909">
        <f t="shared" si="85"/>
        <v>1.8755398372204706</v>
      </c>
      <c r="AL209" s="909">
        <f t="shared" si="85"/>
        <v>1.8343380613993057</v>
      </c>
      <c r="AM209" s="909">
        <f t="shared" si="85"/>
        <v>1.8611599476408489</v>
      </c>
      <c r="AN209" s="909">
        <f t="shared" si="85"/>
        <v>1.8202297328954871</v>
      </c>
      <c r="AO209" s="909">
        <f t="shared" si="85"/>
        <v>0.89142480208361041</v>
      </c>
      <c r="AP209" s="909">
        <f t="shared" si="85"/>
        <v>1.806141879906334</v>
      </c>
      <c r="AQ209" s="909">
        <f t="shared" si="85"/>
        <v>1.8324621450176795</v>
      </c>
      <c r="AR209" s="909">
        <f t="shared" si="85"/>
        <v>1.7920756505790509</v>
      </c>
      <c r="AS209" s="909">
        <f t="shared" si="85"/>
        <v>1.8181465707670097</v>
      </c>
      <c r="AT209" s="909">
        <f t="shared" si="85"/>
        <v>0.86907510611327199</v>
      </c>
      <c r="AU209" s="166"/>
      <c r="AV209" s="166"/>
      <c r="AW209" s="166"/>
      <c r="AX209" s="166"/>
      <c r="AY209" s="166"/>
      <c r="AZ209" s="166"/>
      <c r="BA209" s="166"/>
      <c r="BB209" s="166"/>
      <c r="BC209" s="166"/>
      <c r="BD209" s="166"/>
      <c r="BE209" s="166"/>
      <c r="BF209" s="166"/>
      <c r="BG209" s="166"/>
      <c r="BH209" s="166"/>
      <c r="BI209" s="166"/>
      <c r="BJ209" s="166"/>
      <c r="BK209" s="166"/>
      <c r="BL209" s="166"/>
      <c r="BM209" s="166"/>
      <c r="BN209" s="166"/>
    </row>
    <row r="210" spans="1:66" ht="14.4" x14ac:dyDescent="0.25">
      <c r="B210" s="844" t="s">
        <v>490</v>
      </c>
      <c r="C210" s="908"/>
      <c r="D210" s="908"/>
      <c r="E210" s="908"/>
      <c r="F210" s="908"/>
      <c r="G210" s="909">
        <f>G209-1</f>
        <v>0.43326737371627244</v>
      </c>
      <c r="H210" s="909">
        <f t="shared" ref="H210" si="86">H209-1</f>
        <v>0.68293270644472726</v>
      </c>
      <c r="I210" s="909">
        <f t="shared" ref="I210" si="87">I209-1</f>
        <v>0.86913827691578538</v>
      </c>
      <c r="J210" s="909">
        <f t="shared" ref="J210" si="88">J209-1</f>
        <v>0.84756821962654172</v>
      </c>
      <c r="K210" s="909">
        <f t="shared" ref="K210" si="89">K209-1</f>
        <v>-0.15186704375972282</v>
      </c>
      <c r="L210" s="909">
        <f t="shared" ref="L210" si="90">L209-1</f>
        <v>0.87149859575554744</v>
      </c>
      <c r="M210" s="909">
        <f t="shared" ref="M210" si="91">M209-1</f>
        <v>0.91799823389582391</v>
      </c>
      <c r="N210" s="909">
        <f t="shared" ref="N210" si="92">N209-1</f>
        <v>0.88639733532256915</v>
      </c>
      <c r="O210" s="909">
        <f t="shared" ref="O210" si="93">O209-1</f>
        <v>0.9243299656866919</v>
      </c>
      <c r="P210" s="909">
        <f t="shared" ref="P210" si="94">P209-1</f>
        <v>-0.1418999319729618</v>
      </c>
      <c r="Q210" s="909">
        <f t="shared" ref="Q210" si="95">Q209-1</f>
        <v>0.93038257493430243</v>
      </c>
      <c r="R210" s="909">
        <f t="shared" ref="R210" si="96">R209-1</f>
        <v>0.89822471981385998</v>
      </c>
      <c r="S210" s="909">
        <f t="shared" ref="S210" si="97">S209-1</f>
        <v>0.92851061764075982</v>
      </c>
      <c r="T210" s="909">
        <f t="shared" ref="T210" si="98">T209-1</f>
        <v>0.88879080635292906</v>
      </c>
      <c r="U210" s="909">
        <f t="shared" ref="U210" si="99">U209-1</f>
        <v>-0.11901262724150286</v>
      </c>
      <c r="V210" s="909">
        <f t="shared" ref="V210" si="100">V209-1</f>
        <v>0.8793035179746882</v>
      </c>
      <c r="W210" s="909">
        <f t="shared" ref="W210" si="101">W209-1</f>
        <v>0.90919842823279229</v>
      </c>
      <c r="X210" s="909">
        <f t="shared" ref="X210" si="102">X209-1</f>
        <v>0.88084956298719042</v>
      </c>
      <c r="Y210" s="909">
        <f t="shared" ref="Y210" si="103">Y209-1</f>
        <v>0.92199405741737284</v>
      </c>
      <c r="Z210" s="909">
        <f t="shared" ref="Z210" si="104">Z209-1</f>
        <v>-0.11989248428398847</v>
      </c>
      <c r="AA210" s="909">
        <f t="shared" ref="AA210" si="105">AA209-1</f>
        <v>0.93440588038694639</v>
      </c>
      <c r="AB210" s="909">
        <f t="shared" ref="AB210" si="106">AB209-1</f>
        <v>0.90514621265803652</v>
      </c>
      <c r="AC210" s="909">
        <f t="shared" ref="AC210" si="107">AC209-1</f>
        <v>0.9332383986672752</v>
      </c>
      <c r="AD210" s="909">
        <f t="shared" ref="AD210" si="108">AD209-1</f>
        <v>0.89095294607716791</v>
      </c>
      <c r="AE210" s="909">
        <f t="shared" ref="AE210" si="109">AE209-1</f>
        <v>-9.6762033754151267E-2</v>
      </c>
      <c r="AF210" s="909">
        <f t="shared" ref="AF210" si="110">AF209-1</f>
        <v>0.87677432267281841</v>
      </c>
      <c r="AG210" s="909">
        <f t="shared" ref="AG210" si="111">AG209-1</f>
        <v>0.90435569688940731</v>
      </c>
      <c r="AH210" s="909">
        <f t="shared" ref="AH210" si="112">AH209-1</f>
        <v>0.86261152010908648</v>
      </c>
      <c r="AI210" s="909">
        <f t="shared" ref="AI210" si="113">AI209-1</f>
        <v>0.88993881544922027</v>
      </c>
      <c r="AJ210" s="909">
        <f t="shared" ref="AJ210" si="114">AJ209-1</f>
        <v>-0.11889472811279489</v>
      </c>
      <c r="AK210" s="909">
        <f t="shared" ref="AK210" si="115">AK209-1</f>
        <v>0.87553983722047057</v>
      </c>
      <c r="AL210" s="909">
        <f t="shared" ref="AL210" si="116">AL209-1</f>
        <v>0.83433806139930566</v>
      </c>
      <c r="AM210" s="909">
        <f t="shared" ref="AM210" si="117">AM209-1</f>
        <v>0.86115994764084891</v>
      </c>
      <c r="AN210" s="909">
        <f t="shared" ref="AN210" si="118">AN209-1</f>
        <v>0.82022973289548706</v>
      </c>
      <c r="AO210" s="909">
        <f t="shared" ref="AO210" si="119">AO209-1</f>
        <v>-0.10857519791638959</v>
      </c>
      <c r="AP210" s="909">
        <f t="shared" ref="AP210" si="120">AP209-1</f>
        <v>0.80614187990633401</v>
      </c>
      <c r="AQ210" s="909">
        <f t="shared" ref="AQ210" si="121">AQ209-1</f>
        <v>0.83246214501767946</v>
      </c>
      <c r="AR210" s="909">
        <f t="shared" ref="AR210" si="122">AR209-1</f>
        <v>0.79207565057905094</v>
      </c>
      <c r="AS210" s="909">
        <f t="shared" ref="AS210" si="123">AS209-1</f>
        <v>0.8181465707670097</v>
      </c>
      <c r="AT210" s="909">
        <f t="shared" ref="AT210" si="124">AT209-1</f>
        <v>-0.13092489388672801</v>
      </c>
      <c r="AU210" s="166"/>
      <c r="AV210" s="166"/>
      <c r="AW210" s="166"/>
      <c r="AX210" s="166"/>
      <c r="AY210" s="166"/>
      <c r="AZ210" s="166"/>
      <c r="BA210" s="166"/>
      <c r="BB210" s="166"/>
      <c r="BC210" s="166"/>
      <c r="BD210" s="166"/>
      <c r="BE210" s="166"/>
      <c r="BF210" s="166"/>
      <c r="BG210" s="166"/>
      <c r="BH210" s="166"/>
      <c r="BI210" s="166"/>
      <c r="BJ210" s="166"/>
      <c r="BK210" s="166"/>
      <c r="BL210" s="166"/>
      <c r="BM210" s="166"/>
      <c r="BN210" s="166"/>
    </row>
    <row r="211" spans="1:66" ht="14.4" x14ac:dyDescent="0.25">
      <c r="B211" s="844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66"/>
      <c r="AV211" s="166"/>
      <c r="AW211" s="166"/>
      <c r="AX211" s="166"/>
      <c r="AY211" s="166"/>
      <c r="AZ211" s="166"/>
      <c r="BA211" s="166"/>
      <c r="BB211" s="166"/>
      <c r="BC211" s="166"/>
      <c r="BD211" s="166"/>
      <c r="BE211" s="166"/>
      <c r="BF211" s="166"/>
      <c r="BG211" s="166"/>
      <c r="BH211" s="166"/>
      <c r="BI211" s="166"/>
      <c r="BJ211" s="166"/>
      <c r="BK211" s="166"/>
      <c r="BL211" s="166"/>
      <c r="BM211" s="166"/>
      <c r="BN211" s="166"/>
    </row>
    <row r="212" spans="1:66" ht="14.4" x14ac:dyDescent="0.25">
      <c r="B212" s="907" t="s">
        <v>404</v>
      </c>
      <c r="C212" s="268">
        <f>C203</f>
        <v>-5332198.1684703697</v>
      </c>
      <c r="D212" s="268">
        <f>D203/((1+$C$26)^D144)</f>
        <v>-17406862.985068977</v>
      </c>
      <c r="E212" s="268">
        <f t="shared" ref="E212:AT212" si="125">E203/((1+$C$26)^E144)</f>
        <v>-38505582.056141764</v>
      </c>
      <c r="F212" s="268">
        <f t="shared" si="125"/>
        <v>-13747414.037379377</v>
      </c>
      <c r="G212" s="268">
        <f t="shared" si="125"/>
        <v>741800.53881268762</v>
      </c>
      <c r="H212" s="268">
        <f t="shared" si="125"/>
        <v>1145993.1473624138</v>
      </c>
      <c r="I212" s="268">
        <f t="shared" si="125"/>
        <v>1224989.0537617307</v>
      </c>
      <c r="J212" s="268">
        <f t="shared" si="125"/>
        <v>1082084.962528694</v>
      </c>
      <c r="K212" s="268">
        <f t="shared" si="125"/>
        <v>-392171.92097304756</v>
      </c>
      <c r="L212" s="268">
        <f t="shared" si="125"/>
        <v>880694.09927740251</v>
      </c>
      <c r="M212" s="268">
        <f t="shared" si="125"/>
        <v>820460.03346267156</v>
      </c>
      <c r="N212" s="268">
        <f t="shared" si="125"/>
        <v>720254.09671665845</v>
      </c>
      <c r="O212" s="268">
        <f t="shared" si="125"/>
        <v>666955.47910473414</v>
      </c>
      <c r="P212" s="268">
        <f t="shared" si="125"/>
        <v>-498453.63709345338</v>
      </c>
      <c r="Q212" s="268">
        <f t="shared" si="125"/>
        <v>229502.54625508317</v>
      </c>
      <c r="R212" s="268">
        <f t="shared" si="125"/>
        <v>479669.53680643503</v>
      </c>
      <c r="S212" s="268">
        <f t="shared" si="125"/>
        <v>441897.06692046253</v>
      </c>
      <c r="T212" s="268">
        <f t="shared" si="125"/>
        <v>385432.2178959056</v>
      </c>
      <c r="U212" s="268">
        <f t="shared" si="125"/>
        <v>-368004.89929611859</v>
      </c>
      <c r="V212" s="268">
        <f t="shared" si="125"/>
        <v>-432684.29303688422</v>
      </c>
      <c r="W212" s="268">
        <f t="shared" si="125"/>
        <v>-29616.689853367305</v>
      </c>
      <c r="X212" s="268">
        <f t="shared" si="125"/>
        <v>257884.89075632056</v>
      </c>
      <c r="Y212" s="268">
        <f t="shared" si="125"/>
        <v>239825.89902330493</v>
      </c>
      <c r="Z212" s="268">
        <f t="shared" si="125"/>
        <v>-67754.890813140664</v>
      </c>
      <c r="AA212" s="268">
        <f t="shared" si="125"/>
        <v>106459.25574091247</v>
      </c>
      <c r="AB212" s="268">
        <f t="shared" si="125"/>
        <v>76246.077139466666</v>
      </c>
      <c r="AC212" s="268">
        <f t="shared" si="125"/>
        <v>160088.36267650273</v>
      </c>
      <c r="AD212" s="268">
        <f t="shared" si="125"/>
        <v>139304.49634869874</v>
      </c>
      <c r="AE212" s="268">
        <f t="shared" si="125"/>
        <v>-32971.277599593719</v>
      </c>
      <c r="AF212" s="268">
        <f t="shared" si="125"/>
        <v>111631.26294818714</v>
      </c>
      <c r="AG212" s="268">
        <f t="shared" si="125"/>
        <v>102898.70793066337</v>
      </c>
      <c r="AH212" s="268">
        <f t="shared" si="125"/>
        <v>89458.929792321855</v>
      </c>
      <c r="AI212" s="268">
        <f t="shared" si="125"/>
        <v>82501.879468637635</v>
      </c>
      <c r="AJ212" s="268">
        <f t="shared" si="125"/>
        <v>-24434.201439169352</v>
      </c>
      <c r="AK212" s="268">
        <f t="shared" si="125"/>
        <v>66150.152129214475</v>
      </c>
      <c r="AL212" s="268">
        <f t="shared" si="125"/>
        <v>-15988.894942495628</v>
      </c>
      <c r="AM212" s="268">
        <f t="shared" si="125"/>
        <v>-104565.44554684019</v>
      </c>
      <c r="AN212" s="268">
        <f t="shared" si="125"/>
        <v>-9364.8766575142527</v>
      </c>
      <c r="AO212" s="268">
        <f t="shared" si="125"/>
        <v>-13461.584183875406</v>
      </c>
      <c r="AP212" s="268">
        <f t="shared" si="125"/>
        <v>37976.508999918551</v>
      </c>
      <c r="AQ212" s="268">
        <f t="shared" si="125"/>
        <v>35051.525147830063</v>
      </c>
      <c r="AR212" s="268">
        <f t="shared" si="125"/>
        <v>30414.807930657942</v>
      </c>
      <c r="AS212" s="268">
        <f t="shared" si="125"/>
        <v>28086.880095464057</v>
      </c>
      <c r="AT212" s="268">
        <f t="shared" si="125"/>
        <v>164877.25492504615</v>
      </c>
      <c r="AU212" s="166"/>
      <c r="AV212" s="166"/>
      <c r="AW212" s="166"/>
      <c r="AX212" s="166"/>
      <c r="AY212" s="166"/>
      <c r="AZ212" s="166"/>
      <c r="BA212" s="166"/>
      <c r="BB212" s="166"/>
      <c r="BC212" s="166"/>
      <c r="BD212" s="166"/>
      <c r="BE212" s="166"/>
      <c r="BF212" s="166"/>
      <c r="BG212" s="166"/>
      <c r="BH212" s="166"/>
      <c r="BI212" s="166"/>
      <c r="BJ212" s="166"/>
      <c r="BK212" s="166"/>
      <c r="BL212" s="166"/>
      <c r="BM212" s="166"/>
      <c r="BN212" s="166"/>
    </row>
    <row r="213" spans="1:66" ht="14.4" x14ac:dyDescent="0.25">
      <c r="B213" s="907" t="s">
        <v>403</v>
      </c>
      <c r="C213" s="824">
        <f>SUM(C212)</f>
        <v>-5332198.1684703697</v>
      </c>
      <c r="D213" s="824">
        <f>SUM(C212:D212)</f>
        <v>-22739061.153539345</v>
      </c>
      <c r="E213" s="824">
        <f>SUM(C212:E212)</f>
        <v>-61244643.209681109</v>
      </c>
      <c r="F213" s="824">
        <f>SUM(C212:F212)</f>
        <v>-74992057.247060478</v>
      </c>
      <c r="G213" s="824">
        <f>SUM(C212:G212)</f>
        <v>-74250256.708247796</v>
      </c>
      <c r="H213" s="824">
        <f>SUM(C212:H212)</f>
        <v>-73104263.560885385</v>
      </c>
      <c r="I213" s="824">
        <f>SUM(C212:I212)</f>
        <v>-71879274.507123649</v>
      </c>
      <c r="J213" s="824">
        <f>SUM(C212:J212)</f>
        <v>-70797189.544594958</v>
      </c>
      <c r="K213" s="824">
        <f>SUM(C212:K212)</f>
        <v>-71189361.465568006</v>
      </c>
      <c r="L213" s="824">
        <f>SUM(C212:L212)</f>
        <v>-70308667.366290599</v>
      </c>
      <c r="M213" s="824">
        <f>SUM(C212:M212)</f>
        <v>-69488207.332827926</v>
      </c>
      <c r="N213" s="824">
        <f>SUM(C212:N212)</f>
        <v>-68767953.236111268</v>
      </c>
      <c r="O213" s="824">
        <f>SUM(C212:O212)</f>
        <v>-68100997.757006541</v>
      </c>
      <c r="P213" s="824">
        <f>SUM(C212:P212)</f>
        <v>-68599451.394099995</v>
      </c>
      <c r="Q213" s="824">
        <f>SUM(C212:Q212)</f>
        <v>-68369948.847844914</v>
      </c>
      <c r="R213" s="824">
        <f>SUM(C212:R212)</f>
        <v>-67890279.311038479</v>
      </c>
      <c r="S213" s="824">
        <f>SUM(C212:S212)</f>
        <v>-67448382.24411802</v>
      </c>
      <c r="T213" s="824">
        <f>SUM(C212:T212)</f>
        <v>-67062950.026222117</v>
      </c>
      <c r="U213" s="824">
        <f>SUM(C212:U212)</f>
        <v>-67430954.92551823</v>
      </c>
      <c r="V213" s="824">
        <f>SUM(C212:V212)</f>
        <v>-67863639.218555108</v>
      </c>
      <c r="W213" s="824">
        <f>SUM(C212:W212)</f>
        <v>-67893255.908408478</v>
      </c>
      <c r="X213" s="824">
        <f>SUM(C212:X212)</f>
        <v>-67635371.017652154</v>
      </c>
      <c r="Y213" s="824">
        <f>SUM(C212:Y212)</f>
        <v>-67395545.118628845</v>
      </c>
      <c r="Z213" s="824">
        <f>SUM(C212:Z212)</f>
        <v>-67463300.009441987</v>
      </c>
      <c r="AA213" s="824">
        <f>SUM(C212:AA212)</f>
        <v>-67356840.753701076</v>
      </c>
      <c r="AB213" s="824">
        <f>SUM(C212:AB212)</f>
        <v>-67280594.676561609</v>
      </c>
      <c r="AC213" s="824">
        <f>SUM(C212:AC212)</f>
        <v>-67120506.313885108</v>
      </c>
      <c r="AD213" s="824">
        <f>SUM(C212:AD212)</f>
        <v>-66981201.817536406</v>
      </c>
      <c r="AE213" s="824">
        <f>SUM(C212:AE212)</f>
        <v>-67014173.095136002</v>
      </c>
      <c r="AF213" s="824">
        <f>SUM(C212:AF212)</f>
        <v>-66902541.832187817</v>
      </c>
      <c r="AG213" s="824">
        <f>SUM(C212:AG212)</f>
        <v>-66799643.124257155</v>
      </c>
      <c r="AH213" s="824">
        <f>SUM(C212:AH212)</f>
        <v>-66710184.194464833</v>
      </c>
      <c r="AI213" s="824">
        <f>SUM(C212:AI212)</f>
        <v>-66627682.314996198</v>
      </c>
      <c r="AJ213" s="824">
        <f>SUM(C212:AJ212)</f>
        <v>-66652116.51643537</v>
      </c>
      <c r="AK213" s="824">
        <f>SUM(C212:AK212)</f>
        <v>-66585966.364306152</v>
      </c>
      <c r="AL213" s="824">
        <f>SUM(C212:AL212)</f>
        <v>-66601955.259248644</v>
      </c>
      <c r="AM213" s="824">
        <f>SUM(C212:AM212)</f>
        <v>-66706520.704795487</v>
      </c>
      <c r="AN213" s="824">
        <f>SUM(C212:AN212)</f>
        <v>-66715885.581453003</v>
      </c>
      <c r="AO213" s="824">
        <f>SUM(C212:AO212)</f>
        <v>-66729347.165636875</v>
      </c>
      <c r="AP213" s="824">
        <f>SUM(C212:AP212)</f>
        <v>-66691370.656636953</v>
      </c>
      <c r="AQ213" s="824">
        <f>SUM(C212:AQ212)</f>
        <v>-66656319.13148912</v>
      </c>
      <c r="AR213" s="824">
        <f>SUM(C212:AR212)</f>
        <v>-66625904.323558465</v>
      </c>
      <c r="AS213" s="824">
        <f>SUM(C212:AS212)</f>
        <v>-66597817.443462998</v>
      </c>
      <c r="AT213" s="824">
        <f>SUM(C212:AT212)</f>
        <v>-66432940.188537948</v>
      </c>
      <c r="AU213" s="166"/>
      <c r="AV213" s="166"/>
      <c r="AW213" s="166"/>
      <c r="AX213" s="166"/>
      <c r="AY213" s="166"/>
      <c r="AZ213" s="166"/>
      <c r="BA213" s="166"/>
      <c r="BB213" s="166"/>
      <c r="BC213" s="166"/>
      <c r="BD213" s="166"/>
      <c r="BE213" s="166"/>
      <c r="BF213" s="166"/>
      <c r="BG213" s="166"/>
      <c r="BH213" s="166"/>
      <c r="BI213" s="166"/>
      <c r="BJ213" s="166"/>
      <c r="BK213" s="166"/>
      <c r="BL213" s="166"/>
      <c r="BM213" s="166"/>
      <c r="BN213" s="166"/>
    </row>
    <row r="214" spans="1:66" ht="14.4" x14ac:dyDescent="0.3">
      <c r="B214" s="180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263"/>
      <c r="AG214" s="263"/>
      <c r="AH214" s="263"/>
      <c r="AI214" s="263"/>
      <c r="AK214" s="263"/>
      <c r="AL214" s="263"/>
      <c r="AM214" s="263"/>
      <c r="AN214" s="263"/>
      <c r="AO214" s="263"/>
      <c r="AP214" s="263"/>
      <c r="AQ214" s="263"/>
      <c r="AR214" s="264"/>
      <c r="AS214" s="264"/>
      <c r="AU214" s="166"/>
      <c r="AV214" s="166"/>
      <c r="AW214" s="166"/>
      <c r="AX214" s="166"/>
      <c r="AY214" s="166"/>
      <c r="AZ214" s="166"/>
      <c r="BA214" s="166"/>
      <c r="BB214" s="166"/>
      <c r="BC214" s="166"/>
      <c r="BD214" s="166"/>
      <c r="BE214" s="166"/>
      <c r="BF214" s="166"/>
      <c r="BG214" s="166"/>
      <c r="BH214" s="166"/>
      <c r="BI214" s="166"/>
      <c r="BJ214" s="166"/>
      <c r="BK214" s="166"/>
      <c r="BL214" s="166"/>
      <c r="BM214" s="166"/>
      <c r="BN214" s="166"/>
    </row>
    <row r="215" spans="1:66" x14ac:dyDescent="0.25">
      <c r="AU215" s="166"/>
      <c r="AV215" s="166"/>
      <c r="AW215" s="166"/>
      <c r="AX215" s="166"/>
      <c r="AY215" s="166"/>
      <c r="AZ215" s="166"/>
      <c r="BA215" s="166"/>
      <c r="BB215" s="166"/>
      <c r="BC215" s="166"/>
      <c r="BD215" s="166"/>
      <c r="BE215" s="166"/>
      <c r="BF215" s="166"/>
      <c r="BG215" s="166"/>
      <c r="BH215" s="166"/>
      <c r="BI215" s="166"/>
      <c r="BJ215" s="166"/>
      <c r="BK215" s="166"/>
      <c r="BL215" s="166"/>
      <c r="BM215" s="166"/>
      <c r="BN215" s="166"/>
    </row>
    <row r="216" spans="1:66" s="304" customFormat="1" ht="14.4" x14ac:dyDescent="0.3">
      <c r="A216" s="306"/>
      <c r="B216" s="759" t="s">
        <v>531</v>
      </c>
      <c r="C216" s="759"/>
      <c r="D216" s="759"/>
      <c r="E216" s="759"/>
      <c r="F216" s="759"/>
      <c r="G216" s="759"/>
      <c r="H216" s="759"/>
      <c r="I216" s="759"/>
      <c r="J216" s="759"/>
      <c r="K216" s="759"/>
      <c r="L216" s="759"/>
      <c r="M216" s="759"/>
      <c r="N216" s="759"/>
      <c r="O216" s="759"/>
      <c r="P216" s="759"/>
      <c r="Q216" s="759"/>
      <c r="R216" s="759"/>
      <c r="S216" s="759"/>
      <c r="T216" s="759"/>
      <c r="U216" s="759"/>
      <c r="V216" s="759"/>
      <c r="W216" s="759"/>
      <c r="X216" s="759"/>
      <c r="Y216" s="759"/>
      <c r="Z216" s="759"/>
      <c r="AA216" s="759"/>
      <c r="AB216" s="759"/>
      <c r="AC216" s="759"/>
      <c r="AD216" s="759"/>
      <c r="AE216" s="759"/>
      <c r="AF216" s="759"/>
      <c r="AG216" s="759"/>
      <c r="AH216" s="759"/>
      <c r="AI216" s="759"/>
      <c r="AJ216" s="759"/>
      <c r="AK216" s="759"/>
      <c r="AL216" s="759"/>
      <c r="AM216" s="759"/>
      <c r="AN216" s="759"/>
      <c r="AO216" s="759"/>
      <c r="AP216" s="759"/>
      <c r="AQ216" s="759"/>
      <c r="AR216" s="759"/>
      <c r="AS216" s="759"/>
      <c r="AT216" s="760"/>
    </row>
    <row r="217" spans="1:66" x14ac:dyDescent="0.25"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  <c r="AG217" s="177"/>
      <c r="AH217" s="177"/>
      <c r="AI217" s="177"/>
      <c r="AJ217" s="13"/>
      <c r="AK217" s="38"/>
      <c r="AL217" s="38"/>
      <c r="AM217" s="38"/>
      <c r="AN217" s="38"/>
      <c r="AO217" s="38"/>
      <c r="AP217" s="38"/>
      <c r="AQ217" s="38"/>
      <c r="AR217" s="38"/>
      <c r="AS217" s="38"/>
      <c r="AT217" s="13"/>
      <c r="AU217" s="166"/>
      <c r="AV217" s="166"/>
      <c r="AW217" s="166"/>
      <c r="AX217" s="166"/>
      <c r="AY217" s="166"/>
      <c r="AZ217" s="166"/>
      <c r="BA217" s="166"/>
      <c r="BB217" s="166"/>
      <c r="BC217" s="166"/>
      <c r="BD217" s="166"/>
      <c r="BE217" s="166"/>
      <c r="BF217" s="166"/>
      <c r="BG217" s="166"/>
      <c r="BH217" s="166"/>
      <c r="BI217" s="166"/>
      <c r="BJ217" s="166"/>
      <c r="BK217" s="166"/>
      <c r="BL217" s="166"/>
      <c r="BM217" s="166"/>
      <c r="BN217" s="166"/>
    </row>
    <row r="218" spans="1:66" ht="14.4" x14ac:dyDescent="0.3">
      <c r="B218" s="813" t="s">
        <v>378</v>
      </c>
      <c r="C218" s="179">
        <v>2015</v>
      </c>
      <c r="D218" s="179">
        <v>2016</v>
      </c>
      <c r="E218" s="179">
        <v>2017</v>
      </c>
      <c r="F218" s="179">
        <v>2018</v>
      </c>
      <c r="G218" s="179">
        <v>2019</v>
      </c>
      <c r="H218" s="179">
        <v>2020</v>
      </c>
      <c r="I218" s="179">
        <v>2021</v>
      </c>
      <c r="J218" s="179">
        <v>2022</v>
      </c>
      <c r="K218" s="179">
        <v>2023</v>
      </c>
      <c r="L218" s="179">
        <v>2024</v>
      </c>
      <c r="M218" s="179">
        <v>2025</v>
      </c>
      <c r="N218" s="179">
        <v>2026</v>
      </c>
      <c r="O218" s="179">
        <v>2027</v>
      </c>
      <c r="P218" s="179">
        <v>2028</v>
      </c>
      <c r="Q218" s="179">
        <v>2029</v>
      </c>
      <c r="R218" s="179">
        <v>2030</v>
      </c>
      <c r="S218" s="179">
        <v>2031</v>
      </c>
      <c r="T218" s="179">
        <v>2032</v>
      </c>
      <c r="U218" s="179">
        <v>2033</v>
      </c>
      <c r="V218" s="179">
        <v>2034</v>
      </c>
      <c r="W218" s="179">
        <v>2035</v>
      </c>
      <c r="X218" s="179">
        <v>2036</v>
      </c>
      <c r="Y218" s="179">
        <v>2037</v>
      </c>
      <c r="Z218" s="179">
        <v>2038</v>
      </c>
      <c r="AA218" s="179">
        <v>2039</v>
      </c>
      <c r="AB218" s="179">
        <v>2040</v>
      </c>
      <c r="AC218" s="179">
        <v>2041</v>
      </c>
      <c r="AD218" s="179">
        <v>2042</v>
      </c>
      <c r="AE218" s="179">
        <v>2043</v>
      </c>
      <c r="AF218" s="179">
        <v>2044</v>
      </c>
      <c r="AG218" s="179">
        <v>2045</v>
      </c>
      <c r="AH218" s="179">
        <v>2046</v>
      </c>
      <c r="AI218" s="179">
        <v>2047</v>
      </c>
      <c r="AJ218" s="179">
        <v>2048</v>
      </c>
      <c r="AK218" s="179">
        <v>2049</v>
      </c>
      <c r="AL218" s="179">
        <v>2050</v>
      </c>
      <c r="AM218" s="179">
        <v>2051</v>
      </c>
      <c r="AN218" s="179">
        <v>2052</v>
      </c>
      <c r="AO218" s="179">
        <v>2053</v>
      </c>
      <c r="AP218" s="179">
        <v>2054</v>
      </c>
      <c r="AQ218" s="179">
        <v>2055</v>
      </c>
      <c r="AR218" s="179">
        <v>2056</v>
      </c>
      <c r="AS218" s="179">
        <v>2057</v>
      </c>
      <c r="AT218" s="179">
        <v>2058</v>
      </c>
      <c r="AU218" s="166"/>
      <c r="AV218" s="166"/>
      <c r="AW218" s="166"/>
      <c r="AX218" s="166"/>
      <c r="AY218" s="166"/>
      <c r="AZ218" s="166"/>
      <c r="BA218" s="166"/>
      <c r="BB218" s="166"/>
      <c r="BC218" s="166"/>
      <c r="BD218" s="166"/>
      <c r="BE218" s="166"/>
      <c r="BF218" s="166"/>
      <c r="BG218" s="166"/>
      <c r="BH218" s="166"/>
      <c r="BI218" s="166"/>
      <c r="BJ218" s="166"/>
      <c r="BK218" s="166"/>
      <c r="BL218" s="166"/>
      <c r="BM218" s="166"/>
      <c r="BN218" s="166"/>
    </row>
    <row r="219" spans="1:66" ht="14.4" x14ac:dyDescent="0.3">
      <c r="B219" s="813"/>
      <c r="C219" s="816" t="s">
        <v>134</v>
      </c>
      <c r="D219" s="816" t="s">
        <v>135</v>
      </c>
      <c r="E219" s="816" t="s">
        <v>136</v>
      </c>
      <c r="F219" s="816" t="s">
        <v>137</v>
      </c>
      <c r="G219" s="816" t="s">
        <v>138</v>
      </c>
      <c r="H219" s="816" t="s">
        <v>139</v>
      </c>
      <c r="I219" s="816" t="s">
        <v>140</v>
      </c>
      <c r="J219" s="816" t="s">
        <v>141</v>
      </c>
      <c r="K219" s="816" t="s">
        <v>142</v>
      </c>
      <c r="L219" s="816" t="s">
        <v>143</v>
      </c>
      <c r="M219" s="816" t="s">
        <v>144</v>
      </c>
      <c r="N219" s="816" t="s">
        <v>145</v>
      </c>
      <c r="O219" s="816" t="s">
        <v>146</v>
      </c>
      <c r="P219" s="816" t="s">
        <v>147</v>
      </c>
      <c r="Q219" s="816" t="s">
        <v>148</v>
      </c>
      <c r="R219" s="816" t="s">
        <v>149</v>
      </c>
      <c r="S219" s="816" t="s">
        <v>150</v>
      </c>
      <c r="T219" s="816" t="s">
        <v>151</v>
      </c>
      <c r="U219" s="816" t="s">
        <v>152</v>
      </c>
      <c r="V219" s="816" t="s">
        <v>153</v>
      </c>
      <c r="W219" s="816" t="s">
        <v>154</v>
      </c>
      <c r="X219" s="816" t="s">
        <v>155</v>
      </c>
      <c r="Y219" s="816" t="s">
        <v>156</v>
      </c>
      <c r="Z219" s="816" t="s">
        <v>157</v>
      </c>
      <c r="AA219" s="816" t="s">
        <v>158</v>
      </c>
      <c r="AB219" s="816" t="s">
        <v>159</v>
      </c>
      <c r="AC219" s="816" t="s">
        <v>160</v>
      </c>
      <c r="AD219" s="816" t="s">
        <v>161</v>
      </c>
      <c r="AE219" s="816" t="s">
        <v>162</v>
      </c>
      <c r="AF219" s="816" t="s">
        <v>163</v>
      </c>
      <c r="AG219" s="816" t="s">
        <v>164</v>
      </c>
      <c r="AH219" s="816" t="s">
        <v>165</v>
      </c>
      <c r="AI219" s="816" t="s">
        <v>166</v>
      </c>
      <c r="AJ219" s="816" t="s">
        <v>167</v>
      </c>
      <c r="AK219" s="816" t="s">
        <v>168</v>
      </c>
      <c r="AL219" s="816" t="s">
        <v>169</v>
      </c>
      <c r="AM219" s="816" t="s">
        <v>170</v>
      </c>
      <c r="AN219" s="816" t="s">
        <v>171</v>
      </c>
      <c r="AO219" s="816" t="s">
        <v>172</v>
      </c>
      <c r="AP219" s="816" t="s">
        <v>173</v>
      </c>
      <c r="AQ219" s="816" t="s">
        <v>174</v>
      </c>
      <c r="AR219" s="816" t="s">
        <v>224</v>
      </c>
      <c r="AS219" s="816" t="s">
        <v>225</v>
      </c>
      <c r="AT219" s="816" t="s">
        <v>226</v>
      </c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66"/>
      <c r="BI219" s="166"/>
      <c r="BJ219" s="166"/>
      <c r="BK219" s="166"/>
      <c r="BL219" s="166"/>
      <c r="BM219" s="166"/>
      <c r="BN219" s="166"/>
    </row>
    <row r="220" spans="1:66" ht="14.4" x14ac:dyDescent="0.3">
      <c r="B220" s="813"/>
      <c r="C220" s="816">
        <v>0</v>
      </c>
      <c r="D220" s="816">
        <v>1</v>
      </c>
      <c r="E220" s="816">
        <v>2</v>
      </c>
      <c r="F220" s="816">
        <v>3</v>
      </c>
      <c r="G220" s="816">
        <v>4</v>
      </c>
      <c r="H220" s="816">
        <v>5</v>
      </c>
      <c r="I220" s="816">
        <v>6</v>
      </c>
      <c r="J220" s="816">
        <v>7</v>
      </c>
      <c r="K220" s="816">
        <v>8</v>
      </c>
      <c r="L220" s="816">
        <v>9</v>
      </c>
      <c r="M220" s="816">
        <v>10</v>
      </c>
      <c r="N220" s="816">
        <v>11</v>
      </c>
      <c r="O220" s="816">
        <v>12</v>
      </c>
      <c r="P220" s="816">
        <v>13</v>
      </c>
      <c r="Q220" s="816">
        <v>14</v>
      </c>
      <c r="R220" s="816">
        <v>15</v>
      </c>
      <c r="S220" s="816">
        <v>16</v>
      </c>
      <c r="T220" s="816">
        <v>17</v>
      </c>
      <c r="U220" s="816">
        <v>18</v>
      </c>
      <c r="V220" s="816">
        <v>19</v>
      </c>
      <c r="W220" s="816">
        <v>20</v>
      </c>
      <c r="X220" s="816">
        <v>21</v>
      </c>
      <c r="Y220" s="816">
        <v>22</v>
      </c>
      <c r="Z220" s="816">
        <v>23</v>
      </c>
      <c r="AA220" s="816">
        <v>24</v>
      </c>
      <c r="AB220" s="816">
        <v>25</v>
      </c>
      <c r="AC220" s="816">
        <v>26</v>
      </c>
      <c r="AD220" s="816">
        <v>27</v>
      </c>
      <c r="AE220" s="816">
        <v>28</v>
      </c>
      <c r="AF220" s="816">
        <v>29</v>
      </c>
      <c r="AG220" s="816">
        <v>30</v>
      </c>
      <c r="AH220" s="816">
        <v>31</v>
      </c>
      <c r="AI220" s="816">
        <v>32</v>
      </c>
      <c r="AJ220" s="816">
        <v>33</v>
      </c>
      <c r="AK220" s="816">
        <v>34</v>
      </c>
      <c r="AL220" s="816">
        <v>35</v>
      </c>
      <c r="AM220" s="816">
        <v>36</v>
      </c>
      <c r="AN220" s="816">
        <v>37</v>
      </c>
      <c r="AO220" s="816">
        <v>38</v>
      </c>
      <c r="AP220" s="816">
        <v>39</v>
      </c>
      <c r="AQ220" s="816">
        <v>40</v>
      </c>
      <c r="AR220" s="816">
        <v>41</v>
      </c>
      <c r="AS220" s="816">
        <v>42</v>
      </c>
      <c r="AT220" s="816">
        <v>43</v>
      </c>
      <c r="AU220" s="166"/>
      <c r="AV220" s="166"/>
      <c r="AW220" s="166"/>
      <c r="AX220" s="166"/>
      <c r="AY220" s="166"/>
      <c r="AZ220" s="166"/>
      <c r="BA220" s="166"/>
      <c r="BB220" s="166"/>
      <c r="BC220" s="166"/>
      <c r="BD220" s="166"/>
      <c r="BE220" s="166"/>
      <c r="BF220" s="166"/>
      <c r="BG220" s="166"/>
      <c r="BH220" s="166"/>
      <c r="BI220" s="166"/>
      <c r="BJ220" s="166"/>
      <c r="BK220" s="166"/>
      <c r="BL220" s="166"/>
      <c r="BM220" s="166"/>
      <c r="BN220" s="166"/>
    </row>
    <row r="221" spans="1:66" ht="14.4" x14ac:dyDescent="0.3">
      <c r="B221" s="813"/>
      <c r="C221" s="816">
        <v>0</v>
      </c>
      <c r="D221" s="816">
        <v>0</v>
      </c>
      <c r="E221" s="816">
        <v>0</v>
      </c>
      <c r="F221" s="816">
        <v>0</v>
      </c>
      <c r="G221" s="816">
        <v>1</v>
      </c>
      <c r="H221" s="816">
        <v>2</v>
      </c>
      <c r="I221" s="816">
        <v>3</v>
      </c>
      <c r="J221" s="816">
        <v>4</v>
      </c>
      <c r="K221" s="816">
        <v>5</v>
      </c>
      <c r="L221" s="816">
        <v>6</v>
      </c>
      <c r="M221" s="816">
        <v>7</v>
      </c>
      <c r="N221" s="816">
        <v>8</v>
      </c>
      <c r="O221" s="816">
        <v>9</v>
      </c>
      <c r="P221" s="816">
        <v>10</v>
      </c>
      <c r="Q221" s="816">
        <v>11</v>
      </c>
      <c r="R221" s="816">
        <v>12</v>
      </c>
      <c r="S221" s="816">
        <v>13</v>
      </c>
      <c r="T221" s="816">
        <v>14</v>
      </c>
      <c r="U221" s="816">
        <v>15</v>
      </c>
      <c r="V221" s="816">
        <v>16</v>
      </c>
      <c r="W221" s="816">
        <v>17</v>
      </c>
      <c r="X221" s="816">
        <v>18</v>
      </c>
      <c r="Y221" s="816">
        <v>19</v>
      </c>
      <c r="Z221" s="816">
        <v>20</v>
      </c>
      <c r="AA221" s="816">
        <v>21</v>
      </c>
      <c r="AB221" s="816">
        <v>22</v>
      </c>
      <c r="AC221" s="816">
        <v>23</v>
      </c>
      <c r="AD221" s="816">
        <v>24</v>
      </c>
      <c r="AE221" s="816">
        <v>25</v>
      </c>
      <c r="AF221" s="816">
        <v>26</v>
      </c>
      <c r="AG221" s="816">
        <v>27</v>
      </c>
      <c r="AH221" s="816">
        <v>28</v>
      </c>
      <c r="AI221" s="816">
        <v>29</v>
      </c>
      <c r="AJ221" s="816">
        <v>30</v>
      </c>
      <c r="AK221" s="816">
        <v>31</v>
      </c>
      <c r="AL221" s="816">
        <v>32</v>
      </c>
      <c r="AM221" s="816">
        <v>33</v>
      </c>
      <c r="AN221" s="816">
        <v>34</v>
      </c>
      <c r="AO221" s="816">
        <v>35</v>
      </c>
      <c r="AP221" s="816">
        <v>36</v>
      </c>
      <c r="AQ221" s="816">
        <v>37</v>
      </c>
      <c r="AR221" s="816">
        <v>38</v>
      </c>
      <c r="AS221" s="816">
        <v>39</v>
      </c>
      <c r="AT221" s="816">
        <v>40</v>
      </c>
      <c r="AU221" s="166"/>
      <c r="AV221" s="166"/>
      <c r="AW221" s="166"/>
      <c r="AX221" s="166"/>
      <c r="AY221" s="166"/>
      <c r="AZ221" s="166"/>
      <c r="BA221" s="166"/>
      <c r="BB221" s="166"/>
      <c r="BC221" s="166"/>
      <c r="BD221" s="166"/>
      <c r="BE221" s="166"/>
      <c r="BF221" s="166"/>
      <c r="BG221" s="166"/>
      <c r="BH221" s="166"/>
      <c r="BI221" s="166"/>
      <c r="BJ221" s="166"/>
      <c r="BK221" s="166"/>
      <c r="BL221" s="166"/>
      <c r="BM221" s="166"/>
      <c r="BN221" s="166"/>
    </row>
    <row r="222" spans="1:66" ht="14.4" x14ac:dyDescent="0.3">
      <c r="B222" s="813"/>
      <c r="C222" s="798"/>
      <c r="D222" s="798"/>
      <c r="E222" s="798"/>
      <c r="F222" s="798"/>
      <c r="G222" s="798"/>
      <c r="H222" s="798"/>
      <c r="I222" s="798"/>
      <c r="J222" s="798"/>
      <c r="K222" s="798"/>
      <c r="L222" s="798"/>
      <c r="M222" s="798"/>
      <c r="N222" s="798"/>
      <c r="O222" s="798"/>
      <c r="P222" s="798"/>
      <c r="Q222" s="798"/>
      <c r="R222" s="798"/>
      <c r="S222" s="798"/>
      <c r="T222" s="798"/>
      <c r="U222" s="798"/>
      <c r="V222" s="798"/>
      <c r="W222" s="798"/>
      <c r="X222" s="798"/>
      <c r="Y222" s="798"/>
      <c r="Z222" s="798"/>
      <c r="AA222" s="798"/>
      <c r="AB222" s="798"/>
      <c r="AC222" s="798"/>
      <c r="AD222" s="798"/>
      <c r="AE222" s="798"/>
      <c r="AF222" s="798"/>
      <c r="AG222" s="798"/>
      <c r="AH222" s="798"/>
      <c r="AI222" s="798"/>
      <c r="AJ222" s="798"/>
      <c r="AK222" s="798"/>
      <c r="AL222" s="798"/>
      <c r="AM222" s="798"/>
      <c r="AN222" s="798"/>
      <c r="AO222" s="798"/>
      <c r="AP222" s="798"/>
      <c r="AQ222" s="798"/>
      <c r="AR222" s="798"/>
      <c r="AS222" s="798"/>
      <c r="AT222" s="798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  <c r="BJ222" s="166"/>
      <c r="BK222" s="166"/>
      <c r="BL222" s="166"/>
      <c r="BM222" s="166"/>
      <c r="BN222" s="166"/>
    </row>
    <row r="223" spans="1:66" ht="14.4" x14ac:dyDescent="0.25">
      <c r="B223" s="830" t="s">
        <v>434</v>
      </c>
      <c r="C223" s="807"/>
      <c r="D223" s="807"/>
      <c r="E223" s="807"/>
      <c r="F223" s="807"/>
      <c r="G223" s="807"/>
      <c r="H223" s="807"/>
      <c r="I223" s="807"/>
      <c r="J223" s="807"/>
      <c r="K223" s="807"/>
      <c r="L223" s="807"/>
      <c r="M223" s="807"/>
      <c r="N223" s="807"/>
      <c r="O223" s="807"/>
      <c r="P223" s="807"/>
      <c r="Q223" s="807"/>
      <c r="R223" s="807"/>
      <c r="S223" s="807"/>
      <c r="T223" s="807"/>
      <c r="U223" s="807"/>
      <c r="V223" s="807"/>
      <c r="W223" s="807"/>
      <c r="X223" s="807"/>
      <c r="Y223" s="807"/>
      <c r="Z223" s="807"/>
      <c r="AA223" s="807"/>
      <c r="AB223" s="807"/>
      <c r="AC223" s="807"/>
      <c r="AD223" s="807"/>
      <c r="AE223" s="807"/>
      <c r="AF223" s="807"/>
      <c r="AG223" s="807"/>
      <c r="AH223" s="807"/>
      <c r="AI223" s="807"/>
      <c r="AJ223" s="807"/>
      <c r="AK223" s="807"/>
      <c r="AL223" s="807"/>
      <c r="AM223" s="807"/>
      <c r="AN223" s="807"/>
      <c r="AO223" s="807"/>
      <c r="AP223" s="807"/>
      <c r="AQ223" s="807"/>
      <c r="AR223" s="807"/>
      <c r="AS223" s="807"/>
      <c r="AT223" s="807"/>
      <c r="AU223" s="166"/>
      <c r="AV223" s="166"/>
      <c r="AW223" s="166"/>
      <c r="AX223" s="166"/>
      <c r="AY223" s="166"/>
      <c r="AZ223" s="166"/>
      <c r="BA223" s="166"/>
      <c r="BB223" s="166"/>
      <c r="BC223" s="166"/>
      <c r="BD223" s="166"/>
      <c r="BE223" s="166"/>
      <c r="BF223" s="166"/>
      <c r="BG223" s="166"/>
      <c r="BH223" s="166"/>
      <c r="BI223" s="166"/>
      <c r="BJ223" s="166"/>
      <c r="BK223" s="166"/>
      <c r="BL223" s="166"/>
      <c r="BM223" s="166"/>
      <c r="BN223" s="166"/>
    </row>
    <row r="224" spans="1:66" x14ac:dyDescent="0.25">
      <c r="B224" s="831" t="s">
        <v>449</v>
      </c>
      <c r="C224" s="178">
        <v>0</v>
      </c>
      <c r="D224" s="178">
        <v>0</v>
      </c>
      <c r="E224" s="178">
        <v>0</v>
      </c>
      <c r="F224" s="178">
        <v>0</v>
      </c>
      <c r="G224" s="268">
        <f>G148</f>
        <v>2791546.919500811</v>
      </c>
      <c r="H224" s="268">
        <f t="shared" ref="H224:AT224" si="126">H148</f>
        <v>3091692.739287667</v>
      </c>
      <c r="I224" s="268">
        <f t="shared" si="126"/>
        <v>2934364.0421133931</v>
      </c>
      <c r="J224" s="268">
        <f t="shared" si="126"/>
        <v>3003556.4739287407</v>
      </c>
      <c r="K224" s="268">
        <f t="shared" si="126"/>
        <v>6864999.4108087067</v>
      </c>
      <c r="L224" s="268">
        <f t="shared" si="126"/>
        <v>3146987.7384020691</v>
      </c>
      <c r="M224" s="268">
        <f t="shared" si="126"/>
        <v>3221309.8210025458</v>
      </c>
      <c r="N224" s="268">
        <f t="shared" si="126"/>
        <v>3297426.7865636172</v>
      </c>
      <c r="O224" s="268">
        <f t="shared" si="126"/>
        <v>3375382.9246263341</v>
      </c>
      <c r="P224" s="268">
        <f t="shared" si="126"/>
        <v>7620124.5585567057</v>
      </c>
      <c r="Q224" s="268">
        <f t="shared" si="126"/>
        <v>3536995.481726327</v>
      </c>
      <c r="R224" s="268">
        <f t="shared" si="126"/>
        <v>3620746.1717735282</v>
      </c>
      <c r="S224" s="268">
        <f t="shared" si="126"/>
        <v>3706524.6358547215</v>
      </c>
      <c r="T224" s="268">
        <f t="shared" si="126"/>
        <v>3794381.0340164835</v>
      </c>
      <c r="U224" s="268">
        <f t="shared" si="126"/>
        <v>8460551.8528040089</v>
      </c>
      <c r="V224" s="268">
        <f t="shared" si="126"/>
        <v>3976534.6360238022</v>
      </c>
      <c r="W224" s="268">
        <f t="shared" si="126"/>
        <v>4070938.621770741</v>
      </c>
      <c r="X224" s="268">
        <f t="shared" si="126"/>
        <v>4167634.1731139594</v>
      </c>
      <c r="Y224" s="268">
        <f t="shared" si="126"/>
        <v>4266678.1150930393</v>
      </c>
      <c r="Z224" s="268">
        <f t="shared" si="126"/>
        <v>9396213.810979465</v>
      </c>
      <c r="AA224" s="268">
        <f t="shared" si="126"/>
        <v>4472045.6967975702</v>
      </c>
      <c r="AB224" s="268">
        <f t="shared" si="126"/>
        <v>4578490.3244372597</v>
      </c>
      <c r="AC224" s="268">
        <f t="shared" si="126"/>
        <v>4687525.3956046067</v>
      </c>
      <c r="AD224" s="268">
        <f t="shared" si="126"/>
        <v>4799215.3044166798</v>
      </c>
      <c r="AE224" s="268">
        <f t="shared" si="126"/>
        <v>10438238.257315286</v>
      </c>
      <c r="AF224" s="268">
        <f t="shared" si="126"/>
        <v>5030825.4186769668</v>
      </c>
      <c r="AG224" s="268">
        <f t="shared" si="126"/>
        <v>5150882.7472600536</v>
      </c>
      <c r="AH224" s="268">
        <f t="shared" si="126"/>
        <v>5273869.24748501</v>
      </c>
      <c r="AI224" s="268">
        <f t="shared" si="126"/>
        <v>5399857.9116118001</v>
      </c>
      <c r="AJ224" s="268">
        <f t="shared" si="126"/>
        <v>11599097.173153548</v>
      </c>
      <c r="AK224" s="268">
        <f t="shared" si="126"/>
        <v>5661143.0252687559</v>
      </c>
      <c r="AL224" s="268">
        <f t="shared" si="126"/>
        <v>5796594.9293390466</v>
      </c>
      <c r="AM224" s="268">
        <f t="shared" si="126"/>
        <v>5935360.0062841373</v>
      </c>
      <c r="AN224" s="268">
        <f t="shared" si="126"/>
        <v>6077521.0181308491</v>
      </c>
      <c r="AO224" s="268">
        <f t="shared" si="126"/>
        <v>12892774.71989817</v>
      </c>
      <c r="AP224" s="268">
        <f t="shared" si="126"/>
        <v>6372372.4917223342</v>
      </c>
      <c r="AQ224" s="268">
        <f t="shared" si="126"/>
        <v>6525239.2401587041</v>
      </c>
      <c r="AR224" s="268">
        <f t="shared" si="126"/>
        <v>6681854.610653758</v>
      </c>
      <c r="AS224" s="268">
        <f t="shared" si="126"/>
        <v>6842312.4692722289</v>
      </c>
      <c r="AT224" s="268">
        <f t="shared" si="126"/>
        <v>14334956.983977951</v>
      </c>
      <c r="AU224" s="166"/>
      <c r="AV224" s="166"/>
      <c r="AW224" s="166"/>
      <c r="AX224" s="166"/>
      <c r="AY224" s="166"/>
      <c r="AZ224" s="166"/>
      <c r="BA224" s="166"/>
      <c r="BB224" s="166"/>
      <c r="BC224" s="166"/>
      <c r="BD224" s="166"/>
      <c r="BE224" s="166"/>
      <c r="BF224" s="166"/>
      <c r="BG224" s="166"/>
      <c r="BH224" s="166"/>
      <c r="BI224" s="166"/>
      <c r="BJ224" s="166"/>
      <c r="BK224" s="166"/>
      <c r="BL224" s="166"/>
      <c r="BM224" s="166"/>
      <c r="BN224" s="166"/>
    </row>
    <row r="225" spans="2:66" x14ac:dyDescent="0.25">
      <c r="B225" s="832" t="s">
        <v>379</v>
      </c>
      <c r="C225" s="178">
        <v>0</v>
      </c>
      <c r="D225" s="178">
        <v>0</v>
      </c>
      <c r="E225" s="178">
        <v>0</v>
      </c>
      <c r="F225" s="178">
        <v>0</v>
      </c>
      <c r="G225" s="758">
        <f>DEMANDA!C74*PARAMETROS!$C$67</f>
        <v>5790541.1689961888</v>
      </c>
      <c r="H225" s="758">
        <f>DEMANDA!D74*PARAMETROS!$C$67</f>
        <v>7720721.5586615847</v>
      </c>
      <c r="I225" s="758">
        <f>DEMANDA!E74*PARAMETROS!$C$67</f>
        <v>7802485.7094451506</v>
      </c>
      <c r="J225" s="758">
        <f>DEMANDA!F74*PARAMETROS!$C$67</f>
        <v>7884249.8602287173</v>
      </c>
      <c r="K225" s="758">
        <f>DEMANDA!G74*PARAMETROS!$C$67</f>
        <v>7966014.011012285</v>
      </c>
      <c r="L225" s="758">
        <f>DEMANDA!H74*PARAMETROS!$C$67</f>
        <v>8047778.1617958508</v>
      </c>
      <c r="M225" s="758">
        <f>DEMANDA!I74*PARAMETROS!$C$67</f>
        <v>8129542.3125794157</v>
      </c>
      <c r="N225" s="758">
        <f>DEMANDA!J74*PARAMETROS!$C$67</f>
        <v>8170053.6426665504</v>
      </c>
      <c r="O225" s="758">
        <f>DEMANDA!K74*PARAMETROS!$C$67</f>
        <v>8210564.972753685</v>
      </c>
      <c r="P225" s="758">
        <f>DEMANDA!L74*PARAMETROS!$C$67</f>
        <v>8251076.3028408187</v>
      </c>
      <c r="Q225" s="758">
        <f>DEMANDA!M74*PARAMETROS!$C$67</f>
        <v>8291587.6329279533</v>
      </c>
      <c r="R225" s="758">
        <f>DEMANDA!N74*PARAMETROS!$C$67</f>
        <v>8332098.9630150869</v>
      </c>
      <c r="S225" s="758">
        <f>DEMANDA!O74*PARAMETROS!$C$67</f>
        <v>8334266.2949160328</v>
      </c>
      <c r="T225" s="758">
        <f>DEMANDA!P74*PARAMETROS!$C$67</f>
        <v>8336433.6268169796</v>
      </c>
      <c r="U225" s="758">
        <f>DEMANDA!Q74*PARAMETROS!$C$67</f>
        <v>8338600.9587179245</v>
      </c>
      <c r="V225" s="758">
        <f>DEMANDA!R74*PARAMETROS!$C$67</f>
        <v>8340768.2906188713</v>
      </c>
      <c r="W225" s="758">
        <f>DEMANDA!S74*PARAMETROS!$C$67</f>
        <v>8342935.6225198153</v>
      </c>
      <c r="X225" s="758">
        <f>DEMANDA!T74*PARAMETROS!$C$67</f>
        <v>8404829.8938087244</v>
      </c>
      <c r="Y225" s="758">
        <f>DEMANDA!U74*PARAMETROS!$C$67</f>
        <v>8466724.1650976334</v>
      </c>
      <c r="Z225" s="758">
        <f>DEMANDA!V74*PARAMETROS!$C$67</f>
        <v>8528618.4363865424</v>
      </c>
      <c r="AA225" s="758">
        <f>DEMANDA!W74*PARAMETROS!$C$67</f>
        <v>8590512.7076754533</v>
      </c>
      <c r="AB225" s="758">
        <f>DEMANDA!X74*PARAMETROS!$C$67</f>
        <v>8652406.9789643586</v>
      </c>
      <c r="AC225" s="758">
        <f>DEMANDA!Y74*PARAMETROS!$C$67</f>
        <v>8652406.9789643586</v>
      </c>
      <c r="AD225" s="758">
        <f>DEMANDA!Z74*PARAMETROS!$C$67</f>
        <v>8652406.9789643586</v>
      </c>
      <c r="AE225" s="758">
        <f>DEMANDA!AA74*PARAMETROS!$C$67</f>
        <v>8652406.9789643586</v>
      </c>
      <c r="AF225" s="758">
        <f>DEMANDA!AB74*PARAMETROS!$C$67</f>
        <v>8652406.9789643586</v>
      </c>
      <c r="AG225" s="758">
        <f>DEMANDA!AC74*PARAMETROS!$C$67</f>
        <v>8652406.9789643586</v>
      </c>
      <c r="AH225" s="758">
        <f>DEMANDA!AD74*PARAMETROS!$C$67</f>
        <v>8652406.9789643586</v>
      </c>
      <c r="AI225" s="758">
        <f>DEMANDA!AE74*PARAMETROS!$C$67</f>
        <v>8652406.9789643586</v>
      </c>
      <c r="AJ225" s="758">
        <f>DEMANDA!AF74*PARAMETROS!$C$67</f>
        <v>8652406.9789643586</v>
      </c>
      <c r="AK225" s="758">
        <f>DEMANDA!AG74*PARAMETROS!$C$67</f>
        <v>8652406.9789643586</v>
      </c>
      <c r="AL225" s="758">
        <f>DEMANDA!AH74*PARAMETROS!$C$67</f>
        <v>8652406.9789643586</v>
      </c>
      <c r="AM225" s="758">
        <f>DEMANDA!AI74*PARAMETROS!$C$67</f>
        <v>8652406.9789643586</v>
      </c>
      <c r="AN225" s="758">
        <f>DEMANDA!AJ74*PARAMETROS!$C$67</f>
        <v>8652406.9789643586</v>
      </c>
      <c r="AO225" s="758">
        <f>DEMANDA!AK74*PARAMETROS!$C$67</f>
        <v>8652406.9789643586</v>
      </c>
      <c r="AP225" s="758">
        <f>DEMANDA!AL74*PARAMETROS!$C$67</f>
        <v>8652406.9789643586</v>
      </c>
      <c r="AQ225" s="758">
        <f>DEMANDA!AM74*PARAMETROS!$C$67</f>
        <v>8652406.9789643586</v>
      </c>
      <c r="AR225" s="758">
        <f>DEMANDA!AN74*PARAMETROS!$C$67</f>
        <v>8652406.9789643586</v>
      </c>
      <c r="AS225" s="758">
        <f>DEMANDA!AO74*PARAMETROS!$C$67</f>
        <v>8652406.9789643586</v>
      </c>
      <c r="AT225" s="758">
        <f>DEMANDA!AP74*PARAMETROS!$C$67</f>
        <v>8652406.9789643586</v>
      </c>
      <c r="AU225" s="166"/>
      <c r="AV225" s="166"/>
      <c r="AW225" s="166"/>
      <c r="AX225" s="166"/>
      <c r="AY225" s="166"/>
      <c r="AZ225" s="166"/>
      <c r="BA225" s="166"/>
      <c r="BB225" s="166"/>
      <c r="BC225" s="166"/>
      <c r="BD225" s="166"/>
      <c r="BE225" s="166"/>
      <c r="BF225" s="166"/>
      <c r="BG225" s="166"/>
      <c r="BH225" s="166"/>
      <c r="BI225" s="166"/>
      <c r="BJ225" s="166"/>
      <c r="BK225" s="166"/>
      <c r="BL225" s="166"/>
      <c r="BM225" s="166"/>
      <c r="BN225" s="166"/>
    </row>
    <row r="226" spans="2:66" x14ac:dyDescent="0.25">
      <c r="B226" s="832" t="s">
        <v>395</v>
      </c>
      <c r="C226" s="178">
        <v>0</v>
      </c>
      <c r="D226" s="178">
        <v>0</v>
      </c>
      <c r="E226" s="178">
        <v>0</v>
      </c>
      <c r="F226" s="178">
        <v>0</v>
      </c>
      <c r="G226" s="758">
        <f>'INGRESOS de pasajeros'!C88*PARAMETROS!$C$67</f>
        <v>4713500.5115628969</v>
      </c>
      <c r="H226" s="758">
        <f>'INGRESOS de pasajeros'!D88*PARAMETROS!$C$67</f>
        <v>6284667.3487505307</v>
      </c>
      <c r="I226" s="758">
        <f>'INGRESOS de pasajeros'!E88*PARAMETROS!$C$67</f>
        <v>6640204.0307090711</v>
      </c>
      <c r="J226" s="758">
        <f>'INGRESOS de pasajeros'!F88*PARAMETROS!$C$67</f>
        <v>6709788.3482994661</v>
      </c>
      <c r="K226" s="758">
        <f>'INGRESOS de pasajeros'!G88*PARAMETROS!$C$67</f>
        <v>7053259.3215918113</v>
      </c>
      <c r="L226" s="758">
        <f>'INGRESOS de pasajeros'!H88*PARAMETROS!$C$67</f>
        <v>7125654.8456128584</v>
      </c>
      <c r="M226" s="758">
        <f>'INGRESOS de pasajeros'!I88*PARAMETROS!$C$67</f>
        <v>7488851.6045671105</v>
      </c>
      <c r="N226" s="758">
        <f>'INGRESOS de pasajeros'!J88*PARAMETROS!$C$67</f>
        <v>7526170.2293630913</v>
      </c>
      <c r="O226" s="758">
        <f>'INGRESOS de pasajeros'!K88*PARAMETROS!$C$67</f>
        <v>7869053.8038670942</v>
      </c>
      <c r="P226" s="758">
        <f>'INGRESOS de pasajeros'!L88*PARAMETROS!$C$67</f>
        <v>7907880.1011048276</v>
      </c>
      <c r="Q226" s="758">
        <f>'INGRESOS de pasajeros'!M88*PARAMETROS!$C$67</f>
        <v>8267753.3368356051</v>
      </c>
      <c r="R226" s="758">
        <f>'INGRESOS de pasajeros'!N88*PARAMETROS!$C$67</f>
        <v>8308148.2164817452</v>
      </c>
      <c r="S226" s="758">
        <f>'INGRESOS de pasajeros'!O88*PARAMETROS!$C$67</f>
        <v>8646045.8148153257</v>
      </c>
      <c r="T226" s="758">
        <f>'INGRESOS de pasajeros'!P88*PARAMETROS!$C$67</f>
        <v>8648294.2252030428</v>
      </c>
      <c r="U226" s="758">
        <f>'INGRESOS de pasajeros'!Q88*PARAMETROS!$C$67</f>
        <v>9000024.5580686275</v>
      </c>
      <c r="V226" s="758">
        <f>'INGRESOS de pasajeros'!R88*PARAMETROS!$C$67</f>
        <v>9002363.8042360079</v>
      </c>
      <c r="W226" s="758">
        <f>'INGRESOS de pasajeros'!S88*PARAMETROS!$C$67</f>
        <v>9368493.0536396839</v>
      </c>
      <c r="X226" s="758">
        <f>'INGRESOS de pasajeros'!T88*PARAMETROS!$C$67</f>
        <v>9437995.6935815569</v>
      </c>
      <c r="Y226" s="758">
        <f>'INGRESOS de pasajeros'!U88*PARAMETROS!$C$67</f>
        <v>9891601.2661977783</v>
      </c>
      <c r="Z226" s="758">
        <f>'INGRESOS de pasajeros'!V88*PARAMETROS!$C$67</f>
        <v>9963911.8127933089</v>
      </c>
      <c r="AA226" s="758">
        <f>'INGRESOS de pasajeros'!W88*PARAMETROS!$C$67</f>
        <v>10441685.742708145</v>
      </c>
      <c r="AB226" s="758">
        <f>'INGRESOS de pasajeros'!X88*PARAMETROS!$C$67</f>
        <v>10516917.635386124</v>
      </c>
      <c r="AC226" s="758">
        <f>'INGRESOS de pasajeros'!Y88*PARAMETROS!$C$67</f>
        <v>10941801.107855724</v>
      </c>
      <c r="AD226" s="758">
        <f>'INGRESOS de pasajeros'!Z88*PARAMETROS!$C$67</f>
        <v>10941801.107855724</v>
      </c>
      <c r="AE226" s="758">
        <f>'INGRESOS de pasajeros'!AA88*PARAMETROS!$C$67</f>
        <v>11383849.872613095</v>
      </c>
      <c r="AF226" s="758">
        <f>'INGRESOS de pasajeros'!AB88*PARAMETROS!$C$67</f>
        <v>11383849.872613095</v>
      </c>
      <c r="AG226" s="758">
        <f>'INGRESOS de pasajeros'!AC88*PARAMETROS!$C$67</f>
        <v>11843757.407466665</v>
      </c>
      <c r="AH226" s="758">
        <f>'INGRESOS de pasajeros'!AD88*PARAMETROS!$C$67</f>
        <v>11843757.407466665</v>
      </c>
      <c r="AI226" s="758">
        <f>'INGRESOS de pasajeros'!AE88*PARAMETROS!$C$67</f>
        <v>12322245.206728317</v>
      </c>
      <c r="AJ226" s="758">
        <f>'INGRESOS de pasajeros'!AF88*PARAMETROS!$C$67</f>
        <v>12322245.206728317</v>
      </c>
      <c r="AK226" s="758">
        <f>'INGRESOS de pasajeros'!AG88*PARAMETROS!$C$67</f>
        <v>12820063.913080141</v>
      </c>
      <c r="AL226" s="758">
        <f>'INGRESOS de pasajeros'!AH88*PARAMETROS!$C$67</f>
        <v>12820063.913080141</v>
      </c>
      <c r="AM226" s="758">
        <f>'INGRESOS de pasajeros'!AI88*PARAMETROS!$C$67</f>
        <v>13337994.495168576</v>
      </c>
      <c r="AN226" s="758">
        <f>'INGRESOS de pasajeros'!AJ88*PARAMETROS!$C$67</f>
        <v>13337994.495168576</v>
      </c>
      <c r="AO226" s="758">
        <f>'INGRESOS de pasajeros'!AK88*PARAMETROS!$C$67</f>
        <v>13876849.472773392</v>
      </c>
      <c r="AP226" s="758">
        <f>'INGRESOS de pasajeros'!AL88*PARAMETROS!$C$67</f>
        <v>13876849.472773392</v>
      </c>
      <c r="AQ226" s="758">
        <f>'INGRESOS de pasajeros'!AM88*PARAMETROS!$C$67</f>
        <v>14437474.191473434</v>
      </c>
      <c r="AR226" s="758">
        <f>'INGRESOS de pasajeros'!AN88*PARAMETROS!$C$67</f>
        <v>14437474.191473434</v>
      </c>
      <c r="AS226" s="758">
        <f>'INGRESOS de pasajeros'!AO88*PARAMETROS!$C$67</f>
        <v>15020748.148808964</v>
      </c>
      <c r="AT226" s="758">
        <f>'INGRESOS de pasajeros'!AP88*PARAMETROS!$C$67</f>
        <v>15020748.148808964</v>
      </c>
      <c r="AU226" s="166"/>
      <c r="AV226" s="166"/>
      <c r="AW226" s="166"/>
      <c r="AX226" s="166"/>
      <c r="AY226" s="166"/>
      <c r="AZ226" s="166"/>
      <c r="BA226" s="166"/>
      <c r="BB226" s="166"/>
      <c r="BC226" s="166"/>
      <c r="BD226" s="166"/>
      <c r="BE226" s="166"/>
      <c r="BF226" s="166"/>
      <c r="BG226" s="166"/>
      <c r="BH226" s="166"/>
      <c r="BI226" s="166"/>
      <c r="BJ226" s="166"/>
      <c r="BK226" s="166"/>
      <c r="BL226" s="166"/>
      <c r="BM226" s="166"/>
      <c r="BN226" s="166"/>
    </row>
    <row r="227" spans="2:66" x14ac:dyDescent="0.25">
      <c r="B227" s="832" t="s">
        <v>396</v>
      </c>
      <c r="C227" s="178">
        <v>0</v>
      </c>
      <c r="D227" s="178">
        <v>0</v>
      </c>
      <c r="E227" s="178">
        <v>0</v>
      </c>
      <c r="F227" s="178">
        <v>0</v>
      </c>
      <c r="G227" s="178">
        <f>$C$14*$C$15*12</f>
        <v>420000</v>
      </c>
      <c r="H227" s="178">
        <f t="shared" ref="H227:AT227" si="127">$G$75*((1+$C$25)^G221)</f>
        <v>428400</v>
      </c>
      <c r="I227" s="178">
        <f t="shared" si="127"/>
        <v>436968</v>
      </c>
      <c r="J227" s="178">
        <f t="shared" si="127"/>
        <v>445707.36</v>
      </c>
      <c r="K227" s="178">
        <f t="shared" si="127"/>
        <v>454621.50719999999</v>
      </c>
      <c r="L227" s="178">
        <f t="shared" si="127"/>
        <v>463713.93734400003</v>
      </c>
      <c r="M227" s="178">
        <f t="shared" si="127"/>
        <v>472988.21609088004</v>
      </c>
      <c r="N227" s="178">
        <f t="shared" si="127"/>
        <v>482447.98041269754</v>
      </c>
      <c r="O227" s="178">
        <f t="shared" si="127"/>
        <v>492096.9400209515</v>
      </c>
      <c r="P227" s="178">
        <f t="shared" si="127"/>
        <v>501938.87882137054</v>
      </c>
      <c r="Q227" s="178">
        <f t="shared" si="127"/>
        <v>511977.65639779798</v>
      </c>
      <c r="R227" s="178">
        <f t="shared" si="127"/>
        <v>522217.20952575386</v>
      </c>
      <c r="S227" s="178">
        <f t="shared" si="127"/>
        <v>532661.55371626897</v>
      </c>
      <c r="T227" s="178">
        <f t="shared" si="127"/>
        <v>543314.78479059436</v>
      </c>
      <c r="U227" s="178">
        <f t="shared" si="127"/>
        <v>554181.08048640634</v>
      </c>
      <c r="V227" s="178">
        <f t="shared" si="127"/>
        <v>565264.70209613431</v>
      </c>
      <c r="W227" s="178">
        <f t="shared" si="127"/>
        <v>576569.99613805709</v>
      </c>
      <c r="X227" s="178">
        <f t="shared" si="127"/>
        <v>588101.39606081822</v>
      </c>
      <c r="Y227" s="178">
        <f t="shared" si="127"/>
        <v>599863.42398203455</v>
      </c>
      <c r="Z227" s="178">
        <f t="shared" si="127"/>
        <v>611860.69246167527</v>
      </c>
      <c r="AA227" s="178">
        <f t="shared" si="127"/>
        <v>624097.90631090873</v>
      </c>
      <c r="AB227" s="178">
        <f t="shared" si="127"/>
        <v>636579.8644371269</v>
      </c>
      <c r="AC227" s="178">
        <f t="shared" si="127"/>
        <v>649311.46172586945</v>
      </c>
      <c r="AD227" s="178">
        <f t="shared" si="127"/>
        <v>662297.69096038677</v>
      </c>
      <c r="AE227" s="178">
        <f t="shared" si="127"/>
        <v>675543.6447795945</v>
      </c>
      <c r="AF227" s="178">
        <f t="shared" si="127"/>
        <v>689054.51767518639</v>
      </c>
      <c r="AG227" s="178">
        <f t="shared" si="127"/>
        <v>702835.60802869021</v>
      </c>
      <c r="AH227" s="178">
        <f t="shared" si="127"/>
        <v>716892.3201892639</v>
      </c>
      <c r="AI227" s="178">
        <f t="shared" si="127"/>
        <v>731230.1665930493</v>
      </c>
      <c r="AJ227" s="178">
        <f t="shared" si="127"/>
        <v>745854.76992491016</v>
      </c>
      <c r="AK227" s="178">
        <f t="shared" si="127"/>
        <v>760771.86532340851</v>
      </c>
      <c r="AL227" s="178">
        <f t="shared" si="127"/>
        <v>775987.30262987642</v>
      </c>
      <c r="AM227" s="178">
        <f t="shared" si="127"/>
        <v>791507.04868247418</v>
      </c>
      <c r="AN227" s="178">
        <f t="shared" si="127"/>
        <v>807337.18965612364</v>
      </c>
      <c r="AO227" s="178">
        <f t="shared" si="127"/>
        <v>823483.93344924611</v>
      </c>
      <c r="AP227" s="178">
        <f t="shared" si="127"/>
        <v>839953.61211823102</v>
      </c>
      <c r="AQ227" s="178">
        <f t="shared" si="127"/>
        <v>856752.68436059554</v>
      </c>
      <c r="AR227" s="178">
        <f t="shared" si="127"/>
        <v>873887.73804780759</v>
      </c>
      <c r="AS227" s="178">
        <f t="shared" si="127"/>
        <v>891365.49280876387</v>
      </c>
      <c r="AT227" s="178">
        <f t="shared" si="127"/>
        <v>909192.80266493873</v>
      </c>
      <c r="AU227" s="166"/>
      <c r="AV227" s="166"/>
      <c r="AW227" s="166"/>
      <c r="AX227" s="166"/>
      <c r="AY227" s="166"/>
      <c r="AZ227" s="166"/>
      <c r="BA227" s="166"/>
      <c r="BB227" s="166"/>
      <c r="BC227" s="166"/>
      <c r="BD227" s="166"/>
      <c r="BE227" s="166"/>
      <c r="BF227" s="166"/>
      <c r="BG227" s="166"/>
      <c r="BH227" s="166"/>
      <c r="BI227" s="166"/>
      <c r="BJ227" s="166"/>
      <c r="BK227" s="166"/>
      <c r="BL227" s="166"/>
      <c r="BM227" s="166"/>
      <c r="BN227" s="166"/>
    </row>
    <row r="228" spans="2:66" x14ac:dyDescent="0.25">
      <c r="B228" s="832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6"/>
      <c r="BN228" s="166"/>
    </row>
    <row r="229" spans="2:66" x14ac:dyDescent="0.25">
      <c r="B229" s="831" t="str">
        <f>B77</f>
        <v>Activos iniciales - Depreciacion 50 años</v>
      </c>
      <c r="C229" s="965">
        <f t="shared" ref="C229:AT235" si="128">C77</f>
        <v>0</v>
      </c>
      <c r="D229" s="965">
        <f t="shared" si="128"/>
        <v>0</v>
      </c>
      <c r="E229" s="965">
        <f t="shared" si="128"/>
        <v>0</v>
      </c>
      <c r="F229" s="965">
        <f t="shared" si="128"/>
        <v>0</v>
      </c>
      <c r="G229" s="965">
        <f t="shared" si="128"/>
        <v>-504404.99186940648</v>
      </c>
      <c r="H229" s="965">
        <f t="shared" si="128"/>
        <v>-504404.99186940648</v>
      </c>
      <c r="I229" s="965">
        <f t="shared" si="128"/>
        <v>-504404.99186940648</v>
      </c>
      <c r="J229" s="965">
        <f t="shared" si="128"/>
        <v>-504404.99186940648</v>
      </c>
      <c r="K229" s="965">
        <f t="shared" si="128"/>
        <v>-504404.99186940648</v>
      </c>
      <c r="L229" s="965">
        <f t="shared" si="128"/>
        <v>-504404.99186940648</v>
      </c>
      <c r="M229" s="965">
        <f t="shared" si="128"/>
        <v>-504404.99186940648</v>
      </c>
      <c r="N229" s="965">
        <f t="shared" si="128"/>
        <v>-504404.99186940648</v>
      </c>
      <c r="O229" s="965">
        <f t="shared" si="128"/>
        <v>-504404.99186940648</v>
      </c>
      <c r="P229" s="965">
        <f t="shared" si="128"/>
        <v>-504404.99186940648</v>
      </c>
      <c r="Q229" s="965">
        <f t="shared" si="128"/>
        <v>-504404.99186940648</v>
      </c>
      <c r="R229" s="965">
        <f t="shared" si="128"/>
        <v>-504404.99186940648</v>
      </c>
      <c r="S229" s="965">
        <f t="shared" si="128"/>
        <v>-504404.99186940648</v>
      </c>
      <c r="T229" s="965">
        <f t="shared" si="128"/>
        <v>-504404.99186940648</v>
      </c>
      <c r="U229" s="965">
        <f t="shared" si="128"/>
        <v>-504404.99186940648</v>
      </c>
      <c r="V229" s="965">
        <f t="shared" si="128"/>
        <v>-504404.99186940648</v>
      </c>
      <c r="W229" s="965">
        <f t="shared" si="128"/>
        <v>-504404.99186940648</v>
      </c>
      <c r="X229" s="965">
        <f t="shared" si="128"/>
        <v>-504404.99186940648</v>
      </c>
      <c r="Y229" s="965">
        <f t="shared" si="128"/>
        <v>-504404.99186940648</v>
      </c>
      <c r="Z229" s="965">
        <f t="shared" si="128"/>
        <v>-504404.99186940648</v>
      </c>
      <c r="AA229" s="965">
        <f t="shared" si="128"/>
        <v>-504404.99186940648</v>
      </c>
      <c r="AB229" s="965">
        <f t="shared" si="128"/>
        <v>-504404.99186940648</v>
      </c>
      <c r="AC229" s="965">
        <f t="shared" si="128"/>
        <v>-504404.99186940648</v>
      </c>
      <c r="AD229" s="965">
        <f t="shared" si="128"/>
        <v>-504404.99186940648</v>
      </c>
      <c r="AE229" s="965">
        <f t="shared" si="128"/>
        <v>-504404.99186940648</v>
      </c>
      <c r="AF229" s="965">
        <f t="shared" si="128"/>
        <v>-504404.99186940648</v>
      </c>
      <c r="AG229" s="965">
        <f t="shared" si="128"/>
        <v>-504404.99186940648</v>
      </c>
      <c r="AH229" s="965">
        <f t="shared" si="128"/>
        <v>-504404.99186940648</v>
      </c>
      <c r="AI229" s="965">
        <f t="shared" si="128"/>
        <v>-504404.99186940648</v>
      </c>
      <c r="AJ229" s="965">
        <f t="shared" si="128"/>
        <v>-504404.99186940648</v>
      </c>
      <c r="AK229" s="965">
        <f t="shared" si="128"/>
        <v>-504404.99186940648</v>
      </c>
      <c r="AL229" s="965">
        <f t="shared" si="128"/>
        <v>-504404.99186940648</v>
      </c>
      <c r="AM229" s="965">
        <f t="shared" si="128"/>
        <v>-504404.99186940648</v>
      </c>
      <c r="AN229" s="965">
        <f t="shared" si="128"/>
        <v>-504404.99186940648</v>
      </c>
      <c r="AO229" s="965">
        <f t="shared" si="128"/>
        <v>-504404.99186940648</v>
      </c>
      <c r="AP229" s="965">
        <f t="shared" si="128"/>
        <v>-504404.99186940648</v>
      </c>
      <c r="AQ229" s="965">
        <f t="shared" si="128"/>
        <v>-504404.99186940648</v>
      </c>
      <c r="AR229" s="965">
        <f t="shared" si="128"/>
        <v>-504404.99186940648</v>
      </c>
      <c r="AS229" s="965">
        <f t="shared" si="128"/>
        <v>-504404.99186940648</v>
      </c>
      <c r="AT229" s="965">
        <f t="shared" si="128"/>
        <v>-504404.99186940648</v>
      </c>
      <c r="AU229" s="166"/>
      <c r="AV229" s="166"/>
      <c r="AW229" s="166"/>
      <c r="AX229" s="166"/>
      <c r="AY229" s="166"/>
      <c r="AZ229" s="166"/>
      <c r="BA229" s="166"/>
      <c r="BB229" s="166"/>
      <c r="BC229" s="166"/>
      <c r="BD229" s="166"/>
      <c r="BE229" s="166"/>
      <c r="BF229" s="166"/>
      <c r="BG229" s="166"/>
      <c r="BH229" s="166"/>
      <c r="BI229" s="166"/>
      <c r="BJ229" s="166"/>
      <c r="BK229" s="166"/>
      <c r="BL229" s="166"/>
      <c r="BM229" s="166"/>
      <c r="BN229" s="166"/>
    </row>
    <row r="230" spans="2:66" x14ac:dyDescent="0.25">
      <c r="B230" s="831" t="str">
        <f t="shared" ref="B230:Q242" si="129">B78</f>
        <v>Activos iniciales - Depreciacion 40 años</v>
      </c>
      <c r="C230" s="965">
        <f t="shared" si="129"/>
        <v>0</v>
      </c>
      <c r="D230" s="965">
        <f t="shared" si="129"/>
        <v>0</v>
      </c>
      <c r="E230" s="965">
        <f t="shared" si="129"/>
        <v>0</v>
      </c>
      <c r="F230" s="965">
        <f t="shared" si="129"/>
        <v>0</v>
      </c>
      <c r="G230" s="965">
        <f t="shared" si="129"/>
        <v>-1099119.8758722784</v>
      </c>
      <c r="H230" s="965">
        <f t="shared" si="129"/>
        <v>-1099119.8758722784</v>
      </c>
      <c r="I230" s="965">
        <f t="shared" si="129"/>
        <v>-1099119.8758722784</v>
      </c>
      <c r="J230" s="965">
        <f t="shared" si="129"/>
        <v>-1099119.8758722784</v>
      </c>
      <c r="K230" s="965">
        <f t="shared" si="129"/>
        <v>-1099119.8758722784</v>
      </c>
      <c r="L230" s="965">
        <f t="shared" si="129"/>
        <v>-1099119.8758722784</v>
      </c>
      <c r="M230" s="965">
        <f t="shared" si="129"/>
        <v>-1099119.8758722784</v>
      </c>
      <c r="N230" s="965">
        <f t="shared" si="129"/>
        <v>-1099119.8758722784</v>
      </c>
      <c r="O230" s="965">
        <f t="shared" si="129"/>
        <v>-1099119.8758722784</v>
      </c>
      <c r="P230" s="965">
        <f t="shared" si="129"/>
        <v>-1099119.8758722784</v>
      </c>
      <c r="Q230" s="965">
        <f t="shared" si="129"/>
        <v>-1099119.8758722784</v>
      </c>
      <c r="R230" s="965">
        <f t="shared" si="128"/>
        <v>-1099119.8758722784</v>
      </c>
      <c r="S230" s="965">
        <f t="shared" si="128"/>
        <v>-1099119.8758722784</v>
      </c>
      <c r="T230" s="965">
        <f t="shared" si="128"/>
        <v>-1099119.8758722784</v>
      </c>
      <c r="U230" s="965">
        <f t="shared" si="128"/>
        <v>-1099119.8758722784</v>
      </c>
      <c r="V230" s="965">
        <f t="shared" si="128"/>
        <v>-1099119.8758722784</v>
      </c>
      <c r="W230" s="965">
        <f t="shared" si="128"/>
        <v>-1099119.8758722784</v>
      </c>
      <c r="X230" s="965">
        <f t="shared" si="128"/>
        <v>-1099119.8758722784</v>
      </c>
      <c r="Y230" s="965">
        <f t="shared" si="128"/>
        <v>-1099119.8758722784</v>
      </c>
      <c r="Z230" s="965">
        <f t="shared" si="128"/>
        <v>-1099119.8758722784</v>
      </c>
      <c r="AA230" s="965">
        <f t="shared" si="128"/>
        <v>-1099119.8758722784</v>
      </c>
      <c r="AB230" s="965">
        <f t="shared" si="128"/>
        <v>-1099119.8758722784</v>
      </c>
      <c r="AC230" s="965">
        <f t="shared" si="128"/>
        <v>-1099119.8758722784</v>
      </c>
      <c r="AD230" s="965">
        <f t="shared" si="128"/>
        <v>-1099119.8758722784</v>
      </c>
      <c r="AE230" s="965">
        <f t="shared" si="128"/>
        <v>-1099119.8758722784</v>
      </c>
      <c r="AF230" s="965">
        <f t="shared" si="128"/>
        <v>-1099119.8758722784</v>
      </c>
      <c r="AG230" s="965">
        <f t="shared" si="128"/>
        <v>-1099119.8758722784</v>
      </c>
      <c r="AH230" s="965">
        <f t="shared" si="128"/>
        <v>-1099119.8758722784</v>
      </c>
      <c r="AI230" s="965">
        <f t="shared" si="128"/>
        <v>-1099119.8758722784</v>
      </c>
      <c r="AJ230" s="965">
        <f t="shared" si="128"/>
        <v>-1099119.8758722784</v>
      </c>
      <c r="AK230" s="965">
        <f t="shared" si="128"/>
        <v>-1099119.8758722784</v>
      </c>
      <c r="AL230" s="965">
        <f t="shared" si="128"/>
        <v>-1099119.8758722784</v>
      </c>
      <c r="AM230" s="965">
        <f t="shared" si="128"/>
        <v>-1099119.8758722784</v>
      </c>
      <c r="AN230" s="965">
        <f t="shared" si="128"/>
        <v>-1099119.8758722784</v>
      </c>
      <c r="AO230" s="965">
        <f t="shared" si="128"/>
        <v>-1099119.8758722784</v>
      </c>
      <c r="AP230" s="965">
        <f t="shared" si="128"/>
        <v>-1099119.8758722784</v>
      </c>
      <c r="AQ230" s="965">
        <f t="shared" si="128"/>
        <v>-1099119.8758722784</v>
      </c>
      <c r="AR230" s="965">
        <f t="shared" si="128"/>
        <v>-1099119.8758722784</v>
      </c>
      <c r="AS230" s="965">
        <f t="shared" si="128"/>
        <v>-1099119.8758722784</v>
      </c>
      <c r="AT230" s="965">
        <f t="shared" si="128"/>
        <v>-1099119.8758722784</v>
      </c>
      <c r="AU230" s="166"/>
      <c r="AV230" s="166"/>
      <c r="AW230" s="166"/>
      <c r="AX230" s="166"/>
      <c r="AY230" s="166"/>
      <c r="AZ230" s="166"/>
      <c r="BA230" s="166"/>
      <c r="BB230" s="166"/>
      <c r="BC230" s="166"/>
      <c r="BD230" s="166"/>
      <c r="BE230" s="166"/>
      <c r="BF230" s="166"/>
      <c r="BG230" s="166"/>
      <c r="BH230" s="166"/>
      <c r="BI230" s="166"/>
      <c r="BJ230" s="166"/>
      <c r="BK230" s="166"/>
      <c r="BL230" s="166"/>
      <c r="BM230" s="166"/>
      <c r="BN230" s="166"/>
    </row>
    <row r="231" spans="2:66" x14ac:dyDescent="0.25">
      <c r="B231" s="831" t="str">
        <f t="shared" si="129"/>
        <v>Activos iniciales - Depreciacion 15 años</v>
      </c>
      <c r="C231" s="965">
        <f t="shared" si="128"/>
        <v>0</v>
      </c>
      <c r="D231" s="965">
        <f t="shared" si="128"/>
        <v>0</v>
      </c>
      <c r="E231" s="965">
        <f t="shared" si="128"/>
        <v>0</v>
      </c>
      <c r="F231" s="965">
        <f t="shared" si="128"/>
        <v>0</v>
      </c>
      <c r="G231" s="965">
        <f t="shared" si="128"/>
        <v>-627015.96420904167</v>
      </c>
      <c r="H231" s="965">
        <f t="shared" si="128"/>
        <v>-627015.96420904167</v>
      </c>
      <c r="I231" s="965">
        <f t="shared" si="128"/>
        <v>-627015.96420904167</v>
      </c>
      <c r="J231" s="965">
        <f t="shared" si="128"/>
        <v>-627015.96420904167</v>
      </c>
      <c r="K231" s="965">
        <f t="shared" si="128"/>
        <v>-627015.96420904167</v>
      </c>
      <c r="L231" s="965">
        <f t="shared" si="128"/>
        <v>-627015.96420904167</v>
      </c>
      <c r="M231" s="965">
        <f t="shared" si="128"/>
        <v>-627015.96420904167</v>
      </c>
      <c r="N231" s="965">
        <f t="shared" si="128"/>
        <v>-627015.96420904167</v>
      </c>
      <c r="O231" s="965">
        <f t="shared" si="128"/>
        <v>-627015.96420904167</v>
      </c>
      <c r="P231" s="965">
        <f t="shared" si="128"/>
        <v>-627015.96420904167</v>
      </c>
      <c r="Q231" s="965">
        <f t="shared" si="128"/>
        <v>-627015.96420904167</v>
      </c>
      <c r="R231" s="965">
        <f t="shared" si="128"/>
        <v>-627015.96420904167</v>
      </c>
      <c r="S231" s="965">
        <f t="shared" si="128"/>
        <v>-627015.96420904167</v>
      </c>
      <c r="T231" s="965">
        <f t="shared" si="128"/>
        <v>-627015.96420904167</v>
      </c>
      <c r="U231" s="965">
        <f t="shared" si="128"/>
        <v>-627015.96420904167</v>
      </c>
      <c r="V231" s="965">
        <f t="shared" si="128"/>
        <v>0</v>
      </c>
      <c r="W231" s="965">
        <f t="shared" si="128"/>
        <v>0</v>
      </c>
      <c r="X231" s="965">
        <f t="shared" si="128"/>
        <v>0</v>
      </c>
      <c r="Y231" s="965">
        <f t="shared" si="128"/>
        <v>0</v>
      </c>
      <c r="Z231" s="965">
        <f t="shared" si="128"/>
        <v>0</v>
      </c>
      <c r="AA231" s="965">
        <f t="shared" si="128"/>
        <v>0</v>
      </c>
      <c r="AB231" s="965">
        <f t="shared" si="128"/>
        <v>0</v>
      </c>
      <c r="AC231" s="965">
        <f t="shared" si="128"/>
        <v>0</v>
      </c>
      <c r="AD231" s="965">
        <f t="shared" si="128"/>
        <v>0</v>
      </c>
      <c r="AE231" s="965">
        <f t="shared" si="128"/>
        <v>0</v>
      </c>
      <c r="AF231" s="965">
        <f t="shared" si="128"/>
        <v>0</v>
      </c>
      <c r="AG231" s="965">
        <f t="shared" si="128"/>
        <v>0</v>
      </c>
      <c r="AH231" s="965">
        <f t="shared" si="128"/>
        <v>0</v>
      </c>
      <c r="AI231" s="965">
        <f t="shared" si="128"/>
        <v>0</v>
      </c>
      <c r="AJ231" s="965">
        <f t="shared" si="128"/>
        <v>0</v>
      </c>
      <c r="AK231" s="965">
        <f t="shared" si="128"/>
        <v>0</v>
      </c>
      <c r="AL231" s="965">
        <f t="shared" si="128"/>
        <v>0</v>
      </c>
      <c r="AM231" s="965">
        <f t="shared" si="128"/>
        <v>0</v>
      </c>
      <c r="AN231" s="965">
        <f t="shared" si="128"/>
        <v>0</v>
      </c>
      <c r="AO231" s="965">
        <f t="shared" si="128"/>
        <v>0</v>
      </c>
      <c r="AP231" s="965">
        <f t="shared" si="128"/>
        <v>0</v>
      </c>
      <c r="AQ231" s="965">
        <f t="shared" si="128"/>
        <v>0</v>
      </c>
      <c r="AR231" s="965">
        <f t="shared" si="128"/>
        <v>0</v>
      </c>
      <c r="AS231" s="965">
        <f t="shared" si="128"/>
        <v>0</v>
      </c>
      <c r="AT231" s="965">
        <f t="shared" si="128"/>
        <v>0</v>
      </c>
      <c r="AU231" s="166"/>
      <c r="AV231" s="166"/>
      <c r="AW231" s="166"/>
      <c r="AX231" s="166"/>
      <c r="AY231" s="166"/>
      <c r="AZ231" s="166"/>
      <c r="BA231" s="166"/>
      <c r="BB231" s="166"/>
      <c r="BC231" s="166"/>
      <c r="BD231" s="166"/>
      <c r="BE231" s="166"/>
      <c r="BF231" s="166"/>
      <c r="BG231" s="166"/>
      <c r="BH231" s="166"/>
      <c r="BI231" s="166"/>
      <c r="BJ231" s="166"/>
      <c r="BK231" s="166"/>
      <c r="BL231" s="166"/>
      <c r="BM231" s="166"/>
      <c r="BN231" s="166"/>
    </row>
    <row r="232" spans="2:66" x14ac:dyDescent="0.25">
      <c r="B232" s="831" t="str">
        <f t="shared" si="129"/>
        <v>Activos iniciales - Depreciacion 10 años</v>
      </c>
      <c r="C232" s="965">
        <f t="shared" si="128"/>
        <v>0</v>
      </c>
      <c r="D232" s="965">
        <f t="shared" si="128"/>
        <v>0</v>
      </c>
      <c r="E232" s="965">
        <f t="shared" si="128"/>
        <v>0</v>
      </c>
      <c r="F232" s="965">
        <f t="shared" si="128"/>
        <v>0</v>
      </c>
      <c r="G232" s="965">
        <f t="shared" si="128"/>
        <v>-235044.88831879152</v>
      </c>
      <c r="H232" s="965">
        <f t="shared" si="128"/>
        <v>-235044.88831879152</v>
      </c>
      <c r="I232" s="965">
        <f t="shared" si="128"/>
        <v>-235044.88831879152</v>
      </c>
      <c r="J232" s="965">
        <f t="shared" si="128"/>
        <v>-235044.88831879152</v>
      </c>
      <c r="K232" s="965">
        <f t="shared" si="128"/>
        <v>-235044.88831879152</v>
      </c>
      <c r="L232" s="965">
        <f t="shared" si="128"/>
        <v>-235044.88831879152</v>
      </c>
      <c r="M232" s="965">
        <f t="shared" si="128"/>
        <v>-235044.88831879152</v>
      </c>
      <c r="N232" s="965">
        <f t="shared" si="128"/>
        <v>-235044.88831879152</v>
      </c>
      <c r="O232" s="965">
        <f t="shared" si="128"/>
        <v>-235044.88831879152</v>
      </c>
      <c r="P232" s="965">
        <f t="shared" si="128"/>
        <v>-235044.88831879152</v>
      </c>
      <c r="Q232" s="965">
        <f t="shared" si="128"/>
        <v>0</v>
      </c>
      <c r="R232" s="965">
        <f t="shared" si="128"/>
        <v>0</v>
      </c>
      <c r="S232" s="965">
        <f t="shared" si="128"/>
        <v>0</v>
      </c>
      <c r="T232" s="965">
        <f t="shared" si="128"/>
        <v>0</v>
      </c>
      <c r="U232" s="965">
        <f t="shared" si="128"/>
        <v>0</v>
      </c>
      <c r="V232" s="965">
        <f t="shared" si="128"/>
        <v>0</v>
      </c>
      <c r="W232" s="965">
        <f t="shared" si="128"/>
        <v>0</v>
      </c>
      <c r="X232" s="965">
        <f t="shared" si="128"/>
        <v>0</v>
      </c>
      <c r="Y232" s="965">
        <f t="shared" si="128"/>
        <v>0</v>
      </c>
      <c r="Z232" s="965">
        <f t="shared" si="128"/>
        <v>0</v>
      </c>
      <c r="AA232" s="965">
        <f t="shared" si="128"/>
        <v>0</v>
      </c>
      <c r="AB232" s="965">
        <f t="shared" si="128"/>
        <v>0</v>
      </c>
      <c r="AC232" s="965">
        <f t="shared" si="128"/>
        <v>0</v>
      </c>
      <c r="AD232" s="965">
        <f t="shared" si="128"/>
        <v>0</v>
      </c>
      <c r="AE232" s="965">
        <f t="shared" si="128"/>
        <v>0</v>
      </c>
      <c r="AF232" s="965">
        <f t="shared" si="128"/>
        <v>0</v>
      </c>
      <c r="AG232" s="965">
        <f t="shared" si="128"/>
        <v>0</v>
      </c>
      <c r="AH232" s="965">
        <f t="shared" si="128"/>
        <v>0</v>
      </c>
      <c r="AI232" s="965">
        <f t="shared" si="128"/>
        <v>0</v>
      </c>
      <c r="AJ232" s="965">
        <f t="shared" si="128"/>
        <v>0</v>
      </c>
      <c r="AK232" s="965">
        <f t="shared" si="128"/>
        <v>0</v>
      </c>
      <c r="AL232" s="965">
        <f t="shared" si="128"/>
        <v>0</v>
      </c>
      <c r="AM232" s="965">
        <f t="shared" si="128"/>
        <v>0</v>
      </c>
      <c r="AN232" s="965">
        <f t="shared" si="128"/>
        <v>0</v>
      </c>
      <c r="AO232" s="965">
        <f t="shared" si="128"/>
        <v>0</v>
      </c>
      <c r="AP232" s="965">
        <f t="shared" si="128"/>
        <v>0</v>
      </c>
      <c r="AQ232" s="965">
        <f t="shared" si="128"/>
        <v>0</v>
      </c>
      <c r="AR232" s="965">
        <f t="shared" si="128"/>
        <v>0</v>
      </c>
      <c r="AS232" s="965">
        <f t="shared" si="128"/>
        <v>0</v>
      </c>
      <c r="AT232" s="965">
        <f t="shared" si="128"/>
        <v>0</v>
      </c>
      <c r="AU232" s="166"/>
      <c r="AV232" s="166"/>
      <c r="AW232" s="166"/>
      <c r="AX232" s="166"/>
      <c r="AY232" s="166"/>
      <c r="AZ232" s="166"/>
      <c r="BA232" s="166"/>
      <c r="BB232" s="166"/>
      <c r="BC232" s="166"/>
      <c r="BD232" s="166"/>
      <c r="BE232" s="166"/>
      <c r="BF232" s="166"/>
      <c r="BG232" s="166"/>
      <c r="BH232" s="166"/>
      <c r="BI232" s="166"/>
      <c r="BJ232" s="166"/>
      <c r="BK232" s="166"/>
      <c r="BL232" s="166"/>
      <c r="BM232" s="166"/>
      <c r="BN232" s="166"/>
    </row>
    <row r="233" spans="2:66" x14ac:dyDescent="0.25">
      <c r="B233" s="831" t="str">
        <f t="shared" si="129"/>
        <v>Activos iniciales - Depreciacion 5 años</v>
      </c>
      <c r="C233" s="965">
        <f t="shared" si="128"/>
        <v>0</v>
      </c>
      <c r="D233" s="965">
        <f t="shared" si="128"/>
        <v>0</v>
      </c>
      <c r="E233" s="965">
        <f t="shared" si="128"/>
        <v>0</v>
      </c>
      <c r="F233" s="965">
        <f t="shared" si="128"/>
        <v>0</v>
      </c>
      <c r="G233" s="965">
        <f t="shared" si="128"/>
        <v>-141000.47274877818</v>
      </c>
      <c r="H233" s="965">
        <f t="shared" si="128"/>
        <v>-141000.47274877818</v>
      </c>
      <c r="I233" s="965">
        <f t="shared" si="128"/>
        <v>-141000.47274877818</v>
      </c>
      <c r="J233" s="965">
        <f t="shared" si="128"/>
        <v>-141000.47274877818</v>
      </c>
      <c r="K233" s="965">
        <f t="shared" si="128"/>
        <v>-141000.47274877818</v>
      </c>
      <c r="L233" s="965">
        <f t="shared" si="128"/>
        <v>0</v>
      </c>
      <c r="M233" s="965">
        <f t="shared" si="128"/>
        <v>0</v>
      </c>
      <c r="N233" s="965">
        <f t="shared" si="128"/>
        <v>0</v>
      </c>
      <c r="O233" s="965">
        <f t="shared" si="128"/>
        <v>0</v>
      </c>
      <c r="P233" s="965">
        <f t="shared" si="128"/>
        <v>0</v>
      </c>
      <c r="Q233" s="965">
        <f t="shared" si="128"/>
        <v>0</v>
      </c>
      <c r="R233" s="965">
        <f t="shared" si="128"/>
        <v>0</v>
      </c>
      <c r="S233" s="965">
        <f t="shared" si="128"/>
        <v>0</v>
      </c>
      <c r="T233" s="965">
        <f t="shared" si="128"/>
        <v>0</v>
      </c>
      <c r="U233" s="965">
        <f t="shared" si="128"/>
        <v>0</v>
      </c>
      <c r="V233" s="965">
        <f t="shared" si="128"/>
        <v>0</v>
      </c>
      <c r="W233" s="965">
        <f t="shared" si="128"/>
        <v>0</v>
      </c>
      <c r="X233" s="965">
        <f t="shared" si="128"/>
        <v>0</v>
      </c>
      <c r="Y233" s="965">
        <f t="shared" si="128"/>
        <v>0</v>
      </c>
      <c r="Z233" s="965">
        <f t="shared" si="128"/>
        <v>0</v>
      </c>
      <c r="AA233" s="965">
        <f t="shared" si="128"/>
        <v>0</v>
      </c>
      <c r="AB233" s="965">
        <f t="shared" si="128"/>
        <v>0</v>
      </c>
      <c r="AC233" s="965">
        <f t="shared" si="128"/>
        <v>0</v>
      </c>
      <c r="AD233" s="965">
        <f t="shared" si="128"/>
        <v>0</v>
      </c>
      <c r="AE233" s="965">
        <f t="shared" si="128"/>
        <v>0</v>
      </c>
      <c r="AF233" s="965">
        <f t="shared" si="128"/>
        <v>0</v>
      </c>
      <c r="AG233" s="965">
        <f t="shared" si="128"/>
        <v>0</v>
      </c>
      <c r="AH233" s="965">
        <f t="shared" si="128"/>
        <v>0</v>
      </c>
      <c r="AI233" s="965">
        <f t="shared" si="128"/>
        <v>0</v>
      </c>
      <c r="AJ233" s="965">
        <f t="shared" si="128"/>
        <v>0</v>
      </c>
      <c r="AK233" s="965">
        <f t="shared" si="128"/>
        <v>0</v>
      </c>
      <c r="AL233" s="965">
        <f t="shared" si="128"/>
        <v>0</v>
      </c>
      <c r="AM233" s="965">
        <f t="shared" si="128"/>
        <v>0</v>
      </c>
      <c r="AN233" s="965">
        <f t="shared" si="128"/>
        <v>0</v>
      </c>
      <c r="AO233" s="965">
        <f t="shared" si="128"/>
        <v>0</v>
      </c>
      <c r="AP233" s="965">
        <f t="shared" si="128"/>
        <v>0</v>
      </c>
      <c r="AQ233" s="965">
        <f t="shared" si="128"/>
        <v>0</v>
      </c>
      <c r="AR233" s="965">
        <f t="shared" si="128"/>
        <v>0</v>
      </c>
      <c r="AS233" s="965">
        <f t="shared" si="128"/>
        <v>0</v>
      </c>
      <c r="AT233" s="965">
        <f t="shared" si="128"/>
        <v>0</v>
      </c>
      <c r="AU233" s="166"/>
      <c r="AV233" s="166"/>
      <c r="AW233" s="166"/>
      <c r="AX233" s="166"/>
      <c r="AY233" s="166"/>
      <c r="AZ233" s="166"/>
      <c r="BA233" s="166"/>
      <c r="BB233" s="166"/>
      <c r="BC233" s="166"/>
      <c r="BD233" s="166"/>
      <c r="BE233" s="166"/>
      <c r="BF233" s="166"/>
      <c r="BG233" s="166"/>
      <c r="BH233" s="166"/>
      <c r="BI233" s="166"/>
      <c r="BJ233" s="166"/>
      <c r="BK233" s="166"/>
      <c r="BL233" s="166"/>
      <c r="BM233" s="166"/>
      <c r="BN233" s="166"/>
    </row>
    <row r="234" spans="2:66" x14ac:dyDescent="0.25">
      <c r="B234" s="831" t="str">
        <f t="shared" si="129"/>
        <v>Activos iniciales - Valor residual</v>
      </c>
      <c r="C234" s="965">
        <f t="shared" si="128"/>
        <v>0</v>
      </c>
      <c r="D234" s="965">
        <f t="shared" si="128"/>
        <v>0</v>
      </c>
      <c r="E234" s="965">
        <f t="shared" si="128"/>
        <v>0</v>
      </c>
      <c r="F234" s="965">
        <f t="shared" si="128"/>
        <v>0</v>
      </c>
      <c r="G234" s="965">
        <f t="shared" si="128"/>
        <v>91399247.348360002</v>
      </c>
      <c r="H234" s="965">
        <f t="shared" si="128"/>
        <v>88792661.1553417</v>
      </c>
      <c r="I234" s="965">
        <f t="shared" si="128"/>
        <v>86186074.962323397</v>
      </c>
      <c r="J234" s="965">
        <f t="shared" si="128"/>
        <v>83579488.769305095</v>
      </c>
      <c r="K234" s="965">
        <f t="shared" si="128"/>
        <v>80972902.576286793</v>
      </c>
      <c r="L234" s="965">
        <f t="shared" si="128"/>
        <v>78507316.856017277</v>
      </c>
      <c r="M234" s="965">
        <f t="shared" si="128"/>
        <v>76041731.135747761</v>
      </c>
      <c r="N234" s="965">
        <f t="shared" si="128"/>
        <v>73576145.415478244</v>
      </c>
      <c r="O234" s="965">
        <f t="shared" si="128"/>
        <v>71110559.695208728</v>
      </c>
      <c r="P234" s="965">
        <f t="shared" si="128"/>
        <v>68644973.974939212</v>
      </c>
      <c r="Q234" s="965">
        <f t="shared" si="128"/>
        <v>66414433.142988488</v>
      </c>
      <c r="R234" s="965">
        <f t="shared" si="128"/>
        <v>64183892.311037764</v>
      </c>
      <c r="S234" s="965">
        <f t="shared" si="128"/>
        <v>61953351.47908704</v>
      </c>
      <c r="T234" s="965">
        <f t="shared" si="128"/>
        <v>59722810.647136316</v>
      </c>
      <c r="U234" s="965">
        <f t="shared" si="128"/>
        <v>57492269.815185592</v>
      </c>
      <c r="V234" s="965">
        <f t="shared" si="128"/>
        <v>55888744.94744391</v>
      </c>
      <c r="W234" s="965">
        <f t="shared" si="128"/>
        <v>54285220.079702228</v>
      </c>
      <c r="X234" s="965">
        <f t="shared" si="128"/>
        <v>52681695.211960547</v>
      </c>
      <c r="Y234" s="965">
        <f t="shared" si="128"/>
        <v>51078170.344218865</v>
      </c>
      <c r="Z234" s="965">
        <f t="shared" si="128"/>
        <v>49474645.476477183</v>
      </c>
      <c r="AA234" s="965">
        <f t="shared" si="128"/>
        <v>47871120.608735502</v>
      </c>
      <c r="AB234" s="965">
        <f t="shared" si="128"/>
        <v>46267595.74099382</v>
      </c>
      <c r="AC234" s="965">
        <f t="shared" si="128"/>
        <v>44664070.873252138</v>
      </c>
      <c r="AD234" s="965">
        <f t="shared" si="128"/>
        <v>43060546.005510457</v>
      </c>
      <c r="AE234" s="965">
        <f t="shared" si="128"/>
        <v>41457021.137768775</v>
      </c>
      <c r="AF234" s="965">
        <f t="shared" si="128"/>
        <v>39853496.270027094</v>
      </c>
      <c r="AG234" s="965">
        <f t="shared" si="128"/>
        <v>38249971.402285412</v>
      </c>
      <c r="AH234" s="965">
        <f t="shared" si="128"/>
        <v>36646446.53454373</v>
      </c>
      <c r="AI234" s="965">
        <f t="shared" si="128"/>
        <v>35042921.666802049</v>
      </c>
      <c r="AJ234" s="965">
        <f t="shared" si="128"/>
        <v>33439396.799060363</v>
      </c>
      <c r="AK234" s="965">
        <f t="shared" si="128"/>
        <v>31835871.931318678</v>
      </c>
      <c r="AL234" s="965">
        <f t="shared" si="128"/>
        <v>30232347.063576993</v>
      </c>
      <c r="AM234" s="965">
        <f t="shared" si="128"/>
        <v>28628822.195835307</v>
      </c>
      <c r="AN234" s="965">
        <f t="shared" si="128"/>
        <v>27025297.328093622</v>
      </c>
      <c r="AO234" s="965">
        <f t="shared" si="128"/>
        <v>25421772.460351937</v>
      </c>
      <c r="AP234" s="965">
        <f t="shared" si="128"/>
        <v>23818247.592610251</v>
      </c>
      <c r="AQ234" s="965">
        <f t="shared" si="128"/>
        <v>22214722.724868566</v>
      </c>
      <c r="AR234" s="965">
        <f t="shared" si="128"/>
        <v>20611197.85712688</v>
      </c>
      <c r="AS234" s="965">
        <f t="shared" si="128"/>
        <v>19007672.989385195</v>
      </c>
      <c r="AT234" s="965">
        <f t="shared" si="128"/>
        <v>17404148.12164351</v>
      </c>
      <c r="AU234" s="166"/>
      <c r="AV234" s="166"/>
      <c r="AW234" s="166"/>
      <c r="AX234" s="166"/>
      <c r="AY234" s="166"/>
      <c r="AZ234" s="166"/>
      <c r="BA234" s="166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66"/>
      <c r="BN234" s="166"/>
    </row>
    <row r="235" spans="2:66" x14ac:dyDescent="0.25">
      <c r="B235" s="831" t="str">
        <f t="shared" si="129"/>
        <v>Activos nuevos 1 - Depreciacion 10 años</v>
      </c>
      <c r="C235" s="965">
        <f t="shared" si="128"/>
        <v>0</v>
      </c>
      <c r="D235" s="965">
        <f t="shared" si="128"/>
        <v>0</v>
      </c>
      <c r="E235" s="965">
        <f t="shared" si="128"/>
        <v>0</v>
      </c>
      <c r="F235" s="965">
        <f t="shared" si="128"/>
        <v>0</v>
      </c>
      <c r="G235" s="965">
        <f t="shared" si="128"/>
        <v>0</v>
      </c>
      <c r="H235" s="965">
        <f t="shared" si="128"/>
        <v>0</v>
      </c>
      <c r="I235" s="965">
        <f t="shared" ref="C235:AT240" si="130">I83</f>
        <v>0</v>
      </c>
      <c r="J235" s="965">
        <f t="shared" si="130"/>
        <v>0</v>
      </c>
      <c r="K235" s="965">
        <f t="shared" si="130"/>
        <v>0</v>
      </c>
      <c r="L235" s="965">
        <f t="shared" si="130"/>
        <v>0</v>
      </c>
      <c r="M235" s="965">
        <f t="shared" si="130"/>
        <v>0</v>
      </c>
      <c r="N235" s="965">
        <f t="shared" si="130"/>
        <v>0</v>
      </c>
      <c r="O235" s="965">
        <f t="shared" si="130"/>
        <v>0</v>
      </c>
      <c r="P235" s="965">
        <f t="shared" si="130"/>
        <v>0</v>
      </c>
      <c r="Q235" s="965">
        <f t="shared" si="130"/>
        <v>0</v>
      </c>
      <c r="R235" s="965">
        <f t="shared" si="130"/>
        <v>-300957.91077587084</v>
      </c>
      <c r="S235" s="965">
        <f t="shared" si="130"/>
        <v>-300957.91077587084</v>
      </c>
      <c r="T235" s="965">
        <f t="shared" si="130"/>
        <v>-300957.91077587084</v>
      </c>
      <c r="U235" s="965">
        <f t="shared" si="130"/>
        <v>-300957.91077587084</v>
      </c>
      <c r="V235" s="965">
        <f t="shared" si="130"/>
        <v>-300957.91077587084</v>
      </c>
      <c r="W235" s="965">
        <f t="shared" si="130"/>
        <v>-300957.91077587084</v>
      </c>
      <c r="X235" s="965">
        <f t="shared" si="130"/>
        <v>-300957.91077587084</v>
      </c>
      <c r="Y235" s="965">
        <f t="shared" si="130"/>
        <v>-300957.91077587084</v>
      </c>
      <c r="Z235" s="965">
        <f t="shared" si="130"/>
        <v>-300957.91077587084</v>
      </c>
      <c r="AA235" s="965">
        <f t="shared" si="130"/>
        <v>-300957.91077587084</v>
      </c>
      <c r="AB235" s="965">
        <f t="shared" si="130"/>
        <v>-300957.91077587084</v>
      </c>
      <c r="AC235" s="965">
        <f t="shared" si="130"/>
        <v>0</v>
      </c>
      <c r="AD235" s="965">
        <f t="shared" si="130"/>
        <v>0</v>
      </c>
      <c r="AE235" s="965">
        <f t="shared" si="130"/>
        <v>0</v>
      </c>
      <c r="AF235" s="965">
        <f t="shared" si="130"/>
        <v>0</v>
      </c>
      <c r="AG235" s="965">
        <f t="shared" si="130"/>
        <v>0</v>
      </c>
      <c r="AH235" s="965">
        <f t="shared" si="130"/>
        <v>0</v>
      </c>
      <c r="AI235" s="965">
        <f t="shared" si="130"/>
        <v>0</v>
      </c>
      <c r="AJ235" s="965">
        <f t="shared" si="130"/>
        <v>0</v>
      </c>
      <c r="AK235" s="965">
        <f t="shared" si="130"/>
        <v>0</v>
      </c>
      <c r="AL235" s="965">
        <f t="shared" si="130"/>
        <v>0</v>
      </c>
      <c r="AM235" s="965">
        <f t="shared" si="130"/>
        <v>0</v>
      </c>
      <c r="AN235" s="965">
        <f t="shared" si="130"/>
        <v>0</v>
      </c>
      <c r="AO235" s="965">
        <f t="shared" si="130"/>
        <v>0</v>
      </c>
      <c r="AP235" s="965">
        <f t="shared" si="130"/>
        <v>0</v>
      </c>
      <c r="AQ235" s="965">
        <f t="shared" si="130"/>
        <v>0</v>
      </c>
      <c r="AR235" s="965">
        <f t="shared" si="130"/>
        <v>0</v>
      </c>
      <c r="AS235" s="965">
        <f t="shared" si="130"/>
        <v>0</v>
      </c>
      <c r="AT235" s="965">
        <f t="shared" si="130"/>
        <v>0</v>
      </c>
      <c r="AU235" s="166"/>
      <c r="AV235" s="166"/>
      <c r="AW235" s="166"/>
      <c r="AX235" s="166"/>
      <c r="AY235" s="166"/>
      <c r="AZ235" s="166"/>
      <c r="BA235" s="166"/>
      <c r="BB235" s="166"/>
      <c r="BC235" s="166"/>
      <c r="BD235" s="166"/>
      <c r="BE235" s="166"/>
      <c r="BF235" s="166"/>
      <c r="BG235" s="166"/>
      <c r="BH235" s="166"/>
      <c r="BI235" s="166"/>
      <c r="BJ235" s="166"/>
      <c r="BK235" s="166"/>
      <c r="BL235" s="166"/>
      <c r="BM235" s="166"/>
      <c r="BN235" s="166"/>
    </row>
    <row r="236" spans="2:66" x14ac:dyDescent="0.25">
      <c r="B236" s="831" t="str">
        <f t="shared" si="129"/>
        <v>Activos nuevos 1 - Valor residual</v>
      </c>
      <c r="C236" s="965">
        <f t="shared" si="130"/>
        <v>0</v>
      </c>
      <c r="D236" s="965">
        <f t="shared" si="130"/>
        <v>0</v>
      </c>
      <c r="E236" s="965">
        <f t="shared" si="130"/>
        <v>0</v>
      </c>
      <c r="F236" s="965">
        <f t="shared" si="130"/>
        <v>0</v>
      </c>
      <c r="G236" s="965">
        <f t="shared" si="130"/>
        <v>0</v>
      </c>
      <c r="H236" s="965">
        <f t="shared" si="130"/>
        <v>0</v>
      </c>
      <c r="I236" s="965">
        <f t="shared" si="130"/>
        <v>0</v>
      </c>
      <c r="J236" s="965">
        <f t="shared" si="130"/>
        <v>0</v>
      </c>
      <c r="K236" s="965">
        <f t="shared" si="130"/>
        <v>0</v>
      </c>
      <c r="L236" s="965">
        <f t="shared" si="130"/>
        <v>0</v>
      </c>
      <c r="M236" s="965">
        <f t="shared" si="130"/>
        <v>0</v>
      </c>
      <c r="N236" s="965">
        <f t="shared" si="130"/>
        <v>0</v>
      </c>
      <c r="O236" s="965">
        <f t="shared" si="130"/>
        <v>0</v>
      </c>
      <c r="P236" s="965">
        <f t="shared" si="130"/>
        <v>0</v>
      </c>
      <c r="Q236" s="965">
        <f t="shared" si="130"/>
        <v>0</v>
      </c>
      <c r="R236" s="965">
        <f t="shared" si="130"/>
        <v>3009579.1077587083</v>
      </c>
      <c r="S236" s="965">
        <f t="shared" si="130"/>
        <v>2708621.1969828373</v>
      </c>
      <c r="T236" s="965">
        <f t="shared" si="130"/>
        <v>2407663.2862069663</v>
      </c>
      <c r="U236" s="965">
        <f t="shared" si="130"/>
        <v>2106705.3754310952</v>
      </c>
      <c r="V236" s="965">
        <f t="shared" si="130"/>
        <v>1805747.4646552245</v>
      </c>
      <c r="W236" s="965">
        <f t="shared" si="130"/>
        <v>1504789.5538793537</v>
      </c>
      <c r="X236" s="965">
        <f t="shared" si="130"/>
        <v>1203831.6431034829</v>
      </c>
      <c r="Y236" s="965">
        <f t="shared" si="130"/>
        <v>902873.73232761212</v>
      </c>
      <c r="Z236" s="965">
        <f t="shared" si="130"/>
        <v>601915.82155174133</v>
      </c>
      <c r="AA236" s="965">
        <f t="shared" si="130"/>
        <v>300957.91077587049</v>
      </c>
      <c r="AB236" s="965">
        <f t="shared" si="130"/>
        <v>0</v>
      </c>
      <c r="AC236" s="965">
        <f t="shared" si="130"/>
        <v>0</v>
      </c>
      <c r="AD236" s="965">
        <f t="shared" si="130"/>
        <v>0</v>
      </c>
      <c r="AE236" s="965">
        <f t="shared" si="130"/>
        <v>0</v>
      </c>
      <c r="AF236" s="965">
        <f t="shared" si="130"/>
        <v>0</v>
      </c>
      <c r="AG236" s="965">
        <f t="shared" si="130"/>
        <v>0</v>
      </c>
      <c r="AH236" s="965">
        <f t="shared" si="130"/>
        <v>0</v>
      </c>
      <c r="AI236" s="965">
        <f t="shared" si="130"/>
        <v>0</v>
      </c>
      <c r="AJ236" s="965">
        <f t="shared" si="130"/>
        <v>0</v>
      </c>
      <c r="AK236" s="965">
        <f t="shared" si="130"/>
        <v>0</v>
      </c>
      <c r="AL236" s="965">
        <f t="shared" si="130"/>
        <v>0</v>
      </c>
      <c r="AM236" s="965">
        <f t="shared" si="130"/>
        <v>0</v>
      </c>
      <c r="AN236" s="965">
        <f t="shared" si="130"/>
        <v>0</v>
      </c>
      <c r="AO236" s="965">
        <f t="shared" si="130"/>
        <v>0</v>
      </c>
      <c r="AP236" s="965">
        <f t="shared" si="130"/>
        <v>0</v>
      </c>
      <c r="AQ236" s="965">
        <f t="shared" si="130"/>
        <v>0</v>
      </c>
      <c r="AR236" s="965">
        <f t="shared" si="130"/>
        <v>0</v>
      </c>
      <c r="AS236" s="965">
        <f t="shared" si="130"/>
        <v>0</v>
      </c>
      <c r="AT236" s="965">
        <f t="shared" si="130"/>
        <v>0</v>
      </c>
      <c r="AU236" s="166"/>
      <c r="AV236" s="166"/>
      <c r="AW236" s="166"/>
      <c r="AX236" s="166"/>
      <c r="AY236" s="166"/>
      <c r="AZ236" s="166"/>
      <c r="BA236" s="166"/>
      <c r="BB236" s="166"/>
      <c r="BC236" s="166"/>
      <c r="BD236" s="166"/>
      <c r="BE236" s="166"/>
      <c r="BF236" s="166"/>
      <c r="BG236" s="166"/>
      <c r="BH236" s="166"/>
      <c r="BI236" s="166"/>
      <c r="BJ236" s="166"/>
      <c r="BK236" s="166"/>
      <c r="BL236" s="166"/>
      <c r="BM236" s="166"/>
      <c r="BN236" s="166"/>
    </row>
    <row r="237" spans="2:66" x14ac:dyDescent="0.25">
      <c r="B237" s="831" t="str">
        <f t="shared" si="129"/>
        <v>Activos nuevos 2 - Depreciacion 15 años</v>
      </c>
      <c r="C237" s="965">
        <f t="shared" si="130"/>
        <v>0</v>
      </c>
      <c r="D237" s="965">
        <f t="shared" si="130"/>
        <v>0</v>
      </c>
      <c r="E237" s="965">
        <f t="shared" si="130"/>
        <v>0</v>
      </c>
      <c r="F237" s="965">
        <f t="shared" si="130"/>
        <v>0</v>
      </c>
      <c r="G237" s="965">
        <f t="shared" si="130"/>
        <v>0</v>
      </c>
      <c r="H237" s="965">
        <f t="shared" si="130"/>
        <v>0</v>
      </c>
      <c r="I237" s="965">
        <f t="shared" si="130"/>
        <v>0</v>
      </c>
      <c r="J237" s="965">
        <f t="shared" si="130"/>
        <v>0</v>
      </c>
      <c r="K237" s="965">
        <f t="shared" si="130"/>
        <v>0</v>
      </c>
      <c r="L237" s="965">
        <f t="shared" si="130"/>
        <v>0</v>
      </c>
      <c r="M237" s="965">
        <f t="shared" si="130"/>
        <v>0</v>
      </c>
      <c r="N237" s="965">
        <f t="shared" si="130"/>
        <v>0</v>
      </c>
      <c r="O237" s="965">
        <f t="shared" si="130"/>
        <v>0</v>
      </c>
      <c r="P237" s="965">
        <f t="shared" si="130"/>
        <v>0</v>
      </c>
      <c r="Q237" s="965">
        <f t="shared" si="130"/>
        <v>0</v>
      </c>
      <c r="R237" s="965">
        <f t="shared" si="130"/>
        <v>0</v>
      </c>
      <c r="S237" s="965">
        <f t="shared" si="130"/>
        <v>0</v>
      </c>
      <c r="T237" s="965">
        <f t="shared" si="130"/>
        <v>0</v>
      </c>
      <c r="U237" s="965">
        <f t="shared" si="130"/>
        <v>0</v>
      </c>
      <c r="V237" s="965">
        <f t="shared" si="130"/>
        <v>0</v>
      </c>
      <c r="W237" s="965">
        <f t="shared" si="130"/>
        <v>0</v>
      </c>
      <c r="X237" s="965">
        <f t="shared" si="130"/>
        <v>-871957.15905411413</v>
      </c>
      <c r="Y237" s="965">
        <f t="shared" si="130"/>
        <v>-871957.15905411413</v>
      </c>
      <c r="Z237" s="965">
        <f t="shared" si="130"/>
        <v>-871957.15905411413</v>
      </c>
      <c r="AA237" s="965">
        <f t="shared" si="130"/>
        <v>-871957.15905411413</v>
      </c>
      <c r="AB237" s="965">
        <f t="shared" si="130"/>
        <v>-871957.15905411413</v>
      </c>
      <c r="AC237" s="965">
        <f t="shared" si="130"/>
        <v>-871957.15905411413</v>
      </c>
      <c r="AD237" s="965">
        <f t="shared" si="130"/>
        <v>-871957.15905411413</v>
      </c>
      <c r="AE237" s="965">
        <f t="shared" si="130"/>
        <v>-871957.15905411413</v>
      </c>
      <c r="AF237" s="965">
        <f t="shared" si="130"/>
        <v>-871957.15905411413</v>
      </c>
      <c r="AG237" s="965">
        <f t="shared" si="130"/>
        <v>-871957.15905411413</v>
      </c>
      <c r="AH237" s="965">
        <f t="shared" si="130"/>
        <v>-871957.15905411413</v>
      </c>
      <c r="AI237" s="965">
        <f t="shared" si="130"/>
        <v>-871957.15905411413</v>
      </c>
      <c r="AJ237" s="965">
        <f t="shared" si="130"/>
        <v>-871957.15905411413</v>
      </c>
      <c r="AK237" s="965">
        <f t="shared" si="130"/>
        <v>-871957.15905411413</v>
      </c>
      <c r="AL237" s="965">
        <f t="shared" si="130"/>
        <v>-871957.15905411413</v>
      </c>
      <c r="AM237" s="965">
        <f t="shared" si="130"/>
        <v>0</v>
      </c>
      <c r="AN237" s="965">
        <f t="shared" si="130"/>
        <v>0</v>
      </c>
      <c r="AO237" s="965">
        <f t="shared" si="130"/>
        <v>0</v>
      </c>
      <c r="AP237" s="965">
        <f t="shared" si="130"/>
        <v>0</v>
      </c>
      <c r="AQ237" s="965">
        <f t="shared" si="130"/>
        <v>0</v>
      </c>
      <c r="AR237" s="965">
        <f t="shared" si="130"/>
        <v>0</v>
      </c>
      <c r="AS237" s="965">
        <f t="shared" si="130"/>
        <v>0</v>
      </c>
      <c r="AT237" s="965">
        <f t="shared" si="130"/>
        <v>0</v>
      </c>
      <c r="AU237" s="166"/>
      <c r="AV237" s="166"/>
      <c r="AW237" s="166"/>
      <c r="AX237" s="166"/>
      <c r="AY237" s="166"/>
      <c r="AZ237" s="166"/>
      <c r="BA237" s="166"/>
      <c r="BB237" s="166"/>
      <c r="BC237" s="166"/>
      <c r="BD237" s="166"/>
      <c r="BE237" s="166"/>
      <c r="BF237" s="166"/>
      <c r="BG237" s="166"/>
      <c r="BH237" s="166"/>
      <c r="BI237" s="166"/>
      <c r="BJ237" s="166"/>
      <c r="BK237" s="166"/>
      <c r="BL237" s="166"/>
      <c r="BM237" s="166"/>
      <c r="BN237" s="166"/>
    </row>
    <row r="238" spans="2:66" x14ac:dyDescent="0.25">
      <c r="B238" s="831" t="str">
        <f t="shared" si="129"/>
        <v>Activos nuevos 2 - Valor residual</v>
      </c>
      <c r="C238" s="965">
        <f t="shared" si="130"/>
        <v>0</v>
      </c>
      <c r="D238" s="965">
        <f t="shared" si="130"/>
        <v>0</v>
      </c>
      <c r="E238" s="965">
        <f t="shared" si="130"/>
        <v>0</v>
      </c>
      <c r="F238" s="965">
        <f t="shared" si="130"/>
        <v>0</v>
      </c>
      <c r="G238" s="965">
        <f t="shared" si="130"/>
        <v>0</v>
      </c>
      <c r="H238" s="965">
        <f t="shared" si="130"/>
        <v>0</v>
      </c>
      <c r="I238" s="965">
        <f t="shared" si="130"/>
        <v>0</v>
      </c>
      <c r="J238" s="965">
        <f t="shared" si="130"/>
        <v>0</v>
      </c>
      <c r="K238" s="965">
        <f t="shared" si="130"/>
        <v>0</v>
      </c>
      <c r="L238" s="965">
        <f t="shared" si="130"/>
        <v>0</v>
      </c>
      <c r="M238" s="965">
        <f t="shared" si="130"/>
        <v>0</v>
      </c>
      <c r="N238" s="965">
        <f t="shared" si="130"/>
        <v>0</v>
      </c>
      <c r="O238" s="965">
        <f t="shared" si="130"/>
        <v>0</v>
      </c>
      <c r="P238" s="965">
        <f t="shared" si="130"/>
        <v>0</v>
      </c>
      <c r="Q238" s="965">
        <f t="shared" si="130"/>
        <v>0</v>
      </c>
      <c r="R238" s="965">
        <f t="shared" si="130"/>
        <v>0</v>
      </c>
      <c r="S238" s="965">
        <f t="shared" si="130"/>
        <v>0</v>
      </c>
      <c r="T238" s="965">
        <f t="shared" si="130"/>
        <v>0</v>
      </c>
      <c r="U238" s="965">
        <f t="shared" si="130"/>
        <v>0</v>
      </c>
      <c r="V238" s="965">
        <f t="shared" si="130"/>
        <v>0</v>
      </c>
      <c r="W238" s="965">
        <f t="shared" si="130"/>
        <v>0</v>
      </c>
      <c r="X238" s="965">
        <f t="shared" si="130"/>
        <v>12207400.226757599</v>
      </c>
      <c r="Y238" s="965">
        <f t="shared" si="130"/>
        <v>11335443.067703485</v>
      </c>
      <c r="Z238" s="965">
        <f t="shared" si="130"/>
        <v>10463485.908649372</v>
      </c>
      <c r="AA238" s="965">
        <f t="shared" si="130"/>
        <v>9591528.7495952584</v>
      </c>
      <c r="AB238" s="965">
        <f t="shared" si="130"/>
        <v>8719571.5905411448</v>
      </c>
      <c r="AC238" s="965">
        <f t="shared" si="130"/>
        <v>7847614.4314870303</v>
      </c>
      <c r="AD238" s="965">
        <f t="shared" si="130"/>
        <v>6975657.2724329159</v>
      </c>
      <c r="AE238" s="965">
        <f t="shared" si="130"/>
        <v>6103700.1133788014</v>
      </c>
      <c r="AF238" s="965">
        <f t="shared" si="130"/>
        <v>5231742.9543246869</v>
      </c>
      <c r="AG238" s="965">
        <f t="shared" si="130"/>
        <v>4359785.7952705724</v>
      </c>
      <c r="AH238" s="965">
        <f t="shared" si="130"/>
        <v>3487828.6362164584</v>
      </c>
      <c r="AI238" s="965">
        <f t="shared" si="130"/>
        <v>2615871.4771623444</v>
      </c>
      <c r="AJ238" s="965">
        <f t="shared" si="130"/>
        <v>1743914.3181082304</v>
      </c>
      <c r="AK238" s="965">
        <f t="shared" si="130"/>
        <v>871957.15905411623</v>
      </c>
      <c r="AL238" s="965">
        <f t="shared" si="130"/>
        <v>2.0954757928848267E-9</v>
      </c>
      <c r="AM238" s="965">
        <f t="shared" si="130"/>
        <v>0</v>
      </c>
      <c r="AN238" s="965">
        <f t="shared" si="130"/>
        <v>0</v>
      </c>
      <c r="AO238" s="965">
        <f t="shared" si="130"/>
        <v>0</v>
      </c>
      <c r="AP238" s="965">
        <f t="shared" si="130"/>
        <v>0</v>
      </c>
      <c r="AQ238" s="965">
        <f t="shared" si="130"/>
        <v>0</v>
      </c>
      <c r="AR238" s="965">
        <f t="shared" si="130"/>
        <v>0</v>
      </c>
      <c r="AS238" s="965">
        <f t="shared" si="130"/>
        <v>0</v>
      </c>
      <c r="AT238" s="965">
        <f t="shared" si="130"/>
        <v>0</v>
      </c>
      <c r="AU238" s="166"/>
      <c r="AV238" s="166"/>
      <c r="AW238" s="166"/>
      <c r="AX238" s="166"/>
      <c r="AY238" s="166"/>
      <c r="AZ238" s="166"/>
      <c r="BA238" s="166"/>
      <c r="BB238" s="166"/>
      <c r="BC238" s="166"/>
      <c r="BD238" s="166"/>
      <c r="BE238" s="166"/>
      <c r="BF238" s="166"/>
      <c r="BG238" s="166"/>
      <c r="BH238" s="166"/>
      <c r="BI238" s="166"/>
      <c r="BJ238" s="166"/>
      <c r="BK238" s="166"/>
      <c r="BL238" s="166"/>
      <c r="BM238" s="166"/>
      <c r="BN238" s="166"/>
    </row>
    <row r="239" spans="2:66" x14ac:dyDescent="0.25">
      <c r="B239" s="831" t="str">
        <f t="shared" si="129"/>
        <v>Activos nuevos 3 - Depreciacion 10 años</v>
      </c>
      <c r="C239" s="965">
        <f t="shared" si="130"/>
        <v>0</v>
      </c>
      <c r="D239" s="965">
        <f t="shared" si="130"/>
        <v>0</v>
      </c>
      <c r="E239" s="965">
        <f t="shared" si="130"/>
        <v>0</v>
      </c>
      <c r="F239" s="965">
        <f t="shared" si="130"/>
        <v>0</v>
      </c>
      <c r="G239" s="965">
        <f t="shared" si="130"/>
        <v>0</v>
      </c>
      <c r="H239" s="965">
        <f t="shared" si="130"/>
        <v>0</v>
      </c>
      <c r="I239" s="965">
        <f t="shared" si="130"/>
        <v>0</v>
      </c>
      <c r="J239" s="965">
        <f t="shared" si="130"/>
        <v>0</v>
      </c>
      <c r="K239" s="965">
        <f t="shared" si="130"/>
        <v>0</v>
      </c>
      <c r="L239" s="965">
        <f t="shared" si="130"/>
        <v>0</v>
      </c>
      <c r="M239" s="965">
        <f t="shared" si="130"/>
        <v>0</v>
      </c>
      <c r="N239" s="965">
        <f t="shared" si="130"/>
        <v>0</v>
      </c>
      <c r="O239" s="965">
        <f t="shared" si="130"/>
        <v>0</v>
      </c>
      <c r="P239" s="965">
        <f t="shared" si="130"/>
        <v>0</v>
      </c>
      <c r="Q239" s="965">
        <f t="shared" si="130"/>
        <v>0</v>
      </c>
      <c r="R239" s="965">
        <f t="shared" si="130"/>
        <v>0</v>
      </c>
      <c r="S239" s="965">
        <f t="shared" si="130"/>
        <v>0</v>
      </c>
      <c r="T239" s="965">
        <f t="shared" si="130"/>
        <v>0</v>
      </c>
      <c r="U239" s="965">
        <f t="shared" si="130"/>
        <v>0</v>
      </c>
      <c r="V239" s="965">
        <f t="shared" si="130"/>
        <v>0</v>
      </c>
      <c r="W239" s="965">
        <f t="shared" si="130"/>
        <v>0</v>
      </c>
      <c r="X239" s="965">
        <f t="shared" si="130"/>
        <v>0</v>
      </c>
      <c r="Y239" s="965">
        <f t="shared" si="130"/>
        <v>0</v>
      </c>
      <c r="Z239" s="965">
        <f t="shared" si="130"/>
        <v>0</v>
      </c>
      <c r="AA239" s="965">
        <f t="shared" si="130"/>
        <v>0</v>
      </c>
      <c r="AB239" s="965">
        <f t="shared" si="130"/>
        <v>0</v>
      </c>
      <c r="AC239" s="965">
        <f t="shared" si="130"/>
        <v>-373448.70931000181</v>
      </c>
      <c r="AD239" s="965">
        <f t="shared" si="130"/>
        <v>-373448.70931000181</v>
      </c>
      <c r="AE239" s="965">
        <f t="shared" si="130"/>
        <v>-373448.70931000181</v>
      </c>
      <c r="AF239" s="965">
        <f t="shared" si="130"/>
        <v>-373448.70931000181</v>
      </c>
      <c r="AG239" s="965">
        <f t="shared" si="130"/>
        <v>-373448.70931000181</v>
      </c>
      <c r="AH239" s="965">
        <f t="shared" si="130"/>
        <v>-373448.70931000181</v>
      </c>
      <c r="AI239" s="965">
        <f t="shared" si="130"/>
        <v>-373448.70931000181</v>
      </c>
      <c r="AJ239" s="965">
        <f t="shared" si="130"/>
        <v>-373448.70931000181</v>
      </c>
      <c r="AK239" s="965">
        <f t="shared" si="130"/>
        <v>-373448.70931000181</v>
      </c>
      <c r="AL239" s="965">
        <f t="shared" si="130"/>
        <v>-373448.70931000181</v>
      </c>
      <c r="AM239" s="965">
        <f t="shared" si="130"/>
        <v>-373448.70931000181</v>
      </c>
      <c r="AN239" s="965">
        <f t="shared" si="130"/>
        <v>0</v>
      </c>
      <c r="AO239" s="965">
        <f t="shared" si="130"/>
        <v>0</v>
      </c>
      <c r="AP239" s="965">
        <f t="shared" si="130"/>
        <v>0</v>
      </c>
      <c r="AQ239" s="965">
        <f t="shared" si="130"/>
        <v>0</v>
      </c>
      <c r="AR239" s="965">
        <f t="shared" si="130"/>
        <v>0</v>
      </c>
      <c r="AS239" s="965">
        <f t="shared" si="130"/>
        <v>0</v>
      </c>
      <c r="AT239" s="965">
        <f t="shared" si="130"/>
        <v>0</v>
      </c>
      <c r="AU239" s="166"/>
      <c r="AV239" s="166"/>
      <c r="AW239" s="166"/>
      <c r="AX239" s="166"/>
      <c r="AY239" s="166"/>
      <c r="AZ239" s="166"/>
      <c r="BA239" s="166"/>
      <c r="BB239" s="166"/>
      <c r="BC239" s="166"/>
      <c r="BD239" s="166"/>
      <c r="BE239" s="166"/>
      <c r="BF239" s="166"/>
      <c r="BG239" s="166"/>
      <c r="BH239" s="166"/>
      <c r="BI239" s="166"/>
      <c r="BJ239" s="166"/>
      <c r="BK239" s="166"/>
      <c r="BL239" s="166"/>
      <c r="BM239" s="166"/>
      <c r="BN239" s="166"/>
    </row>
    <row r="240" spans="2:66" x14ac:dyDescent="0.25">
      <c r="B240" s="831" t="str">
        <f t="shared" si="129"/>
        <v>Activos nuevos 3 - Valor residual</v>
      </c>
      <c r="C240" s="965">
        <f t="shared" si="130"/>
        <v>0</v>
      </c>
      <c r="D240" s="965">
        <f t="shared" si="130"/>
        <v>0</v>
      </c>
      <c r="E240" s="965">
        <f t="shared" si="130"/>
        <v>0</v>
      </c>
      <c r="F240" s="965">
        <f t="shared" si="130"/>
        <v>0</v>
      </c>
      <c r="G240" s="965">
        <f t="shared" si="130"/>
        <v>0</v>
      </c>
      <c r="H240" s="965">
        <f t="shared" si="130"/>
        <v>0</v>
      </c>
      <c r="I240" s="965">
        <f t="shared" si="130"/>
        <v>0</v>
      </c>
      <c r="J240" s="965">
        <f t="shared" si="130"/>
        <v>0</v>
      </c>
      <c r="K240" s="965">
        <f t="shared" si="130"/>
        <v>0</v>
      </c>
      <c r="L240" s="965">
        <f t="shared" si="130"/>
        <v>0</v>
      </c>
      <c r="M240" s="965">
        <f t="shared" si="130"/>
        <v>0</v>
      </c>
      <c r="N240" s="965">
        <f t="shared" si="130"/>
        <v>0</v>
      </c>
      <c r="O240" s="965">
        <f t="shared" si="130"/>
        <v>0</v>
      </c>
      <c r="P240" s="965">
        <f t="shared" si="130"/>
        <v>0</v>
      </c>
      <c r="Q240" s="965">
        <f t="shared" si="130"/>
        <v>0</v>
      </c>
      <c r="R240" s="965">
        <f t="shared" si="130"/>
        <v>0</v>
      </c>
      <c r="S240" s="965">
        <f t="shared" si="130"/>
        <v>0</v>
      </c>
      <c r="T240" s="965">
        <f t="shared" si="130"/>
        <v>0</v>
      </c>
      <c r="U240" s="965">
        <f t="shared" si="130"/>
        <v>0</v>
      </c>
      <c r="V240" s="965">
        <f t="shared" si="130"/>
        <v>0</v>
      </c>
      <c r="W240" s="965">
        <f t="shared" si="130"/>
        <v>0</v>
      </c>
      <c r="X240" s="965">
        <f t="shared" si="130"/>
        <v>0</v>
      </c>
      <c r="Y240" s="965">
        <f t="shared" si="130"/>
        <v>0</v>
      </c>
      <c r="Z240" s="965">
        <f t="shared" si="130"/>
        <v>0</v>
      </c>
      <c r="AA240" s="965">
        <f t="shared" si="130"/>
        <v>0</v>
      </c>
      <c r="AB240" s="965">
        <f t="shared" si="130"/>
        <v>0</v>
      </c>
      <c r="AC240" s="965">
        <f t="shared" si="130"/>
        <v>3734487.0931000183</v>
      </c>
      <c r="AD240" s="965">
        <f t="shared" si="130"/>
        <v>3361038.3837900166</v>
      </c>
      <c r="AE240" s="965">
        <f t="shared" si="130"/>
        <v>2987589.6744800149</v>
      </c>
      <c r="AF240" s="965">
        <f t="shared" si="130"/>
        <v>2614140.9651700133</v>
      </c>
      <c r="AG240" s="965">
        <f t="shared" si="130"/>
        <v>2240692.2558600116</v>
      </c>
      <c r="AH240" s="965">
        <f t="shared" si="130"/>
        <v>1867243.5465500099</v>
      </c>
      <c r="AI240" s="965">
        <f t="shared" si="130"/>
        <v>1493794.8372400082</v>
      </c>
      <c r="AJ240" s="965">
        <f t="shared" si="130"/>
        <v>1120346.1279300065</v>
      </c>
      <c r="AK240" s="965">
        <f t="shared" si="130"/>
        <v>746897.41862000467</v>
      </c>
      <c r="AL240" s="965">
        <f t="shared" si="130"/>
        <v>373448.70931000286</v>
      </c>
      <c r="AM240" s="965">
        <f t="shared" si="130"/>
        <v>1.0477378964424133E-9</v>
      </c>
      <c r="AN240" s="965">
        <f t="shared" si="130"/>
        <v>0</v>
      </c>
      <c r="AO240" s="965">
        <f t="shared" si="130"/>
        <v>0</v>
      </c>
      <c r="AP240" s="965">
        <f t="shared" si="130"/>
        <v>0</v>
      </c>
      <c r="AQ240" s="965">
        <f t="shared" si="130"/>
        <v>0</v>
      </c>
      <c r="AR240" s="965">
        <f t="shared" ref="C240:AT242" si="131">AR88</f>
        <v>0</v>
      </c>
      <c r="AS240" s="965">
        <f t="shared" si="131"/>
        <v>0</v>
      </c>
      <c r="AT240" s="965">
        <f t="shared" si="131"/>
        <v>0</v>
      </c>
      <c r="AU240" s="166"/>
      <c r="AV240" s="166"/>
      <c r="AW240" s="166"/>
      <c r="AX240" s="166"/>
      <c r="AY240" s="166"/>
      <c r="AZ240" s="166"/>
      <c r="BA240" s="166"/>
      <c r="BB240" s="166"/>
      <c r="BC240" s="166"/>
      <c r="BD240" s="166"/>
      <c r="BE240" s="166"/>
      <c r="BF240" s="166"/>
      <c r="BG240" s="166"/>
      <c r="BH240" s="166"/>
      <c r="BI240" s="166"/>
      <c r="BJ240" s="166"/>
      <c r="BK240" s="166"/>
      <c r="BL240" s="166"/>
      <c r="BM240" s="166"/>
      <c r="BN240" s="166"/>
    </row>
    <row r="241" spans="2:66" x14ac:dyDescent="0.25">
      <c r="B241" s="831" t="str">
        <f t="shared" si="129"/>
        <v>Activos nuevos 4 - Depreciacion 15 años</v>
      </c>
      <c r="C241" s="965">
        <f t="shared" si="131"/>
        <v>0</v>
      </c>
      <c r="D241" s="965">
        <f t="shared" si="131"/>
        <v>0</v>
      </c>
      <c r="E241" s="965">
        <f t="shared" si="131"/>
        <v>0</v>
      </c>
      <c r="F241" s="965">
        <f t="shared" si="131"/>
        <v>0</v>
      </c>
      <c r="G241" s="965">
        <f t="shared" si="131"/>
        <v>0</v>
      </c>
      <c r="H241" s="965">
        <f t="shared" si="131"/>
        <v>0</v>
      </c>
      <c r="I241" s="965">
        <f t="shared" si="131"/>
        <v>0</v>
      </c>
      <c r="J241" s="965">
        <f t="shared" si="131"/>
        <v>0</v>
      </c>
      <c r="K241" s="965">
        <f t="shared" si="131"/>
        <v>0</v>
      </c>
      <c r="L241" s="965">
        <f t="shared" si="131"/>
        <v>0</v>
      </c>
      <c r="M241" s="965">
        <f t="shared" si="131"/>
        <v>0</v>
      </c>
      <c r="N241" s="965">
        <f t="shared" si="131"/>
        <v>0</v>
      </c>
      <c r="O241" s="965">
        <f t="shared" si="131"/>
        <v>0</v>
      </c>
      <c r="P241" s="965">
        <f t="shared" si="131"/>
        <v>0</v>
      </c>
      <c r="Q241" s="965">
        <f t="shared" si="131"/>
        <v>0</v>
      </c>
      <c r="R241" s="965">
        <f t="shared" si="131"/>
        <v>0</v>
      </c>
      <c r="S241" s="965">
        <f t="shared" si="131"/>
        <v>0</v>
      </c>
      <c r="T241" s="965">
        <f t="shared" si="131"/>
        <v>0</v>
      </c>
      <c r="U241" s="965">
        <f t="shared" si="131"/>
        <v>0</v>
      </c>
      <c r="V241" s="965">
        <f t="shared" si="131"/>
        <v>0</v>
      </c>
      <c r="W241" s="965">
        <f t="shared" si="131"/>
        <v>0</v>
      </c>
      <c r="X241" s="965">
        <f t="shared" si="131"/>
        <v>0</v>
      </c>
      <c r="Y241" s="965">
        <f t="shared" si="131"/>
        <v>0</v>
      </c>
      <c r="Z241" s="965">
        <f t="shared" si="131"/>
        <v>0</v>
      </c>
      <c r="AA241" s="965">
        <f t="shared" si="131"/>
        <v>0</v>
      </c>
      <c r="AB241" s="965">
        <f t="shared" si="131"/>
        <v>0</v>
      </c>
      <c r="AC241" s="965">
        <f t="shared" si="131"/>
        <v>0</v>
      </c>
      <c r="AD241" s="965">
        <f t="shared" si="131"/>
        <v>0</v>
      </c>
      <c r="AE241" s="965">
        <f t="shared" si="131"/>
        <v>0</v>
      </c>
      <c r="AF241" s="965">
        <f t="shared" si="131"/>
        <v>0</v>
      </c>
      <c r="AG241" s="965">
        <f t="shared" si="131"/>
        <v>0</v>
      </c>
      <c r="AH241" s="965">
        <f t="shared" si="131"/>
        <v>0</v>
      </c>
      <c r="AI241" s="965">
        <f t="shared" si="131"/>
        <v>0</v>
      </c>
      <c r="AJ241" s="965">
        <f t="shared" si="131"/>
        <v>0</v>
      </c>
      <c r="AK241" s="965">
        <f t="shared" si="131"/>
        <v>0</v>
      </c>
      <c r="AL241" s="965">
        <f t="shared" si="131"/>
        <v>0</v>
      </c>
      <c r="AM241" s="965">
        <f t="shared" si="131"/>
        <v>0</v>
      </c>
      <c r="AN241" s="965">
        <f t="shared" si="131"/>
        <v>0</v>
      </c>
      <c r="AO241" s="965">
        <f t="shared" si="131"/>
        <v>-1606150.4772574131</v>
      </c>
      <c r="AP241" s="965">
        <f t="shared" si="131"/>
        <v>-1606150.4772574131</v>
      </c>
      <c r="AQ241" s="965">
        <f t="shared" si="131"/>
        <v>-1606150.4772574131</v>
      </c>
      <c r="AR241" s="965">
        <f t="shared" si="131"/>
        <v>-1606150.4772574131</v>
      </c>
      <c r="AS241" s="965">
        <f t="shared" si="131"/>
        <v>-1606150.4772574131</v>
      </c>
      <c r="AT241" s="965">
        <f t="shared" si="131"/>
        <v>-1606150.4772574131</v>
      </c>
      <c r="AU241" s="166"/>
      <c r="AV241" s="166"/>
      <c r="AW241" s="166"/>
      <c r="AX241" s="166"/>
      <c r="AY241" s="166"/>
      <c r="AZ241" s="166"/>
      <c r="BA241" s="166"/>
      <c r="BB241" s="166"/>
      <c r="BC241" s="166"/>
      <c r="BD241" s="166"/>
      <c r="BE241" s="166"/>
      <c r="BF241" s="166"/>
      <c r="BG241" s="166"/>
      <c r="BH241" s="166"/>
      <c r="BI241" s="166"/>
      <c r="BJ241" s="166"/>
      <c r="BK241" s="166"/>
      <c r="BL241" s="166"/>
      <c r="BM241" s="166"/>
      <c r="BN241" s="166"/>
    </row>
    <row r="242" spans="2:66" x14ac:dyDescent="0.25">
      <c r="B242" s="846" t="str">
        <f t="shared" si="129"/>
        <v>Activos nuevos 4 - Valor residual</v>
      </c>
      <c r="C242" s="968">
        <f t="shared" si="131"/>
        <v>0</v>
      </c>
      <c r="D242" s="968">
        <f t="shared" si="131"/>
        <v>0</v>
      </c>
      <c r="E242" s="968">
        <f t="shared" si="131"/>
        <v>0</v>
      </c>
      <c r="F242" s="968">
        <f t="shared" si="131"/>
        <v>0</v>
      </c>
      <c r="G242" s="968">
        <f t="shared" si="131"/>
        <v>0</v>
      </c>
      <c r="H242" s="968">
        <f t="shared" si="131"/>
        <v>0</v>
      </c>
      <c r="I242" s="968">
        <f t="shared" si="131"/>
        <v>0</v>
      </c>
      <c r="J242" s="968">
        <f t="shared" si="131"/>
        <v>0</v>
      </c>
      <c r="K242" s="968">
        <f t="shared" si="131"/>
        <v>0</v>
      </c>
      <c r="L242" s="968">
        <f t="shared" si="131"/>
        <v>0</v>
      </c>
      <c r="M242" s="968">
        <f t="shared" si="131"/>
        <v>0</v>
      </c>
      <c r="N242" s="968">
        <f t="shared" si="131"/>
        <v>0</v>
      </c>
      <c r="O242" s="968">
        <f t="shared" si="131"/>
        <v>0</v>
      </c>
      <c r="P242" s="968">
        <f t="shared" si="131"/>
        <v>0</v>
      </c>
      <c r="Q242" s="968">
        <f t="shared" si="131"/>
        <v>0</v>
      </c>
      <c r="R242" s="968">
        <f t="shared" si="131"/>
        <v>0</v>
      </c>
      <c r="S242" s="968">
        <f t="shared" si="131"/>
        <v>0</v>
      </c>
      <c r="T242" s="968">
        <f t="shared" si="131"/>
        <v>0</v>
      </c>
      <c r="U242" s="968">
        <f t="shared" si="131"/>
        <v>0</v>
      </c>
      <c r="V242" s="968">
        <f t="shared" si="131"/>
        <v>0</v>
      </c>
      <c r="W242" s="968">
        <f t="shared" si="131"/>
        <v>0</v>
      </c>
      <c r="X242" s="968">
        <f t="shared" si="131"/>
        <v>0</v>
      </c>
      <c r="Y242" s="968">
        <f t="shared" si="131"/>
        <v>0</v>
      </c>
      <c r="Z242" s="968">
        <f t="shared" si="131"/>
        <v>0</v>
      </c>
      <c r="AA242" s="968">
        <f t="shared" si="131"/>
        <v>0</v>
      </c>
      <c r="AB242" s="968">
        <f t="shared" si="131"/>
        <v>0</v>
      </c>
      <c r="AC242" s="968">
        <f t="shared" si="131"/>
        <v>0</v>
      </c>
      <c r="AD242" s="968">
        <f t="shared" si="131"/>
        <v>0</v>
      </c>
      <c r="AE242" s="968">
        <f t="shared" si="131"/>
        <v>0</v>
      </c>
      <c r="AF242" s="968">
        <f t="shared" si="131"/>
        <v>0</v>
      </c>
      <c r="AG242" s="968">
        <f t="shared" si="131"/>
        <v>0</v>
      </c>
      <c r="AH242" s="968">
        <f t="shared" si="131"/>
        <v>0</v>
      </c>
      <c r="AI242" s="968">
        <f t="shared" si="131"/>
        <v>0</v>
      </c>
      <c r="AJ242" s="968">
        <f t="shared" si="131"/>
        <v>0</v>
      </c>
      <c r="AK242" s="968">
        <f t="shared" si="131"/>
        <v>0</v>
      </c>
      <c r="AL242" s="968">
        <f t="shared" si="131"/>
        <v>0</v>
      </c>
      <c r="AM242" s="968">
        <f t="shared" si="131"/>
        <v>0</v>
      </c>
      <c r="AN242" s="968">
        <f t="shared" si="131"/>
        <v>0</v>
      </c>
      <c r="AO242" s="968">
        <f t="shared" si="131"/>
        <v>24092257.158861194</v>
      </c>
      <c r="AP242" s="968">
        <f t="shared" si="131"/>
        <v>22486106.681603782</v>
      </c>
      <c r="AQ242" s="968">
        <f t="shared" si="131"/>
        <v>20879956.20434637</v>
      </c>
      <c r="AR242" s="968">
        <f t="shared" si="131"/>
        <v>19273805.727088958</v>
      </c>
      <c r="AS242" s="968">
        <f t="shared" si="131"/>
        <v>17667655.249831546</v>
      </c>
      <c r="AT242" s="968">
        <f t="shared" si="131"/>
        <v>16061504.772574132</v>
      </c>
      <c r="AU242" s="166"/>
      <c r="AV242" s="166"/>
      <c r="AW242" s="166"/>
      <c r="AX242" s="166"/>
      <c r="AY242" s="166"/>
      <c r="AZ242" s="166"/>
      <c r="BA242" s="166"/>
      <c r="BB242" s="166"/>
      <c r="BC242" s="166"/>
      <c r="BD242" s="166"/>
      <c r="BE242" s="166"/>
      <c r="BF242" s="166"/>
      <c r="BG242" s="166"/>
      <c r="BH242" s="166"/>
      <c r="BI242" s="166"/>
      <c r="BJ242" s="166"/>
      <c r="BK242" s="166"/>
      <c r="BL242" s="166"/>
      <c r="BM242" s="166"/>
      <c r="BN242" s="166"/>
    </row>
    <row r="243" spans="2:66" x14ac:dyDescent="0.25">
      <c r="B243" s="845" t="s">
        <v>441</v>
      </c>
      <c r="C243" s="824">
        <v>0</v>
      </c>
      <c r="D243" s="824">
        <v>0</v>
      </c>
      <c r="E243" s="824">
        <v>0</v>
      </c>
      <c r="F243" s="824">
        <v>0</v>
      </c>
      <c r="G243" s="824">
        <f>SUM(G229:G233)+G235+G237+G239+G241</f>
        <v>-2606586.1930182963</v>
      </c>
      <c r="H243" s="824">
        <f t="shared" ref="H243:AT243" si="132">SUM(H229:H233)+H235+H237+H239+H241</f>
        <v>-2606586.1930182963</v>
      </c>
      <c r="I243" s="824">
        <f t="shared" si="132"/>
        <v>-2606586.1930182963</v>
      </c>
      <c r="J243" s="824">
        <f t="shared" si="132"/>
        <v>-2606586.1930182963</v>
      </c>
      <c r="K243" s="824">
        <f t="shared" si="132"/>
        <v>-2606586.1930182963</v>
      </c>
      <c r="L243" s="824">
        <f t="shared" si="132"/>
        <v>-2465585.720269518</v>
      </c>
      <c r="M243" s="824">
        <f t="shared" si="132"/>
        <v>-2465585.720269518</v>
      </c>
      <c r="N243" s="824">
        <f t="shared" si="132"/>
        <v>-2465585.720269518</v>
      </c>
      <c r="O243" s="824">
        <f t="shared" si="132"/>
        <v>-2465585.720269518</v>
      </c>
      <c r="P243" s="824">
        <f t="shared" si="132"/>
        <v>-2465585.720269518</v>
      </c>
      <c r="Q243" s="824">
        <f t="shared" si="132"/>
        <v>-2230540.8319507265</v>
      </c>
      <c r="R243" s="824">
        <f t="shared" si="132"/>
        <v>-2531498.7427265975</v>
      </c>
      <c r="S243" s="824">
        <f t="shared" si="132"/>
        <v>-2531498.7427265975</v>
      </c>
      <c r="T243" s="824">
        <f t="shared" si="132"/>
        <v>-2531498.7427265975</v>
      </c>
      <c r="U243" s="824">
        <f t="shared" si="132"/>
        <v>-2531498.7427265975</v>
      </c>
      <c r="V243" s="824">
        <f t="shared" si="132"/>
        <v>-1904482.7785175557</v>
      </c>
      <c r="W243" s="824">
        <f t="shared" si="132"/>
        <v>-1904482.7785175557</v>
      </c>
      <c r="X243" s="824">
        <f t="shared" si="132"/>
        <v>-2776439.9375716699</v>
      </c>
      <c r="Y243" s="824">
        <f t="shared" si="132"/>
        <v>-2776439.9375716699</v>
      </c>
      <c r="Z243" s="824">
        <f t="shared" si="132"/>
        <v>-2776439.9375716699</v>
      </c>
      <c r="AA243" s="824">
        <f t="shared" si="132"/>
        <v>-2776439.9375716699</v>
      </c>
      <c r="AB243" s="824">
        <f t="shared" si="132"/>
        <v>-2776439.9375716699</v>
      </c>
      <c r="AC243" s="824">
        <f t="shared" si="132"/>
        <v>-2848930.7361058006</v>
      </c>
      <c r="AD243" s="824">
        <f t="shared" si="132"/>
        <v>-2848930.7361058006</v>
      </c>
      <c r="AE243" s="824">
        <f t="shared" si="132"/>
        <v>-2848930.7361058006</v>
      </c>
      <c r="AF243" s="824">
        <f t="shared" si="132"/>
        <v>-2848930.7361058006</v>
      </c>
      <c r="AG243" s="824">
        <f t="shared" si="132"/>
        <v>-2848930.7361058006</v>
      </c>
      <c r="AH243" s="824">
        <f t="shared" si="132"/>
        <v>-2848930.7361058006</v>
      </c>
      <c r="AI243" s="824">
        <f t="shared" si="132"/>
        <v>-2848930.7361058006</v>
      </c>
      <c r="AJ243" s="824">
        <f t="shared" si="132"/>
        <v>-2848930.7361058006</v>
      </c>
      <c r="AK243" s="824">
        <f t="shared" si="132"/>
        <v>-2848930.7361058006</v>
      </c>
      <c r="AL243" s="824">
        <f t="shared" si="132"/>
        <v>-2848930.7361058006</v>
      </c>
      <c r="AM243" s="824">
        <f t="shared" si="132"/>
        <v>-1976973.5770516866</v>
      </c>
      <c r="AN243" s="824">
        <f t="shared" si="132"/>
        <v>-1603524.8677416849</v>
      </c>
      <c r="AO243" s="824">
        <f t="shared" si="132"/>
        <v>-3209675.3449990982</v>
      </c>
      <c r="AP243" s="824">
        <f t="shared" si="132"/>
        <v>-3209675.3449990982</v>
      </c>
      <c r="AQ243" s="824">
        <f t="shared" si="132"/>
        <v>-3209675.3449990982</v>
      </c>
      <c r="AR243" s="824">
        <f t="shared" si="132"/>
        <v>-3209675.3449990982</v>
      </c>
      <c r="AS243" s="824">
        <f t="shared" si="132"/>
        <v>-3209675.3449990982</v>
      </c>
      <c r="AT243" s="824">
        <f t="shared" si="132"/>
        <v>-3209675.3449990982</v>
      </c>
      <c r="AU243" s="166"/>
      <c r="AV243" s="166"/>
      <c r="AW243" s="166"/>
      <c r="AX243" s="166"/>
      <c r="AY243" s="166"/>
      <c r="AZ243" s="166"/>
      <c r="BA243" s="166"/>
      <c r="BB243" s="166"/>
      <c r="BC243" s="166"/>
      <c r="BD243" s="166"/>
      <c r="BE243" s="166"/>
      <c r="BF243" s="166"/>
      <c r="BG243" s="166"/>
      <c r="BH243" s="166"/>
      <c r="BI243" s="166"/>
      <c r="BJ243" s="166"/>
      <c r="BK243" s="166"/>
      <c r="BL243" s="166"/>
      <c r="BM243" s="166"/>
      <c r="BN243" s="166"/>
    </row>
    <row r="244" spans="2:66" x14ac:dyDescent="0.25">
      <c r="B244" s="833" t="s">
        <v>435</v>
      </c>
      <c r="C244" s="824">
        <f>C234+C238+C242</f>
        <v>0</v>
      </c>
      <c r="D244" s="824">
        <f t="shared" ref="D244:F244" si="133">D234+D238+D242</f>
        <v>0</v>
      </c>
      <c r="E244" s="824">
        <f t="shared" si="133"/>
        <v>0</v>
      </c>
      <c r="F244" s="824">
        <f t="shared" si="133"/>
        <v>0</v>
      </c>
      <c r="G244" s="824">
        <f>G234+G236+G238+G240+G242</f>
        <v>91399247.348360002</v>
      </c>
      <c r="H244" s="824">
        <f t="shared" ref="H244:AT244" si="134">H234+H236+H238+H240+H242</f>
        <v>88792661.1553417</v>
      </c>
      <c r="I244" s="824">
        <f t="shared" si="134"/>
        <v>86186074.962323397</v>
      </c>
      <c r="J244" s="824">
        <f t="shared" si="134"/>
        <v>83579488.769305095</v>
      </c>
      <c r="K244" s="824">
        <f t="shared" si="134"/>
        <v>80972902.576286793</v>
      </c>
      <c r="L244" s="824">
        <f t="shared" si="134"/>
        <v>78507316.856017277</v>
      </c>
      <c r="M244" s="824">
        <f t="shared" si="134"/>
        <v>76041731.135747761</v>
      </c>
      <c r="N244" s="824">
        <f t="shared" si="134"/>
        <v>73576145.415478244</v>
      </c>
      <c r="O244" s="824">
        <f t="shared" si="134"/>
        <v>71110559.695208728</v>
      </c>
      <c r="P244" s="824">
        <f t="shared" si="134"/>
        <v>68644973.974939212</v>
      </c>
      <c r="Q244" s="824">
        <f t="shared" si="134"/>
        <v>66414433.142988488</v>
      </c>
      <c r="R244" s="824">
        <f t="shared" si="134"/>
        <v>67193471.41879648</v>
      </c>
      <c r="S244" s="824">
        <f t="shared" si="134"/>
        <v>64661972.676069878</v>
      </c>
      <c r="T244" s="824">
        <f t="shared" si="134"/>
        <v>62130473.933343284</v>
      </c>
      <c r="U244" s="824">
        <f t="shared" si="134"/>
        <v>59598975.19061669</v>
      </c>
      <c r="V244" s="824">
        <f t="shared" si="134"/>
        <v>57694492.412099138</v>
      </c>
      <c r="W244" s="824">
        <f t="shared" si="134"/>
        <v>55790009.633581579</v>
      </c>
      <c r="X244" s="824">
        <f t="shared" si="134"/>
        <v>66092927.081821628</v>
      </c>
      <c r="Y244" s="824">
        <f t="shared" si="134"/>
        <v>63316487.144249961</v>
      </c>
      <c r="Z244" s="824">
        <f t="shared" si="134"/>
        <v>60540047.206678294</v>
      </c>
      <c r="AA244" s="824">
        <f t="shared" si="134"/>
        <v>57763607.269106627</v>
      </c>
      <c r="AB244" s="824">
        <f t="shared" si="134"/>
        <v>54987167.331534967</v>
      </c>
      <c r="AC244" s="824">
        <f t="shared" si="134"/>
        <v>56246172.397839189</v>
      </c>
      <c r="AD244" s="824">
        <f t="shared" si="134"/>
        <v>53397241.661733389</v>
      </c>
      <c r="AE244" s="824">
        <f t="shared" si="134"/>
        <v>50548310.925627589</v>
      </c>
      <c r="AF244" s="824">
        <f t="shared" si="134"/>
        <v>47699380.18952179</v>
      </c>
      <c r="AG244" s="824">
        <f t="shared" si="134"/>
        <v>44850449.45341599</v>
      </c>
      <c r="AH244" s="824">
        <f t="shared" si="134"/>
        <v>42001518.717310205</v>
      </c>
      <c r="AI244" s="824">
        <f t="shared" si="134"/>
        <v>39152587.981204405</v>
      </c>
      <c r="AJ244" s="824">
        <f t="shared" si="134"/>
        <v>36303657.245098598</v>
      </c>
      <c r="AK244" s="824">
        <f t="shared" si="134"/>
        <v>33454726.508992799</v>
      </c>
      <c r="AL244" s="824">
        <f t="shared" si="134"/>
        <v>30605795.772886999</v>
      </c>
      <c r="AM244" s="824">
        <f t="shared" si="134"/>
        <v>28628822.195835307</v>
      </c>
      <c r="AN244" s="824">
        <f t="shared" si="134"/>
        <v>27025297.328093622</v>
      </c>
      <c r="AO244" s="824">
        <f t="shared" si="134"/>
        <v>49514029.619213134</v>
      </c>
      <c r="AP244" s="824">
        <f t="shared" si="134"/>
        <v>46304354.274214029</v>
      </c>
      <c r="AQ244" s="824">
        <f t="shared" si="134"/>
        <v>43094678.929214939</v>
      </c>
      <c r="AR244" s="824">
        <f t="shared" si="134"/>
        <v>39885003.584215835</v>
      </c>
      <c r="AS244" s="824">
        <f t="shared" si="134"/>
        <v>36675328.239216745</v>
      </c>
      <c r="AT244" s="824">
        <f t="shared" si="134"/>
        <v>33465652.89421764</v>
      </c>
      <c r="AU244" s="166"/>
      <c r="AV244" s="166"/>
      <c r="AW244" s="166"/>
      <c r="AX244" s="166"/>
      <c r="AY244" s="166"/>
      <c r="AZ244" s="166"/>
      <c r="BA244" s="166"/>
      <c r="BB244" s="166"/>
      <c r="BC244" s="166"/>
      <c r="BD244" s="166"/>
      <c r="BE244" s="166"/>
      <c r="BF244" s="166"/>
      <c r="BG244" s="166"/>
      <c r="BH244" s="166"/>
      <c r="BI244" s="166"/>
      <c r="BJ244" s="166"/>
      <c r="BK244" s="166"/>
      <c r="BL244" s="166"/>
      <c r="BM244" s="166"/>
      <c r="BN244" s="166"/>
    </row>
    <row r="245" spans="2:66" x14ac:dyDescent="0.25">
      <c r="B245" s="481"/>
      <c r="C245" s="382"/>
      <c r="D245" s="382"/>
      <c r="E245" s="382"/>
      <c r="F245" s="382"/>
      <c r="G245" s="382"/>
      <c r="H245" s="382"/>
      <c r="I245" s="382"/>
      <c r="J245" s="382"/>
      <c r="K245" s="382"/>
      <c r="L245" s="382"/>
      <c r="M245" s="382"/>
      <c r="N245" s="382"/>
      <c r="O245" s="382"/>
      <c r="P245" s="382"/>
      <c r="Q245" s="382"/>
      <c r="R245" s="382"/>
      <c r="S245" s="382"/>
      <c r="T245" s="382"/>
      <c r="U245" s="382"/>
      <c r="V245" s="382"/>
      <c r="W245" s="382"/>
      <c r="X245" s="382"/>
      <c r="Y245" s="382"/>
      <c r="Z245" s="382"/>
      <c r="AA245" s="382"/>
      <c r="AB245" s="382"/>
      <c r="AC245" s="382"/>
      <c r="AD245" s="382"/>
      <c r="AE245" s="382"/>
      <c r="AF245" s="382"/>
      <c r="AG245" s="382"/>
      <c r="AH245" s="382"/>
      <c r="AI245" s="382"/>
      <c r="AJ245" s="382"/>
      <c r="AK245" s="382"/>
      <c r="AL245" s="382"/>
      <c r="AM245" s="382"/>
      <c r="AN245" s="382"/>
      <c r="AO245" s="382"/>
      <c r="AP245" s="382"/>
      <c r="AQ245" s="382"/>
      <c r="AR245" s="382"/>
      <c r="AS245" s="382"/>
      <c r="AT245" s="382"/>
      <c r="AU245" s="166"/>
      <c r="AV245" s="166"/>
      <c r="AW245" s="166"/>
      <c r="AX245" s="166"/>
      <c r="AY245" s="166"/>
      <c r="AZ245" s="166"/>
      <c r="BA245" s="166"/>
      <c r="BB245" s="166"/>
      <c r="BC245" s="166"/>
      <c r="BD245" s="166"/>
      <c r="BE245" s="166"/>
      <c r="BF245" s="166"/>
      <c r="BG245" s="166"/>
      <c r="BH245" s="166"/>
      <c r="BI245" s="166"/>
      <c r="BJ245" s="166"/>
      <c r="BK245" s="166"/>
      <c r="BL245" s="166"/>
      <c r="BM245" s="166"/>
      <c r="BN245" s="166"/>
    </row>
    <row r="246" spans="2:66" ht="13.8" thickBot="1" x14ac:dyDescent="0.3">
      <c r="B246" s="834"/>
      <c r="C246" s="178"/>
      <c r="D246" s="178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78"/>
      <c r="V246" s="178"/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66"/>
      <c r="AV246" s="166"/>
      <c r="AW246" s="166"/>
      <c r="AX246" s="166"/>
      <c r="AY246" s="166"/>
      <c r="AZ246" s="166"/>
      <c r="BA246" s="166"/>
      <c r="BB246" s="166"/>
      <c r="BC246" s="166"/>
      <c r="BD246" s="166"/>
      <c r="BE246" s="166"/>
      <c r="BF246" s="166"/>
      <c r="BG246" s="166"/>
      <c r="BH246" s="166"/>
      <c r="BI246" s="166"/>
      <c r="BJ246" s="166"/>
      <c r="BK246" s="166"/>
      <c r="BL246" s="166"/>
      <c r="BM246" s="166"/>
      <c r="BN246" s="166"/>
    </row>
    <row r="247" spans="2:66" ht="14.4" x14ac:dyDescent="0.25">
      <c r="B247" s="835" t="s">
        <v>390</v>
      </c>
      <c r="C247" s="818"/>
      <c r="D247" s="818"/>
      <c r="E247" s="818"/>
      <c r="F247" s="818"/>
      <c r="G247" s="818"/>
      <c r="H247" s="818"/>
      <c r="I247" s="818"/>
      <c r="J247" s="818"/>
      <c r="K247" s="818"/>
      <c r="L247" s="818"/>
      <c r="M247" s="818"/>
      <c r="N247" s="818"/>
      <c r="O247" s="818"/>
      <c r="P247" s="818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  <c r="AA247" s="818"/>
      <c r="AB247" s="818"/>
      <c r="AC247" s="818"/>
      <c r="AD247" s="818"/>
      <c r="AE247" s="818"/>
      <c r="AF247" s="818"/>
      <c r="AG247" s="818"/>
      <c r="AH247" s="818"/>
      <c r="AI247" s="818"/>
      <c r="AJ247" s="818"/>
      <c r="AK247" s="818"/>
      <c r="AL247" s="818"/>
      <c r="AM247" s="818"/>
      <c r="AN247" s="818"/>
      <c r="AO247" s="818"/>
      <c r="AP247" s="818"/>
      <c r="AQ247" s="818"/>
      <c r="AR247" s="818"/>
      <c r="AS247" s="818"/>
      <c r="AT247" s="819"/>
      <c r="AU247" s="166"/>
      <c r="AV247" s="166"/>
      <c r="AW247" s="166"/>
      <c r="AX247" s="166"/>
      <c r="AY247" s="166"/>
      <c r="AZ247" s="166"/>
      <c r="BA247" s="166"/>
      <c r="BB247" s="166"/>
      <c r="BC247" s="166"/>
      <c r="BD247" s="166"/>
      <c r="BE247" s="166"/>
      <c r="BF247" s="166"/>
      <c r="BG247" s="166"/>
      <c r="BH247" s="166"/>
      <c r="BI247" s="166"/>
      <c r="BJ247" s="166"/>
      <c r="BK247" s="166"/>
      <c r="BL247" s="166"/>
      <c r="BM247" s="166"/>
      <c r="BN247" s="166"/>
    </row>
    <row r="248" spans="2:66" x14ac:dyDescent="0.25">
      <c r="B248" s="836" t="s">
        <v>391</v>
      </c>
      <c r="C248" s="268">
        <v>0</v>
      </c>
      <c r="D248" s="268">
        <v>0</v>
      </c>
      <c r="E248" s="268">
        <v>0</v>
      </c>
      <c r="F248" s="268">
        <v>0</v>
      </c>
      <c r="G248" s="268">
        <f>-G224</f>
        <v>-2791546.919500811</v>
      </c>
      <c r="H248" s="268">
        <f t="shared" ref="H248:AT248" si="135">-H224</f>
        <v>-3091692.739287667</v>
      </c>
      <c r="I248" s="268">
        <f t="shared" si="135"/>
        <v>-2934364.0421133931</v>
      </c>
      <c r="J248" s="268">
        <f t="shared" si="135"/>
        <v>-3003556.4739287407</v>
      </c>
      <c r="K248" s="268">
        <f t="shared" si="135"/>
        <v>-6864999.4108087067</v>
      </c>
      <c r="L248" s="268">
        <f t="shared" si="135"/>
        <v>-3146987.7384020691</v>
      </c>
      <c r="M248" s="268">
        <f t="shared" si="135"/>
        <v>-3221309.8210025458</v>
      </c>
      <c r="N248" s="268">
        <f t="shared" si="135"/>
        <v>-3297426.7865636172</v>
      </c>
      <c r="O248" s="268">
        <f t="shared" si="135"/>
        <v>-3375382.9246263341</v>
      </c>
      <c r="P248" s="268">
        <f t="shared" si="135"/>
        <v>-7620124.5585567057</v>
      </c>
      <c r="Q248" s="268">
        <f t="shared" si="135"/>
        <v>-3536995.481726327</v>
      </c>
      <c r="R248" s="268">
        <f t="shared" si="135"/>
        <v>-3620746.1717735282</v>
      </c>
      <c r="S248" s="268">
        <f t="shared" si="135"/>
        <v>-3706524.6358547215</v>
      </c>
      <c r="T248" s="268">
        <f t="shared" si="135"/>
        <v>-3794381.0340164835</v>
      </c>
      <c r="U248" s="268">
        <f t="shared" si="135"/>
        <v>-8460551.8528040089</v>
      </c>
      <c r="V248" s="268">
        <f t="shared" si="135"/>
        <v>-3976534.6360238022</v>
      </c>
      <c r="W248" s="268">
        <f t="shared" si="135"/>
        <v>-4070938.621770741</v>
      </c>
      <c r="X248" s="268">
        <f t="shared" si="135"/>
        <v>-4167634.1731139594</v>
      </c>
      <c r="Y248" s="268">
        <f t="shared" si="135"/>
        <v>-4266678.1150930393</v>
      </c>
      <c r="Z248" s="268">
        <f t="shared" si="135"/>
        <v>-9396213.810979465</v>
      </c>
      <c r="AA248" s="268">
        <f t="shared" si="135"/>
        <v>-4472045.6967975702</v>
      </c>
      <c r="AB248" s="268">
        <f t="shared" si="135"/>
        <v>-4578490.3244372597</v>
      </c>
      <c r="AC248" s="268">
        <f t="shared" si="135"/>
        <v>-4687525.3956046067</v>
      </c>
      <c r="AD248" s="268">
        <f t="shared" si="135"/>
        <v>-4799215.3044166798</v>
      </c>
      <c r="AE248" s="268">
        <f t="shared" si="135"/>
        <v>-10438238.257315286</v>
      </c>
      <c r="AF248" s="268">
        <f t="shared" si="135"/>
        <v>-5030825.4186769668</v>
      </c>
      <c r="AG248" s="268">
        <f t="shared" si="135"/>
        <v>-5150882.7472600536</v>
      </c>
      <c r="AH248" s="268">
        <f t="shared" si="135"/>
        <v>-5273869.24748501</v>
      </c>
      <c r="AI248" s="268">
        <f t="shared" si="135"/>
        <v>-5399857.9116118001</v>
      </c>
      <c r="AJ248" s="268">
        <f t="shared" si="135"/>
        <v>-11599097.173153548</v>
      </c>
      <c r="AK248" s="268">
        <f t="shared" si="135"/>
        <v>-5661143.0252687559</v>
      </c>
      <c r="AL248" s="268">
        <f t="shared" si="135"/>
        <v>-5796594.9293390466</v>
      </c>
      <c r="AM248" s="268">
        <f t="shared" si="135"/>
        <v>-5935360.0062841373</v>
      </c>
      <c r="AN248" s="268">
        <f t="shared" si="135"/>
        <v>-6077521.0181308491</v>
      </c>
      <c r="AO248" s="268">
        <f t="shared" si="135"/>
        <v>-12892774.71989817</v>
      </c>
      <c r="AP248" s="268">
        <f t="shared" si="135"/>
        <v>-6372372.4917223342</v>
      </c>
      <c r="AQ248" s="268">
        <f t="shared" si="135"/>
        <v>-6525239.2401587041</v>
      </c>
      <c r="AR248" s="268">
        <f t="shared" si="135"/>
        <v>-6681854.610653758</v>
      </c>
      <c r="AS248" s="268">
        <f t="shared" si="135"/>
        <v>-6842312.4692722289</v>
      </c>
      <c r="AT248" s="799">
        <f t="shared" si="135"/>
        <v>-14334956.983977951</v>
      </c>
      <c r="AU248" s="166"/>
      <c r="AV248" s="166"/>
      <c r="AW248" s="166"/>
      <c r="AX248" s="166"/>
      <c r="AY248" s="166"/>
      <c r="AZ248" s="166"/>
      <c r="BA248" s="166"/>
      <c r="BB248" s="166"/>
      <c r="BC248" s="166"/>
      <c r="BD248" s="166"/>
      <c r="BE248" s="166"/>
      <c r="BF248" s="166"/>
      <c r="BG248" s="166"/>
      <c r="BH248" s="166"/>
      <c r="BI248" s="166"/>
      <c r="BJ248" s="166"/>
      <c r="BK248" s="166"/>
      <c r="BL248" s="166"/>
      <c r="BM248" s="166"/>
      <c r="BN248" s="166"/>
    </row>
    <row r="249" spans="2:66" ht="15" thickBot="1" x14ac:dyDescent="0.3">
      <c r="B249" s="842" t="s">
        <v>389</v>
      </c>
      <c r="C249" s="820"/>
      <c r="D249" s="820"/>
      <c r="E249" s="820"/>
      <c r="F249" s="820"/>
      <c r="G249" s="820">
        <f>G248</f>
        <v>-2791546.919500811</v>
      </c>
      <c r="H249" s="820">
        <f t="shared" ref="H249:AT249" si="136">H248</f>
        <v>-3091692.739287667</v>
      </c>
      <c r="I249" s="820">
        <f t="shared" si="136"/>
        <v>-2934364.0421133931</v>
      </c>
      <c r="J249" s="820">
        <f t="shared" si="136"/>
        <v>-3003556.4739287407</v>
      </c>
      <c r="K249" s="820">
        <f t="shared" si="136"/>
        <v>-6864999.4108087067</v>
      </c>
      <c r="L249" s="820">
        <f t="shared" si="136"/>
        <v>-3146987.7384020691</v>
      </c>
      <c r="M249" s="820">
        <f t="shared" si="136"/>
        <v>-3221309.8210025458</v>
      </c>
      <c r="N249" s="820">
        <f t="shared" si="136"/>
        <v>-3297426.7865636172</v>
      </c>
      <c r="O249" s="820">
        <f t="shared" si="136"/>
        <v>-3375382.9246263341</v>
      </c>
      <c r="P249" s="820">
        <f t="shared" si="136"/>
        <v>-7620124.5585567057</v>
      </c>
      <c r="Q249" s="820">
        <f t="shared" si="136"/>
        <v>-3536995.481726327</v>
      </c>
      <c r="R249" s="820">
        <f t="shared" si="136"/>
        <v>-3620746.1717735282</v>
      </c>
      <c r="S249" s="820">
        <f t="shared" si="136"/>
        <v>-3706524.6358547215</v>
      </c>
      <c r="T249" s="820">
        <f t="shared" si="136"/>
        <v>-3794381.0340164835</v>
      </c>
      <c r="U249" s="820">
        <f t="shared" si="136"/>
        <v>-8460551.8528040089</v>
      </c>
      <c r="V249" s="820">
        <f t="shared" si="136"/>
        <v>-3976534.6360238022</v>
      </c>
      <c r="W249" s="820">
        <f t="shared" si="136"/>
        <v>-4070938.621770741</v>
      </c>
      <c r="X249" s="820">
        <f t="shared" si="136"/>
        <v>-4167634.1731139594</v>
      </c>
      <c r="Y249" s="820">
        <f t="shared" si="136"/>
        <v>-4266678.1150930393</v>
      </c>
      <c r="Z249" s="820">
        <f t="shared" si="136"/>
        <v>-9396213.810979465</v>
      </c>
      <c r="AA249" s="820">
        <f t="shared" si="136"/>
        <v>-4472045.6967975702</v>
      </c>
      <c r="AB249" s="820">
        <f t="shared" si="136"/>
        <v>-4578490.3244372597</v>
      </c>
      <c r="AC249" s="820">
        <f t="shared" si="136"/>
        <v>-4687525.3956046067</v>
      </c>
      <c r="AD249" s="820">
        <f t="shared" si="136"/>
        <v>-4799215.3044166798</v>
      </c>
      <c r="AE249" s="820">
        <f t="shared" si="136"/>
        <v>-10438238.257315286</v>
      </c>
      <c r="AF249" s="820">
        <f t="shared" si="136"/>
        <v>-5030825.4186769668</v>
      </c>
      <c r="AG249" s="820">
        <f t="shared" si="136"/>
        <v>-5150882.7472600536</v>
      </c>
      <c r="AH249" s="820">
        <f t="shared" si="136"/>
        <v>-5273869.24748501</v>
      </c>
      <c r="AI249" s="820">
        <f t="shared" si="136"/>
        <v>-5399857.9116118001</v>
      </c>
      <c r="AJ249" s="820">
        <f t="shared" si="136"/>
        <v>-11599097.173153548</v>
      </c>
      <c r="AK249" s="820">
        <f t="shared" si="136"/>
        <v>-5661143.0252687559</v>
      </c>
      <c r="AL249" s="820">
        <f t="shared" si="136"/>
        <v>-5796594.9293390466</v>
      </c>
      <c r="AM249" s="820">
        <f t="shared" si="136"/>
        <v>-5935360.0062841373</v>
      </c>
      <c r="AN249" s="820">
        <f t="shared" si="136"/>
        <v>-6077521.0181308491</v>
      </c>
      <c r="AO249" s="820">
        <f t="shared" si="136"/>
        <v>-12892774.71989817</v>
      </c>
      <c r="AP249" s="820">
        <f t="shared" si="136"/>
        <v>-6372372.4917223342</v>
      </c>
      <c r="AQ249" s="820">
        <f t="shared" si="136"/>
        <v>-6525239.2401587041</v>
      </c>
      <c r="AR249" s="820">
        <f t="shared" si="136"/>
        <v>-6681854.610653758</v>
      </c>
      <c r="AS249" s="820">
        <f t="shared" si="136"/>
        <v>-6842312.4692722289</v>
      </c>
      <c r="AT249" s="821">
        <f t="shared" si="136"/>
        <v>-14334956.983977951</v>
      </c>
      <c r="AU249" s="166"/>
      <c r="AV249" s="166"/>
      <c r="AW249" s="166"/>
      <c r="AX249" s="166"/>
      <c r="AY249" s="166"/>
      <c r="AZ249" s="166"/>
      <c r="BA249" s="166"/>
      <c r="BB249" s="166"/>
      <c r="BC249" s="166"/>
      <c r="BD249" s="166"/>
      <c r="BE249" s="166"/>
      <c r="BF249" s="166"/>
      <c r="BG249" s="166"/>
      <c r="BH249" s="166"/>
      <c r="BI249" s="166"/>
      <c r="BJ249" s="166"/>
      <c r="BK249" s="166"/>
      <c r="BL249" s="166"/>
      <c r="BM249" s="166"/>
      <c r="BN249" s="166"/>
    </row>
    <row r="250" spans="2:66" ht="15" thickBot="1" x14ac:dyDescent="0.3">
      <c r="B250" s="837"/>
      <c r="C250" s="824"/>
      <c r="D250" s="824"/>
      <c r="E250" s="824"/>
      <c r="F250" s="824"/>
      <c r="G250" s="824"/>
      <c r="H250" s="824"/>
      <c r="I250" s="824"/>
      <c r="J250" s="824"/>
      <c r="K250" s="824"/>
      <c r="L250" s="824"/>
      <c r="M250" s="824"/>
      <c r="N250" s="824"/>
      <c r="O250" s="824"/>
      <c r="P250" s="824"/>
      <c r="Q250" s="824"/>
      <c r="R250" s="824"/>
      <c r="S250" s="824"/>
      <c r="T250" s="824"/>
      <c r="U250" s="824"/>
      <c r="V250" s="824"/>
      <c r="W250" s="824"/>
      <c r="X250" s="824"/>
      <c r="Y250" s="824"/>
      <c r="Z250" s="824"/>
      <c r="AA250" s="824"/>
      <c r="AB250" s="824"/>
      <c r="AC250" s="824"/>
      <c r="AD250" s="824"/>
      <c r="AE250" s="824"/>
      <c r="AF250" s="824"/>
      <c r="AG250" s="824"/>
      <c r="AH250" s="824"/>
      <c r="AI250" s="824"/>
      <c r="AJ250" s="824"/>
      <c r="AK250" s="824"/>
      <c r="AL250" s="824"/>
      <c r="AM250" s="824"/>
      <c r="AN250" s="824"/>
      <c r="AO250" s="824"/>
      <c r="AP250" s="824"/>
      <c r="AQ250" s="824"/>
      <c r="AR250" s="824"/>
      <c r="AS250" s="824"/>
      <c r="AT250" s="824"/>
      <c r="AU250" s="166"/>
      <c r="AV250" s="166"/>
      <c r="AW250" s="166"/>
      <c r="AX250" s="166"/>
      <c r="AY250" s="166"/>
      <c r="AZ250" s="166"/>
      <c r="BA250" s="166"/>
      <c r="BB250" s="166"/>
      <c r="BC250" s="166"/>
      <c r="BD250" s="166"/>
      <c r="BE250" s="166"/>
      <c r="BF250" s="166"/>
      <c r="BG250" s="166"/>
      <c r="BH250" s="166"/>
      <c r="BI250" s="166"/>
      <c r="BJ250" s="166"/>
      <c r="BK250" s="166"/>
      <c r="BL250" s="166"/>
      <c r="BM250" s="166"/>
      <c r="BN250" s="166"/>
    </row>
    <row r="251" spans="2:66" ht="14.4" x14ac:dyDescent="0.25">
      <c r="B251" s="835" t="s">
        <v>392</v>
      </c>
      <c r="C251" s="818"/>
      <c r="D251" s="818"/>
      <c r="E251" s="818"/>
      <c r="F251" s="818"/>
      <c r="G251" s="818"/>
      <c r="H251" s="818"/>
      <c r="I251" s="818"/>
      <c r="J251" s="818"/>
      <c r="K251" s="818"/>
      <c r="L251" s="818"/>
      <c r="M251" s="818"/>
      <c r="N251" s="818"/>
      <c r="O251" s="818"/>
      <c r="P251" s="818"/>
      <c r="Q251" s="818"/>
      <c r="R251" s="818"/>
      <c r="S251" s="818"/>
      <c r="T251" s="818"/>
      <c r="U251" s="818"/>
      <c r="V251" s="818"/>
      <c r="W251" s="818"/>
      <c r="X251" s="818"/>
      <c r="Y251" s="818"/>
      <c r="Z251" s="818"/>
      <c r="AA251" s="818"/>
      <c r="AB251" s="818"/>
      <c r="AC251" s="818"/>
      <c r="AD251" s="818"/>
      <c r="AE251" s="818"/>
      <c r="AF251" s="818"/>
      <c r="AG251" s="818"/>
      <c r="AH251" s="818"/>
      <c r="AI251" s="818"/>
      <c r="AJ251" s="818"/>
      <c r="AK251" s="818"/>
      <c r="AL251" s="818"/>
      <c r="AM251" s="818"/>
      <c r="AN251" s="818"/>
      <c r="AO251" s="818"/>
      <c r="AP251" s="818"/>
      <c r="AQ251" s="818"/>
      <c r="AR251" s="818"/>
      <c r="AS251" s="818"/>
      <c r="AT251" s="819"/>
      <c r="AU251" s="166"/>
      <c r="AV251" s="166"/>
      <c r="AW251" s="166"/>
      <c r="AX251" s="166"/>
      <c r="AY251" s="166"/>
      <c r="AZ251" s="166"/>
      <c r="BA251" s="166"/>
      <c r="BB251" s="166"/>
      <c r="BC251" s="166"/>
      <c r="BD251" s="166"/>
      <c r="BE251" s="166"/>
      <c r="BF251" s="166"/>
      <c r="BG251" s="166"/>
      <c r="BH251" s="166"/>
      <c r="BI251" s="166"/>
      <c r="BJ251" s="166"/>
      <c r="BK251" s="166"/>
      <c r="BL251" s="166"/>
      <c r="BM251" s="166"/>
      <c r="BN251" s="166"/>
    </row>
    <row r="252" spans="2:66" x14ac:dyDescent="0.25">
      <c r="B252" s="836" t="s">
        <v>393</v>
      </c>
      <c r="C252" s="268">
        <v>0</v>
      </c>
      <c r="D252" s="268">
        <v>0</v>
      </c>
      <c r="E252" s="268">
        <v>0</v>
      </c>
      <c r="F252" s="268">
        <v>0</v>
      </c>
      <c r="G252" s="178">
        <f t="shared" ref="G252:AT252" si="137">G226</f>
        <v>4713500.5115628969</v>
      </c>
      <c r="H252" s="178">
        <f t="shared" si="137"/>
        <v>6284667.3487505307</v>
      </c>
      <c r="I252" s="178">
        <f t="shared" si="137"/>
        <v>6640204.0307090711</v>
      </c>
      <c r="J252" s="178">
        <f t="shared" si="137"/>
        <v>6709788.3482994661</v>
      </c>
      <c r="K252" s="178">
        <f t="shared" si="137"/>
        <v>7053259.3215918113</v>
      </c>
      <c r="L252" s="178">
        <f t="shared" si="137"/>
        <v>7125654.8456128584</v>
      </c>
      <c r="M252" s="178">
        <f t="shared" si="137"/>
        <v>7488851.6045671105</v>
      </c>
      <c r="N252" s="178">
        <f t="shared" si="137"/>
        <v>7526170.2293630913</v>
      </c>
      <c r="O252" s="178">
        <f t="shared" si="137"/>
        <v>7869053.8038670942</v>
      </c>
      <c r="P252" s="178">
        <f t="shared" si="137"/>
        <v>7907880.1011048276</v>
      </c>
      <c r="Q252" s="178">
        <f t="shared" si="137"/>
        <v>8267753.3368356051</v>
      </c>
      <c r="R252" s="178">
        <f t="shared" si="137"/>
        <v>8308148.2164817452</v>
      </c>
      <c r="S252" s="178">
        <f t="shared" si="137"/>
        <v>8646045.8148153257</v>
      </c>
      <c r="T252" s="178">
        <f t="shared" si="137"/>
        <v>8648294.2252030428</v>
      </c>
      <c r="U252" s="178">
        <f t="shared" si="137"/>
        <v>9000024.5580686275</v>
      </c>
      <c r="V252" s="178">
        <f t="shared" si="137"/>
        <v>9002363.8042360079</v>
      </c>
      <c r="W252" s="178">
        <f t="shared" si="137"/>
        <v>9368493.0536396839</v>
      </c>
      <c r="X252" s="178">
        <f t="shared" si="137"/>
        <v>9437995.6935815569</v>
      </c>
      <c r="Y252" s="178">
        <f t="shared" si="137"/>
        <v>9891601.2661977783</v>
      </c>
      <c r="Z252" s="178">
        <f t="shared" si="137"/>
        <v>9963911.8127933089</v>
      </c>
      <c r="AA252" s="178">
        <f t="shared" si="137"/>
        <v>10441685.742708145</v>
      </c>
      <c r="AB252" s="178">
        <f t="shared" si="137"/>
        <v>10516917.635386124</v>
      </c>
      <c r="AC252" s="178">
        <f t="shared" si="137"/>
        <v>10941801.107855724</v>
      </c>
      <c r="AD252" s="178">
        <f t="shared" si="137"/>
        <v>10941801.107855724</v>
      </c>
      <c r="AE252" s="178">
        <f t="shared" si="137"/>
        <v>11383849.872613095</v>
      </c>
      <c r="AF252" s="178">
        <f t="shared" si="137"/>
        <v>11383849.872613095</v>
      </c>
      <c r="AG252" s="178">
        <f t="shared" si="137"/>
        <v>11843757.407466665</v>
      </c>
      <c r="AH252" s="178">
        <f t="shared" si="137"/>
        <v>11843757.407466665</v>
      </c>
      <c r="AI252" s="178">
        <f t="shared" si="137"/>
        <v>12322245.206728317</v>
      </c>
      <c r="AJ252" s="178">
        <f t="shared" si="137"/>
        <v>12322245.206728317</v>
      </c>
      <c r="AK252" s="178">
        <f t="shared" si="137"/>
        <v>12820063.913080141</v>
      </c>
      <c r="AL252" s="178">
        <f t="shared" si="137"/>
        <v>12820063.913080141</v>
      </c>
      <c r="AM252" s="178">
        <f t="shared" si="137"/>
        <v>13337994.495168576</v>
      </c>
      <c r="AN252" s="178">
        <f t="shared" si="137"/>
        <v>13337994.495168576</v>
      </c>
      <c r="AO252" s="178">
        <f t="shared" si="137"/>
        <v>13876849.472773392</v>
      </c>
      <c r="AP252" s="178">
        <f t="shared" si="137"/>
        <v>13876849.472773392</v>
      </c>
      <c r="AQ252" s="178">
        <f t="shared" si="137"/>
        <v>14437474.191473434</v>
      </c>
      <c r="AR252" s="178">
        <f t="shared" si="137"/>
        <v>14437474.191473434</v>
      </c>
      <c r="AS252" s="178">
        <f t="shared" si="137"/>
        <v>15020748.148808964</v>
      </c>
      <c r="AT252" s="265">
        <f t="shared" si="137"/>
        <v>15020748.148808964</v>
      </c>
      <c r="AU252" s="166"/>
      <c r="AV252" s="166"/>
      <c r="AW252" s="166"/>
      <c r="AX252" s="166"/>
      <c r="AY252" s="166"/>
      <c r="AZ252" s="166"/>
      <c r="BA252" s="166"/>
      <c r="BB252" s="166"/>
      <c r="BC252" s="166"/>
      <c r="BD252" s="166"/>
      <c r="BE252" s="166"/>
      <c r="BF252" s="166"/>
      <c r="BG252" s="166"/>
      <c r="BH252" s="166"/>
      <c r="BI252" s="166"/>
      <c r="BJ252" s="166"/>
      <c r="BK252" s="166"/>
      <c r="BL252" s="166"/>
      <c r="BM252" s="166"/>
      <c r="BN252" s="166"/>
    </row>
    <row r="253" spans="2:66" x14ac:dyDescent="0.25">
      <c r="B253" s="836" t="s">
        <v>394</v>
      </c>
      <c r="C253" s="268">
        <v>0</v>
      </c>
      <c r="D253" s="268">
        <v>0</v>
      </c>
      <c r="E253" s="268">
        <v>0</v>
      </c>
      <c r="F253" s="268">
        <v>0</v>
      </c>
      <c r="G253" s="178">
        <f t="shared" ref="G253:AT253" si="138">G227</f>
        <v>420000</v>
      </c>
      <c r="H253" s="178">
        <f t="shared" si="138"/>
        <v>428400</v>
      </c>
      <c r="I253" s="178">
        <f t="shared" si="138"/>
        <v>436968</v>
      </c>
      <c r="J253" s="178">
        <f t="shared" si="138"/>
        <v>445707.36</v>
      </c>
      <c r="K253" s="178">
        <f t="shared" si="138"/>
        <v>454621.50719999999</v>
      </c>
      <c r="L253" s="178">
        <f t="shared" si="138"/>
        <v>463713.93734400003</v>
      </c>
      <c r="M253" s="178">
        <f t="shared" si="138"/>
        <v>472988.21609088004</v>
      </c>
      <c r="N253" s="178">
        <f t="shared" si="138"/>
        <v>482447.98041269754</v>
      </c>
      <c r="O253" s="178">
        <f t="shared" si="138"/>
        <v>492096.9400209515</v>
      </c>
      <c r="P253" s="178">
        <f t="shared" si="138"/>
        <v>501938.87882137054</v>
      </c>
      <c r="Q253" s="178">
        <f t="shared" si="138"/>
        <v>511977.65639779798</v>
      </c>
      <c r="R253" s="178">
        <f t="shared" si="138"/>
        <v>522217.20952575386</v>
      </c>
      <c r="S253" s="178">
        <f t="shared" si="138"/>
        <v>532661.55371626897</v>
      </c>
      <c r="T253" s="178">
        <f t="shared" si="138"/>
        <v>543314.78479059436</v>
      </c>
      <c r="U253" s="178">
        <f t="shared" si="138"/>
        <v>554181.08048640634</v>
      </c>
      <c r="V253" s="178">
        <f t="shared" si="138"/>
        <v>565264.70209613431</v>
      </c>
      <c r="W253" s="178">
        <f t="shared" si="138"/>
        <v>576569.99613805709</v>
      </c>
      <c r="X253" s="178">
        <f t="shared" si="138"/>
        <v>588101.39606081822</v>
      </c>
      <c r="Y253" s="178">
        <f t="shared" si="138"/>
        <v>599863.42398203455</v>
      </c>
      <c r="Z253" s="178">
        <f t="shared" si="138"/>
        <v>611860.69246167527</v>
      </c>
      <c r="AA253" s="178">
        <f t="shared" si="138"/>
        <v>624097.90631090873</v>
      </c>
      <c r="AB253" s="178">
        <f t="shared" si="138"/>
        <v>636579.8644371269</v>
      </c>
      <c r="AC253" s="178">
        <f t="shared" si="138"/>
        <v>649311.46172586945</v>
      </c>
      <c r="AD253" s="178">
        <f t="shared" si="138"/>
        <v>662297.69096038677</v>
      </c>
      <c r="AE253" s="178">
        <f t="shared" si="138"/>
        <v>675543.6447795945</v>
      </c>
      <c r="AF253" s="178">
        <f t="shared" si="138"/>
        <v>689054.51767518639</v>
      </c>
      <c r="AG253" s="178">
        <f t="shared" si="138"/>
        <v>702835.60802869021</v>
      </c>
      <c r="AH253" s="178">
        <f t="shared" si="138"/>
        <v>716892.3201892639</v>
      </c>
      <c r="AI253" s="178">
        <f t="shared" si="138"/>
        <v>731230.1665930493</v>
      </c>
      <c r="AJ253" s="178">
        <f t="shared" si="138"/>
        <v>745854.76992491016</v>
      </c>
      <c r="AK253" s="178">
        <f t="shared" si="138"/>
        <v>760771.86532340851</v>
      </c>
      <c r="AL253" s="178">
        <f t="shared" si="138"/>
        <v>775987.30262987642</v>
      </c>
      <c r="AM253" s="178">
        <f t="shared" si="138"/>
        <v>791507.04868247418</v>
      </c>
      <c r="AN253" s="178">
        <f t="shared" si="138"/>
        <v>807337.18965612364</v>
      </c>
      <c r="AO253" s="178">
        <f t="shared" si="138"/>
        <v>823483.93344924611</v>
      </c>
      <c r="AP253" s="178">
        <f t="shared" si="138"/>
        <v>839953.61211823102</v>
      </c>
      <c r="AQ253" s="178">
        <f t="shared" si="138"/>
        <v>856752.68436059554</v>
      </c>
      <c r="AR253" s="178">
        <f t="shared" si="138"/>
        <v>873887.73804780759</v>
      </c>
      <c r="AS253" s="178">
        <f t="shared" si="138"/>
        <v>891365.49280876387</v>
      </c>
      <c r="AT253" s="265">
        <f t="shared" si="138"/>
        <v>909192.80266493873</v>
      </c>
      <c r="AU253" s="166"/>
      <c r="AV253" s="166"/>
      <c r="AW253" s="166"/>
      <c r="AX253" s="166"/>
      <c r="AY253" s="166"/>
      <c r="AZ253" s="166"/>
      <c r="BA253" s="166"/>
      <c r="BB253" s="166"/>
      <c r="BC253" s="166"/>
      <c r="BD253" s="166"/>
      <c r="BE253" s="166"/>
      <c r="BF253" s="166"/>
      <c r="BG253" s="166"/>
      <c r="BH253" s="166"/>
      <c r="BI253" s="166"/>
      <c r="BJ253" s="166"/>
      <c r="BK253" s="166"/>
      <c r="BL253" s="166"/>
      <c r="BM253" s="166"/>
      <c r="BN253" s="166"/>
    </row>
    <row r="254" spans="2:66" ht="15" thickBot="1" x14ac:dyDescent="0.3">
      <c r="B254" s="842" t="s">
        <v>388</v>
      </c>
      <c r="C254" s="822">
        <v>0</v>
      </c>
      <c r="D254" s="822">
        <v>0</v>
      </c>
      <c r="E254" s="822">
        <v>0</v>
      </c>
      <c r="F254" s="822">
        <v>0</v>
      </c>
      <c r="G254" s="822">
        <f>G252+G253</f>
        <v>5133500.5115628969</v>
      </c>
      <c r="H254" s="822">
        <f t="shared" ref="H254:AT254" si="139">H252+H253</f>
        <v>6713067.3487505307</v>
      </c>
      <c r="I254" s="822">
        <f t="shared" si="139"/>
        <v>7077172.0307090711</v>
      </c>
      <c r="J254" s="822">
        <f t="shared" si="139"/>
        <v>7155495.7082994664</v>
      </c>
      <c r="K254" s="822">
        <f t="shared" si="139"/>
        <v>7507880.8287918111</v>
      </c>
      <c r="L254" s="822">
        <f t="shared" si="139"/>
        <v>7589368.7829568582</v>
      </c>
      <c r="M254" s="822">
        <f t="shared" si="139"/>
        <v>7961839.8206579909</v>
      </c>
      <c r="N254" s="822">
        <f t="shared" si="139"/>
        <v>8008618.2097757887</v>
      </c>
      <c r="O254" s="822">
        <f t="shared" si="139"/>
        <v>8361150.7438880457</v>
      </c>
      <c r="P254" s="822">
        <f t="shared" si="139"/>
        <v>8409818.9799261987</v>
      </c>
      <c r="Q254" s="822">
        <f t="shared" si="139"/>
        <v>8779730.9932334032</v>
      </c>
      <c r="R254" s="822">
        <f t="shared" si="139"/>
        <v>8830365.4260074999</v>
      </c>
      <c r="S254" s="822">
        <f t="shared" si="139"/>
        <v>9178707.3685315941</v>
      </c>
      <c r="T254" s="822">
        <f t="shared" si="139"/>
        <v>9191609.009993637</v>
      </c>
      <c r="U254" s="822">
        <f t="shared" si="139"/>
        <v>9554205.6385550331</v>
      </c>
      <c r="V254" s="822">
        <f t="shared" si="139"/>
        <v>9567628.5063321423</v>
      </c>
      <c r="W254" s="822">
        <f t="shared" si="139"/>
        <v>9945063.0497777406</v>
      </c>
      <c r="X254" s="822">
        <f t="shared" si="139"/>
        <v>10026097.089642376</v>
      </c>
      <c r="Y254" s="822">
        <f t="shared" si="139"/>
        <v>10491464.690179814</v>
      </c>
      <c r="Z254" s="822">
        <f t="shared" si="139"/>
        <v>10575772.505254984</v>
      </c>
      <c r="AA254" s="822">
        <f t="shared" si="139"/>
        <v>11065783.649019053</v>
      </c>
      <c r="AB254" s="822">
        <f t="shared" si="139"/>
        <v>11153497.499823252</v>
      </c>
      <c r="AC254" s="822">
        <f t="shared" si="139"/>
        <v>11591112.569581594</v>
      </c>
      <c r="AD254" s="822">
        <f t="shared" si="139"/>
        <v>11604098.798816111</v>
      </c>
      <c r="AE254" s="822">
        <f t="shared" si="139"/>
        <v>12059393.517392689</v>
      </c>
      <c r="AF254" s="822">
        <f t="shared" si="139"/>
        <v>12072904.39028828</v>
      </c>
      <c r="AG254" s="822">
        <f t="shared" si="139"/>
        <v>12546593.015495354</v>
      </c>
      <c r="AH254" s="822">
        <f t="shared" si="139"/>
        <v>12560649.727655929</v>
      </c>
      <c r="AI254" s="822">
        <f t="shared" si="139"/>
        <v>13053475.373321366</v>
      </c>
      <c r="AJ254" s="822">
        <f t="shared" si="139"/>
        <v>13068099.976653228</v>
      </c>
      <c r="AK254" s="822">
        <f t="shared" si="139"/>
        <v>13580835.77840355</v>
      </c>
      <c r="AL254" s="822">
        <f t="shared" si="139"/>
        <v>13596051.215710018</v>
      </c>
      <c r="AM254" s="822">
        <f t="shared" si="139"/>
        <v>14129501.54385105</v>
      </c>
      <c r="AN254" s="822">
        <f t="shared" si="139"/>
        <v>14145331.6848247</v>
      </c>
      <c r="AO254" s="822">
        <f t="shared" si="139"/>
        <v>14700333.406222638</v>
      </c>
      <c r="AP254" s="822">
        <f t="shared" si="139"/>
        <v>14716803.084891623</v>
      </c>
      <c r="AQ254" s="822">
        <f t="shared" si="139"/>
        <v>15294226.875834029</v>
      </c>
      <c r="AR254" s="822">
        <f t="shared" si="139"/>
        <v>15311361.929521242</v>
      </c>
      <c r="AS254" s="822">
        <f t="shared" si="139"/>
        <v>15912113.641617727</v>
      </c>
      <c r="AT254" s="823">
        <f t="shared" si="139"/>
        <v>15929940.951473903</v>
      </c>
      <c r="AU254" s="166"/>
      <c r="AV254" s="166"/>
      <c r="AW254" s="166"/>
      <c r="AX254" s="166"/>
      <c r="AY254" s="166"/>
      <c r="AZ254" s="166"/>
      <c r="BA254" s="166"/>
      <c r="BB254" s="166"/>
      <c r="BC254" s="166"/>
      <c r="BD254" s="166"/>
      <c r="BE254" s="166"/>
      <c r="BF254" s="166"/>
      <c r="BG254" s="166"/>
      <c r="BH254" s="166"/>
      <c r="BI254" s="166"/>
      <c r="BJ254" s="166"/>
      <c r="BK254" s="166"/>
      <c r="BL254" s="166"/>
      <c r="BM254" s="166"/>
      <c r="BN254" s="166"/>
    </row>
    <row r="255" spans="2:66" ht="15" thickBot="1" x14ac:dyDescent="0.3">
      <c r="B255" s="838"/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78"/>
      <c r="V255" s="178"/>
      <c r="W255" s="178"/>
      <c r="X255" s="178"/>
      <c r="Y255" s="178"/>
      <c r="Z255" s="178"/>
      <c r="AA255" s="178"/>
      <c r="AB255" s="178"/>
      <c r="AC255" s="178"/>
      <c r="AD255" s="178"/>
      <c r="AE255" s="178"/>
      <c r="AF255" s="178"/>
      <c r="AG255" s="178"/>
      <c r="AH255" s="178"/>
      <c r="AI255" s="178"/>
      <c r="AJ255" s="178"/>
      <c r="AK255" s="178"/>
      <c r="AL255" s="178"/>
      <c r="AM255" s="178"/>
      <c r="AN255" s="178"/>
      <c r="AO255" s="178"/>
      <c r="AP255" s="178"/>
      <c r="AQ255" s="178"/>
      <c r="AR255" s="178"/>
      <c r="AS255" s="178"/>
      <c r="AT255" s="178"/>
      <c r="AU255" s="166"/>
      <c r="AV255" s="166"/>
      <c r="AW255" s="166"/>
      <c r="AX255" s="166"/>
      <c r="AY255" s="166"/>
      <c r="AZ255" s="166"/>
      <c r="BA255" s="166"/>
      <c r="BB255" s="166"/>
      <c r="BC255" s="166"/>
      <c r="BD255" s="166"/>
      <c r="BE255" s="166"/>
      <c r="BF255" s="166"/>
      <c r="BG255" s="166"/>
      <c r="BH255" s="166"/>
      <c r="BI255" s="166"/>
      <c r="BJ255" s="166"/>
      <c r="BK255" s="166"/>
      <c r="BL255" s="166"/>
      <c r="BM255" s="166"/>
      <c r="BN255" s="166"/>
    </row>
    <row r="256" spans="2:66" ht="15" thickBot="1" x14ac:dyDescent="0.3">
      <c r="B256" s="843" t="s">
        <v>387</v>
      </c>
      <c r="C256" s="825"/>
      <c r="D256" s="825"/>
      <c r="E256" s="825"/>
      <c r="F256" s="825"/>
      <c r="G256" s="826">
        <f>G254+G249</f>
        <v>2341953.5920620859</v>
      </c>
      <c r="H256" s="826">
        <f t="shared" ref="H256:AT256" si="140">H254+H249</f>
        <v>3621374.6094628638</v>
      </c>
      <c r="I256" s="826">
        <f t="shared" si="140"/>
        <v>4142807.988595678</v>
      </c>
      <c r="J256" s="826">
        <f t="shared" si="140"/>
        <v>4151939.2343707257</v>
      </c>
      <c r="K256" s="826">
        <f t="shared" si="140"/>
        <v>642881.41798310447</v>
      </c>
      <c r="L256" s="826">
        <f t="shared" si="140"/>
        <v>4442381.0445547886</v>
      </c>
      <c r="M256" s="826">
        <f t="shared" si="140"/>
        <v>4740529.9996554451</v>
      </c>
      <c r="N256" s="826">
        <f t="shared" si="140"/>
        <v>4711191.4232121715</v>
      </c>
      <c r="O256" s="826">
        <f t="shared" si="140"/>
        <v>4985767.8192617111</v>
      </c>
      <c r="P256" s="826">
        <f t="shared" si="140"/>
        <v>789694.42136949301</v>
      </c>
      <c r="Q256" s="826">
        <f t="shared" si="140"/>
        <v>5242735.5115070762</v>
      </c>
      <c r="R256" s="826">
        <f t="shared" si="140"/>
        <v>5209619.2542339712</v>
      </c>
      <c r="S256" s="826">
        <f t="shared" si="140"/>
        <v>5472182.732676873</v>
      </c>
      <c r="T256" s="826">
        <f t="shared" si="140"/>
        <v>5397227.9759771535</v>
      </c>
      <c r="U256" s="826">
        <f t="shared" si="140"/>
        <v>1093653.7857510243</v>
      </c>
      <c r="V256" s="826">
        <f t="shared" si="140"/>
        <v>5591093.8703083396</v>
      </c>
      <c r="W256" s="826">
        <f t="shared" si="140"/>
        <v>5874124.4280069992</v>
      </c>
      <c r="X256" s="826">
        <f t="shared" si="140"/>
        <v>5858462.9165284168</v>
      </c>
      <c r="Y256" s="826">
        <f t="shared" si="140"/>
        <v>6224786.5750867743</v>
      </c>
      <c r="Z256" s="826">
        <f t="shared" si="140"/>
        <v>1179558.6942755189</v>
      </c>
      <c r="AA256" s="826">
        <f t="shared" si="140"/>
        <v>6593737.952221483</v>
      </c>
      <c r="AB256" s="826">
        <f t="shared" si="140"/>
        <v>6575007.175385992</v>
      </c>
      <c r="AC256" s="826">
        <f t="shared" si="140"/>
        <v>6903587.1739769876</v>
      </c>
      <c r="AD256" s="826">
        <f t="shared" si="140"/>
        <v>6804883.4943994312</v>
      </c>
      <c r="AE256" s="826">
        <f t="shared" si="140"/>
        <v>1621155.2600774039</v>
      </c>
      <c r="AF256" s="826">
        <f t="shared" si="140"/>
        <v>7042078.9716113135</v>
      </c>
      <c r="AG256" s="826">
        <f t="shared" si="140"/>
        <v>7395710.2682353007</v>
      </c>
      <c r="AH256" s="826">
        <f t="shared" si="140"/>
        <v>7286780.4801709186</v>
      </c>
      <c r="AI256" s="826">
        <f t="shared" si="140"/>
        <v>7653617.4617095655</v>
      </c>
      <c r="AJ256" s="826">
        <f t="shared" si="140"/>
        <v>1469002.80349968</v>
      </c>
      <c r="AK256" s="826">
        <f t="shared" si="140"/>
        <v>7919692.7531347945</v>
      </c>
      <c r="AL256" s="826">
        <f t="shared" si="140"/>
        <v>7799456.2863709712</v>
      </c>
      <c r="AM256" s="826">
        <f t="shared" si="140"/>
        <v>8194141.5375669124</v>
      </c>
      <c r="AN256" s="826">
        <f t="shared" si="140"/>
        <v>8067810.6666938504</v>
      </c>
      <c r="AO256" s="826">
        <f t="shared" si="140"/>
        <v>1807558.6863244679</v>
      </c>
      <c r="AP256" s="826">
        <f t="shared" si="140"/>
        <v>8344430.5931692887</v>
      </c>
      <c r="AQ256" s="826">
        <f t="shared" si="140"/>
        <v>8768987.635675326</v>
      </c>
      <c r="AR256" s="826">
        <f t="shared" si="140"/>
        <v>8629507.3188674841</v>
      </c>
      <c r="AS256" s="826">
        <f t="shared" si="140"/>
        <v>9069801.1723454967</v>
      </c>
      <c r="AT256" s="827">
        <f t="shared" si="140"/>
        <v>1594983.9674959518</v>
      </c>
      <c r="AU256" s="166"/>
      <c r="AV256" s="166"/>
      <c r="AW256" s="166"/>
      <c r="AX256" s="166"/>
      <c r="AY256" s="166"/>
      <c r="AZ256" s="166"/>
      <c r="BA256" s="166"/>
      <c r="BB256" s="166"/>
      <c r="BC256" s="166"/>
      <c r="BD256" s="166"/>
      <c r="BE256" s="166"/>
      <c r="BF256" s="166"/>
      <c r="BG256" s="166"/>
      <c r="BH256" s="166"/>
      <c r="BI256" s="166"/>
      <c r="BJ256" s="166"/>
      <c r="BK256" s="166"/>
      <c r="BL256" s="166"/>
      <c r="BM256" s="166"/>
      <c r="BN256" s="166"/>
    </row>
    <row r="257" spans="2:66" ht="15" thickBot="1" x14ac:dyDescent="0.3">
      <c r="B257" s="839"/>
      <c r="C257" s="801"/>
      <c r="D257" s="801"/>
      <c r="E257" s="801"/>
      <c r="F257" s="801"/>
      <c r="G257" s="824"/>
      <c r="H257" s="824"/>
      <c r="I257" s="824"/>
      <c r="J257" s="824"/>
      <c r="K257" s="824"/>
      <c r="L257" s="824"/>
      <c r="M257" s="824"/>
      <c r="N257" s="824"/>
      <c r="O257" s="824"/>
      <c r="P257" s="824"/>
      <c r="Q257" s="824"/>
      <c r="R257" s="824"/>
      <c r="S257" s="824"/>
      <c r="T257" s="824"/>
      <c r="U257" s="824"/>
      <c r="V257" s="824"/>
      <c r="W257" s="824"/>
      <c r="X257" s="824"/>
      <c r="Y257" s="824"/>
      <c r="Z257" s="824"/>
      <c r="AA257" s="824"/>
      <c r="AB257" s="824"/>
      <c r="AC257" s="824"/>
      <c r="AD257" s="824"/>
      <c r="AE257" s="824"/>
      <c r="AF257" s="824"/>
      <c r="AG257" s="824"/>
      <c r="AH257" s="824"/>
      <c r="AI257" s="824"/>
      <c r="AJ257" s="824"/>
      <c r="AK257" s="824"/>
      <c r="AL257" s="824"/>
      <c r="AM257" s="824"/>
      <c r="AN257" s="824"/>
      <c r="AO257" s="824"/>
      <c r="AP257" s="824"/>
      <c r="AQ257" s="824"/>
      <c r="AR257" s="824"/>
      <c r="AS257" s="824"/>
      <c r="AT257" s="824"/>
      <c r="AU257" s="166"/>
      <c r="AV257" s="166"/>
      <c r="AW257" s="166"/>
      <c r="AX257" s="166"/>
      <c r="AY257" s="166"/>
      <c r="AZ257" s="166"/>
      <c r="BA257" s="166"/>
      <c r="BB257" s="166"/>
      <c r="BC257" s="166"/>
      <c r="BD257" s="166"/>
      <c r="BE257" s="166"/>
      <c r="BF257" s="166"/>
      <c r="BG257" s="166"/>
      <c r="BH257" s="166"/>
      <c r="BI257" s="166"/>
      <c r="BJ257" s="166"/>
      <c r="BK257" s="166"/>
      <c r="BL257" s="166"/>
      <c r="BM257" s="166"/>
      <c r="BN257" s="166"/>
    </row>
    <row r="258" spans="2:66" ht="14.4" x14ac:dyDescent="0.25">
      <c r="B258" s="835" t="s">
        <v>397</v>
      </c>
      <c r="C258" s="818"/>
      <c r="D258" s="818"/>
      <c r="E258" s="818"/>
      <c r="F258" s="818"/>
      <c r="G258" s="818"/>
      <c r="H258" s="818"/>
      <c r="I258" s="818"/>
      <c r="J258" s="818"/>
      <c r="K258" s="818"/>
      <c r="L258" s="818"/>
      <c r="M258" s="818"/>
      <c r="N258" s="818"/>
      <c r="O258" s="818"/>
      <c r="P258" s="818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  <c r="AA258" s="818"/>
      <c r="AB258" s="818"/>
      <c r="AC258" s="818"/>
      <c r="AD258" s="818"/>
      <c r="AE258" s="818"/>
      <c r="AF258" s="818"/>
      <c r="AG258" s="818"/>
      <c r="AH258" s="818"/>
      <c r="AI258" s="818"/>
      <c r="AJ258" s="818"/>
      <c r="AK258" s="818"/>
      <c r="AL258" s="818"/>
      <c r="AM258" s="818"/>
      <c r="AN258" s="818"/>
      <c r="AO258" s="818"/>
      <c r="AP258" s="818"/>
      <c r="AQ258" s="818"/>
      <c r="AR258" s="818"/>
      <c r="AS258" s="818"/>
      <c r="AT258" s="819"/>
      <c r="AU258" s="166"/>
      <c r="AV258" s="166"/>
      <c r="AW258" s="166"/>
      <c r="AX258" s="166"/>
      <c r="AY258" s="166"/>
      <c r="AZ258" s="166"/>
      <c r="BA258" s="166"/>
      <c r="BB258" s="166"/>
      <c r="BC258" s="166"/>
      <c r="BD258" s="166"/>
      <c r="BE258" s="166"/>
      <c r="BF258" s="166"/>
      <c r="BG258" s="166"/>
      <c r="BH258" s="166"/>
      <c r="BI258" s="166"/>
      <c r="BJ258" s="166"/>
      <c r="BK258" s="166"/>
      <c r="BL258" s="166"/>
      <c r="BM258" s="166"/>
      <c r="BN258" s="166"/>
    </row>
    <row r="259" spans="2:66" x14ac:dyDescent="0.25">
      <c r="B259" s="836" t="s">
        <v>442</v>
      </c>
      <c r="C259" s="268">
        <v>0</v>
      </c>
      <c r="D259" s="268">
        <v>0</v>
      </c>
      <c r="E259" s="268">
        <v>0</v>
      </c>
      <c r="F259" s="268">
        <v>0</v>
      </c>
      <c r="G259" s="178">
        <f>G256</f>
        <v>2341953.5920620859</v>
      </c>
      <c r="H259" s="178">
        <f t="shared" ref="H259:AT259" si="141">H256</f>
        <v>3621374.6094628638</v>
      </c>
      <c r="I259" s="178">
        <f t="shared" si="141"/>
        <v>4142807.988595678</v>
      </c>
      <c r="J259" s="178">
        <f t="shared" si="141"/>
        <v>4151939.2343707257</v>
      </c>
      <c r="K259" s="178">
        <f t="shared" si="141"/>
        <v>642881.41798310447</v>
      </c>
      <c r="L259" s="178">
        <f t="shared" si="141"/>
        <v>4442381.0445547886</v>
      </c>
      <c r="M259" s="178">
        <f t="shared" si="141"/>
        <v>4740529.9996554451</v>
      </c>
      <c r="N259" s="178">
        <f t="shared" si="141"/>
        <v>4711191.4232121715</v>
      </c>
      <c r="O259" s="178">
        <f t="shared" si="141"/>
        <v>4985767.8192617111</v>
      </c>
      <c r="P259" s="178">
        <f t="shared" si="141"/>
        <v>789694.42136949301</v>
      </c>
      <c r="Q259" s="178">
        <f t="shared" si="141"/>
        <v>5242735.5115070762</v>
      </c>
      <c r="R259" s="178">
        <f t="shared" si="141"/>
        <v>5209619.2542339712</v>
      </c>
      <c r="S259" s="178">
        <f t="shared" si="141"/>
        <v>5472182.732676873</v>
      </c>
      <c r="T259" s="178">
        <f t="shared" si="141"/>
        <v>5397227.9759771535</v>
      </c>
      <c r="U259" s="178">
        <f t="shared" si="141"/>
        <v>1093653.7857510243</v>
      </c>
      <c r="V259" s="178">
        <f t="shared" si="141"/>
        <v>5591093.8703083396</v>
      </c>
      <c r="W259" s="178">
        <f t="shared" si="141"/>
        <v>5874124.4280069992</v>
      </c>
      <c r="X259" s="178">
        <f t="shared" si="141"/>
        <v>5858462.9165284168</v>
      </c>
      <c r="Y259" s="178">
        <f t="shared" si="141"/>
        <v>6224786.5750867743</v>
      </c>
      <c r="Z259" s="178">
        <f t="shared" si="141"/>
        <v>1179558.6942755189</v>
      </c>
      <c r="AA259" s="178">
        <f t="shared" si="141"/>
        <v>6593737.952221483</v>
      </c>
      <c r="AB259" s="178">
        <f t="shared" si="141"/>
        <v>6575007.175385992</v>
      </c>
      <c r="AC259" s="178">
        <f t="shared" si="141"/>
        <v>6903587.1739769876</v>
      </c>
      <c r="AD259" s="178">
        <f t="shared" si="141"/>
        <v>6804883.4943994312</v>
      </c>
      <c r="AE259" s="178">
        <f t="shared" si="141"/>
        <v>1621155.2600774039</v>
      </c>
      <c r="AF259" s="178">
        <f t="shared" si="141"/>
        <v>7042078.9716113135</v>
      </c>
      <c r="AG259" s="178">
        <f t="shared" si="141"/>
        <v>7395710.2682353007</v>
      </c>
      <c r="AH259" s="178">
        <f t="shared" si="141"/>
        <v>7286780.4801709186</v>
      </c>
      <c r="AI259" s="178">
        <f t="shared" si="141"/>
        <v>7653617.4617095655</v>
      </c>
      <c r="AJ259" s="178">
        <f t="shared" si="141"/>
        <v>1469002.80349968</v>
      </c>
      <c r="AK259" s="178">
        <f t="shared" si="141"/>
        <v>7919692.7531347945</v>
      </c>
      <c r="AL259" s="178">
        <f t="shared" si="141"/>
        <v>7799456.2863709712</v>
      </c>
      <c r="AM259" s="178">
        <f t="shared" si="141"/>
        <v>8194141.5375669124</v>
      </c>
      <c r="AN259" s="178">
        <f t="shared" si="141"/>
        <v>8067810.6666938504</v>
      </c>
      <c r="AO259" s="178">
        <f t="shared" si="141"/>
        <v>1807558.6863244679</v>
      </c>
      <c r="AP259" s="178">
        <f t="shared" si="141"/>
        <v>8344430.5931692887</v>
      </c>
      <c r="AQ259" s="178">
        <f t="shared" si="141"/>
        <v>8768987.635675326</v>
      </c>
      <c r="AR259" s="178">
        <f t="shared" si="141"/>
        <v>8629507.3188674841</v>
      </c>
      <c r="AS259" s="178">
        <f t="shared" si="141"/>
        <v>9069801.1723454967</v>
      </c>
      <c r="AT259" s="265">
        <f t="shared" si="141"/>
        <v>1594983.9674959518</v>
      </c>
      <c r="AU259" s="166"/>
      <c r="AV259" s="166"/>
      <c r="AW259" s="166"/>
      <c r="AX259" s="166"/>
      <c r="AY259" s="166"/>
      <c r="AZ259" s="166"/>
      <c r="BA259" s="166"/>
      <c r="BB259" s="166"/>
      <c r="BC259" s="166"/>
      <c r="BD259" s="166"/>
      <c r="BE259" s="166"/>
      <c r="BF259" s="166"/>
      <c r="BG259" s="166"/>
      <c r="BH259" s="166"/>
      <c r="BI259" s="166"/>
      <c r="BJ259" s="166"/>
      <c r="BK259" s="166"/>
      <c r="BL259" s="166"/>
      <c r="BM259" s="166"/>
      <c r="BN259" s="166"/>
    </row>
    <row r="260" spans="2:66" x14ac:dyDescent="0.25">
      <c r="B260" s="836" t="s">
        <v>440</v>
      </c>
      <c r="C260" s="268">
        <v>0</v>
      </c>
      <c r="D260" s="268">
        <v>0</v>
      </c>
      <c r="E260" s="268">
        <v>0</v>
      </c>
      <c r="F260" s="268">
        <v>0</v>
      </c>
      <c r="G260" s="178">
        <f>IF(G259&gt;0,-$C$23*G259,0)</f>
        <v>0</v>
      </c>
      <c r="H260" s="178">
        <f t="shared" ref="H260:AT260" si="142">IF(H259&gt;0,-$C$23*H259,0)</f>
        <v>0</v>
      </c>
      <c r="I260" s="178">
        <f t="shared" si="142"/>
        <v>0</v>
      </c>
      <c r="J260" s="178">
        <f t="shared" si="142"/>
        <v>0</v>
      </c>
      <c r="K260" s="178">
        <f t="shared" si="142"/>
        <v>0</v>
      </c>
      <c r="L260" s="178">
        <f t="shared" si="142"/>
        <v>0</v>
      </c>
      <c r="M260" s="178">
        <f t="shared" si="142"/>
        <v>0</v>
      </c>
      <c r="N260" s="178">
        <f t="shared" si="142"/>
        <v>0</v>
      </c>
      <c r="O260" s="178">
        <f t="shared" si="142"/>
        <v>0</v>
      </c>
      <c r="P260" s="178">
        <f t="shared" si="142"/>
        <v>0</v>
      </c>
      <c r="Q260" s="178">
        <f t="shared" si="142"/>
        <v>0</v>
      </c>
      <c r="R260" s="178">
        <f t="shared" si="142"/>
        <v>0</v>
      </c>
      <c r="S260" s="178">
        <f t="shared" si="142"/>
        <v>0</v>
      </c>
      <c r="T260" s="178">
        <f t="shared" si="142"/>
        <v>0</v>
      </c>
      <c r="U260" s="178">
        <f t="shared" si="142"/>
        <v>0</v>
      </c>
      <c r="V260" s="178">
        <f t="shared" si="142"/>
        <v>0</v>
      </c>
      <c r="W260" s="178">
        <f t="shared" si="142"/>
        <v>0</v>
      </c>
      <c r="X260" s="178">
        <f t="shared" si="142"/>
        <v>0</v>
      </c>
      <c r="Y260" s="178">
        <f t="shared" si="142"/>
        <v>0</v>
      </c>
      <c r="Z260" s="178">
        <f t="shared" si="142"/>
        <v>0</v>
      </c>
      <c r="AA260" s="178">
        <f t="shared" si="142"/>
        <v>0</v>
      </c>
      <c r="AB260" s="178">
        <f t="shared" si="142"/>
        <v>0</v>
      </c>
      <c r="AC260" s="178">
        <f t="shared" si="142"/>
        <v>0</v>
      </c>
      <c r="AD260" s="178">
        <f t="shared" si="142"/>
        <v>0</v>
      </c>
      <c r="AE260" s="178">
        <f t="shared" si="142"/>
        <v>0</v>
      </c>
      <c r="AF260" s="178">
        <f t="shared" si="142"/>
        <v>0</v>
      </c>
      <c r="AG260" s="178">
        <f t="shared" si="142"/>
        <v>0</v>
      </c>
      <c r="AH260" s="178">
        <f t="shared" si="142"/>
        <v>0</v>
      </c>
      <c r="AI260" s="178">
        <f t="shared" si="142"/>
        <v>0</v>
      </c>
      <c r="AJ260" s="178">
        <f t="shared" si="142"/>
        <v>0</v>
      </c>
      <c r="AK260" s="178">
        <f t="shared" si="142"/>
        <v>0</v>
      </c>
      <c r="AL260" s="178">
        <f t="shared" si="142"/>
        <v>0</v>
      </c>
      <c r="AM260" s="178">
        <f t="shared" si="142"/>
        <v>0</v>
      </c>
      <c r="AN260" s="178">
        <f t="shared" si="142"/>
        <v>0</v>
      </c>
      <c r="AO260" s="178">
        <f t="shared" si="142"/>
        <v>0</v>
      </c>
      <c r="AP260" s="178">
        <f t="shared" si="142"/>
        <v>0</v>
      </c>
      <c r="AQ260" s="178">
        <f t="shared" si="142"/>
        <v>0</v>
      </c>
      <c r="AR260" s="178">
        <f t="shared" si="142"/>
        <v>0</v>
      </c>
      <c r="AS260" s="178">
        <f t="shared" si="142"/>
        <v>0</v>
      </c>
      <c r="AT260" s="265">
        <f t="shared" si="142"/>
        <v>0</v>
      </c>
      <c r="AU260" s="166"/>
      <c r="AV260" s="166"/>
      <c r="AW260" s="166"/>
      <c r="AX260" s="166"/>
      <c r="AY260" s="166"/>
      <c r="AZ260" s="166"/>
      <c r="BA260" s="166"/>
      <c r="BB260" s="166"/>
      <c r="BC260" s="166"/>
      <c r="BD260" s="166"/>
      <c r="BE260" s="166"/>
      <c r="BF260" s="166"/>
      <c r="BG260" s="166"/>
      <c r="BH260" s="166"/>
      <c r="BI260" s="166"/>
      <c r="BJ260" s="166"/>
      <c r="BK260" s="166"/>
      <c r="BL260" s="166"/>
      <c r="BM260" s="166"/>
      <c r="BN260" s="166"/>
    </row>
    <row r="261" spans="2:66" ht="14.4" x14ac:dyDescent="0.25">
      <c r="B261" s="840" t="s">
        <v>175</v>
      </c>
      <c r="C261" s="800">
        <v>0</v>
      </c>
      <c r="D261" s="800">
        <v>0</v>
      </c>
      <c r="E261" s="800">
        <v>0</v>
      </c>
      <c r="F261" s="800">
        <v>0</v>
      </c>
      <c r="G261" s="261">
        <f>G243</f>
        <v>-2606586.1930182963</v>
      </c>
      <c r="H261" s="261">
        <f t="shared" ref="H261:AT261" si="143">H243</f>
        <v>-2606586.1930182963</v>
      </c>
      <c r="I261" s="261">
        <f t="shared" si="143"/>
        <v>-2606586.1930182963</v>
      </c>
      <c r="J261" s="261">
        <f t="shared" si="143"/>
        <v>-2606586.1930182963</v>
      </c>
      <c r="K261" s="261">
        <f t="shared" si="143"/>
        <v>-2606586.1930182963</v>
      </c>
      <c r="L261" s="261">
        <f t="shared" si="143"/>
        <v>-2465585.720269518</v>
      </c>
      <c r="M261" s="261">
        <f t="shared" si="143"/>
        <v>-2465585.720269518</v>
      </c>
      <c r="N261" s="261">
        <f t="shared" si="143"/>
        <v>-2465585.720269518</v>
      </c>
      <c r="O261" s="261">
        <f t="shared" si="143"/>
        <v>-2465585.720269518</v>
      </c>
      <c r="P261" s="261">
        <f t="shared" si="143"/>
        <v>-2465585.720269518</v>
      </c>
      <c r="Q261" s="261">
        <f t="shared" si="143"/>
        <v>-2230540.8319507265</v>
      </c>
      <c r="R261" s="261">
        <f t="shared" si="143"/>
        <v>-2531498.7427265975</v>
      </c>
      <c r="S261" s="261">
        <f t="shared" si="143"/>
        <v>-2531498.7427265975</v>
      </c>
      <c r="T261" s="261">
        <f t="shared" si="143"/>
        <v>-2531498.7427265975</v>
      </c>
      <c r="U261" s="261">
        <f t="shared" si="143"/>
        <v>-2531498.7427265975</v>
      </c>
      <c r="V261" s="261">
        <f t="shared" si="143"/>
        <v>-1904482.7785175557</v>
      </c>
      <c r="W261" s="261">
        <f t="shared" si="143"/>
        <v>-1904482.7785175557</v>
      </c>
      <c r="X261" s="261">
        <f t="shared" si="143"/>
        <v>-2776439.9375716699</v>
      </c>
      <c r="Y261" s="261">
        <f t="shared" si="143"/>
        <v>-2776439.9375716699</v>
      </c>
      <c r="Z261" s="261">
        <f t="shared" si="143"/>
        <v>-2776439.9375716699</v>
      </c>
      <c r="AA261" s="261">
        <f t="shared" si="143"/>
        <v>-2776439.9375716699</v>
      </c>
      <c r="AB261" s="261">
        <f t="shared" si="143"/>
        <v>-2776439.9375716699</v>
      </c>
      <c r="AC261" s="261">
        <f t="shared" si="143"/>
        <v>-2848930.7361058006</v>
      </c>
      <c r="AD261" s="261">
        <f t="shared" si="143"/>
        <v>-2848930.7361058006</v>
      </c>
      <c r="AE261" s="261">
        <f t="shared" si="143"/>
        <v>-2848930.7361058006</v>
      </c>
      <c r="AF261" s="261">
        <f t="shared" si="143"/>
        <v>-2848930.7361058006</v>
      </c>
      <c r="AG261" s="261">
        <f t="shared" si="143"/>
        <v>-2848930.7361058006</v>
      </c>
      <c r="AH261" s="261">
        <f t="shared" si="143"/>
        <v>-2848930.7361058006</v>
      </c>
      <c r="AI261" s="261">
        <f t="shared" si="143"/>
        <v>-2848930.7361058006</v>
      </c>
      <c r="AJ261" s="261">
        <f t="shared" si="143"/>
        <v>-2848930.7361058006</v>
      </c>
      <c r="AK261" s="261">
        <f t="shared" si="143"/>
        <v>-2848930.7361058006</v>
      </c>
      <c r="AL261" s="261">
        <f t="shared" si="143"/>
        <v>-2848930.7361058006</v>
      </c>
      <c r="AM261" s="261">
        <f t="shared" si="143"/>
        <v>-1976973.5770516866</v>
      </c>
      <c r="AN261" s="261">
        <f t="shared" si="143"/>
        <v>-1603524.8677416849</v>
      </c>
      <c r="AO261" s="261">
        <f t="shared" si="143"/>
        <v>-3209675.3449990982</v>
      </c>
      <c r="AP261" s="261">
        <f t="shared" si="143"/>
        <v>-3209675.3449990982</v>
      </c>
      <c r="AQ261" s="261">
        <f t="shared" si="143"/>
        <v>-3209675.3449990982</v>
      </c>
      <c r="AR261" s="261">
        <f t="shared" si="143"/>
        <v>-3209675.3449990982</v>
      </c>
      <c r="AS261" s="261">
        <f t="shared" si="143"/>
        <v>-3209675.3449990982</v>
      </c>
      <c r="AT261" s="266">
        <f t="shared" si="143"/>
        <v>-3209675.3449990982</v>
      </c>
      <c r="AU261" s="166"/>
      <c r="AV261" s="166"/>
      <c r="AW261" s="166"/>
      <c r="AX261" s="166"/>
      <c r="AY261" s="166"/>
      <c r="AZ261" s="166"/>
      <c r="BA261" s="166"/>
      <c r="BB261" s="166"/>
      <c r="BC261" s="166"/>
      <c r="BD261" s="166"/>
      <c r="BE261" s="166"/>
      <c r="BF261" s="166"/>
      <c r="BG261" s="166"/>
      <c r="BH261" s="166"/>
      <c r="BI261" s="166"/>
      <c r="BJ261" s="166"/>
      <c r="BK261" s="166"/>
      <c r="BL261" s="166"/>
      <c r="BM261" s="166"/>
      <c r="BN261" s="166"/>
    </row>
    <row r="262" spans="2:66" x14ac:dyDescent="0.25">
      <c r="B262" s="836" t="s">
        <v>444</v>
      </c>
      <c r="C262" s="268">
        <v>0</v>
      </c>
      <c r="D262" s="268">
        <v>0</v>
      </c>
      <c r="E262" s="268">
        <v>0</v>
      </c>
      <c r="F262" s="268">
        <v>0</v>
      </c>
      <c r="G262" s="178">
        <f t="shared" ref="G262:AT262" si="144">G259+G260+G261</f>
        <v>-264632.6009562104</v>
      </c>
      <c r="H262" s="178">
        <f t="shared" si="144"/>
        <v>1014788.4164445675</v>
      </c>
      <c r="I262" s="178">
        <f t="shared" si="144"/>
        <v>1536221.7955773817</v>
      </c>
      <c r="J262" s="178">
        <f t="shared" si="144"/>
        <v>1545353.0413524294</v>
      </c>
      <c r="K262" s="178">
        <f t="shared" si="144"/>
        <v>-1963704.7750351918</v>
      </c>
      <c r="L262" s="178">
        <f t="shared" si="144"/>
        <v>1976795.3242852706</v>
      </c>
      <c r="M262" s="178">
        <f t="shared" si="144"/>
        <v>2274944.2793859271</v>
      </c>
      <c r="N262" s="178">
        <f t="shared" si="144"/>
        <v>2245605.7029426536</v>
      </c>
      <c r="O262" s="178">
        <f t="shared" si="144"/>
        <v>2520182.0989921931</v>
      </c>
      <c r="P262" s="178">
        <f t="shared" si="144"/>
        <v>-1675891.298900025</v>
      </c>
      <c r="Q262" s="178">
        <f t="shared" si="144"/>
        <v>3012194.6795563498</v>
      </c>
      <c r="R262" s="178">
        <f t="shared" si="144"/>
        <v>2678120.5115073738</v>
      </c>
      <c r="S262" s="178">
        <f t="shared" si="144"/>
        <v>2940683.9899502755</v>
      </c>
      <c r="T262" s="178">
        <f t="shared" si="144"/>
        <v>2865729.233250556</v>
      </c>
      <c r="U262" s="178">
        <f t="shared" si="144"/>
        <v>-1437844.9569755732</v>
      </c>
      <c r="V262" s="178">
        <f t="shared" si="144"/>
        <v>3686611.0917907842</v>
      </c>
      <c r="W262" s="178">
        <f t="shared" si="144"/>
        <v>3969641.6494894437</v>
      </c>
      <c r="X262" s="178">
        <f t="shared" si="144"/>
        <v>3082022.9789567469</v>
      </c>
      <c r="Y262" s="178">
        <f t="shared" si="144"/>
        <v>3448346.6375151044</v>
      </c>
      <c r="Z262" s="178">
        <f t="shared" si="144"/>
        <v>-1596881.243296151</v>
      </c>
      <c r="AA262" s="178">
        <f t="shared" si="144"/>
        <v>3817298.0146498131</v>
      </c>
      <c r="AB262" s="178">
        <f t="shared" si="144"/>
        <v>3798567.2378143221</v>
      </c>
      <c r="AC262" s="178">
        <f t="shared" si="144"/>
        <v>4054656.437871187</v>
      </c>
      <c r="AD262" s="178">
        <f t="shared" si="144"/>
        <v>3955952.7582936306</v>
      </c>
      <c r="AE262" s="178">
        <f t="shared" si="144"/>
        <v>-1227775.4760283967</v>
      </c>
      <c r="AF262" s="178">
        <f t="shared" si="144"/>
        <v>4193148.2355055129</v>
      </c>
      <c r="AG262" s="178">
        <f t="shared" si="144"/>
        <v>4546779.5321295001</v>
      </c>
      <c r="AH262" s="178">
        <f t="shared" si="144"/>
        <v>4437849.744065118</v>
      </c>
      <c r="AI262" s="178">
        <f t="shared" si="144"/>
        <v>4804686.7256037649</v>
      </c>
      <c r="AJ262" s="178">
        <f t="shared" si="144"/>
        <v>-1379927.9326061206</v>
      </c>
      <c r="AK262" s="178">
        <f t="shared" si="144"/>
        <v>5070762.0170289939</v>
      </c>
      <c r="AL262" s="178">
        <f t="shared" si="144"/>
        <v>4950525.5502651706</v>
      </c>
      <c r="AM262" s="178">
        <f t="shared" si="144"/>
        <v>6217167.9605152253</v>
      </c>
      <c r="AN262" s="178">
        <f t="shared" si="144"/>
        <v>6464285.798952166</v>
      </c>
      <c r="AO262" s="178">
        <f t="shared" si="144"/>
        <v>-1402116.6586746303</v>
      </c>
      <c r="AP262" s="178">
        <f t="shared" si="144"/>
        <v>5134755.2481701905</v>
      </c>
      <c r="AQ262" s="178">
        <f t="shared" si="144"/>
        <v>5559312.2906762278</v>
      </c>
      <c r="AR262" s="178">
        <f t="shared" si="144"/>
        <v>5419831.9738683859</v>
      </c>
      <c r="AS262" s="178">
        <f t="shared" si="144"/>
        <v>5860125.8273463985</v>
      </c>
      <c r="AT262" s="265">
        <f t="shared" si="144"/>
        <v>-1614691.3775031464</v>
      </c>
      <c r="AU262" s="166"/>
      <c r="AV262" s="166"/>
      <c r="AW262" s="166"/>
      <c r="AX262" s="166"/>
      <c r="AY262" s="166"/>
      <c r="AZ262" s="166"/>
      <c r="BA262" s="166"/>
      <c r="BB262" s="166"/>
      <c r="BC262" s="166"/>
      <c r="BD262" s="166"/>
      <c r="BE262" s="166"/>
      <c r="BF262" s="166"/>
      <c r="BG262" s="166"/>
      <c r="BH262" s="166"/>
      <c r="BI262" s="166"/>
      <c r="BJ262" s="166"/>
      <c r="BK262" s="166"/>
      <c r="BL262" s="166"/>
      <c r="BM262" s="166"/>
      <c r="BN262" s="166"/>
    </row>
    <row r="263" spans="2:66" x14ac:dyDescent="0.25">
      <c r="B263" s="836" t="s">
        <v>443</v>
      </c>
      <c r="C263" s="268">
        <v>0</v>
      </c>
      <c r="D263" s="268">
        <v>0</v>
      </c>
      <c r="E263" s="268">
        <v>0</v>
      </c>
      <c r="F263" s="268">
        <v>0</v>
      </c>
      <c r="G263" s="178">
        <f>IF(G262&gt;0,-$C$24*G262,0)</f>
        <v>0</v>
      </c>
      <c r="H263" s="178">
        <f t="shared" ref="H263:AT263" si="145">IF(H262&gt;0,-$C$24*H262,0)</f>
        <v>-355175.9457555986</v>
      </c>
      <c r="I263" s="178">
        <f t="shared" si="145"/>
        <v>-537677.62845208356</v>
      </c>
      <c r="J263" s="178">
        <f t="shared" si="145"/>
        <v>-540873.5644733503</v>
      </c>
      <c r="K263" s="178">
        <f t="shared" si="145"/>
        <v>0</v>
      </c>
      <c r="L263" s="178">
        <f t="shared" si="145"/>
        <v>-691878.36349984468</v>
      </c>
      <c r="M263" s="178">
        <f t="shared" si="145"/>
        <v>-796230.4977850744</v>
      </c>
      <c r="N263" s="178">
        <f t="shared" si="145"/>
        <v>-785961.99602992868</v>
      </c>
      <c r="O263" s="178">
        <f t="shared" si="145"/>
        <v>-882063.7346472675</v>
      </c>
      <c r="P263" s="178">
        <f t="shared" si="145"/>
        <v>0</v>
      </c>
      <c r="Q263" s="178">
        <f t="shared" si="145"/>
        <v>-1054268.1378447223</v>
      </c>
      <c r="R263" s="178">
        <f t="shared" si="145"/>
        <v>-937342.17902758077</v>
      </c>
      <c r="S263" s="178">
        <f t="shared" si="145"/>
        <v>-1029239.3964825964</v>
      </c>
      <c r="T263" s="178">
        <f t="shared" si="145"/>
        <v>-1003005.2316376945</v>
      </c>
      <c r="U263" s="178">
        <f t="shared" si="145"/>
        <v>0</v>
      </c>
      <c r="V263" s="178">
        <f t="shared" si="145"/>
        <v>-1290313.8821267744</v>
      </c>
      <c r="W263" s="178">
        <f t="shared" si="145"/>
        <v>-1389374.5773213052</v>
      </c>
      <c r="X263" s="178">
        <f t="shared" si="145"/>
        <v>-1078708.0426348613</v>
      </c>
      <c r="Y263" s="178">
        <f t="shared" si="145"/>
        <v>-1206921.3231302865</v>
      </c>
      <c r="Z263" s="178">
        <f t="shared" si="145"/>
        <v>0</v>
      </c>
      <c r="AA263" s="178">
        <f t="shared" si="145"/>
        <v>-1336054.3051274344</v>
      </c>
      <c r="AB263" s="178">
        <f t="shared" si="145"/>
        <v>-1329498.5332350126</v>
      </c>
      <c r="AC263" s="178">
        <f t="shared" si="145"/>
        <v>-1419129.7532549154</v>
      </c>
      <c r="AD263" s="178">
        <f t="shared" si="145"/>
        <v>-1384583.4654027706</v>
      </c>
      <c r="AE263" s="178">
        <f t="shared" si="145"/>
        <v>0</v>
      </c>
      <c r="AF263" s="178">
        <f t="shared" si="145"/>
        <v>-1467601.8824269294</v>
      </c>
      <c r="AG263" s="178">
        <f t="shared" si="145"/>
        <v>-1591372.8362453249</v>
      </c>
      <c r="AH263" s="178">
        <f t="shared" si="145"/>
        <v>-1553247.4104227913</v>
      </c>
      <c r="AI263" s="178">
        <f t="shared" si="145"/>
        <v>-1681640.3539613176</v>
      </c>
      <c r="AJ263" s="178">
        <f t="shared" si="145"/>
        <v>0</v>
      </c>
      <c r="AK263" s="178">
        <f t="shared" si="145"/>
        <v>-1774766.7059601478</v>
      </c>
      <c r="AL263" s="178">
        <f t="shared" si="145"/>
        <v>-1732683.9425928097</v>
      </c>
      <c r="AM263" s="178">
        <f t="shared" si="145"/>
        <v>-2176008.7861803286</v>
      </c>
      <c r="AN263" s="178">
        <f t="shared" si="145"/>
        <v>-2262500.029633258</v>
      </c>
      <c r="AO263" s="178">
        <f t="shared" si="145"/>
        <v>0</v>
      </c>
      <c r="AP263" s="178">
        <f t="shared" si="145"/>
        <v>-1797164.3368595666</v>
      </c>
      <c r="AQ263" s="178">
        <f t="shared" si="145"/>
        <v>-1945759.3017366796</v>
      </c>
      <c r="AR263" s="178">
        <f t="shared" si="145"/>
        <v>-1896941.190853935</v>
      </c>
      <c r="AS263" s="178">
        <f t="shared" si="145"/>
        <v>-2051044.0395712394</v>
      </c>
      <c r="AT263" s="265">
        <f t="shared" si="145"/>
        <v>0</v>
      </c>
      <c r="AU263" s="166"/>
      <c r="AV263" s="166"/>
      <c r="AW263" s="166"/>
      <c r="AX263" s="166"/>
      <c r="AY263" s="166"/>
      <c r="AZ263" s="166"/>
      <c r="BA263" s="166"/>
      <c r="BB263" s="166"/>
      <c r="BC263" s="166"/>
      <c r="BD263" s="166"/>
      <c r="BE263" s="166"/>
      <c r="BF263" s="166"/>
      <c r="BG263" s="166"/>
      <c r="BH263" s="166"/>
      <c r="BI263" s="166"/>
      <c r="BJ263" s="166"/>
      <c r="BK263" s="166"/>
      <c r="BL263" s="166"/>
      <c r="BM263" s="166"/>
      <c r="BN263" s="166"/>
    </row>
    <row r="264" spans="2:66" ht="14.4" x14ac:dyDescent="0.25">
      <c r="B264" s="841" t="s">
        <v>445</v>
      </c>
      <c r="C264" s="801">
        <v>0</v>
      </c>
      <c r="D264" s="801">
        <v>0</v>
      </c>
      <c r="E264" s="801">
        <v>0</v>
      </c>
      <c r="F264" s="801">
        <v>0</v>
      </c>
      <c r="G264" s="262">
        <f>G262+G263</f>
        <v>-264632.6009562104</v>
      </c>
      <c r="H264" s="262">
        <f t="shared" ref="H264:AT264" si="146">H262+H263</f>
        <v>659612.4706889689</v>
      </c>
      <c r="I264" s="262">
        <f t="shared" si="146"/>
        <v>998544.16712529818</v>
      </c>
      <c r="J264" s="262">
        <f t="shared" si="146"/>
        <v>1004479.4768790791</v>
      </c>
      <c r="K264" s="262">
        <f t="shared" si="146"/>
        <v>-1963704.7750351918</v>
      </c>
      <c r="L264" s="262">
        <f t="shared" si="146"/>
        <v>1284916.960785426</v>
      </c>
      <c r="M264" s="262">
        <f t="shared" si="146"/>
        <v>1478713.7816008527</v>
      </c>
      <c r="N264" s="262">
        <f t="shared" si="146"/>
        <v>1459643.7069127248</v>
      </c>
      <c r="O264" s="262">
        <f t="shared" si="146"/>
        <v>1638118.3643449256</v>
      </c>
      <c r="P264" s="262">
        <f t="shared" si="146"/>
        <v>-1675891.298900025</v>
      </c>
      <c r="Q264" s="262">
        <f t="shared" si="146"/>
        <v>1957926.5417116275</v>
      </c>
      <c r="R264" s="262">
        <f t="shared" si="146"/>
        <v>1740778.3324797931</v>
      </c>
      <c r="S264" s="262">
        <f t="shared" si="146"/>
        <v>1911444.5934676791</v>
      </c>
      <c r="T264" s="262">
        <f t="shared" si="146"/>
        <v>1862724.0016128616</v>
      </c>
      <c r="U264" s="262">
        <f t="shared" si="146"/>
        <v>-1437844.9569755732</v>
      </c>
      <c r="V264" s="262">
        <f t="shared" si="146"/>
        <v>2396297.2096640095</v>
      </c>
      <c r="W264" s="262">
        <f t="shared" si="146"/>
        <v>2580267.0721681388</v>
      </c>
      <c r="X264" s="262">
        <f t="shared" si="146"/>
        <v>2003314.9363218856</v>
      </c>
      <c r="Y264" s="262">
        <f t="shared" si="146"/>
        <v>2241425.3143848181</v>
      </c>
      <c r="Z264" s="262">
        <f t="shared" si="146"/>
        <v>-1596881.243296151</v>
      </c>
      <c r="AA264" s="262">
        <f t="shared" si="146"/>
        <v>2481243.7095223786</v>
      </c>
      <c r="AB264" s="262">
        <f t="shared" si="146"/>
        <v>2469068.7045793096</v>
      </c>
      <c r="AC264" s="262">
        <f t="shared" si="146"/>
        <v>2635526.6846162714</v>
      </c>
      <c r="AD264" s="262">
        <f t="shared" si="146"/>
        <v>2571369.2928908598</v>
      </c>
      <c r="AE264" s="262">
        <f t="shared" si="146"/>
        <v>-1227775.4760283967</v>
      </c>
      <c r="AF264" s="262">
        <f t="shared" si="146"/>
        <v>2725546.3530785833</v>
      </c>
      <c r="AG264" s="262">
        <f t="shared" si="146"/>
        <v>2955406.6958841751</v>
      </c>
      <c r="AH264" s="262">
        <f t="shared" si="146"/>
        <v>2884602.3336423268</v>
      </c>
      <c r="AI264" s="262">
        <f t="shared" si="146"/>
        <v>3123046.3716424471</v>
      </c>
      <c r="AJ264" s="262">
        <f t="shared" si="146"/>
        <v>-1379927.9326061206</v>
      </c>
      <c r="AK264" s="262">
        <f t="shared" si="146"/>
        <v>3295995.3110688459</v>
      </c>
      <c r="AL264" s="262">
        <f t="shared" si="146"/>
        <v>3217841.6076723607</v>
      </c>
      <c r="AM264" s="262">
        <f t="shared" si="146"/>
        <v>4041159.1743348967</v>
      </c>
      <c r="AN264" s="262">
        <f t="shared" si="146"/>
        <v>4201785.7693189085</v>
      </c>
      <c r="AO264" s="262">
        <f t="shared" si="146"/>
        <v>-1402116.6586746303</v>
      </c>
      <c r="AP264" s="262">
        <f t="shared" si="146"/>
        <v>3337590.9113106239</v>
      </c>
      <c r="AQ264" s="262">
        <f t="shared" si="146"/>
        <v>3613552.9889395479</v>
      </c>
      <c r="AR264" s="262">
        <f t="shared" si="146"/>
        <v>3522890.7830144512</v>
      </c>
      <c r="AS264" s="262">
        <f t="shared" si="146"/>
        <v>3809081.7877751589</v>
      </c>
      <c r="AT264" s="267">
        <f t="shared" si="146"/>
        <v>-1614691.3775031464</v>
      </c>
      <c r="AU264" s="166"/>
      <c r="AV264" s="166"/>
      <c r="AW264" s="166"/>
      <c r="AX264" s="166"/>
      <c r="AY264" s="166"/>
      <c r="AZ264" s="166"/>
      <c r="BA264" s="166"/>
      <c r="BB264" s="166"/>
      <c r="BC264" s="166"/>
      <c r="BD264" s="166"/>
      <c r="BE264" s="166"/>
      <c r="BF264" s="166"/>
      <c r="BG264" s="166"/>
      <c r="BH264" s="166"/>
      <c r="BI264" s="166"/>
      <c r="BJ264" s="166"/>
      <c r="BK264" s="166"/>
      <c r="BL264" s="166"/>
      <c r="BM264" s="166"/>
      <c r="BN264" s="166"/>
    </row>
    <row r="265" spans="2:66" x14ac:dyDescent="0.25">
      <c r="B265" s="836" t="s">
        <v>446</v>
      </c>
      <c r="C265" s="268">
        <v>0</v>
      </c>
      <c r="D265" s="268">
        <v>0</v>
      </c>
      <c r="E265" s="268">
        <v>0</v>
      </c>
      <c r="F265" s="268">
        <v>0</v>
      </c>
      <c r="G265" s="178">
        <f>-G261</f>
        <v>2606586.1930182963</v>
      </c>
      <c r="H265" s="178">
        <f t="shared" ref="H265:AT265" si="147">-H261</f>
        <v>2606586.1930182963</v>
      </c>
      <c r="I265" s="178">
        <f t="shared" si="147"/>
        <v>2606586.1930182963</v>
      </c>
      <c r="J265" s="178">
        <f t="shared" si="147"/>
        <v>2606586.1930182963</v>
      </c>
      <c r="K265" s="178">
        <f t="shared" si="147"/>
        <v>2606586.1930182963</v>
      </c>
      <c r="L265" s="178">
        <f t="shared" si="147"/>
        <v>2465585.720269518</v>
      </c>
      <c r="M265" s="178">
        <f t="shared" si="147"/>
        <v>2465585.720269518</v>
      </c>
      <c r="N265" s="178">
        <f t="shared" si="147"/>
        <v>2465585.720269518</v>
      </c>
      <c r="O265" s="178">
        <f t="shared" si="147"/>
        <v>2465585.720269518</v>
      </c>
      <c r="P265" s="178">
        <f t="shared" si="147"/>
        <v>2465585.720269518</v>
      </c>
      <c r="Q265" s="178">
        <f t="shared" si="147"/>
        <v>2230540.8319507265</v>
      </c>
      <c r="R265" s="178">
        <f t="shared" si="147"/>
        <v>2531498.7427265975</v>
      </c>
      <c r="S265" s="178">
        <f t="shared" si="147"/>
        <v>2531498.7427265975</v>
      </c>
      <c r="T265" s="178">
        <f t="shared" si="147"/>
        <v>2531498.7427265975</v>
      </c>
      <c r="U265" s="178">
        <f t="shared" si="147"/>
        <v>2531498.7427265975</v>
      </c>
      <c r="V265" s="178">
        <f t="shared" si="147"/>
        <v>1904482.7785175557</v>
      </c>
      <c r="W265" s="178">
        <f t="shared" si="147"/>
        <v>1904482.7785175557</v>
      </c>
      <c r="X265" s="178">
        <f t="shared" si="147"/>
        <v>2776439.9375716699</v>
      </c>
      <c r="Y265" s="178">
        <f t="shared" si="147"/>
        <v>2776439.9375716699</v>
      </c>
      <c r="Z265" s="178">
        <f t="shared" si="147"/>
        <v>2776439.9375716699</v>
      </c>
      <c r="AA265" s="178">
        <f t="shared" si="147"/>
        <v>2776439.9375716699</v>
      </c>
      <c r="AB265" s="178">
        <f t="shared" si="147"/>
        <v>2776439.9375716699</v>
      </c>
      <c r="AC265" s="178">
        <f t="shared" si="147"/>
        <v>2848930.7361058006</v>
      </c>
      <c r="AD265" s="178">
        <f t="shared" si="147"/>
        <v>2848930.7361058006</v>
      </c>
      <c r="AE265" s="178">
        <f t="shared" si="147"/>
        <v>2848930.7361058006</v>
      </c>
      <c r="AF265" s="178">
        <f t="shared" si="147"/>
        <v>2848930.7361058006</v>
      </c>
      <c r="AG265" s="178">
        <f t="shared" si="147"/>
        <v>2848930.7361058006</v>
      </c>
      <c r="AH265" s="178">
        <f t="shared" si="147"/>
        <v>2848930.7361058006</v>
      </c>
      <c r="AI265" s="178">
        <f t="shared" si="147"/>
        <v>2848930.7361058006</v>
      </c>
      <c r="AJ265" s="178">
        <f t="shared" si="147"/>
        <v>2848930.7361058006</v>
      </c>
      <c r="AK265" s="178">
        <f t="shared" si="147"/>
        <v>2848930.7361058006</v>
      </c>
      <c r="AL265" s="178">
        <f t="shared" si="147"/>
        <v>2848930.7361058006</v>
      </c>
      <c r="AM265" s="178">
        <f t="shared" si="147"/>
        <v>1976973.5770516866</v>
      </c>
      <c r="AN265" s="178">
        <f t="shared" si="147"/>
        <v>1603524.8677416849</v>
      </c>
      <c r="AO265" s="178">
        <f t="shared" si="147"/>
        <v>3209675.3449990982</v>
      </c>
      <c r="AP265" s="178">
        <f t="shared" si="147"/>
        <v>3209675.3449990982</v>
      </c>
      <c r="AQ265" s="178">
        <f t="shared" si="147"/>
        <v>3209675.3449990982</v>
      </c>
      <c r="AR265" s="178">
        <f t="shared" si="147"/>
        <v>3209675.3449990982</v>
      </c>
      <c r="AS265" s="178">
        <f t="shared" si="147"/>
        <v>3209675.3449990982</v>
      </c>
      <c r="AT265" s="265">
        <f t="shared" si="147"/>
        <v>3209675.3449990982</v>
      </c>
      <c r="AU265" s="166"/>
      <c r="AV265" s="166"/>
      <c r="AW265" s="166"/>
      <c r="AX265" s="166"/>
      <c r="AY265" s="166"/>
      <c r="AZ265" s="166"/>
      <c r="BA265" s="166"/>
      <c r="BB265" s="166"/>
      <c r="BC265" s="166"/>
      <c r="BD265" s="166"/>
      <c r="BE265" s="166"/>
      <c r="BF265" s="166"/>
      <c r="BG265" s="166"/>
      <c r="BH265" s="166"/>
      <c r="BI265" s="166"/>
      <c r="BJ265" s="166"/>
      <c r="BK265" s="166"/>
      <c r="BL265" s="166"/>
      <c r="BM265" s="166"/>
      <c r="BN265" s="166"/>
    </row>
    <row r="266" spans="2:66" ht="15" thickBot="1" x14ac:dyDescent="0.3">
      <c r="B266" s="842" t="s">
        <v>386</v>
      </c>
      <c r="C266" s="828"/>
      <c r="D266" s="828"/>
      <c r="E266" s="828"/>
      <c r="F266" s="828"/>
      <c r="G266" s="828">
        <f>G264+G265</f>
        <v>2341953.5920620859</v>
      </c>
      <c r="H266" s="828">
        <f t="shared" ref="H266:AT266" si="148">H264+H265</f>
        <v>3266198.6637072652</v>
      </c>
      <c r="I266" s="828">
        <f t="shared" si="148"/>
        <v>3605130.3601435944</v>
      </c>
      <c r="J266" s="828">
        <f t="shared" si="148"/>
        <v>3611065.6698973756</v>
      </c>
      <c r="K266" s="828">
        <f t="shared" si="148"/>
        <v>642881.41798310447</v>
      </c>
      <c r="L266" s="828">
        <f t="shared" si="148"/>
        <v>3750502.6810549442</v>
      </c>
      <c r="M266" s="828">
        <f t="shared" si="148"/>
        <v>3944299.5018703705</v>
      </c>
      <c r="N266" s="828">
        <f t="shared" si="148"/>
        <v>3925229.4271822427</v>
      </c>
      <c r="O266" s="828">
        <f t="shared" si="148"/>
        <v>4103704.0846144436</v>
      </c>
      <c r="P266" s="828">
        <f t="shared" si="148"/>
        <v>789694.42136949301</v>
      </c>
      <c r="Q266" s="828">
        <f t="shared" si="148"/>
        <v>4188467.373662354</v>
      </c>
      <c r="R266" s="828">
        <f t="shared" si="148"/>
        <v>4272277.0752063906</v>
      </c>
      <c r="S266" s="828">
        <f t="shared" si="148"/>
        <v>4442943.3361942768</v>
      </c>
      <c r="T266" s="828">
        <f t="shared" si="148"/>
        <v>4394222.7443394586</v>
      </c>
      <c r="U266" s="828">
        <f t="shared" si="148"/>
        <v>1093653.7857510243</v>
      </c>
      <c r="V266" s="828">
        <f t="shared" si="148"/>
        <v>4300779.988181565</v>
      </c>
      <c r="W266" s="828">
        <f t="shared" si="148"/>
        <v>4484749.8506856943</v>
      </c>
      <c r="X266" s="828">
        <f t="shared" si="148"/>
        <v>4779754.8738935553</v>
      </c>
      <c r="Y266" s="828">
        <f t="shared" si="148"/>
        <v>5017865.251956488</v>
      </c>
      <c r="Z266" s="828">
        <f t="shared" si="148"/>
        <v>1179558.6942755189</v>
      </c>
      <c r="AA266" s="828">
        <f t="shared" si="148"/>
        <v>5257683.6470940486</v>
      </c>
      <c r="AB266" s="828">
        <f t="shared" si="148"/>
        <v>5245508.6421509795</v>
      </c>
      <c r="AC266" s="828">
        <f t="shared" si="148"/>
        <v>5484457.420722072</v>
      </c>
      <c r="AD266" s="828">
        <f t="shared" si="148"/>
        <v>5420300.0289966604</v>
      </c>
      <c r="AE266" s="828">
        <f t="shared" si="148"/>
        <v>1621155.2600774039</v>
      </c>
      <c r="AF266" s="828">
        <f t="shared" si="148"/>
        <v>5574477.0891843839</v>
      </c>
      <c r="AG266" s="828">
        <f t="shared" si="148"/>
        <v>5804337.4319899753</v>
      </c>
      <c r="AH266" s="828">
        <f t="shared" si="148"/>
        <v>5733533.0697481278</v>
      </c>
      <c r="AI266" s="828">
        <f t="shared" si="148"/>
        <v>5971977.1077482477</v>
      </c>
      <c r="AJ266" s="828">
        <f t="shared" si="148"/>
        <v>1469002.80349968</v>
      </c>
      <c r="AK266" s="828">
        <f t="shared" si="148"/>
        <v>6144926.0471746465</v>
      </c>
      <c r="AL266" s="828">
        <f t="shared" si="148"/>
        <v>6066772.3437781613</v>
      </c>
      <c r="AM266" s="828">
        <f t="shared" si="148"/>
        <v>6018132.7513865829</v>
      </c>
      <c r="AN266" s="828">
        <f t="shared" si="148"/>
        <v>5805310.6370605938</v>
      </c>
      <c r="AO266" s="828">
        <f t="shared" si="148"/>
        <v>1807558.6863244679</v>
      </c>
      <c r="AP266" s="828">
        <f t="shared" si="148"/>
        <v>6547266.2563097216</v>
      </c>
      <c r="AQ266" s="828">
        <f t="shared" si="148"/>
        <v>6823228.3339386461</v>
      </c>
      <c r="AR266" s="828">
        <f t="shared" si="148"/>
        <v>6732566.1280135494</v>
      </c>
      <c r="AS266" s="828">
        <f t="shared" si="148"/>
        <v>7018757.1327742571</v>
      </c>
      <c r="AT266" s="829">
        <f t="shared" si="148"/>
        <v>1594983.9674959518</v>
      </c>
      <c r="AU266" s="166"/>
      <c r="AV266" s="166"/>
      <c r="AW266" s="166"/>
      <c r="AX266" s="166"/>
      <c r="AY266" s="166"/>
      <c r="AZ266" s="166"/>
      <c r="BA266" s="166"/>
      <c r="BB266" s="166"/>
      <c r="BC266" s="166"/>
      <c r="BD266" s="166"/>
      <c r="BE266" s="166"/>
      <c r="BF266" s="166"/>
      <c r="BG266" s="166"/>
      <c r="BH266" s="166"/>
      <c r="BI266" s="166"/>
      <c r="BJ266" s="166"/>
      <c r="BK266" s="166"/>
      <c r="BL266" s="166"/>
      <c r="BM266" s="166"/>
      <c r="BN266" s="166"/>
    </row>
    <row r="267" spans="2:66" ht="15" thickBot="1" x14ac:dyDescent="0.3">
      <c r="B267" s="839"/>
      <c r="C267" s="811"/>
      <c r="D267" s="811"/>
      <c r="E267" s="811"/>
      <c r="F267" s="811"/>
      <c r="G267" s="811"/>
      <c r="H267" s="811"/>
      <c r="I267" s="811"/>
      <c r="J267" s="811"/>
      <c r="K267" s="811"/>
      <c r="L267" s="811"/>
      <c r="M267" s="811"/>
      <c r="N267" s="811"/>
      <c r="O267" s="811"/>
      <c r="P267" s="811"/>
      <c r="Q267" s="811"/>
      <c r="R267" s="811"/>
      <c r="S267" s="811"/>
      <c r="T267" s="811"/>
      <c r="U267" s="811"/>
      <c r="V267" s="811"/>
      <c r="W267" s="811"/>
      <c r="X267" s="811"/>
      <c r="Y267" s="811"/>
      <c r="Z267" s="811"/>
      <c r="AA267" s="811"/>
      <c r="AB267" s="811"/>
      <c r="AC267" s="811"/>
      <c r="AD267" s="811"/>
      <c r="AE267" s="811"/>
      <c r="AF267" s="811"/>
      <c r="AG267" s="811"/>
      <c r="AH267" s="811"/>
      <c r="AI267" s="811"/>
      <c r="AJ267" s="811"/>
      <c r="AK267" s="811"/>
      <c r="AL267" s="811"/>
      <c r="AM267" s="811"/>
      <c r="AN267" s="811"/>
      <c r="AO267" s="811"/>
      <c r="AP267" s="811"/>
      <c r="AQ267" s="811"/>
      <c r="AR267" s="811"/>
      <c r="AS267" s="811"/>
      <c r="AT267" s="811"/>
      <c r="AU267" s="166"/>
      <c r="AV267" s="166"/>
      <c r="AW267" s="166"/>
      <c r="AX267" s="166"/>
      <c r="AY267" s="166"/>
      <c r="AZ267" s="166"/>
      <c r="BA267" s="166"/>
      <c r="BB267" s="166"/>
      <c r="BC267" s="166"/>
      <c r="BD267" s="166"/>
      <c r="BE267" s="166"/>
      <c r="BF267" s="166"/>
      <c r="BG267" s="166"/>
      <c r="BH267" s="166"/>
      <c r="BI267" s="166"/>
      <c r="BJ267" s="166"/>
      <c r="BK267" s="166"/>
      <c r="BL267" s="166"/>
      <c r="BM267" s="166"/>
      <c r="BN267" s="166"/>
    </row>
    <row r="268" spans="2:66" ht="14.4" x14ac:dyDescent="0.25">
      <c r="B268" s="835" t="s">
        <v>447</v>
      </c>
      <c r="C268" s="818"/>
      <c r="D268" s="818"/>
      <c r="E268" s="818"/>
      <c r="F268" s="818"/>
      <c r="G268" s="818"/>
      <c r="H268" s="818"/>
      <c r="I268" s="818"/>
      <c r="J268" s="818"/>
      <c r="K268" s="818"/>
      <c r="L268" s="818"/>
      <c r="M268" s="818"/>
      <c r="N268" s="818"/>
      <c r="O268" s="818"/>
      <c r="P268" s="818"/>
      <c r="Q268" s="818"/>
      <c r="R268" s="818"/>
      <c r="S268" s="818"/>
      <c r="T268" s="818"/>
      <c r="U268" s="818"/>
      <c r="V268" s="818"/>
      <c r="W268" s="818"/>
      <c r="X268" s="818"/>
      <c r="Y268" s="818"/>
      <c r="Z268" s="818"/>
      <c r="AA268" s="818"/>
      <c r="AB268" s="818"/>
      <c r="AC268" s="818"/>
      <c r="AD268" s="818"/>
      <c r="AE268" s="818"/>
      <c r="AF268" s="818"/>
      <c r="AG268" s="818"/>
      <c r="AH268" s="818"/>
      <c r="AI268" s="818"/>
      <c r="AJ268" s="818"/>
      <c r="AK268" s="818"/>
      <c r="AL268" s="818"/>
      <c r="AM268" s="818"/>
      <c r="AN268" s="818"/>
      <c r="AO268" s="818"/>
      <c r="AP268" s="818"/>
      <c r="AQ268" s="818"/>
      <c r="AR268" s="818"/>
      <c r="AS268" s="818"/>
      <c r="AT268" s="819"/>
      <c r="AU268" s="166"/>
      <c r="AV268" s="166"/>
      <c r="AW268" s="166"/>
      <c r="AX268" s="166"/>
      <c r="AY268" s="166"/>
      <c r="AZ268" s="166"/>
      <c r="BA268" s="166"/>
      <c r="BB268" s="166"/>
      <c r="BC268" s="166"/>
      <c r="BD268" s="166"/>
      <c r="BE268" s="166"/>
      <c r="BF268" s="166"/>
      <c r="BG268" s="166"/>
      <c r="BH268" s="166"/>
      <c r="BI268" s="166"/>
      <c r="BJ268" s="166"/>
      <c r="BK268" s="166"/>
      <c r="BL268" s="166"/>
      <c r="BM268" s="166"/>
      <c r="BN268" s="166"/>
    </row>
    <row r="269" spans="2:66" x14ac:dyDescent="0.25">
      <c r="B269" s="836" t="s">
        <v>448</v>
      </c>
      <c r="C269" s="268">
        <f>C193</f>
        <v>-5332198.1684703697</v>
      </c>
      <c r="D269" s="268">
        <f t="shared" ref="D269:F269" si="149">D193</f>
        <v>-19669755.173127942</v>
      </c>
      <c r="E269" s="268">
        <f t="shared" si="149"/>
        <v>-49167777.727487408</v>
      </c>
      <c r="F269" s="268">
        <f t="shared" si="149"/>
        <v>-19836102.472292583</v>
      </c>
      <c r="G269" s="178"/>
      <c r="H269" s="178"/>
      <c r="I269" s="178"/>
      <c r="J269" s="178"/>
      <c r="K269" s="178"/>
      <c r="L269" s="178"/>
      <c r="M269" s="178"/>
      <c r="N269" s="178"/>
      <c r="O269" s="178"/>
      <c r="P269" s="178"/>
      <c r="Q269" s="178"/>
      <c r="R269" s="178"/>
      <c r="S269" s="178"/>
      <c r="T269" s="178"/>
      <c r="U269" s="178"/>
      <c r="V269" s="178"/>
      <c r="W269" s="178"/>
      <c r="X269" s="178"/>
      <c r="Y269" s="178"/>
      <c r="Z269" s="178"/>
      <c r="AA269" s="178"/>
      <c r="AB269" s="178"/>
      <c r="AC269" s="178"/>
      <c r="AD269" s="178"/>
      <c r="AE269" s="178"/>
      <c r="AF269" s="178"/>
      <c r="AG269" s="178"/>
      <c r="AH269" s="178"/>
      <c r="AI269" s="178"/>
      <c r="AJ269" s="178"/>
      <c r="AK269" s="178"/>
      <c r="AL269" s="178"/>
      <c r="AM269" s="178"/>
      <c r="AN269" s="178"/>
      <c r="AO269" s="178"/>
      <c r="AP269" s="178"/>
      <c r="AQ269" s="178"/>
      <c r="AR269" s="178"/>
      <c r="AS269" s="178"/>
      <c r="AT269" s="265"/>
      <c r="AU269" s="166"/>
      <c r="AV269" s="166"/>
      <c r="AW269" s="166"/>
      <c r="AX269" s="166"/>
      <c r="AY269" s="166"/>
      <c r="AZ269" s="166"/>
      <c r="BA269" s="166"/>
      <c r="BB269" s="166"/>
      <c r="BC269" s="166"/>
      <c r="BD269" s="166"/>
      <c r="BE269" s="166"/>
      <c r="BF269" s="166"/>
      <c r="BG269" s="166"/>
      <c r="BH269" s="166"/>
      <c r="BI269" s="166"/>
      <c r="BJ269" s="166"/>
      <c r="BK269" s="166"/>
      <c r="BL269" s="166"/>
      <c r="BM269" s="166"/>
      <c r="BN269" s="166"/>
    </row>
    <row r="270" spans="2:66" x14ac:dyDescent="0.25">
      <c r="B270" s="836" t="s">
        <v>383</v>
      </c>
      <c r="C270" s="178"/>
      <c r="D270" s="178"/>
      <c r="E270" s="178"/>
      <c r="F270" s="178"/>
      <c r="G270" s="268">
        <f t="shared" ref="G270:AT270" si="150">G194</f>
        <v>0</v>
      </c>
      <c r="H270" s="268">
        <f t="shared" si="150"/>
        <v>0</v>
      </c>
      <c r="I270" s="268">
        <f t="shared" si="150"/>
        <v>0</v>
      </c>
      <c r="J270" s="268">
        <f t="shared" si="150"/>
        <v>0</v>
      </c>
      <c r="K270" s="268">
        <f t="shared" si="150"/>
        <v>0</v>
      </c>
      <c r="L270" s="268">
        <f t="shared" si="150"/>
        <v>0</v>
      </c>
      <c r="M270" s="268">
        <f t="shared" si="150"/>
        <v>0</v>
      </c>
      <c r="N270" s="268">
        <f t="shared" si="150"/>
        <v>0</v>
      </c>
      <c r="O270" s="268">
        <f t="shared" si="150"/>
        <v>0</v>
      </c>
      <c r="P270" s="268">
        <f t="shared" si="150"/>
        <v>-1360136.2924377397</v>
      </c>
      <c r="Q270" s="268">
        <f t="shared" si="150"/>
        <v>-1649442.8153209686</v>
      </c>
      <c r="R270" s="268">
        <f t="shared" si="150"/>
        <v>0</v>
      </c>
      <c r="S270" s="268">
        <f t="shared" si="150"/>
        <v>0</v>
      </c>
      <c r="T270" s="268">
        <f t="shared" si="150"/>
        <v>0</v>
      </c>
      <c r="U270" s="268">
        <f t="shared" si="150"/>
        <v>-2314062.3198277643</v>
      </c>
      <c r="V270" s="268">
        <f t="shared" si="150"/>
        <v>-7351611.2293968759</v>
      </c>
      <c r="W270" s="268">
        <f t="shared" si="150"/>
        <v>-3413683.8365870705</v>
      </c>
      <c r="X270" s="268">
        <f t="shared" si="150"/>
        <v>0</v>
      </c>
      <c r="Y270" s="268">
        <f t="shared" si="150"/>
        <v>0</v>
      </c>
      <c r="Z270" s="268">
        <f t="shared" si="150"/>
        <v>0</v>
      </c>
      <c r="AA270" s="268">
        <f t="shared" si="150"/>
        <v>-1687746.6137686879</v>
      </c>
      <c r="AB270" s="268">
        <f t="shared" si="150"/>
        <v>-2046740.4793313304</v>
      </c>
      <c r="AC270" s="268">
        <f t="shared" si="150"/>
        <v>0</v>
      </c>
      <c r="AD270" s="268">
        <f t="shared" si="150"/>
        <v>0</v>
      </c>
      <c r="AE270" s="268">
        <f t="shared" si="150"/>
        <v>0</v>
      </c>
      <c r="AF270" s="268">
        <f t="shared" si="150"/>
        <v>0</v>
      </c>
      <c r="AG270" s="268">
        <f t="shared" si="150"/>
        <v>0</v>
      </c>
      <c r="AH270" s="268">
        <f t="shared" si="150"/>
        <v>0</v>
      </c>
      <c r="AI270" s="268">
        <f t="shared" si="150"/>
        <v>0</v>
      </c>
      <c r="AJ270" s="268">
        <f t="shared" si="150"/>
        <v>0</v>
      </c>
      <c r="AK270" s="268">
        <f t="shared" si="150"/>
        <v>0</v>
      </c>
      <c r="AL270" s="268">
        <f t="shared" si="150"/>
        <v>-5293029.3906328678</v>
      </c>
      <c r="AM270" s="268">
        <f t="shared" si="150"/>
        <v>-12529821.357005024</v>
      </c>
      <c r="AN270" s="268">
        <f t="shared" si="150"/>
        <v>-4663255.9339658916</v>
      </c>
      <c r="AO270" s="268">
        <f t="shared" si="150"/>
        <v>0</v>
      </c>
      <c r="AP270" s="268">
        <f t="shared" si="150"/>
        <v>0</v>
      </c>
      <c r="AQ270" s="268">
        <f t="shared" si="150"/>
        <v>0</v>
      </c>
      <c r="AR270" s="268">
        <f t="shared" si="150"/>
        <v>0</v>
      </c>
      <c r="AS270" s="268">
        <f t="shared" si="150"/>
        <v>0</v>
      </c>
      <c r="AT270" s="799">
        <f t="shared" si="150"/>
        <v>0</v>
      </c>
      <c r="AU270" s="166"/>
      <c r="AV270" s="166"/>
      <c r="AW270" s="166"/>
      <c r="AX270" s="166"/>
      <c r="AY270" s="166"/>
      <c r="AZ270" s="166"/>
      <c r="BA270" s="166"/>
      <c r="BB270" s="166"/>
      <c r="BC270" s="166"/>
      <c r="BD270" s="166"/>
      <c r="BE270" s="166"/>
      <c r="BF270" s="166"/>
      <c r="BG270" s="166"/>
      <c r="BH270" s="166"/>
      <c r="BI270" s="166"/>
      <c r="BJ270" s="166"/>
      <c r="BK270" s="166"/>
      <c r="BL270" s="166"/>
      <c r="BM270" s="166"/>
      <c r="BN270" s="166"/>
    </row>
    <row r="271" spans="2:66" x14ac:dyDescent="0.25">
      <c r="B271" s="836" t="s">
        <v>384</v>
      </c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  <c r="Y271" s="178"/>
      <c r="Z271" s="178"/>
      <c r="AA271" s="178"/>
      <c r="AB271" s="178"/>
      <c r="AC271" s="178"/>
      <c r="AD271" s="178"/>
      <c r="AE271" s="178"/>
      <c r="AF271" s="178"/>
      <c r="AG271" s="178"/>
      <c r="AH271" s="178"/>
      <c r="AI271" s="178"/>
      <c r="AJ271" s="758">
        <f>AJ244</f>
        <v>36303657.245098598</v>
      </c>
      <c r="AK271" s="178"/>
      <c r="AL271" s="178"/>
      <c r="AM271" s="178"/>
      <c r="AN271" s="178"/>
      <c r="AO271" s="178"/>
      <c r="AP271" s="178"/>
      <c r="AQ271" s="178"/>
      <c r="AR271" s="178"/>
      <c r="AS271" s="178"/>
      <c r="AT271" s="847">
        <f>AT244</f>
        <v>33465652.89421764</v>
      </c>
      <c r="AU271" s="166"/>
      <c r="AV271" s="166"/>
      <c r="AW271" s="166"/>
      <c r="AX271" s="166"/>
      <c r="AY271" s="166"/>
      <c r="AZ271" s="166"/>
      <c r="BA271" s="166"/>
      <c r="BB271" s="166"/>
      <c r="BC271" s="166"/>
      <c r="BD271" s="166"/>
      <c r="BE271" s="166"/>
      <c r="BF271" s="166"/>
      <c r="BG271" s="166"/>
      <c r="BH271" s="166"/>
      <c r="BI271" s="166"/>
      <c r="BJ271" s="166"/>
      <c r="BK271" s="166"/>
      <c r="BL271" s="166"/>
      <c r="BM271" s="166"/>
      <c r="BN271" s="166"/>
    </row>
    <row r="272" spans="2:66" ht="15" thickBot="1" x14ac:dyDescent="0.3">
      <c r="B272" s="842" t="s">
        <v>385</v>
      </c>
      <c r="C272" s="822">
        <f t="shared" ref="C272:AT272" si="151">C269+C270+C271</f>
        <v>-5332198.1684703697</v>
      </c>
      <c r="D272" s="822">
        <f t="shared" si="151"/>
        <v>-19669755.173127942</v>
      </c>
      <c r="E272" s="822">
        <f t="shared" si="151"/>
        <v>-49167777.727487408</v>
      </c>
      <c r="F272" s="822">
        <f t="shared" si="151"/>
        <v>-19836102.472292583</v>
      </c>
      <c r="G272" s="822">
        <f t="shared" si="151"/>
        <v>0</v>
      </c>
      <c r="H272" s="822">
        <f t="shared" si="151"/>
        <v>0</v>
      </c>
      <c r="I272" s="822">
        <f t="shared" si="151"/>
        <v>0</v>
      </c>
      <c r="J272" s="822">
        <f t="shared" si="151"/>
        <v>0</v>
      </c>
      <c r="K272" s="822">
        <f t="shared" si="151"/>
        <v>0</v>
      </c>
      <c r="L272" s="822">
        <f t="shared" si="151"/>
        <v>0</v>
      </c>
      <c r="M272" s="822">
        <f t="shared" si="151"/>
        <v>0</v>
      </c>
      <c r="N272" s="822">
        <f t="shared" si="151"/>
        <v>0</v>
      </c>
      <c r="O272" s="822">
        <f t="shared" si="151"/>
        <v>0</v>
      </c>
      <c r="P272" s="822">
        <f t="shared" si="151"/>
        <v>-1360136.2924377397</v>
      </c>
      <c r="Q272" s="822">
        <f t="shared" si="151"/>
        <v>-1649442.8153209686</v>
      </c>
      <c r="R272" s="822">
        <f t="shared" si="151"/>
        <v>0</v>
      </c>
      <c r="S272" s="822">
        <f t="shared" si="151"/>
        <v>0</v>
      </c>
      <c r="T272" s="822">
        <f t="shared" si="151"/>
        <v>0</v>
      </c>
      <c r="U272" s="822">
        <f t="shared" si="151"/>
        <v>-2314062.3198277643</v>
      </c>
      <c r="V272" s="822">
        <f t="shared" si="151"/>
        <v>-7351611.2293968759</v>
      </c>
      <c r="W272" s="822">
        <f t="shared" si="151"/>
        <v>-3413683.8365870705</v>
      </c>
      <c r="X272" s="822">
        <f t="shared" si="151"/>
        <v>0</v>
      </c>
      <c r="Y272" s="822">
        <f t="shared" si="151"/>
        <v>0</v>
      </c>
      <c r="Z272" s="822">
        <f t="shared" si="151"/>
        <v>0</v>
      </c>
      <c r="AA272" s="822">
        <f t="shared" si="151"/>
        <v>-1687746.6137686879</v>
      </c>
      <c r="AB272" s="822">
        <f t="shared" si="151"/>
        <v>-2046740.4793313304</v>
      </c>
      <c r="AC272" s="822">
        <f t="shared" si="151"/>
        <v>0</v>
      </c>
      <c r="AD272" s="822">
        <f t="shared" si="151"/>
        <v>0</v>
      </c>
      <c r="AE272" s="822">
        <f t="shared" si="151"/>
        <v>0</v>
      </c>
      <c r="AF272" s="822">
        <f t="shared" si="151"/>
        <v>0</v>
      </c>
      <c r="AG272" s="822">
        <f t="shared" si="151"/>
        <v>0</v>
      </c>
      <c r="AH272" s="822">
        <f t="shared" si="151"/>
        <v>0</v>
      </c>
      <c r="AI272" s="822">
        <f t="shared" si="151"/>
        <v>0</v>
      </c>
      <c r="AJ272" s="822">
        <f t="shared" si="151"/>
        <v>36303657.245098598</v>
      </c>
      <c r="AK272" s="822">
        <f t="shared" si="151"/>
        <v>0</v>
      </c>
      <c r="AL272" s="822">
        <f t="shared" si="151"/>
        <v>-5293029.3906328678</v>
      </c>
      <c r="AM272" s="822">
        <f t="shared" si="151"/>
        <v>-12529821.357005024</v>
      </c>
      <c r="AN272" s="822">
        <f t="shared" si="151"/>
        <v>-4663255.9339658916</v>
      </c>
      <c r="AO272" s="822">
        <f t="shared" si="151"/>
        <v>0</v>
      </c>
      <c r="AP272" s="822">
        <f t="shared" si="151"/>
        <v>0</v>
      </c>
      <c r="AQ272" s="822">
        <f t="shared" si="151"/>
        <v>0</v>
      </c>
      <c r="AR272" s="822">
        <f t="shared" si="151"/>
        <v>0</v>
      </c>
      <c r="AS272" s="822">
        <f t="shared" si="151"/>
        <v>0</v>
      </c>
      <c r="AT272" s="823">
        <f t="shared" si="151"/>
        <v>33465652.89421764</v>
      </c>
      <c r="AU272" s="166"/>
      <c r="AV272" s="166"/>
      <c r="AW272" s="166"/>
      <c r="AX272" s="166"/>
      <c r="AY272" s="166"/>
      <c r="AZ272" s="166"/>
      <c r="BA272" s="166"/>
      <c r="BB272" s="166"/>
      <c r="BC272" s="166"/>
      <c r="BD272" s="166"/>
      <c r="BE272" s="166"/>
      <c r="BF272" s="166"/>
      <c r="BG272" s="166"/>
      <c r="BH272" s="166"/>
      <c r="BI272" s="166"/>
      <c r="BJ272" s="166"/>
      <c r="BK272" s="166"/>
      <c r="BL272" s="166"/>
      <c r="BM272" s="166"/>
      <c r="BN272" s="166"/>
    </row>
    <row r="273" spans="2:66" ht="14.4" x14ac:dyDescent="0.25">
      <c r="B273" s="838"/>
      <c r="C273" s="178"/>
      <c r="D273" s="178"/>
      <c r="E273" s="178"/>
      <c r="F273" s="178">
        <f>SUM(C269:F269)</f>
        <v>-94005833.541378304</v>
      </c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8"/>
      <c r="AB273" s="178"/>
      <c r="AC273" s="178"/>
      <c r="AD273" s="178"/>
      <c r="AE273" s="178"/>
      <c r="AF273" s="178"/>
      <c r="AG273" s="178"/>
      <c r="AH273" s="178"/>
      <c r="AI273" s="178"/>
      <c r="AJ273" s="178"/>
      <c r="AK273" s="178"/>
      <c r="AL273" s="178"/>
      <c r="AM273" s="178"/>
      <c r="AN273" s="178"/>
      <c r="AO273" s="178"/>
      <c r="AP273" s="178"/>
      <c r="AQ273" s="178"/>
      <c r="AR273" s="178"/>
      <c r="AS273" s="178"/>
      <c r="AT273" s="178"/>
      <c r="AU273" s="166"/>
      <c r="AV273" s="166"/>
      <c r="AW273" s="166"/>
      <c r="AX273" s="166"/>
      <c r="AY273" s="166"/>
      <c r="AZ273" s="166"/>
      <c r="BA273" s="166"/>
      <c r="BB273" s="166"/>
      <c r="BC273" s="166"/>
      <c r="BD273" s="166"/>
      <c r="BE273" s="166"/>
      <c r="BF273" s="166"/>
      <c r="BG273" s="166"/>
      <c r="BH273" s="166"/>
      <c r="BI273" s="166"/>
      <c r="BJ273" s="166"/>
      <c r="BK273" s="166"/>
      <c r="BL273" s="166"/>
      <c r="BM273" s="166"/>
      <c r="BN273" s="166"/>
    </row>
    <row r="274" spans="2:66" ht="14.4" x14ac:dyDescent="0.25">
      <c r="B274" s="838"/>
      <c r="C274" s="178"/>
      <c r="D274" s="178"/>
      <c r="E274" s="884" t="s">
        <v>473</v>
      </c>
      <c r="F274" s="178">
        <f>C272+D272+E272+F272</f>
        <v>-94005833.541378304</v>
      </c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78"/>
      <c r="V274" s="178"/>
      <c r="W274" s="178"/>
      <c r="X274" s="178"/>
      <c r="Y274" s="178"/>
      <c r="Z274" s="178"/>
      <c r="AA274" s="178"/>
      <c r="AB274" s="178"/>
      <c r="AC274" s="178"/>
      <c r="AD274" s="178"/>
      <c r="AE274" s="178"/>
      <c r="AF274" s="178"/>
      <c r="AG274" s="178"/>
      <c r="AH274" s="178"/>
      <c r="AI274" s="178"/>
      <c r="AJ274" s="178"/>
      <c r="AK274" s="178"/>
      <c r="AL274" s="178"/>
      <c r="AM274" s="178"/>
      <c r="AN274" s="178"/>
      <c r="AO274" s="178"/>
      <c r="AP274" s="178"/>
      <c r="AQ274" s="178"/>
      <c r="AR274" s="178"/>
      <c r="AS274" s="178"/>
      <c r="AT274" s="178"/>
      <c r="AU274" s="166"/>
      <c r="AV274" s="166"/>
      <c r="AW274" s="166"/>
      <c r="AX274" s="166"/>
      <c r="AY274" s="166"/>
      <c r="AZ274" s="166"/>
      <c r="BA274" s="166"/>
      <c r="BB274" s="166"/>
      <c r="BC274" s="166"/>
      <c r="BD274" s="166"/>
      <c r="BE274" s="166"/>
      <c r="BF274" s="166"/>
      <c r="BG274" s="166"/>
      <c r="BH274" s="166"/>
      <c r="BI274" s="166"/>
      <c r="BJ274" s="166"/>
      <c r="BK274" s="166"/>
      <c r="BL274" s="166"/>
      <c r="BM274" s="166"/>
      <c r="BN274" s="166"/>
    </row>
    <row r="275" spans="2:66" ht="14.4" x14ac:dyDescent="0.25">
      <c r="B275" s="838"/>
      <c r="C275" s="178"/>
      <c r="D275" s="178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8"/>
      <c r="AC275" s="178"/>
      <c r="AD275" s="178"/>
      <c r="AE275" s="178"/>
      <c r="AF275" s="178"/>
      <c r="AG275" s="178"/>
      <c r="AH275" s="178"/>
      <c r="AI275" s="178"/>
      <c r="AJ275" s="178"/>
      <c r="AK275" s="178"/>
      <c r="AL275" s="178"/>
      <c r="AM275" s="178"/>
      <c r="AN275" s="178"/>
      <c r="AO275" s="178"/>
      <c r="AP275" s="178"/>
      <c r="AQ275" s="178"/>
      <c r="AR275" s="178"/>
      <c r="AS275" s="178"/>
      <c r="AT275" s="178"/>
      <c r="AU275" s="166"/>
      <c r="AV275" s="166"/>
      <c r="AW275" s="166"/>
      <c r="AX275" s="166"/>
      <c r="AY275" s="166"/>
      <c r="AZ275" s="166"/>
      <c r="BA275" s="166"/>
      <c r="BB275" s="166"/>
      <c r="BC275" s="166"/>
      <c r="BD275" s="166"/>
      <c r="BE275" s="166"/>
      <c r="BF275" s="166"/>
      <c r="BG275" s="166"/>
      <c r="BH275" s="166"/>
      <c r="BI275" s="166"/>
      <c r="BJ275" s="166"/>
      <c r="BK275" s="166"/>
      <c r="BL275" s="166"/>
      <c r="BM275" s="166"/>
      <c r="BN275" s="166"/>
    </row>
    <row r="276" spans="2:66" ht="14.4" x14ac:dyDescent="0.25">
      <c r="B276" s="844" t="s">
        <v>436</v>
      </c>
      <c r="C276" s="178">
        <f t="shared" ref="C276:AJ276" si="152">C266+C272</f>
        <v>-5332198.1684703697</v>
      </c>
      <c r="D276" s="178">
        <f t="shared" si="152"/>
        <v>-19669755.173127942</v>
      </c>
      <c r="E276" s="178">
        <f t="shared" si="152"/>
        <v>-49167777.727487408</v>
      </c>
      <c r="F276" s="178">
        <f t="shared" si="152"/>
        <v>-19836102.472292583</v>
      </c>
      <c r="G276" s="178">
        <f t="shared" si="152"/>
        <v>2341953.5920620859</v>
      </c>
      <c r="H276" s="178">
        <f t="shared" si="152"/>
        <v>3266198.6637072652</v>
      </c>
      <c r="I276" s="178">
        <f t="shared" si="152"/>
        <v>3605130.3601435944</v>
      </c>
      <c r="J276" s="178">
        <f t="shared" si="152"/>
        <v>3611065.6698973756</v>
      </c>
      <c r="K276" s="178">
        <f t="shared" si="152"/>
        <v>642881.41798310447</v>
      </c>
      <c r="L276" s="178">
        <f t="shared" si="152"/>
        <v>3750502.6810549442</v>
      </c>
      <c r="M276" s="178">
        <f t="shared" si="152"/>
        <v>3944299.5018703705</v>
      </c>
      <c r="N276" s="178">
        <f t="shared" si="152"/>
        <v>3925229.4271822427</v>
      </c>
      <c r="O276" s="178">
        <f t="shared" si="152"/>
        <v>4103704.0846144436</v>
      </c>
      <c r="P276" s="178">
        <f t="shared" si="152"/>
        <v>-570441.87106824666</v>
      </c>
      <c r="Q276" s="178">
        <f t="shared" si="152"/>
        <v>2539024.5583413853</v>
      </c>
      <c r="R276" s="178">
        <f t="shared" si="152"/>
        <v>4272277.0752063906</v>
      </c>
      <c r="S276" s="178">
        <f t="shared" si="152"/>
        <v>4442943.3361942768</v>
      </c>
      <c r="T276" s="178">
        <f t="shared" si="152"/>
        <v>4394222.7443394586</v>
      </c>
      <c r="U276" s="178">
        <f t="shared" si="152"/>
        <v>-1220408.53407674</v>
      </c>
      <c r="V276" s="178">
        <f t="shared" si="152"/>
        <v>-3050831.241215311</v>
      </c>
      <c r="W276" s="178">
        <f t="shared" si="152"/>
        <v>1071066.0140986238</v>
      </c>
      <c r="X276" s="178">
        <f t="shared" si="152"/>
        <v>4779754.8738935553</v>
      </c>
      <c r="Y276" s="178">
        <f t="shared" si="152"/>
        <v>5017865.251956488</v>
      </c>
      <c r="Z276" s="178">
        <f t="shared" si="152"/>
        <v>1179558.6942755189</v>
      </c>
      <c r="AA276" s="178">
        <f t="shared" si="152"/>
        <v>3569937.0333253606</v>
      </c>
      <c r="AB276" s="178">
        <f t="shared" si="152"/>
        <v>3198768.1628196491</v>
      </c>
      <c r="AC276" s="178">
        <f t="shared" si="152"/>
        <v>5484457.420722072</v>
      </c>
      <c r="AD276" s="178">
        <f t="shared" si="152"/>
        <v>5420300.0289966604</v>
      </c>
      <c r="AE276" s="178">
        <f t="shared" si="152"/>
        <v>1621155.2600774039</v>
      </c>
      <c r="AF276" s="178">
        <f t="shared" si="152"/>
        <v>5574477.0891843839</v>
      </c>
      <c r="AG276" s="178">
        <f t="shared" si="152"/>
        <v>5804337.4319899753</v>
      </c>
      <c r="AH276" s="178">
        <f t="shared" si="152"/>
        <v>5733533.0697481278</v>
      </c>
      <c r="AI276" s="178">
        <f t="shared" si="152"/>
        <v>5971977.1077482477</v>
      </c>
      <c r="AJ276" s="178">
        <f t="shared" si="152"/>
        <v>37772660.048598275</v>
      </c>
      <c r="AK276" s="178"/>
      <c r="AL276" s="178"/>
      <c r="AM276" s="178"/>
      <c r="AN276" s="178"/>
      <c r="AO276" s="178"/>
      <c r="AP276" s="178"/>
      <c r="AQ276" s="178"/>
      <c r="AR276" s="178"/>
      <c r="AS276" s="178"/>
      <c r="AT276" s="178"/>
      <c r="AU276" s="166"/>
      <c r="AV276" s="166"/>
      <c r="AW276" s="166"/>
      <c r="AX276" s="166"/>
      <c r="AY276" s="166"/>
      <c r="AZ276" s="166"/>
      <c r="BA276" s="166"/>
      <c r="BB276" s="166"/>
      <c r="BC276" s="166"/>
      <c r="BD276" s="166"/>
      <c r="BE276" s="166"/>
      <c r="BF276" s="166"/>
      <c r="BG276" s="166"/>
      <c r="BH276" s="166"/>
      <c r="BI276" s="166"/>
      <c r="BJ276" s="166"/>
      <c r="BK276" s="166"/>
      <c r="BL276" s="166"/>
      <c r="BM276" s="166"/>
      <c r="BN276" s="166"/>
    </row>
    <row r="277" spans="2:66" ht="14.4" x14ac:dyDescent="0.25">
      <c r="B277" s="844" t="s">
        <v>438</v>
      </c>
      <c r="C277" s="178"/>
      <c r="D277" s="178"/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78"/>
      <c r="V277" s="178"/>
      <c r="W277" s="178"/>
      <c r="X277" s="178"/>
      <c r="Y277" s="178"/>
      <c r="Z277" s="178"/>
      <c r="AA277" s="178"/>
      <c r="AB277" s="178"/>
      <c r="AC277" s="178"/>
      <c r="AD277" s="178"/>
      <c r="AE277" s="178"/>
      <c r="AF277" s="178"/>
      <c r="AG277" s="178"/>
      <c r="AH277" s="178"/>
      <c r="AI277" s="178"/>
      <c r="AJ277" s="848">
        <f>IRR(C276:AJ276)</f>
        <v>1.6478916555843881E-2</v>
      </c>
      <c r="AK277" s="178"/>
      <c r="AL277" s="178"/>
      <c r="AM277" s="178"/>
      <c r="AN277" s="178"/>
      <c r="AO277" s="178"/>
      <c r="AP277" s="178"/>
      <c r="AQ277" s="178"/>
      <c r="AR277" s="178"/>
      <c r="AS277" s="178"/>
      <c r="AT277" s="178"/>
      <c r="AU277" s="166"/>
      <c r="AV277" s="166"/>
      <c r="AW277" s="166"/>
      <c r="AX277" s="166"/>
      <c r="AY277" s="166"/>
      <c r="AZ277" s="166"/>
      <c r="BA277" s="166"/>
      <c r="BB277" s="166"/>
      <c r="BC277" s="166"/>
      <c r="BD277" s="166"/>
      <c r="BE277" s="166"/>
      <c r="BF277" s="166"/>
      <c r="BG277" s="166"/>
      <c r="BH277" s="166"/>
      <c r="BI277" s="166"/>
      <c r="BJ277" s="166"/>
      <c r="BK277" s="166"/>
      <c r="BL277" s="166"/>
      <c r="BM277" s="166"/>
      <c r="BN277" s="166"/>
    </row>
    <row r="278" spans="2:66" ht="14.4" x14ac:dyDescent="0.25">
      <c r="B278" s="844"/>
      <c r="C278" s="178"/>
      <c r="D278" s="178"/>
      <c r="E278" s="178"/>
      <c r="F278" s="178"/>
      <c r="G278" s="178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  <c r="Y278" s="178"/>
      <c r="Z278" s="178"/>
      <c r="AA278" s="178"/>
      <c r="AB278" s="178"/>
      <c r="AC278" s="178"/>
      <c r="AD278" s="178"/>
      <c r="AE278" s="178"/>
      <c r="AF278" s="178"/>
      <c r="AG278" s="178"/>
      <c r="AH278" s="178"/>
      <c r="AI278" s="178"/>
      <c r="AJ278" s="178"/>
      <c r="AK278" s="178"/>
      <c r="AL278" s="178"/>
      <c r="AM278" s="178"/>
      <c r="AN278" s="178"/>
      <c r="AO278" s="178"/>
      <c r="AP278" s="178"/>
      <c r="AQ278" s="178"/>
      <c r="AR278" s="178"/>
      <c r="AS278" s="178"/>
      <c r="AT278" s="178"/>
      <c r="AU278" s="166"/>
      <c r="AV278" s="166"/>
      <c r="AW278" s="166"/>
      <c r="AX278" s="166"/>
      <c r="AY278" s="166"/>
      <c r="AZ278" s="166"/>
      <c r="BA278" s="166"/>
      <c r="BB278" s="166"/>
      <c r="BC278" s="166"/>
      <c r="BD278" s="166"/>
      <c r="BE278" s="166"/>
      <c r="BF278" s="166"/>
      <c r="BG278" s="166"/>
      <c r="BH278" s="166"/>
      <c r="BI278" s="166"/>
      <c r="BJ278" s="166"/>
      <c r="BK278" s="166"/>
      <c r="BL278" s="166"/>
      <c r="BM278" s="166"/>
      <c r="BN278" s="166"/>
    </row>
    <row r="279" spans="2:66" ht="14.4" x14ac:dyDescent="0.25">
      <c r="B279" s="844" t="s">
        <v>437</v>
      </c>
      <c r="C279" s="178">
        <f>C266+C272</f>
        <v>-5332198.1684703697</v>
      </c>
      <c r="D279" s="178">
        <f t="shared" ref="D279:AI279" si="153">D266+D272</f>
        <v>-19669755.173127942</v>
      </c>
      <c r="E279" s="178">
        <f t="shared" si="153"/>
        <v>-49167777.727487408</v>
      </c>
      <c r="F279" s="178">
        <f t="shared" si="153"/>
        <v>-19836102.472292583</v>
      </c>
      <c r="G279" s="178">
        <f t="shared" si="153"/>
        <v>2341953.5920620859</v>
      </c>
      <c r="H279" s="178">
        <f t="shared" si="153"/>
        <v>3266198.6637072652</v>
      </c>
      <c r="I279" s="178">
        <f t="shared" si="153"/>
        <v>3605130.3601435944</v>
      </c>
      <c r="J279" s="178">
        <f t="shared" si="153"/>
        <v>3611065.6698973756</v>
      </c>
      <c r="K279" s="178">
        <f t="shared" si="153"/>
        <v>642881.41798310447</v>
      </c>
      <c r="L279" s="178">
        <f t="shared" si="153"/>
        <v>3750502.6810549442</v>
      </c>
      <c r="M279" s="178">
        <f t="shared" si="153"/>
        <v>3944299.5018703705</v>
      </c>
      <c r="N279" s="178">
        <f t="shared" si="153"/>
        <v>3925229.4271822427</v>
      </c>
      <c r="O279" s="178">
        <f t="shared" si="153"/>
        <v>4103704.0846144436</v>
      </c>
      <c r="P279" s="178">
        <f t="shared" si="153"/>
        <v>-570441.87106824666</v>
      </c>
      <c r="Q279" s="178">
        <f t="shared" si="153"/>
        <v>2539024.5583413853</v>
      </c>
      <c r="R279" s="178">
        <f t="shared" si="153"/>
        <v>4272277.0752063906</v>
      </c>
      <c r="S279" s="178">
        <f t="shared" si="153"/>
        <v>4442943.3361942768</v>
      </c>
      <c r="T279" s="178">
        <f t="shared" si="153"/>
        <v>4394222.7443394586</v>
      </c>
      <c r="U279" s="178">
        <f t="shared" si="153"/>
        <v>-1220408.53407674</v>
      </c>
      <c r="V279" s="178">
        <f t="shared" si="153"/>
        <v>-3050831.241215311</v>
      </c>
      <c r="W279" s="178">
        <f t="shared" si="153"/>
        <v>1071066.0140986238</v>
      </c>
      <c r="X279" s="178">
        <f t="shared" si="153"/>
        <v>4779754.8738935553</v>
      </c>
      <c r="Y279" s="178">
        <f t="shared" si="153"/>
        <v>5017865.251956488</v>
      </c>
      <c r="Z279" s="178">
        <f t="shared" si="153"/>
        <v>1179558.6942755189</v>
      </c>
      <c r="AA279" s="178">
        <f t="shared" si="153"/>
        <v>3569937.0333253606</v>
      </c>
      <c r="AB279" s="178">
        <f t="shared" si="153"/>
        <v>3198768.1628196491</v>
      </c>
      <c r="AC279" s="178">
        <f t="shared" si="153"/>
        <v>5484457.420722072</v>
      </c>
      <c r="AD279" s="178">
        <f t="shared" si="153"/>
        <v>5420300.0289966604</v>
      </c>
      <c r="AE279" s="178">
        <f t="shared" si="153"/>
        <v>1621155.2600774039</v>
      </c>
      <c r="AF279" s="178">
        <f t="shared" si="153"/>
        <v>5574477.0891843839</v>
      </c>
      <c r="AG279" s="178">
        <f t="shared" si="153"/>
        <v>5804337.4319899753</v>
      </c>
      <c r="AH279" s="178">
        <f t="shared" si="153"/>
        <v>5733533.0697481278</v>
      </c>
      <c r="AI279" s="178">
        <f t="shared" si="153"/>
        <v>5971977.1077482477</v>
      </c>
      <c r="AJ279" s="178">
        <f>AJ266+AJ270</f>
        <v>1469002.80349968</v>
      </c>
      <c r="AK279" s="178">
        <f t="shared" ref="AK279:AT279" si="154">AK266+AK272</f>
        <v>6144926.0471746465</v>
      </c>
      <c r="AL279" s="178">
        <f t="shared" si="154"/>
        <v>773742.95314529352</v>
      </c>
      <c r="AM279" s="178">
        <f t="shared" si="154"/>
        <v>-6511688.6056184415</v>
      </c>
      <c r="AN279" s="178">
        <f t="shared" si="154"/>
        <v>1142054.7030947022</v>
      </c>
      <c r="AO279" s="178">
        <f t="shared" si="154"/>
        <v>1807558.6863244679</v>
      </c>
      <c r="AP279" s="178">
        <f t="shared" si="154"/>
        <v>6547266.2563097216</v>
      </c>
      <c r="AQ279" s="178">
        <f t="shared" si="154"/>
        <v>6823228.3339386461</v>
      </c>
      <c r="AR279" s="178">
        <f t="shared" si="154"/>
        <v>6732566.1280135494</v>
      </c>
      <c r="AS279" s="178">
        <f t="shared" si="154"/>
        <v>7018757.1327742571</v>
      </c>
      <c r="AT279" s="178">
        <f t="shared" si="154"/>
        <v>35060636.861713588</v>
      </c>
      <c r="AU279" s="166"/>
      <c r="AV279" s="166"/>
      <c r="AW279" s="166"/>
      <c r="AX279" s="166"/>
      <c r="AY279" s="166"/>
      <c r="AZ279" s="166"/>
      <c r="BA279" s="166"/>
      <c r="BB279" s="166"/>
      <c r="BC279" s="166"/>
      <c r="BD279" s="166"/>
      <c r="BE279" s="166"/>
      <c r="BF279" s="166"/>
      <c r="BG279" s="166"/>
      <c r="BH279" s="166"/>
      <c r="BI279" s="166"/>
      <c r="BJ279" s="166"/>
      <c r="BK279" s="166"/>
      <c r="BL279" s="166"/>
      <c r="BM279" s="166"/>
      <c r="BN279" s="166"/>
    </row>
    <row r="280" spans="2:66" ht="14.4" x14ac:dyDescent="0.25">
      <c r="B280" s="844" t="s">
        <v>439</v>
      </c>
      <c r="C280" s="178"/>
      <c r="D280" s="178"/>
      <c r="E280" s="178"/>
      <c r="F280" s="178"/>
      <c r="G280" s="178"/>
      <c r="H280" s="178"/>
      <c r="I280" s="178"/>
      <c r="J280" s="178"/>
      <c r="K280" s="178"/>
      <c r="L280" s="178"/>
      <c r="M280" s="178"/>
      <c r="N280" s="178"/>
      <c r="O280" s="178"/>
      <c r="P280" s="178"/>
      <c r="Q280" s="178"/>
      <c r="R280" s="178"/>
      <c r="S280" s="178"/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849">
        <f>IRR(C279:AT279)</f>
        <v>2.1871906497852756E-2</v>
      </c>
      <c r="AU280" s="166"/>
      <c r="AV280" s="166"/>
      <c r="AW280" s="166"/>
      <c r="AX280" s="166"/>
      <c r="AY280" s="166"/>
      <c r="AZ280" s="166"/>
      <c r="BA280" s="166"/>
      <c r="BB280" s="166"/>
      <c r="BC280" s="166"/>
      <c r="BD280" s="166"/>
      <c r="BE280" s="166"/>
      <c r="BF280" s="166"/>
      <c r="BG280" s="166"/>
      <c r="BH280" s="166"/>
      <c r="BI280" s="166"/>
      <c r="BJ280" s="166"/>
      <c r="BK280" s="166"/>
      <c r="BL280" s="166"/>
      <c r="BM280" s="166"/>
      <c r="BN280" s="166"/>
    </row>
    <row r="281" spans="2:66" ht="14.4" x14ac:dyDescent="0.25">
      <c r="B281" s="844"/>
      <c r="C281" s="178"/>
      <c r="D281" s="178"/>
      <c r="E281" s="178"/>
      <c r="F281" s="178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  <c r="AU281" s="166"/>
      <c r="AV281" s="166"/>
      <c r="AW281" s="166"/>
      <c r="AX281" s="166"/>
      <c r="AY281" s="166"/>
      <c r="AZ281" s="166"/>
      <c r="BA281" s="166"/>
      <c r="BB281" s="166"/>
      <c r="BC281" s="166"/>
      <c r="BD281" s="166"/>
      <c r="BE281" s="166"/>
      <c r="BF281" s="166"/>
      <c r="BG281" s="166"/>
      <c r="BH281" s="166"/>
      <c r="BI281" s="166"/>
      <c r="BJ281" s="166"/>
      <c r="BK281" s="166"/>
      <c r="BL281" s="166"/>
      <c r="BM281" s="166"/>
      <c r="BN281" s="166"/>
    </row>
    <row r="282" spans="2:66" ht="14.4" x14ac:dyDescent="0.25">
      <c r="B282" s="844" t="s">
        <v>450</v>
      </c>
      <c r="C282" s="178">
        <f>C256</f>
        <v>0</v>
      </c>
      <c r="D282" s="178">
        <f t="shared" ref="D282:AT282" si="155">D256</f>
        <v>0</v>
      </c>
      <c r="E282" s="178">
        <f t="shared" si="155"/>
        <v>0</v>
      </c>
      <c r="F282" s="178">
        <f t="shared" si="155"/>
        <v>0</v>
      </c>
      <c r="G282" s="178">
        <f t="shared" si="155"/>
        <v>2341953.5920620859</v>
      </c>
      <c r="H282" s="178">
        <f t="shared" si="155"/>
        <v>3621374.6094628638</v>
      </c>
      <c r="I282" s="178">
        <f t="shared" si="155"/>
        <v>4142807.988595678</v>
      </c>
      <c r="J282" s="178">
        <f t="shared" si="155"/>
        <v>4151939.2343707257</v>
      </c>
      <c r="K282" s="178">
        <f t="shared" si="155"/>
        <v>642881.41798310447</v>
      </c>
      <c r="L282" s="178">
        <f t="shared" si="155"/>
        <v>4442381.0445547886</v>
      </c>
      <c r="M282" s="178">
        <f t="shared" si="155"/>
        <v>4740529.9996554451</v>
      </c>
      <c r="N282" s="178">
        <f t="shared" si="155"/>
        <v>4711191.4232121715</v>
      </c>
      <c r="O282" s="178">
        <f t="shared" si="155"/>
        <v>4985767.8192617111</v>
      </c>
      <c r="P282" s="178">
        <f t="shared" si="155"/>
        <v>789694.42136949301</v>
      </c>
      <c r="Q282" s="178">
        <f t="shared" si="155"/>
        <v>5242735.5115070762</v>
      </c>
      <c r="R282" s="178">
        <f t="shared" si="155"/>
        <v>5209619.2542339712</v>
      </c>
      <c r="S282" s="178">
        <f t="shared" si="155"/>
        <v>5472182.732676873</v>
      </c>
      <c r="T282" s="178">
        <f t="shared" si="155"/>
        <v>5397227.9759771535</v>
      </c>
      <c r="U282" s="178">
        <f t="shared" si="155"/>
        <v>1093653.7857510243</v>
      </c>
      <c r="V282" s="178">
        <f t="shared" si="155"/>
        <v>5591093.8703083396</v>
      </c>
      <c r="W282" s="178">
        <f t="shared" si="155"/>
        <v>5874124.4280069992</v>
      </c>
      <c r="X282" s="178">
        <f t="shared" si="155"/>
        <v>5858462.9165284168</v>
      </c>
      <c r="Y282" s="178">
        <f t="shared" si="155"/>
        <v>6224786.5750867743</v>
      </c>
      <c r="Z282" s="178">
        <f t="shared" si="155"/>
        <v>1179558.6942755189</v>
      </c>
      <c r="AA282" s="178">
        <f t="shared" si="155"/>
        <v>6593737.952221483</v>
      </c>
      <c r="AB282" s="178">
        <f t="shared" si="155"/>
        <v>6575007.175385992</v>
      </c>
      <c r="AC282" s="178">
        <f t="shared" si="155"/>
        <v>6903587.1739769876</v>
      </c>
      <c r="AD282" s="178">
        <f t="shared" si="155"/>
        <v>6804883.4943994312</v>
      </c>
      <c r="AE282" s="178">
        <f t="shared" si="155"/>
        <v>1621155.2600774039</v>
      </c>
      <c r="AF282" s="178">
        <f t="shared" si="155"/>
        <v>7042078.9716113135</v>
      </c>
      <c r="AG282" s="178">
        <f t="shared" si="155"/>
        <v>7395710.2682353007</v>
      </c>
      <c r="AH282" s="178">
        <f t="shared" si="155"/>
        <v>7286780.4801709186</v>
      </c>
      <c r="AI282" s="178">
        <f t="shared" si="155"/>
        <v>7653617.4617095655</v>
      </c>
      <c r="AJ282" s="178">
        <f t="shared" si="155"/>
        <v>1469002.80349968</v>
      </c>
      <c r="AK282" s="178">
        <f t="shared" si="155"/>
        <v>7919692.7531347945</v>
      </c>
      <c r="AL282" s="178">
        <f t="shared" si="155"/>
        <v>7799456.2863709712</v>
      </c>
      <c r="AM282" s="178">
        <f t="shared" si="155"/>
        <v>8194141.5375669124</v>
      </c>
      <c r="AN282" s="178">
        <f t="shared" si="155"/>
        <v>8067810.6666938504</v>
      </c>
      <c r="AO282" s="178">
        <f t="shared" si="155"/>
        <v>1807558.6863244679</v>
      </c>
      <c r="AP282" s="178">
        <f t="shared" si="155"/>
        <v>8344430.5931692887</v>
      </c>
      <c r="AQ282" s="178">
        <f t="shared" si="155"/>
        <v>8768987.635675326</v>
      </c>
      <c r="AR282" s="178">
        <f t="shared" si="155"/>
        <v>8629507.3188674841</v>
      </c>
      <c r="AS282" s="178">
        <f t="shared" si="155"/>
        <v>9069801.1723454967</v>
      </c>
      <c r="AT282" s="178">
        <f t="shared" si="155"/>
        <v>1594983.9674959518</v>
      </c>
      <c r="AU282" s="166"/>
      <c r="AV282" s="166"/>
      <c r="AW282" s="166"/>
      <c r="AX282" s="166"/>
      <c r="AY282" s="166"/>
      <c r="AZ282" s="166"/>
      <c r="BA282" s="166"/>
      <c r="BB282" s="166"/>
      <c r="BC282" s="166"/>
      <c r="BD282" s="166"/>
      <c r="BE282" s="166"/>
      <c r="BF282" s="166"/>
      <c r="BG282" s="166"/>
      <c r="BH282" s="166"/>
      <c r="BI282" s="166"/>
      <c r="BJ282" s="166"/>
      <c r="BK282" s="166"/>
      <c r="BL282" s="166"/>
      <c r="BM282" s="166"/>
      <c r="BN282" s="166"/>
    </row>
    <row r="283" spans="2:66" ht="14.4" x14ac:dyDescent="0.25">
      <c r="B283" s="844" t="s">
        <v>451</v>
      </c>
      <c r="C283" s="178">
        <f>C282+C243</f>
        <v>0</v>
      </c>
      <c r="D283" s="178">
        <f t="shared" ref="D283:AT283" si="156">D282+D243</f>
        <v>0</v>
      </c>
      <c r="E283" s="178">
        <f t="shared" si="156"/>
        <v>0</v>
      </c>
      <c r="F283" s="178">
        <f t="shared" si="156"/>
        <v>0</v>
      </c>
      <c r="G283" s="178">
        <f t="shared" si="156"/>
        <v>-264632.6009562104</v>
      </c>
      <c r="H283" s="178">
        <f t="shared" si="156"/>
        <v>1014788.4164445675</v>
      </c>
      <c r="I283" s="178">
        <f t="shared" si="156"/>
        <v>1536221.7955773817</v>
      </c>
      <c r="J283" s="178">
        <f t="shared" si="156"/>
        <v>1545353.0413524294</v>
      </c>
      <c r="K283" s="178">
        <f t="shared" si="156"/>
        <v>-1963704.7750351918</v>
      </c>
      <c r="L283" s="178">
        <f t="shared" si="156"/>
        <v>1976795.3242852706</v>
      </c>
      <c r="M283" s="178">
        <f t="shared" si="156"/>
        <v>2274944.2793859271</v>
      </c>
      <c r="N283" s="178">
        <f t="shared" si="156"/>
        <v>2245605.7029426536</v>
      </c>
      <c r="O283" s="178">
        <f t="shared" si="156"/>
        <v>2520182.0989921931</v>
      </c>
      <c r="P283" s="178">
        <f t="shared" si="156"/>
        <v>-1675891.298900025</v>
      </c>
      <c r="Q283" s="178">
        <f t="shared" si="156"/>
        <v>3012194.6795563498</v>
      </c>
      <c r="R283" s="178">
        <f t="shared" si="156"/>
        <v>2678120.5115073738</v>
      </c>
      <c r="S283" s="178">
        <f t="shared" si="156"/>
        <v>2940683.9899502755</v>
      </c>
      <c r="T283" s="178">
        <f t="shared" si="156"/>
        <v>2865729.233250556</v>
      </c>
      <c r="U283" s="178">
        <f t="shared" si="156"/>
        <v>-1437844.9569755732</v>
      </c>
      <c r="V283" s="178">
        <f t="shared" si="156"/>
        <v>3686611.0917907842</v>
      </c>
      <c r="W283" s="178">
        <f t="shared" si="156"/>
        <v>3969641.6494894437</v>
      </c>
      <c r="X283" s="178">
        <f t="shared" si="156"/>
        <v>3082022.9789567469</v>
      </c>
      <c r="Y283" s="178">
        <f t="shared" si="156"/>
        <v>3448346.6375151044</v>
      </c>
      <c r="Z283" s="178">
        <f t="shared" si="156"/>
        <v>-1596881.243296151</v>
      </c>
      <c r="AA283" s="178">
        <f t="shared" si="156"/>
        <v>3817298.0146498131</v>
      </c>
      <c r="AB283" s="178">
        <f t="shared" si="156"/>
        <v>3798567.2378143221</v>
      </c>
      <c r="AC283" s="178">
        <f t="shared" si="156"/>
        <v>4054656.437871187</v>
      </c>
      <c r="AD283" s="178">
        <f t="shared" si="156"/>
        <v>3955952.7582936306</v>
      </c>
      <c r="AE283" s="178">
        <f t="shared" si="156"/>
        <v>-1227775.4760283967</v>
      </c>
      <c r="AF283" s="178">
        <f t="shared" si="156"/>
        <v>4193148.2355055129</v>
      </c>
      <c r="AG283" s="178">
        <f t="shared" si="156"/>
        <v>4546779.5321295001</v>
      </c>
      <c r="AH283" s="178">
        <f t="shared" si="156"/>
        <v>4437849.744065118</v>
      </c>
      <c r="AI283" s="178">
        <f t="shared" si="156"/>
        <v>4804686.7256037649</v>
      </c>
      <c r="AJ283" s="178">
        <f t="shared" si="156"/>
        <v>-1379927.9326061206</v>
      </c>
      <c r="AK283" s="178">
        <f t="shared" si="156"/>
        <v>5070762.0170289939</v>
      </c>
      <c r="AL283" s="178">
        <f t="shared" si="156"/>
        <v>4950525.5502651706</v>
      </c>
      <c r="AM283" s="178">
        <f t="shared" si="156"/>
        <v>6217167.9605152253</v>
      </c>
      <c r="AN283" s="178">
        <f t="shared" si="156"/>
        <v>6464285.798952166</v>
      </c>
      <c r="AO283" s="178">
        <f t="shared" si="156"/>
        <v>-1402116.6586746303</v>
      </c>
      <c r="AP283" s="178">
        <f t="shared" si="156"/>
        <v>5134755.2481701905</v>
      </c>
      <c r="AQ283" s="178">
        <f t="shared" si="156"/>
        <v>5559312.2906762278</v>
      </c>
      <c r="AR283" s="178">
        <f t="shared" si="156"/>
        <v>5419831.9738683859</v>
      </c>
      <c r="AS283" s="178">
        <f t="shared" si="156"/>
        <v>5860125.8273463985</v>
      </c>
      <c r="AT283" s="178">
        <f t="shared" si="156"/>
        <v>-1614691.3775031464</v>
      </c>
      <c r="AU283" s="166"/>
      <c r="AV283" s="166"/>
      <c r="AW283" s="166"/>
      <c r="AX283" s="166"/>
      <c r="AY283" s="166"/>
      <c r="AZ283" s="166"/>
      <c r="BA283" s="166"/>
      <c r="BB283" s="166"/>
      <c r="BC283" s="166"/>
      <c r="BD283" s="166"/>
      <c r="BE283" s="166"/>
      <c r="BF283" s="166"/>
      <c r="BG283" s="166"/>
      <c r="BH283" s="166"/>
      <c r="BI283" s="166"/>
      <c r="BJ283" s="166"/>
      <c r="BK283" s="166"/>
      <c r="BL283" s="166"/>
      <c r="BM283" s="166"/>
      <c r="BN283" s="166"/>
    </row>
    <row r="284" spans="2:66" ht="14.4" x14ac:dyDescent="0.25">
      <c r="B284" s="844"/>
      <c r="C284" s="178"/>
      <c r="D284" s="178"/>
      <c r="E284" s="178"/>
      <c r="F284" s="178"/>
      <c r="G284" s="178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/>
      <c r="AS284" s="178"/>
      <c r="AT284" s="178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</row>
    <row r="285" spans="2:66" ht="14.4" x14ac:dyDescent="0.25">
      <c r="B285" s="844" t="s">
        <v>489</v>
      </c>
      <c r="C285" s="908"/>
      <c r="D285" s="908"/>
      <c r="E285" s="908"/>
      <c r="F285" s="908"/>
      <c r="G285" s="909">
        <f>ABS(G254)/ABS(G249)</f>
        <v>1.8389447355163486</v>
      </c>
      <c r="H285" s="909">
        <f t="shared" ref="H285:AT285" si="157">ABS(H254)/ABS(H249)</f>
        <v>2.1713242274836264</v>
      </c>
      <c r="I285" s="909">
        <f t="shared" si="157"/>
        <v>2.4118248210307054</v>
      </c>
      <c r="J285" s="909">
        <f t="shared" si="157"/>
        <v>2.3823409915578737</v>
      </c>
      <c r="K285" s="909">
        <f t="shared" si="157"/>
        <v>1.0936462451797024</v>
      </c>
      <c r="L285" s="909">
        <f t="shared" si="157"/>
        <v>2.4116296006957039</v>
      </c>
      <c r="M285" s="909">
        <f t="shared" si="157"/>
        <v>2.4716156666296949</v>
      </c>
      <c r="N285" s="909">
        <f t="shared" si="157"/>
        <v>2.4287478473849289</v>
      </c>
      <c r="O285" s="909">
        <f t="shared" si="157"/>
        <v>2.4770969488783714</v>
      </c>
      <c r="P285" s="909">
        <f t="shared" si="157"/>
        <v>1.1036327444913927</v>
      </c>
      <c r="Q285" s="909">
        <f t="shared" si="157"/>
        <v>2.4822567737486101</v>
      </c>
      <c r="R285" s="909">
        <f t="shared" si="157"/>
        <v>2.4388247634829856</v>
      </c>
      <c r="S285" s="909">
        <f t="shared" si="157"/>
        <v>2.476364862044143</v>
      </c>
      <c r="T285" s="909">
        <f t="shared" si="157"/>
        <v>2.4224264583844395</v>
      </c>
      <c r="U285" s="909">
        <f t="shared" si="157"/>
        <v>1.1292650650664784</v>
      </c>
      <c r="V285" s="909">
        <f t="shared" si="157"/>
        <v>2.4060216701391441</v>
      </c>
      <c r="W285" s="909">
        <f t="shared" si="157"/>
        <v>2.4429410447490176</v>
      </c>
      <c r="X285" s="909">
        <f t="shared" si="157"/>
        <v>2.4057046931619501</v>
      </c>
      <c r="Y285" s="909">
        <f t="shared" si="157"/>
        <v>2.4589304388974362</v>
      </c>
      <c r="Z285" s="909">
        <f t="shared" si="157"/>
        <v>1.1255355314389723</v>
      </c>
      <c r="AA285" s="909">
        <f t="shared" si="157"/>
        <v>2.4744343862459313</v>
      </c>
      <c r="AB285" s="909">
        <f t="shared" si="157"/>
        <v>2.4360644468969417</v>
      </c>
      <c r="AC285" s="909">
        <f t="shared" si="157"/>
        <v>2.472757284781931</v>
      </c>
      <c r="AD285" s="909">
        <f t="shared" si="157"/>
        <v>2.4179158597316839</v>
      </c>
      <c r="AE285" s="909">
        <f t="shared" si="157"/>
        <v>1.1553092792206838</v>
      </c>
      <c r="AF285" s="909">
        <f t="shared" si="157"/>
        <v>2.3997859964425632</v>
      </c>
      <c r="AG285" s="909">
        <f t="shared" si="157"/>
        <v>2.4358141373280833</v>
      </c>
      <c r="AH285" s="909">
        <f t="shared" si="157"/>
        <v>2.3816763628802176</v>
      </c>
      <c r="AI285" s="909">
        <f t="shared" si="157"/>
        <v>2.4173738618661251</v>
      </c>
      <c r="AJ285" s="909">
        <f t="shared" si="157"/>
        <v>1.1266480297190484</v>
      </c>
      <c r="AK285" s="909">
        <f t="shared" si="157"/>
        <v>2.398956485957854</v>
      </c>
      <c r="AL285" s="909">
        <f t="shared" si="157"/>
        <v>2.3455237741203177</v>
      </c>
      <c r="AM285" s="909">
        <f t="shared" si="157"/>
        <v>2.38056352586722</v>
      </c>
      <c r="AN285" s="909">
        <f t="shared" si="157"/>
        <v>2.3274837952226641</v>
      </c>
      <c r="AO285" s="909">
        <f t="shared" si="157"/>
        <v>1.1401993539478168</v>
      </c>
      <c r="AP285" s="909">
        <f t="shared" si="157"/>
        <v>2.3094699978710667</v>
      </c>
      <c r="AQ285" s="909">
        <f t="shared" si="157"/>
        <v>2.3438568783360116</v>
      </c>
      <c r="AR285" s="909">
        <f t="shared" si="157"/>
        <v>2.2914838501736221</v>
      </c>
      <c r="AS285" s="909">
        <f t="shared" si="157"/>
        <v>2.3255461823873986</v>
      </c>
      <c r="AT285" s="909">
        <f t="shared" si="157"/>
        <v>1.1112653473099816</v>
      </c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</row>
    <row r="286" spans="2:66" ht="14.4" x14ac:dyDescent="0.25">
      <c r="B286" s="844" t="s">
        <v>490</v>
      </c>
      <c r="C286" s="908"/>
      <c r="D286" s="908"/>
      <c r="E286" s="908"/>
      <c r="F286" s="908"/>
      <c r="G286" s="909">
        <f>G285-1</f>
        <v>0.83894473551634863</v>
      </c>
      <c r="H286" s="909">
        <f t="shared" ref="H286" si="158">H285-1</f>
        <v>1.1713242274836264</v>
      </c>
      <c r="I286" s="909">
        <f t="shared" ref="I286" si="159">I285-1</f>
        <v>1.4118248210307054</v>
      </c>
      <c r="J286" s="909">
        <f t="shared" ref="J286" si="160">J285-1</f>
        <v>1.3823409915578737</v>
      </c>
      <c r="K286" s="909">
        <f t="shared" ref="K286" si="161">K285-1</f>
        <v>9.3646245179702436E-2</v>
      </c>
      <c r="L286" s="909">
        <f t="shared" ref="L286" si="162">L285-1</f>
        <v>1.4116296006957039</v>
      </c>
      <c r="M286" s="909">
        <f t="shared" ref="M286" si="163">M285-1</f>
        <v>1.4716156666296949</v>
      </c>
      <c r="N286" s="909">
        <f t="shared" ref="N286" si="164">N285-1</f>
        <v>1.4287478473849289</v>
      </c>
      <c r="O286" s="909">
        <f t="shared" ref="O286" si="165">O285-1</f>
        <v>1.4770969488783714</v>
      </c>
      <c r="P286" s="909">
        <f t="shared" ref="P286" si="166">P285-1</f>
        <v>0.1036327444913927</v>
      </c>
      <c r="Q286" s="909">
        <f t="shared" ref="Q286" si="167">Q285-1</f>
        <v>1.4822567737486101</v>
      </c>
      <c r="R286" s="909">
        <f t="shared" ref="R286" si="168">R285-1</f>
        <v>1.4388247634829856</v>
      </c>
      <c r="S286" s="909">
        <f t="shared" ref="S286" si="169">S285-1</f>
        <v>1.476364862044143</v>
      </c>
      <c r="T286" s="909">
        <f t="shared" ref="T286" si="170">T285-1</f>
        <v>1.4224264583844395</v>
      </c>
      <c r="U286" s="909">
        <f t="shared" ref="U286" si="171">U285-1</f>
        <v>0.12926506506647839</v>
      </c>
      <c r="V286" s="909">
        <f t="shared" ref="V286" si="172">V285-1</f>
        <v>1.4060216701391441</v>
      </c>
      <c r="W286" s="909">
        <f t="shared" ref="W286" si="173">W285-1</f>
        <v>1.4429410447490176</v>
      </c>
      <c r="X286" s="909">
        <f t="shared" ref="X286" si="174">X285-1</f>
        <v>1.4057046931619501</v>
      </c>
      <c r="Y286" s="909">
        <f t="shared" ref="Y286" si="175">Y285-1</f>
        <v>1.4589304388974362</v>
      </c>
      <c r="Z286" s="909">
        <f t="shared" ref="Z286" si="176">Z285-1</f>
        <v>0.12553553143897234</v>
      </c>
      <c r="AA286" s="909">
        <f t="shared" ref="AA286" si="177">AA285-1</f>
        <v>1.4744343862459313</v>
      </c>
      <c r="AB286" s="909">
        <f t="shared" ref="AB286" si="178">AB285-1</f>
        <v>1.4360644468969417</v>
      </c>
      <c r="AC286" s="909">
        <f t="shared" ref="AC286" si="179">AC285-1</f>
        <v>1.472757284781931</v>
      </c>
      <c r="AD286" s="909">
        <f t="shared" ref="AD286" si="180">AD285-1</f>
        <v>1.4179158597316839</v>
      </c>
      <c r="AE286" s="909">
        <f t="shared" ref="AE286" si="181">AE285-1</f>
        <v>0.15530927922068383</v>
      </c>
      <c r="AF286" s="909">
        <f t="shared" ref="AF286" si="182">AF285-1</f>
        <v>1.3997859964425632</v>
      </c>
      <c r="AG286" s="909">
        <f t="shared" ref="AG286" si="183">AG285-1</f>
        <v>1.4358141373280833</v>
      </c>
      <c r="AH286" s="909">
        <f t="shared" ref="AH286" si="184">AH285-1</f>
        <v>1.3816763628802176</v>
      </c>
      <c r="AI286" s="909">
        <f t="shared" ref="AI286" si="185">AI285-1</f>
        <v>1.4173738618661251</v>
      </c>
      <c r="AJ286" s="909">
        <f t="shared" ref="AJ286" si="186">AJ285-1</f>
        <v>0.12664802971904843</v>
      </c>
      <c r="AK286" s="909">
        <f t="shared" ref="AK286" si="187">AK285-1</f>
        <v>1.398956485957854</v>
      </c>
      <c r="AL286" s="909">
        <f t="shared" ref="AL286" si="188">AL285-1</f>
        <v>1.3455237741203177</v>
      </c>
      <c r="AM286" s="909">
        <f t="shared" ref="AM286" si="189">AM285-1</f>
        <v>1.38056352586722</v>
      </c>
      <c r="AN286" s="909">
        <f t="shared" ref="AN286" si="190">AN285-1</f>
        <v>1.3274837952226641</v>
      </c>
      <c r="AO286" s="909">
        <f t="shared" ref="AO286" si="191">AO285-1</f>
        <v>0.1401993539478168</v>
      </c>
      <c r="AP286" s="909">
        <f t="shared" ref="AP286" si="192">AP285-1</f>
        <v>1.3094699978710667</v>
      </c>
      <c r="AQ286" s="909">
        <f t="shared" ref="AQ286" si="193">AQ285-1</f>
        <v>1.3438568783360116</v>
      </c>
      <c r="AR286" s="909">
        <f t="shared" ref="AR286" si="194">AR285-1</f>
        <v>1.2914838501736221</v>
      </c>
      <c r="AS286" s="909">
        <f t="shared" ref="AS286" si="195">AS285-1</f>
        <v>1.3255461823873986</v>
      </c>
      <c r="AT286" s="909">
        <f t="shared" ref="AT286" si="196">AT285-1</f>
        <v>0.11126534730998161</v>
      </c>
      <c r="AU286" s="166"/>
      <c r="AV286" s="166"/>
      <c r="AW286" s="166"/>
      <c r="AX286" s="166"/>
      <c r="AY286" s="166"/>
      <c r="AZ286" s="166"/>
      <c r="BA286" s="166"/>
      <c r="BB286" s="166"/>
      <c r="BC286" s="166"/>
      <c r="BD286" s="166"/>
      <c r="BE286" s="166"/>
      <c r="BF286" s="166"/>
      <c r="BG286" s="166"/>
      <c r="BH286" s="166"/>
      <c r="BI286" s="166"/>
      <c r="BJ286" s="166"/>
      <c r="BK286" s="166"/>
      <c r="BL286" s="166"/>
      <c r="BM286" s="166"/>
      <c r="BN286" s="166"/>
    </row>
    <row r="287" spans="2:66" ht="14.4" x14ac:dyDescent="0.25">
      <c r="B287" s="844"/>
      <c r="C287" s="178"/>
      <c r="D287" s="178"/>
      <c r="E287" s="178"/>
      <c r="F287" s="178"/>
      <c r="G287" s="178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66"/>
      <c r="AV287" s="166"/>
      <c r="AW287" s="166"/>
      <c r="AX287" s="166"/>
      <c r="AY287" s="166"/>
      <c r="AZ287" s="166"/>
      <c r="BA287" s="166"/>
      <c r="BB287" s="166"/>
      <c r="BC287" s="166"/>
      <c r="BD287" s="166"/>
      <c r="BE287" s="166"/>
      <c r="BF287" s="166"/>
      <c r="BG287" s="166"/>
      <c r="BH287" s="166"/>
      <c r="BI287" s="166"/>
      <c r="BJ287" s="166"/>
      <c r="BK287" s="166"/>
      <c r="BL287" s="166"/>
      <c r="BM287" s="166"/>
      <c r="BN287" s="166"/>
    </row>
    <row r="288" spans="2:66" ht="14.4" x14ac:dyDescent="0.25">
      <c r="B288" s="907" t="s">
        <v>404</v>
      </c>
      <c r="C288" s="268">
        <f>C279/((1+$C$26)^C220)</f>
        <v>-5332198.1684703697</v>
      </c>
      <c r="D288" s="268">
        <f>D279/((1+$C$26)^D220)</f>
        <v>-17406862.985068977</v>
      </c>
      <c r="E288" s="268">
        <f t="shared" ref="E288:AT288" si="197">E279/((1+$C$26)^E220)</f>
        <v>-38505582.056141764</v>
      </c>
      <c r="F288" s="268">
        <f t="shared" si="197"/>
        <v>-13747414.037379377</v>
      </c>
      <c r="G288" s="268">
        <f t="shared" si="197"/>
        <v>1436363.9973676647</v>
      </c>
      <c r="H288" s="268">
        <f t="shared" si="197"/>
        <v>1772761.7776752398</v>
      </c>
      <c r="I288" s="268">
        <f t="shared" si="197"/>
        <v>1731610.9057886787</v>
      </c>
      <c r="J288" s="268">
        <f t="shared" si="197"/>
        <v>1534921.898256172</v>
      </c>
      <c r="K288" s="268">
        <f t="shared" si="197"/>
        <v>241826.1852923283</v>
      </c>
      <c r="L288" s="268">
        <f t="shared" si="197"/>
        <v>1248485.4600836763</v>
      </c>
      <c r="M288" s="268">
        <f t="shared" si="197"/>
        <v>1161944.6747706921</v>
      </c>
      <c r="N288" s="268">
        <f t="shared" si="197"/>
        <v>1023298.0999731637</v>
      </c>
      <c r="O288" s="268">
        <f t="shared" si="197"/>
        <v>946748.6940911609</v>
      </c>
      <c r="P288" s="268">
        <f t="shared" si="197"/>
        <v>-116463.98079694608</v>
      </c>
      <c r="Q288" s="268">
        <f t="shared" si="197"/>
        <v>458742.19975474151</v>
      </c>
      <c r="R288" s="268">
        <f t="shared" si="197"/>
        <v>683097.59847308963</v>
      </c>
      <c r="S288" s="268">
        <f t="shared" si="197"/>
        <v>628659.78358397435</v>
      </c>
      <c r="T288" s="268">
        <f t="shared" si="197"/>
        <v>550235.40084018384</v>
      </c>
      <c r="U288" s="268">
        <f t="shared" si="197"/>
        <v>-135236.29160694865</v>
      </c>
      <c r="V288" s="268">
        <f t="shared" si="197"/>
        <v>-299176.69403918396</v>
      </c>
      <c r="W288" s="268">
        <f t="shared" si="197"/>
        <v>92949.566641119687</v>
      </c>
      <c r="X288" s="268">
        <f t="shared" si="197"/>
        <v>367077.96175662114</v>
      </c>
      <c r="Y288" s="268">
        <f t="shared" si="197"/>
        <v>341030.51282111695</v>
      </c>
      <c r="Z288" s="268">
        <f t="shared" si="197"/>
        <v>70943.948460271233</v>
      </c>
      <c r="AA288" s="268">
        <f t="shared" si="197"/>
        <v>190010.6363745261</v>
      </c>
      <c r="AB288" s="268">
        <f t="shared" si="197"/>
        <v>150668.22702193909</v>
      </c>
      <c r="AC288" s="268">
        <f t="shared" si="197"/>
        <v>228609.42881608172</v>
      </c>
      <c r="AD288" s="268">
        <f t="shared" si="197"/>
        <v>199942.60797664479</v>
      </c>
      <c r="AE288" s="268">
        <f t="shared" si="197"/>
        <v>52921.018299269585</v>
      </c>
      <c r="AF288" s="268">
        <f t="shared" si="197"/>
        <v>161038.33581036516</v>
      </c>
      <c r="AG288" s="268">
        <f t="shared" si="197"/>
        <v>148388.19342253063</v>
      </c>
      <c r="AH288" s="268">
        <f t="shared" si="197"/>
        <v>129715.11164353185</v>
      </c>
      <c r="AI288" s="268">
        <f t="shared" si="197"/>
        <v>119566.06672350389</v>
      </c>
      <c r="AJ288" s="268">
        <f t="shared" si="197"/>
        <v>26027.591964324547</v>
      </c>
      <c r="AK288" s="268">
        <f t="shared" si="197"/>
        <v>96349.525940760286</v>
      </c>
      <c r="AL288" s="268">
        <f t="shared" si="197"/>
        <v>10736.214625244027</v>
      </c>
      <c r="AM288" s="268">
        <f t="shared" si="197"/>
        <v>-79959.424312967327</v>
      </c>
      <c r="AN288" s="268">
        <f t="shared" si="197"/>
        <v>12410.363372461739</v>
      </c>
      <c r="AO288" s="268">
        <f t="shared" si="197"/>
        <v>17382.47262645412</v>
      </c>
      <c r="AP288" s="268">
        <f t="shared" si="197"/>
        <v>55718.665572231992</v>
      </c>
      <c r="AQ288" s="268">
        <f t="shared" si="197"/>
        <v>51386.870013170679</v>
      </c>
      <c r="AR288" s="268">
        <f t="shared" si="197"/>
        <v>44870.865333614238</v>
      </c>
      <c r="AS288" s="268">
        <f t="shared" si="197"/>
        <v>41396.687283106301</v>
      </c>
      <c r="AT288" s="268">
        <f t="shared" si="197"/>
        <v>182998.16328126431</v>
      </c>
      <c r="AU288" s="166"/>
      <c r="AV288" s="166"/>
      <c r="AW288" s="166"/>
      <c r="AX288" s="166"/>
      <c r="AY288" s="166"/>
      <c r="AZ288" s="166"/>
      <c r="BA288" s="166"/>
      <c r="BB288" s="166"/>
      <c r="BC288" s="166"/>
      <c r="BD288" s="166"/>
      <c r="BE288" s="166"/>
      <c r="BF288" s="166"/>
      <c r="BG288" s="166"/>
      <c r="BH288" s="166"/>
      <c r="BI288" s="166"/>
      <c r="BJ288" s="166"/>
      <c r="BK288" s="166"/>
      <c r="BL288" s="166"/>
      <c r="BM288" s="166"/>
      <c r="BN288" s="166"/>
    </row>
    <row r="289" spans="2:66" ht="14.4" x14ac:dyDescent="0.25">
      <c r="B289" s="907" t="s">
        <v>403</v>
      </c>
      <c r="C289" s="824">
        <f>SUM(C288)</f>
        <v>-5332198.1684703697</v>
      </c>
      <c r="D289" s="824">
        <f>SUM(C288:D288)</f>
        <v>-22739061.153539345</v>
      </c>
      <c r="E289" s="824">
        <f>SUM(C288:E288)</f>
        <v>-61244643.209681109</v>
      </c>
      <c r="F289" s="824">
        <f>SUM(C288:F288)</f>
        <v>-74992057.247060478</v>
      </c>
      <c r="G289" s="824">
        <f>SUM(C288:G288)</f>
        <v>-73555693.249692813</v>
      </c>
      <c r="H289" s="824">
        <f>SUM(C288:H288)</f>
        <v>-71782931.472017571</v>
      </c>
      <c r="I289" s="824">
        <f>SUM(C288:I288)</f>
        <v>-70051320.566228896</v>
      </c>
      <c r="J289" s="824">
        <f>SUM(C288:J288)</f>
        <v>-68516398.667972729</v>
      </c>
      <c r="K289" s="824">
        <f>SUM(C288:K288)</f>
        <v>-68274572.482680395</v>
      </c>
      <c r="L289" s="824">
        <f>SUM(C288:L288)</f>
        <v>-67026087.022596717</v>
      </c>
      <c r="M289" s="824">
        <f>SUM(C288:M288)</f>
        <v>-65864142.347826026</v>
      </c>
      <c r="N289" s="824">
        <f>SUM(C288:N288)</f>
        <v>-64840844.247852862</v>
      </c>
      <c r="O289" s="824">
        <f>SUM(C288:O288)</f>
        <v>-63894095.553761698</v>
      </c>
      <c r="P289" s="824">
        <f>SUM(C288:P288)</f>
        <v>-64010559.534558646</v>
      </c>
      <c r="Q289" s="824">
        <f>SUM(C288:Q288)</f>
        <v>-63551817.334803902</v>
      </c>
      <c r="R289" s="824">
        <f>SUM(C288:R288)</f>
        <v>-62868719.736330815</v>
      </c>
      <c r="S289" s="824">
        <f>SUM(C288:S288)</f>
        <v>-62240059.952746838</v>
      </c>
      <c r="T289" s="824">
        <f>SUM(C288:T288)</f>
        <v>-61689824.551906653</v>
      </c>
      <c r="U289" s="824">
        <f>SUM(C288:U288)</f>
        <v>-61825060.843513601</v>
      </c>
      <c r="V289" s="824">
        <f>SUM(C288:V288)</f>
        <v>-62124237.537552781</v>
      </c>
      <c r="W289" s="824">
        <f>SUM(C288:W288)</f>
        <v>-62031287.970911659</v>
      </c>
      <c r="X289" s="824">
        <f>SUM(C288:X288)</f>
        <v>-61664210.009155035</v>
      </c>
      <c r="Y289" s="824">
        <f>SUM(C288:Y288)</f>
        <v>-61323179.496333919</v>
      </c>
      <c r="Z289" s="824">
        <f>SUM(C288:Z288)</f>
        <v>-61252235.547873646</v>
      </c>
      <c r="AA289" s="824">
        <f>SUM(C288:AA288)</f>
        <v>-61062224.91149912</v>
      </c>
      <c r="AB289" s="824">
        <f>SUM(C288:AB288)</f>
        <v>-60911556.68447718</v>
      </c>
      <c r="AC289" s="824">
        <f>SUM(C288:AC288)</f>
        <v>-60682947.2556611</v>
      </c>
      <c r="AD289" s="824">
        <f>SUM(C288:AD288)</f>
        <v>-60483004.647684455</v>
      </c>
      <c r="AE289" s="824">
        <f>SUM(C288:AE288)</f>
        <v>-60430083.629385188</v>
      </c>
      <c r="AF289" s="824">
        <f>SUM(C288:AF288)</f>
        <v>-60269045.293574825</v>
      </c>
      <c r="AG289" s="824">
        <f>SUM(C288:AG288)</f>
        <v>-60120657.100152291</v>
      </c>
      <c r="AH289" s="824">
        <f>SUM(C288:AH288)</f>
        <v>-59990941.988508761</v>
      </c>
      <c r="AI289" s="824">
        <f>SUM(C288:AI288)</f>
        <v>-59871375.921785258</v>
      </c>
      <c r="AJ289" s="824">
        <f>SUM(C288:AJ288)</f>
        <v>-59845348.329820931</v>
      </c>
      <c r="AK289" s="824">
        <f>SUM(C288:AK288)</f>
        <v>-59748998.80388017</v>
      </c>
      <c r="AL289" s="824">
        <f>SUM(C288:AL288)</f>
        <v>-59738262.589254923</v>
      </c>
      <c r="AM289" s="824">
        <f>SUM(C288:AM288)</f>
        <v>-59818222.013567887</v>
      </c>
      <c r="AN289" s="824">
        <f>SUM(C288:AN288)</f>
        <v>-59805811.650195427</v>
      </c>
      <c r="AO289" s="824">
        <f>SUM(C288:AO288)</f>
        <v>-59788429.177568972</v>
      </c>
      <c r="AP289" s="824">
        <f>SUM(C288:AP288)</f>
        <v>-59732710.511996739</v>
      </c>
      <c r="AQ289" s="824">
        <f>SUM(C288:AQ288)</f>
        <v>-59681323.641983569</v>
      </c>
      <c r="AR289" s="824">
        <f>SUM(C288:AR288)</f>
        <v>-59636452.776649952</v>
      </c>
      <c r="AS289" s="824">
        <f>SUM(C288:AS288)</f>
        <v>-59595056.089366846</v>
      </c>
      <c r="AT289" s="824">
        <f>SUM(C288:AT288)</f>
        <v>-59412057.926085584</v>
      </c>
      <c r="AU289" s="166"/>
      <c r="AV289" s="166"/>
      <c r="AW289" s="166"/>
      <c r="AX289" s="166"/>
      <c r="AY289" s="166"/>
      <c r="AZ289" s="166"/>
      <c r="BA289" s="166"/>
      <c r="BB289" s="166"/>
      <c r="BC289" s="166"/>
      <c r="BD289" s="166"/>
      <c r="BE289" s="166"/>
      <c r="BF289" s="166"/>
      <c r="BG289" s="166"/>
      <c r="BH289" s="166"/>
      <c r="BI289" s="166"/>
      <c r="BJ289" s="166"/>
      <c r="BK289" s="166"/>
      <c r="BL289" s="166"/>
      <c r="BM289" s="166"/>
      <c r="BN289" s="166"/>
    </row>
    <row r="290" spans="2:66" x14ac:dyDescent="0.25"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</row>
    <row r="291" spans="2:66" x14ac:dyDescent="0.25"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</row>
    <row r="292" spans="2:66" s="306" customFormat="1" ht="14.4" x14ac:dyDescent="0.3">
      <c r="B292" s="759" t="s">
        <v>532</v>
      </c>
      <c r="C292" s="759"/>
      <c r="D292" s="759"/>
      <c r="E292" s="759"/>
      <c r="F292" s="759"/>
      <c r="G292" s="759"/>
      <c r="H292" s="759"/>
      <c r="I292" s="759"/>
      <c r="J292" s="759"/>
      <c r="K292" s="759"/>
      <c r="L292" s="759"/>
      <c r="M292" s="759"/>
      <c r="N292" s="759"/>
      <c r="O292" s="759"/>
      <c r="P292" s="759"/>
      <c r="Q292" s="759"/>
      <c r="R292" s="759"/>
      <c r="S292" s="759"/>
      <c r="T292" s="759"/>
      <c r="U292" s="759"/>
      <c r="V292" s="759"/>
      <c r="W292" s="759"/>
      <c r="X292" s="759"/>
      <c r="Y292" s="759"/>
      <c r="Z292" s="759"/>
      <c r="AA292" s="759"/>
      <c r="AB292" s="759"/>
      <c r="AC292" s="759"/>
      <c r="AD292" s="759"/>
      <c r="AE292" s="759"/>
      <c r="AF292" s="759"/>
      <c r="AG292" s="759"/>
      <c r="AH292" s="759"/>
      <c r="AI292" s="759"/>
      <c r="AJ292" s="759"/>
      <c r="AK292" s="759"/>
      <c r="AL292" s="759"/>
      <c r="AM292" s="759"/>
      <c r="AN292" s="759"/>
      <c r="AO292" s="759"/>
      <c r="AP292" s="759"/>
      <c r="AQ292" s="759"/>
      <c r="AR292" s="759"/>
      <c r="AS292" s="759"/>
      <c r="AT292" s="814"/>
    </row>
    <row r="293" spans="2:66" x14ac:dyDescent="0.25"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7"/>
      <c r="AI293" s="177"/>
      <c r="AJ293" s="13"/>
      <c r="AK293" s="38"/>
      <c r="AL293" s="38"/>
      <c r="AM293" s="38"/>
      <c r="AN293" s="38"/>
      <c r="AO293" s="38"/>
      <c r="AP293" s="38"/>
      <c r="AQ293" s="38"/>
      <c r="AR293" s="38"/>
      <c r="AS293" s="38"/>
      <c r="AT293" s="13"/>
      <c r="AU293" s="166"/>
      <c r="AV293" s="166"/>
      <c r="AW293" s="166"/>
      <c r="AX293" s="166"/>
      <c r="AY293" s="166"/>
      <c r="AZ293" s="166"/>
      <c r="BA293" s="166"/>
      <c r="BB293" s="166"/>
      <c r="BC293" s="166"/>
      <c r="BD293" s="166"/>
      <c r="BE293" s="166"/>
      <c r="BF293" s="166"/>
      <c r="BG293" s="166"/>
      <c r="BH293" s="166"/>
      <c r="BI293" s="166"/>
      <c r="BJ293" s="166"/>
      <c r="BK293" s="166"/>
      <c r="BL293" s="166"/>
      <c r="BM293" s="166"/>
      <c r="BN293" s="166"/>
    </row>
    <row r="294" spans="2:66" ht="14.4" x14ac:dyDescent="0.3">
      <c r="B294" s="813" t="s">
        <v>378</v>
      </c>
      <c r="C294" s="179">
        <v>2015</v>
      </c>
      <c r="D294" s="179">
        <v>2016</v>
      </c>
      <c r="E294" s="179">
        <v>2017</v>
      </c>
      <c r="F294" s="179">
        <v>2018</v>
      </c>
      <c r="G294" s="179">
        <v>2019</v>
      </c>
      <c r="H294" s="179">
        <v>2020</v>
      </c>
      <c r="I294" s="179">
        <v>2021</v>
      </c>
      <c r="J294" s="179">
        <v>2022</v>
      </c>
      <c r="K294" s="179">
        <v>2023</v>
      </c>
      <c r="L294" s="179">
        <v>2024</v>
      </c>
      <c r="M294" s="179">
        <v>2025</v>
      </c>
      <c r="N294" s="179">
        <v>2026</v>
      </c>
      <c r="O294" s="179">
        <v>2027</v>
      </c>
      <c r="P294" s="179">
        <v>2028</v>
      </c>
      <c r="Q294" s="179">
        <v>2029</v>
      </c>
      <c r="R294" s="179">
        <v>2030</v>
      </c>
      <c r="S294" s="179">
        <v>2031</v>
      </c>
      <c r="T294" s="179">
        <v>2032</v>
      </c>
      <c r="U294" s="179">
        <v>2033</v>
      </c>
      <c r="V294" s="179">
        <v>2034</v>
      </c>
      <c r="W294" s="179">
        <v>2035</v>
      </c>
      <c r="X294" s="179">
        <v>2036</v>
      </c>
      <c r="Y294" s="179">
        <v>2037</v>
      </c>
      <c r="Z294" s="179">
        <v>2038</v>
      </c>
      <c r="AA294" s="179">
        <v>2039</v>
      </c>
      <c r="AB294" s="179">
        <v>2040</v>
      </c>
      <c r="AC294" s="179">
        <v>2041</v>
      </c>
      <c r="AD294" s="179">
        <v>2042</v>
      </c>
      <c r="AE294" s="179">
        <v>2043</v>
      </c>
      <c r="AF294" s="179">
        <v>2044</v>
      </c>
      <c r="AG294" s="179">
        <v>2045</v>
      </c>
      <c r="AH294" s="179">
        <v>2046</v>
      </c>
      <c r="AI294" s="179">
        <v>2047</v>
      </c>
      <c r="AJ294" s="179">
        <v>2048</v>
      </c>
      <c r="AK294" s="179">
        <v>2049</v>
      </c>
      <c r="AL294" s="179">
        <v>2050</v>
      </c>
      <c r="AM294" s="179">
        <v>2051</v>
      </c>
      <c r="AN294" s="179">
        <v>2052</v>
      </c>
      <c r="AO294" s="179">
        <v>2053</v>
      </c>
      <c r="AP294" s="179">
        <v>2054</v>
      </c>
      <c r="AQ294" s="179">
        <v>2055</v>
      </c>
      <c r="AR294" s="179">
        <v>2056</v>
      </c>
      <c r="AS294" s="179">
        <v>2057</v>
      </c>
      <c r="AT294" s="179">
        <v>2058</v>
      </c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</row>
    <row r="295" spans="2:66" ht="14.4" x14ac:dyDescent="0.3">
      <c r="B295" s="813"/>
      <c r="C295" s="816" t="s">
        <v>134</v>
      </c>
      <c r="D295" s="816" t="s">
        <v>135</v>
      </c>
      <c r="E295" s="816" t="s">
        <v>136</v>
      </c>
      <c r="F295" s="816" t="s">
        <v>137</v>
      </c>
      <c r="G295" s="816" t="s">
        <v>138</v>
      </c>
      <c r="H295" s="816" t="s">
        <v>139</v>
      </c>
      <c r="I295" s="816" t="s">
        <v>140</v>
      </c>
      <c r="J295" s="816" t="s">
        <v>141</v>
      </c>
      <c r="K295" s="816" t="s">
        <v>142</v>
      </c>
      <c r="L295" s="816" t="s">
        <v>143</v>
      </c>
      <c r="M295" s="816" t="s">
        <v>144</v>
      </c>
      <c r="N295" s="816" t="s">
        <v>145</v>
      </c>
      <c r="O295" s="816" t="s">
        <v>146</v>
      </c>
      <c r="P295" s="816" t="s">
        <v>147</v>
      </c>
      <c r="Q295" s="816" t="s">
        <v>148</v>
      </c>
      <c r="R295" s="816" t="s">
        <v>149</v>
      </c>
      <c r="S295" s="816" t="s">
        <v>150</v>
      </c>
      <c r="T295" s="816" t="s">
        <v>151</v>
      </c>
      <c r="U295" s="816" t="s">
        <v>152</v>
      </c>
      <c r="V295" s="816" t="s">
        <v>153</v>
      </c>
      <c r="W295" s="816" t="s">
        <v>154</v>
      </c>
      <c r="X295" s="816" t="s">
        <v>155</v>
      </c>
      <c r="Y295" s="816" t="s">
        <v>156</v>
      </c>
      <c r="Z295" s="816" t="s">
        <v>157</v>
      </c>
      <c r="AA295" s="816" t="s">
        <v>158</v>
      </c>
      <c r="AB295" s="816" t="s">
        <v>159</v>
      </c>
      <c r="AC295" s="816" t="s">
        <v>160</v>
      </c>
      <c r="AD295" s="816" t="s">
        <v>161</v>
      </c>
      <c r="AE295" s="816" t="s">
        <v>162</v>
      </c>
      <c r="AF295" s="816" t="s">
        <v>163</v>
      </c>
      <c r="AG295" s="816" t="s">
        <v>164</v>
      </c>
      <c r="AH295" s="816" t="s">
        <v>165</v>
      </c>
      <c r="AI295" s="816" t="s">
        <v>166</v>
      </c>
      <c r="AJ295" s="816" t="s">
        <v>167</v>
      </c>
      <c r="AK295" s="816" t="s">
        <v>168</v>
      </c>
      <c r="AL295" s="816" t="s">
        <v>169</v>
      </c>
      <c r="AM295" s="816" t="s">
        <v>170</v>
      </c>
      <c r="AN295" s="816" t="s">
        <v>171</v>
      </c>
      <c r="AO295" s="816" t="s">
        <v>172</v>
      </c>
      <c r="AP295" s="816" t="s">
        <v>173</v>
      </c>
      <c r="AQ295" s="816" t="s">
        <v>174</v>
      </c>
      <c r="AR295" s="816" t="s">
        <v>224</v>
      </c>
      <c r="AS295" s="816" t="s">
        <v>225</v>
      </c>
      <c r="AT295" s="816" t="s">
        <v>226</v>
      </c>
      <c r="AU295" s="166"/>
      <c r="AV295" s="166"/>
      <c r="AW295" s="166"/>
      <c r="AX295" s="166"/>
      <c r="AY295" s="166"/>
      <c r="AZ295" s="166"/>
      <c r="BA295" s="166"/>
      <c r="BB295" s="166"/>
      <c r="BC295" s="166"/>
      <c r="BD295" s="166"/>
      <c r="BE295" s="166"/>
      <c r="BF295" s="166"/>
      <c r="BG295" s="166"/>
      <c r="BH295" s="166"/>
      <c r="BI295" s="166"/>
      <c r="BJ295" s="166"/>
      <c r="BK295" s="166"/>
      <c r="BL295" s="166"/>
      <c r="BM295" s="166"/>
      <c r="BN295" s="166"/>
    </row>
    <row r="296" spans="2:66" ht="14.4" x14ac:dyDescent="0.3">
      <c r="B296" s="813"/>
      <c r="C296" s="816">
        <v>0</v>
      </c>
      <c r="D296" s="816">
        <v>1</v>
      </c>
      <c r="E296" s="816">
        <v>2</v>
      </c>
      <c r="F296" s="816">
        <v>3</v>
      </c>
      <c r="G296" s="816">
        <v>4</v>
      </c>
      <c r="H296" s="816">
        <v>5</v>
      </c>
      <c r="I296" s="816">
        <v>6</v>
      </c>
      <c r="J296" s="816">
        <v>7</v>
      </c>
      <c r="K296" s="816">
        <v>8</v>
      </c>
      <c r="L296" s="816">
        <v>9</v>
      </c>
      <c r="M296" s="816">
        <v>10</v>
      </c>
      <c r="N296" s="816">
        <v>11</v>
      </c>
      <c r="O296" s="816">
        <v>12</v>
      </c>
      <c r="P296" s="816">
        <v>13</v>
      </c>
      <c r="Q296" s="816">
        <v>14</v>
      </c>
      <c r="R296" s="816">
        <v>15</v>
      </c>
      <c r="S296" s="816">
        <v>16</v>
      </c>
      <c r="T296" s="816">
        <v>17</v>
      </c>
      <c r="U296" s="816">
        <v>18</v>
      </c>
      <c r="V296" s="816">
        <v>19</v>
      </c>
      <c r="W296" s="816">
        <v>20</v>
      </c>
      <c r="X296" s="816">
        <v>21</v>
      </c>
      <c r="Y296" s="816">
        <v>22</v>
      </c>
      <c r="Z296" s="816">
        <v>23</v>
      </c>
      <c r="AA296" s="816">
        <v>24</v>
      </c>
      <c r="AB296" s="816">
        <v>25</v>
      </c>
      <c r="AC296" s="816">
        <v>26</v>
      </c>
      <c r="AD296" s="816">
        <v>27</v>
      </c>
      <c r="AE296" s="816">
        <v>28</v>
      </c>
      <c r="AF296" s="816">
        <v>29</v>
      </c>
      <c r="AG296" s="816">
        <v>30</v>
      </c>
      <c r="AH296" s="816">
        <v>31</v>
      </c>
      <c r="AI296" s="816">
        <v>32</v>
      </c>
      <c r="AJ296" s="816">
        <v>33</v>
      </c>
      <c r="AK296" s="816">
        <v>34</v>
      </c>
      <c r="AL296" s="816">
        <v>35</v>
      </c>
      <c r="AM296" s="816">
        <v>36</v>
      </c>
      <c r="AN296" s="816">
        <v>37</v>
      </c>
      <c r="AO296" s="816">
        <v>38</v>
      </c>
      <c r="AP296" s="816">
        <v>39</v>
      </c>
      <c r="AQ296" s="816">
        <v>40</v>
      </c>
      <c r="AR296" s="816">
        <v>41</v>
      </c>
      <c r="AS296" s="816">
        <v>42</v>
      </c>
      <c r="AT296" s="816">
        <v>43</v>
      </c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</row>
    <row r="297" spans="2:66" ht="14.4" x14ac:dyDescent="0.3">
      <c r="B297" s="813"/>
      <c r="C297" s="816">
        <v>0</v>
      </c>
      <c r="D297" s="816">
        <v>0</v>
      </c>
      <c r="E297" s="816">
        <v>0</v>
      </c>
      <c r="F297" s="816">
        <v>0</v>
      </c>
      <c r="G297" s="816">
        <v>1</v>
      </c>
      <c r="H297" s="816">
        <v>2</v>
      </c>
      <c r="I297" s="816">
        <v>3</v>
      </c>
      <c r="J297" s="816">
        <v>4</v>
      </c>
      <c r="K297" s="816">
        <v>5</v>
      </c>
      <c r="L297" s="816">
        <v>6</v>
      </c>
      <c r="M297" s="816">
        <v>7</v>
      </c>
      <c r="N297" s="816">
        <v>8</v>
      </c>
      <c r="O297" s="816">
        <v>9</v>
      </c>
      <c r="P297" s="816">
        <v>10</v>
      </c>
      <c r="Q297" s="816">
        <v>11</v>
      </c>
      <c r="R297" s="816">
        <v>12</v>
      </c>
      <c r="S297" s="816">
        <v>13</v>
      </c>
      <c r="T297" s="816">
        <v>14</v>
      </c>
      <c r="U297" s="816">
        <v>15</v>
      </c>
      <c r="V297" s="816">
        <v>16</v>
      </c>
      <c r="W297" s="816">
        <v>17</v>
      </c>
      <c r="X297" s="816">
        <v>18</v>
      </c>
      <c r="Y297" s="816">
        <v>19</v>
      </c>
      <c r="Z297" s="816">
        <v>20</v>
      </c>
      <c r="AA297" s="816">
        <v>21</v>
      </c>
      <c r="AB297" s="816">
        <v>22</v>
      </c>
      <c r="AC297" s="816">
        <v>23</v>
      </c>
      <c r="AD297" s="816">
        <v>24</v>
      </c>
      <c r="AE297" s="816">
        <v>25</v>
      </c>
      <c r="AF297" s="816">
        <v>26</v>
      </c>
      <c r="AG297" s="816">
        <v>27</v>
      </c>
      <c r="AH297" s="816">
        <v>28</v>
      </c>
      <c r="AI297" s="816">
        <v>29</v>
      </c>
      <c r="AJ297" s="816">
        <v>30</v>
      </c>
      <c r="AK297" s="816">
        <v>31</v>
      </c>
      <c r="AL297" s="816">
        <v>32</v>
      </c>
      <c r="AM297" s="816">
        <v>33</v>
      </c>
      <c r="AN297" s="816">
        <v>34</v>
      </c>
      <c r="AO297" s="816">
        <v>35</v>
      </c>
      <c r="AP297" s="816">
        <v>36</v>
      </c>
      <c r="AQ297" s="816">
        <v>37</v>
      </c>
      <c r="AR297" s="816">
        <v>38</v>
      </c>
      <c r="AS297" s="816">
        <v>39</v>
      </c>
      <c r="AT297" s="816">
        <v>40</v>
      </c>
      <c r="AU297" s="166"/>
      <c r="AV297" s="166"/>
      <c r="AW297" s="166"/>
      <c r="AX297" s="166"/>
      <c r="AY297" s="166"/>
      <c r="AZ297" s="166"/>
      <c r="BA297" s="166"/>
      <c r="BB297" s="166"/>
      <c r="BC297" s="166"/>
      <c r="BD297" s="166"/>
      <c r="BE297" s="166"/>
      <c r="BF297" s="166"/>
      <c r="BG297" s="166"/>
      <c r="BH297" s="166"/>
      <c r="BI297" s="166"/>
      <c r="BJ297" s="166"/>
      <c r="BK297" s="166"/>
      <c r="BL297" s="166"/>
      <c r="BM297" s="166"/>
      <c r="BN297" s="166"/>
    </row>
    <row r="298" spans="2:66" ht="14.4" x14ac:dyDescent="0.3">
      <c r="B298" s="813"/>
      <c r="C298" s="798"/>
      <c r="D298" s="798"/>
      <c r="E298" s="798"/>
      <c r="F298" s="798"/>
      <c r="G298" s="798"/>
      <c r="H298" s="798"/>
      <c r="I298" s="798"/>
      <c r="J298" s="798"/>
      <c r="K298" s="798"/>
      <c r="L298" s="798"/>
      <c r="M298" s="798"/>
      <c r="N298" s="798"/>
      <c r="O298" s="798"/>
      <c r="P298" s="798"/>
      <c r="Q298" s="798"/>
      <c r="R298" s="798"/>
      <c r="S298" s="798"/>
      <c r="T298" s="798"/>
      <c r="U298" s="798"/>
      <c r="V298" s="798"/>
      <c r="W298" s="798"/>
      <c r="X298" s="798"/>
      <c r="Y298" s="798"/>
      <c r="Z298" s="798"/>
      <c r="AA298" s="798"/>
      <c r="AB298" s="798"/>
      <c r="AC298" s="798"/>
      <c r="AD298" s="798"/>
      <c r="AE298" s="798"/>
      <c r="AF298" s="798"/>
      <c r="AG298" s="798"/>
      <c r="AH298" s="798"/>
      <c r="AI298" s="798"/>
      <c r="AJ298" s="798"/>
      <c r="AK298" s="798"/>
      <c r="AL298" s="798"/>
      <c r="AM298" s="798"/>
      <c r="AN298" s="798"/>
      <c r="AO298" s="798"/>
      <c r="AP298" s="798"/>
      <c r="AQ298" s="798"/>
      <c r="AR298" s="798"/>
      <c r="AS298" s="798"/>
      <c r="AT298" s="798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</row>
    <row r="299" spans="2:66" ht="14.4" x14ac:dyDescent="0.25">
      <c r="B299" s="830" t="s">
        <v>434</v>
      </c>
      <c r="C299" s="807"/>
      <c r="D299" s="807"/>
      <c r="E299" s="807"/>
      <c r="F299" s="807"/>
      <c r="G299" s="807"/>
      <c r="H299" s="807"/>
      <c r="I299" s="807"/>
      <c r="J299" s="807"/>
      <c r="K299" s="807"/>
      <c r="L299" s="807"/>
      <c r="M299" s="807"/>
      <c r="N299" s="807"/>
      <c r="O299" s="807"/>
      <c r="P299" s="807"/>
      <c r="Q299" s="807"/>
      <c r="R299" s="807"/>
      <c r="S299" s="807"/>
      <c r="T299" s="807"/>
      <c r="U299" s="807"/>
      <c r="V299" s="807"/>
      <c r="W299" s="807"/>
      <c r="X299" s="807"/>
      <c r="Y299" s="807"/>
      <c r="Z299" s="807"/>
      <c r="AA299" s="807"/>
      <c r="AB299" s="807"/>
      <c r="AC299" s="807"/>
      <c r="AD299" s="807"/>
      <c r="AE299" s="807"/>
      <c r="AF299" s="807"/>
      <c r="AG299" s="807"/>
      <c r="AH299" s="807"/>
      <c r="AI299" s="807"/>
      <c r="AJ299" s="807"/>
      <c r="AK299" s="807"/>
      <c r="AL299" s="807"/>
      <c r="AM299" s="807"/>
      <c r="AN299" s="807"/>
      <c r="AO299" s="807"/>
      <c r="AP299" s="807"/>
      <c r="AQ299" s="807"/>
      <c r="AR299" s="807"/>
      <c r="AS299" s="807"/>
      <c r="AT299" s="807"/>
      <c r="AU299" s="166"/>
      <c r="AV299" s="166"/>
      <c r="AW299" s="166"/>
      <c r="AX299" s="166"/>
      <c r="AY299" s="166"/>
      <c r="AZ299" s="166"/>
      <c r="BA299" s="166"/>
      <c r="BB299" s="166"/>
      <c r="BC299" s="166"/>
      <c r="BD299" s="166"/>
      <c r="BE299" s="166"/>
      <c r="BF299" s="166"/>
      <c r="BG299" s="166"/>
      <c r="BH299" s="166"/>
      <c r="BI299" s="166"/>
      <c r="BJ299" s="166"/>
      <c r="BK299" s="166"/>
      <c r="BL299" s="166"/>
      <c r="BM299" s="166"/>
      <c r="BN299" s="166"/>
    </row>
    <row r="300" spans="2:66" x14ac:dyDescent="0.25">
      <c r="B300" s="831" t="s">
        <v>449</v>
      </c>
      <c r="C300" s="178">
        <v>0</v>
      </c>
      <c r="D300" s="178">
        <v>0</v>
      </c>
      <c r="E300" s="178">
        <v>0</v>
      </c>
      <c r="F300" s="178">
        <v>0</v>
      </c>
      <c r="G300" s="268">
        <f>G224</f>
        <v>2791546.919500811</v>
      </c>
      <c r="H300" s="268">
        <f t="shared" ref="H300:AT300" si="198">H224</f>
        <v>3091692.739287667</v>
      </c>
      <c r="I300" s="268">
        <f t="shared" si="198"/>
        <v>2934364.0421133931</v>
      </c>
      <c r="J300" s="268">
        <f t="shared" si="198"/>
        <v>3003556.4739287407</v>
      </c>
      <c r="K300" s="268">
        <f t="shared" si="198"/>
        <v>6864999.4108087067</v>
      </c>
      <c r="L300" s="268">
        <f t="shared" si="198"/>
        <v>3146987.7384020691</v>
      </c>
      <c r="M300" s="268">
        <f t="shared" si="198"/>
        <v>3221309.8210025458</v>
      </c>
      <c r="N300" s="268">
        <f t="shared" si="198"/>
        <v>3297426.7865636172</v>
      </c>
      <c r="O300" s="268">
        <f t="shared" si="198"/>
        <v>3375382.9246263341</v>
      </c>
      <c r="P300" s="268">
        <f t="shared" si="198"/>
        <v>7620124.5585567057</v>
      </c>
      <c r="Q300" s="268">
        <f t="shared" si="198"/>
        <v>3536995.481726327</v>
      </c>
      <c r="R300" s="268">
        <f t="shared" si="198"/>
        <v>3620746.1717735282</v>
      </c>
      <c r="S300" s="268">
        <f t="shared" si="198"/>
        <v>3706524.6358547215</v>
      </c>
      <c r="T300" s="268">
        <f t="shared" si="198"/>
        <v>3794381.0340164835</v>
      </c>
      <c r="U300" s="268">
        <f t="shared" si="198"/>
        <v>8460551.8528040089</v>
      </c>
      <c r="V300" s="268">
        <f t="shared" si="198"/>
        <v>3976534.6360238022</v>
      </c>
      <c r="W300" s="268">
        <f t="shared" si="198"/>
        <v>4070938.621770741</v>
      </c>
      <c r="X300" s="268">
        <f t="shared" si="198"/>
        <v>4167634.1731139594</v>
      </c>
      <c r="Y300" s="268">
        <f t="shared" si="198"/>
        <v>4266678.1150930393</v>
      </c>
      <c r="Z300" s="268">
        <f t="shared" si="198"/>
        <v>9396213.810979465</v>
      </c>
      <c r="AA300" s="268">
        <f t="shared" si="198"/>
        <v>4472045.6967975702</v>
      </c>
      <c r="AB300" s="268">
        <f t="shared" si="198"/>
        <v>4578490.3244372597</v>
      </c>
      <c r="AC300" s="268">
        <f t="shared" si="198"/>
        <v>4687525.3956046067</v>
      </c>
      <c r="AD300" s="268">
        <f t="shared" si="198"/>
        <v>4799215.3044166798</v>
      </c>
      <c r="AE300" s="268">
        <f t="shared" si="198"/>
        <v>10438238.257315286</v>
      </c>
      <c r="AF300" s="268">
        <f t="shared" si="198"/>
        <v>5030825.4186769668</v>
      </c>
      <c r="AG300" s="268">
        <f t="shared" si="198"/>
        <v>5150882.7472600536</v>
      </c>
      <c r="AH300" s="268">
        <f t="shared" si="198"/>
        <v>5273869.24748501</v>
      </c>
      <c r="AI300" s="268">
        <f t="shared" si="198"/>
        <v>5399857.9116118001</v>
      </c>
      <c r="AJ300" s="268">
        <f t="shared" si="198"/>
        <v>11599097.173153548</v>
      </c>
      <c r="AK300" s="268">
        <f t="shared" si="198"/>
        <v>5661143.0252687559</v>
      </c>
      <c r="AL300" s="268">
        <f t="shared" si="198"/>
        <v>5796594.9293390466</v>
      </c>
      <c r="AM300" s="268">
        <f t="shared" si="198"/>
        <v>5935360.0062841373</v>
      </c>
      <c r="AN300" s="268">
        <f t="shared" si="198"/>
        <v>6077521.0181308491</v>
      </c>
      <c r="AO300" s="268">
        <f t="shared" si="198"/>
        <v>12892774.71989817</v>
      </c>
      <c r="AP300" s="268">
        <f t="shared" si="198"/>
        <v>6372372.4917223342</v>
      </c>
      <c r="AQ300" s="268">
        <f t="shared" si="198"/>
        <v>6525239.2401587041</v>
      </c>
      <c r="AR300" s="268">
        <f t="shared" si="198"/>
        <v>6681854.610653758</v>
      </c>
      <c r="AS300" s="268">
        <f t="shared" si="198"/>
        <v>6842312.4692722289</v>
      </c>
      <c r="AT300" s="268">
        <f t="shared" si="198"/>
        <v>14334956.983977951</v>
      </c>
      <c r="AU300" s="166"/>
      <c r="AV300" s="166"/>
      <c r="AW300" s="166"/>
      <c r="AX300" s="166"/>
      <c r="AY300" s="166"/>
      <c r="AZ300" s="166"/>
      <c r="BA300" s="166"/>
      <c r="BB300" s="166"/>
      <c r="BC300" s="166"/>
      <c r="BD300" s="166"/>
      <c r="BE300" s="166"/>
      <c r="BF300" s="166"/>
      <c r="BG300" s="166"/>
      <c r="BH300" s="166"/>
      <c r="BI300" s="166"/>
      <c r="BJ300" s="166"/>
      <c r="BK300" s="166"/>
      <c r="BL300" s="166"/>
      <c r="BM300" s="166"/>
      <c r="BN300" s="166"/>
    </row>
    <row r="301" spans="2:66" x14ac:dyDescent="0.25">
      <c r="B301" s="832" t="s">
        <v>379</v>
      </c>
      <c r="C301" s="178">
        <v>0</v>
      </c>
      <c r="D301" s="178">
        <v>0</v>
      </c>
      <c r="E301" s="178">
        <v>0</v>
      </c>
      <c r="F301" s="178">
        <v>0</v>
      </c>
      <c r="G301" s="758">
        <f>DEMANDA!C75*PARAMETROS!$C$67</f>
        <v>5699364.8665819578</v>
      </c>
      <c r="H301" s="758">
        <f>DEMANDA!D75*PARAMETROS!$C$67</f>
        <v>7599153.1554426095</v>
      </c>
      <c r="I301" s="758">
        <f>DEMANDA!E75*PARAMETROS!$C$67</f>
        <v>7682170.5887335883</v>
      </c>
      <c r="J301" s="758">
        <f>DEMANDA!F75*PARAMETROS!$C$67</f>
        <v>7765188.0220245663</v>
      </c>
      <c r="K301" s="758">
        <f>DEMANDA!G75*PARAMETROS!$C$67</f>
        <v>7848205.4553155452</v>
      </c>
      <c r="L301" s="758">
        <f>DEMANDA!H75*PARAMETROS!$C$67</f>
        <v>7931222.8886065232</v>
      </c>
      <c r="M301" s="758">
        <f>DEMANDA!I75*PARAMETROS!$C$67</f>
        <v>8014240.321897503</v>
      </c>
      <c r="N301" s="758">
        <f>DEMANDA!J75*PARAMETROS!$C$67</f>
        <v>8054892.5369227119</v>
      </c>
      <c r="O301" s="758">
        <f>DEMANDA!K75*PARAMETROS!$C$67</f>
        <v>8095544.7519479217</v>
      </c>
      <c r="P301" s="758">
        <f>DEMANDA!L75*PARAMETROS!$C$67</f>
        <v>8136196.9669731325</v>
      </c>
      <c r="Q301" s="758">
        <f>DEMANDA!M75*PARAMETROS!$C$67</f>
        <v>8176849.1819983423</v>
      </c>
      <c r="R301" s="758">
        <f>DEMANDA!N75*PARAMETROS!$C$67</f>
        <v>8217501.3970235558</v>
      </c>
      <c r="S301" s="758">
        <f>DEMANDA!O75*PARAMETROS!$C$67</f>
        <v>8221354.4248204045</v>
      </c>
      <c r="T301" s="758">
        <f>DEMANDA!P75*PARAMETROS!$C$67</f>
        <v>8225207.4526172541</v>
      </c>
      <c r="U301" s="758">
        <f>DEMANDA!Q75*PARAMETROS!$C$67</f>
        <v>8229060.4804141019</v>
      </c>
      <c r="V301" s="758">
        <f>DEMANDA!R75*PARAMETROS!$C$67</f>
        <v>8232913.5082109496</v>
      </c>
      <c r="W301" s="758">
        <f>DEMANDA!S75*PARAMETROS!$C$67</f>
        <v>8236766.5360077964</v>
      </c>
      <c r="X301" s="758">
        <f>DEMANDA!T75*PARAMETROS!$C$67</f>
        <v>8287835.1112713059</v>
      </c>
      <c r="Y301" s="758">
        <f>DEMANDA!U75*PARAMETROS!$C$67</f>
        <v>8338903.6865348145</v>
      </c>
      <c r="Z301" s="758">
        <f>DEMANDA!V75*PARAMETROS!$C$67</f>
        <v>8389972.2617983241</v>
      </c>
      <c r="AA301" s="758">
        <f>DEMANDA!W75*PARAMETROS!$C$67</f>
        <v>8441040.8370618355</v>
      </c>
      <c r="AB301" s="758">
        <f>DEMANDA!X75*PARAMETROS!$C$67</f>
        <v>8492109.412325345</v>
      </c>
      <c r="AC301" s="758">
        <f>DEMANDA!Y75*PARAMETROS!$C$67</f>
        <v>8492109.412325345</v>
      </c>
      <c r="AD301" s="758">
        <f>DEMANDA!Z75*PARAMETROS!$C$67</f>
        <v>8492109.412325345</v>
      </c>
      <c r="AE301" s="758">
        <f>DEMANDA!AA75*PARAMETROS!$C$67</f>
        <v>8492109.412325345</v>
      </c>
      <c r="AF301" s="758">
        <f>DEMANDA!AB75*PARAMETROS!$C$67</f>
        <v>8492109.412325345</v>
      </c>
      <c r="AG301" s="758">
        <f>DEMANDA!AC75*PARAMETROS!$C$67</f>
        <v>8492109.412325345</v>
      </c>
      <c r="AH301" s="758">
        <f>DEMANDA!AD75*PARAMETROS!$C$67</f>
        <v>8492109.412325345</v>
      </c>
      <c r="AI301" s="758">
        <f>DEMANDA!AE75*PARAMETROS!$C$67</f>
        <v>8492109.412325345</v>
      </c>
      <c r="AJ301" s="758">
        <f>DEMANDA!AF75*PARAMETROS!$C$67</f>
        <v>8492109.412325345</v>
      </c>
      <c r="AK301" s="758">
        <f>DEMANDA!AG75*PARAMETROS!$C$67</f>
        <v>8492109.412325345</v>
      </c>
      <c r="AL301" s="758">
        <f>DEMANDA!AH75*PARAMETROS!$C$67</f>
        <v>8492109.412325345</v>
      </c>
      <c r="AM301" s="758">
        <f>DEMANDA!AI75*PARAMETROS!$C$67</f>
        <v>8492109.412325345</v>
      </c>
      <c r="AN301" s="758">
        <f>DEMANDA!AJ75*PARAMETROS!$C$67</f>
        <v>8492109.412325345</v>
      </c>
      <c r="AO301" s="758">
        <f>DEMANDA!AK75*PARAMETROS!$C$67</f>
        <v>8492109.412325345</v>
      </c>
      <c r="AP301" s="758">
        <f>DEMANDA!AL75*PARAMETROS!$C$67</f>
        <v>8492109.412325345</v>
      </c>
      <c r="AQ301" s="758">
        <f>DEMANDA!AM75*PARAMETROS!$C$67</f>
        <v>8492109.412325345</v>
      </c>
      <c r="AR301" s="758">
        <f>DEMANDA!AN75*PARAMETROS!$C$67</f>
        <v>8492109.412325345</v>
      </c>
      <c r="AS301" s="758">
        <f>DEMANDA!AO75*PARAMETROS!$C$67</f>
        <v>8492109.412325345</v>
      </c>
      <c r="AT301" s="758">
        <f>DEMANDA!AP75*PARAMETROS!$C$67</f>
        <v>8492109.412325345</v>
      </c>
      <c r="AU301" s="166"/>
      <c r="AV301" s="166"/>
      <c r="AW301" s="166"/>
      <c r="AX301" s="166"/>
      <c r="AY301" s="166"/>
      <c r="AZ301" s="166"/>
      <c r="BA301" s="166"/>
      <c r="BB301" s="166"/>
      <c r="BC301" s="166"/>
      <c r="BD301" s="166"/>
      <c r="BE301" s="166"/>
      <c r="BF301" s="166"/>
      <c r="BG301" s="166"/>
      <c r="BH301" s="166"/>
      <c r="BI301" s="166"/>
      <c r="BJ301" s="166"/>
      <c r="BK301" s="166"/>
      <c r="BL301" s="166"/>
      <c r="BM301" s="166"/>
      <c r="BN301" s="166"/>
    </row>
    <row r="302" spans="2:66" x14ac:dyDescent="0.25">
      <c r="B302" s="832" t="s">
        <v>395</v>
      </c>
      <c r="C302" s="178">
        <v>0</v>
      </c>
      <c r="D302" s="178">
        <v>0</v>
      </c>
      <c r="E302" s="178">
        <v>0</v>
      </c>
      <c r="F302" s="178">
        <v>0</v>
      </c>
      <c r="G302" s="758">
        <f>'INGRESOS de pasajeros'!C89*PARAMETROS!$C$67</f>
        <v>5799103.7517471425</v>
      </c>
      <c r="H302" s="758">
        <f>'INGRESOS de pasajeros'!D89*PARAMETROS!$C$67</f>
        <v>7732138.3356628539</v>
      </c>
      <c r="I302" s="758">
        <f>'INGRESOS de pasajeros'!E89*PARAMETROS!$C$67</f>
        <v>8172264.2641550843</v>
      </c>
      <c r="J302" s="758">
        <f>'INGRESOS de pasajeros'!F89*PARAMETROS!$C$67</f>
        <v>8260577.8983746506</v>
      </c>
      <c r="K302" s="758">
        <f>'INGRESOS de pasajeros'!G89*PARAMETROS!$C$67</f>
        <v>8686186.7505110241</v>
      </c>
      <c r="L302" s="758">
        <f>'INGRESOS de pasajeros'!H89*PARAMETROS!$C$67</f>
        <v>8778068.255553063</v>
      </c>
      <c r="M302" s="758">
        <f>'INGRESOS de pasajeros'!I89*PARAMETROS!$C$67</f>
        <v>9228295.7309231441</v>
      </c>
      <c r="N302" s="758">
        <f>'INGRESOS de pasajeros'!J89*PARAMETROS!$C$67</f>
        <v>9275106.2391312253</v>
      </c>
      <c r="O302" s="758">
        <f>'INGRESOS de pasajeros'!K89*PARAMETROS!$C$67</f>
        <v>9698522.1839318108</v>
      </c>
      <c r="P302" s="758">
        <f>'INGRESOS de pasajeros'!L89*PARAMETROS!$C$67</f>
        <v>9747223.8366714995</v>
      </c>
      <c r="Q302" s="758">
        <f>'INGRESOS de pasajeros'!M89*PARAMETROS!$C$67</f>
        <v>10191680.8791834</v>
      </c>
      <c r="R302" s="758">
        <f>'INGRESOS de pasajeros'!N89*PARAMETROS!$C$67</f>
        <v>10242350.078693777</v>
      </c>
      <c r="S302" s="758">
        <f>'INGRESOS de pasajeros'!O89*PARAMETROS!$C$67</f>
        <v>10661137.480721099</v>
      </c>
      <c r="T302" s="758">
        <f>'INGRESOS de pasajeros'!P89*PARAMETROS!$C$67</f>
        <v>10666133.939569199</v>
      </c>
      <c r="U302" s="758">
        <f>'INGRESOS de pasajeros'!Q89*PARAMETROS!$C$67</f>
        <v>11102244.066513358</v>
      </c>
      <c r="V302" s="758">
        <f>'INGRESOS de pasajeros'!R89*PARAMETROS!$C$67</f>
        <v>11107442.382298917</v>
      </c>
      <c r="W302" s="758">
        <f>'INGRESOS de pasajeros'!S89*PARAMETROS!$C$67</f>
        <v>11561591.382287087</v>
      </c>
      <c r="X302" s="758">
        <f>'INGRESOS de pasajeros'!T89*PARAMETROS!$C$67</f>
        <v>11633274.122970717</v>
      </c>
      <c r="Y302" s="758">
        <f>'INGRESOS de pasajeros'!U89*PARAMETROS!$C$67</f>
        <v>12177837.12094599</v>
      </c>
      <c r="Z302" s="758">
        <f>'INGRESOS de pasajeros'!V89*PARAMETROS!$C$67</f>
        <v>12252415.844353242</v>
      </c>
      <c r="AA302" s="758">
        <f>'INGRESOS de pasajeros'!W89*PARAMETROS!$C$67</f>
        <v>12825005.148298016</v>
      </c>
      <c r="AB302" s="758">
        <f>'INGRESOS de pasajeros'!X89*PARAMETROS!$C$67</f>
        <v>12902596.852130923</v>
      </c>
      <c r="AC302" s="758">
        <f>'INGRESOS de pasajeros'!Y89*PARAMETROS!$C$67</f>
        <v>13423861.764957011</v>
      </c>
      <c r="AD302" s="758">
        <f>'INGRESOS de pasajeros'!Z89*PARAMETROS!$C$67</f>
        <v>13423861.764957011</v>
      </c>
      <c r="AE302" s="758">
        <f>'INGRESOS de pasajeros'!AA89*PARAMETROS!$C$67</f>
        <v>13966185.780261276</v>
      </c>
      <c r="AF302" s="758">
        <f>'INGRESOS de pasajeros'!AB89*PARAMETROS!$C$67</f>
        <v>13966185.780261276</v>
      </c>
      <c r="AG302" s="758">
        <f>'INGRESOS de pasajeros'!AC89*PARAMETROS!$C$67</f>
        <v>14530419.685783831</v>
      </c>
      <c r="AH302" s="758">
        <f>'INGRESOS de pasajeros'!AD89*PARAMETROS!$C$67</f>
        <v>14530419.685783831</v>
      </c>
      <c r="AI302" s="758">
        <f>'INGRESOS de pasajeros'!AE89*PARAMETROS!$C$67</f>
        <v>15117448.641089497</v>
      </c>
      <c r="AJ302" s="758">
        <f>'INGRESOS de pasajeros'!AF89*PARAMETROS!$C$67</f>
        <v>15117448.641089497</v>
      </c>
      <c r="AK302" s="758">
        <f>'INGRESOS de pasajeros'!AG89*PARAMETROS!$C$67</f>
        <v>15728193.566189513</v>
      </c>
      <c r="AL302" s="758">
        <f>'INGRESOS de pasajeros'!AH89*PARAMETROS!$C$67</f>
        <v>15728193.566189513</v>
      </c>
      <c r="AM302" s="758">
        <f>'INGRESOS de pasajeros'!AI89*PARAMETROS!$C$67</f>
        <v>16363612.586263567</v>
      </c>
      <c r="AN302" s="758">
        <f>'INGRESOS de pasajeros'!AJ89*PARAMETROS!$C$67</f>
        <v>16363612.586263567</v>
      </c>
      <c r="AO302" s="758">
        <f>'INGRESOS de pasajeros'!AK89*PARAMETROS!$C$67</f>
        <v>17024702.534748621</v>
      </c>
      <c r="AP302" s="758">
        <f>'INGRESOS de pasajeros'!AL89*PARAMETROS!$C$67</f>
        <v>17024702.534748621</v>
      </c>
      <c r="AQ302" s="758">
        <f>'INGRESOS de pasajeros'!AM89*PARAMETROS!$C$67</f>
        <v>17712500.517152462</v>
      </c>
      <c r="AR302" s="758">
        <f>'INGRESOS de pasajeros'!AN89*PARAMETROS!$C$67</f>
        <v>17712500.517152462</v>
      </c>
      <c r="AS302" s="758">
        <f>'INGRESOS de pasajeros'!AO89*PARAMETROS!$C$67</f>
        <v>18428085.538045421</v>
      </c>
      <c r="AT302" s="758">
        <f>'INGRESOS de pasajeros'!AP89*PARAMETROS!$C$67</f>
        <v>18428085.538045421</v>
      </c>
      <c r="AU302" s="166"/>
      <c r="AV302" s="166"/>
      <c r="AW302" s="166"/>
      <c r="AX302" s="166"/>
      <c r="AY302" s="166"/>
      <c r="AZ302" s="166"/>
      <c r="BA302" s="166"/>
      <c r="BB302" s="166"/>
      <c r="BC302" s="166"/>
      <c r="BD302" s="166"/>
      <c r="BE302" s="166"/>
      <c r="BF302" s="166"/>
      <c r="BG302" s="166"/>
      <c r="BH302" s="166"/>
      <c r="BI302" s="166"/>
      <c r="BJ302" s="166"/>
      <c r="BK302" s="166"/>
      <c r="BL302" s="166"/>
      <c r="BM302" s="166"/>
      <c r="BN302" s="166"/>
    </row>
    <row r="303" spans="2:66" x14ac:dyDescent="0.25">
      <c r="B303" s="832" t="s">
        <v>396</v>
      </c>
      <c r="C303" s="178">
        <v>0</v>
      </c>
      <c r="D303" s="178">
        <v>0</v>
      </c>
      <c r="E303" s="178">
        <v>0</v>
      </c>
      <c r="F303" s="178">
        <v>0</v>
      </c>
      <c r="G303" s="178">
        <f>$C$14*$C$15*12</f>
        <v>420000</v>
      </c>
      <c r="H303" s="178">
        <f t="shared" ref="H303:AT303" si="199">$G$75*((1+$C$25)^G297)</f>
        <v>428400</v>
      </c>
      <c r="I303" s="178">
        <f t="shared" si="199"/>
        <v>436968</v>
      </c>
      <c r="J303" s="178">
        <f t="shared" si="199"/>
        <v>445707.36</v>
      </c>
      <c r="K303" s="178">
        <f t="shared" si="199"/>
        <v>454621.50719999999</v>
      </c>
      <c r="L303" s="178">
        <f t="shared" si="199"/>
        <v>463713.93734400003</v>
      </c>
      <c r="M303" s="178">
        <f t="shared" si="199"/>
        <v>472988.21609088004</v>
      </c>
      <c r="N303" s="178">
        <f t="shared" si="199"/>
        <v>482447.98041269754</v>
      </c>
      <c r="O303" s="178">
        <f t="shared" si="199"/>
        <v>492096.9400209515</v>
      </c>
      <c r="P303" s="178">
        <f t="shared" si="199"/>
        <v>501938.87882137054</v>
      </c>
      <c r="Q303" s="178">
        <f t="shared" si="199"/>
        <v>511977.65639779798</v>
      </c>
      <c r="R303" s="178">
        <f t="shared" si="199"/>
        <v>522217.20952575386</v>
      </c>
      <c r="S303" s="178">
        <f t="shared" si="199"/>
        <v>532661.55371626897</v>
      </c>
      <c r="T303" s="178">
        <f t="shared" si="199"/>
        <v>543314.78479059436</v>
      </c>
      <c r="U303" s="178">
        <f t="shared" si="199"/>
        <v>554181.08048640634</v>
      </c>
      <c r="V303" s="178">
        <f t="shared" si="199"/>
        <v>565264.70209613431</v>
      </c>
      <c r="W303" s="178">
        <f t="shared" si="199"/>
        <v>576569.99613805709</v>
      </c>
      <c r="X303" s="178">
        <f t="shared" si="199"/>
        <v>588101.39606081822</v>
      </c>
      <c r="Y303" s="178">
        <f t="shared" si="199"/>
        <v>599863.42398203455</v>
      </c>
      <c r="Z303" s="178">
        <f t="shared" si="199"/>
        <v>611860.69246167527</v>
      </c>
      <c r="AA303" s="178">
        <f t="shared" si="199"/>
        <v>624097.90631090873</v>
      </c>
      <c r="AB303" s="178">
        <f t="shared" si="199"/>
        <v>636579.8644371269</v>
      </c>
      <c r="AC303" s="178">
        <f t="shared" si="199"/>
        <v>649311.46172586945</v>
      </c>
      <c r="AD303" s="178">
        <f t="shared" si="199"/>
        <v>662297.69096038677</v>
      </c>
      <c r="AE303" s="178">
        <f t="shared" si="199"/>
        <v>675543.6447795945</v>
      </c>
      <c r="AF303" s="178">
        <f t="shared" si="199"/>
        <v>689054.51767518639</v>
      </c>
      <c r="AG303" s="178">
        <f t="shared" si="199"/>
        <v>702835.60802869021</v>
      </c>
      <c r="AH303" s="178">
        <f t="shared" si="199"/>
        <v>716892.3201892639</v>
      </c>
      <c r="AI303" s="178">
        <f t="shared" si="199"/>
        <v>731230.1665930493</v>
      </c>
      <c r="AJ303" s="178">
        <f t="shared" si="199"/>
        <v>745854.76992491016</v>
      </c>
      <c r="AK303" s="178">
        <f t="shared" si="199"/>
        <v>760771.86532340851</v>
      </c>
      <c r="AL303" s="178">
        <f t="shared" si="199"/>
        <v>775987.30262987642</v>
      </c>
      <c r="AM303" s="178">
        <f t="shared" si="199"/>
        <v>791507.04868247418</v>
      </c>
      <c r="AN303" s="178">
        <f t="shared" si="199"/>
        <v>807337.18965612364</v>
      </c>
      <c r="AO303" s="178">
        <f t="shared" si="199"/>
        <v>823483.93344924611</v>
      </c>
      <c r="AP303" s="178">
        <f t="shared" si="199"/>
        <v>839953.61211823102</v>
      </c>
      <c r="AQ303" s="178">
        <f t="shared" si="199"/>
        <v>856752.68436059554</v>
      </c>
      <c r="AR303" s="178">
        <f t="shared" si="199"/>
        <v>873887.73804780759</v>
      </c>
      <c r="AS303" s="178">
        <f t="shared" si="199"/>
        <v>891365.49280876387</v>
      </c>
      <c r="AT303" s="178">
        <f t="shared" si="199"/>
        <v>909192.80266493873</v>
      </c>
      <c r="AU303" s="166"/>
      <c r="AV303" s="166"/>
      <c r="AW303" s="166"/>
      <c r="AX303" s="166"/>
      <c r="AY303" s="166"/>
      <c r="AZ303" s="166"/>
      <c r="BA303" s="166"/>
      <c r="BB303" s="166"/>
      <c r="BC303" s="166"/>
      <c r="BD303" s="166"/>
      <c r="BE303" s="166"/>
      <c r="BF303" s="166"/>
      <c r="BG303" s="166"/>
      <c r="BH303" s="166"/>
      <c r="BI303" s="166"/>
      <c r="BJ303" s="166"/>
      <c r="BK303" s="166"/>
      <c r="BL303" s="166"/>
      <c r="BM303" s="166"/>
      <c r="BN303" s="166"/>
    </row>
    <row r="304" spans="2:66" x14ac:dyDescent="0.25">
      <c r="B304" s="832"/>
      <c r="C304" s="178"/>
      <c r="D304" s="178"/>
      <c r="E304" s="178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178"/>
      <c r="AH304" s="178"/>
      <c r="AI304" s="178"/>
      <c r="AJ304" s="178"/>
      <c r="AK304" s="178"/>
      <c r="AL304" s="178"/>
      <c r="AM304" s="178"/>
      <c r="AN304" s="178"/>
      <c r="AO304" s="178"/>
      <c r="AP304" s="178"/>
      <c r="AQ304" s="178"/>
      <c r="AR304" s="178"/>
      <c r="AS304" s="178"/>
      <c r="AT304" s="178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</row>
    <row r="305" spans="2:66" x14ac:dyDescent="0.25">
      <c r="B305" s="831" t="str">
        <f>B77</f>
        <v>Activos iniciales - Depreciacion 50 años</v>
      </c>
      <c r="C305" s="965">
        <f t="shared" ref="C305:AT311" si="200">C77</f>
        <v>0</v>
      </c>
      <c r="D305" s="965">
        <f t="shared" si="200"/>
        <v>0</v>
      </c>
      <c r="E305" s="965">
        <f t="shared" si="200"/>
        <v>0</v>
      </c>
      <c r="F305" s="965">
        <f t="shared" si="200"/>
        <v>0</v>
      </c>
      <c r="G305" s="965">
        <f t="shared" si="200"/>
        <v>-504404.99186940648</v>
      </c>
      <c r="H305" s="965">
        <f t="shared" si="200"/>
        <v>-504404.99186940648</v>
      </c>
      <c r="I305" s="965">
        <f t="shared" si="200"/>
        <v>-504404.99186940648</v>
      </c>
      <c r="J305" s="965">
        <f t="shared" si="200"/>
        <v>-504404.99186940648</v>
      </c>
      <c r="K305" s="965">
        <f t="shared" si="200"/>
        <v>-504404.99186940648</v>
      </c>
      <c r="L305" s="965">
        <f t="shared" si="200"/>
        <v>-504404.99186940648</v>
      </c>
      <c r="M305" s="965">
        <f t="shared" si="200"/>
        <v>-504404.99186940648</v>
      </c>
      <c r="N305" s="965">
        <f t="shared" si="200"/>
        <v>-504404.99186940648</v>
      </c>
      <c r="O305" s="965">
        <f t="shared" si="200"/>
        <v>-504404.99186940648</v>
      </c>
      <c r="P305" s="965">
        <f t="shared" si="200"/>
        <v>-504404.99186940648</v>
      </c>
      <c r="Q305" s="965">
        <f t="shared" si="200"/>
        <v>-504404.99186940648</v>
      </c>
      <c r="R305" s="965">
        <f t="shared" si="200"/>
        <v>-504404.99186940648</v>
      </c>
      <c r="S305" s="965">
        <f t="shared" si="200"/>
        <v>-504404.99186940648</v>
      </c>
      <c r="T305" s="965">
        <f t="shared" si="200"/>
        <v>-504404.99186940648</v>
      </c>
      <c r="U305" s="965">
        <f t="shared" si="200"/>
        <v>-504404.99186940648</v>
      </c>
      <c r="V305" s="965">
        <f t="shared" si="200"/>
        <v>-504404.99186940648</v>
      </c>
      <c r="W305" s="965">
        <f t="shared" si="200"/>
        <v>-504404.99186940648</v>
      </c>
      <c r="X305" s="965">
        <f t="shared" si="200"/>
        <v>-504404.99186940648</v>
      </c>
      <c r="Y305" s="965">
        <f t="shared" si="200"/>
        <v>-504404.99186940648</v>
      </c>
      <c r="Z305" s="965">
        <f t="shared" si="200"/>
        <v>-504404.99186940648</v>
      </c>
      <c r="AA305" s="965">
        <f t="shared" si="200"/>
        <v>-504404.99186940648</v>
      </c>
      <c r="AB305" s="965">
        <f t="shared" si="200"/>
        <v>-504404.99186940648</v>
      </c>
      <c r="AC305" s="965">
        <f t="shared" si="200"/>
        <v>-504404.99186940648</v>
      </c>
      <c r="AD305" s="965">
        <f t="shared" si="200"/>
        <v>-504404.99186940648</v>
      </c>
      <c r="AE305" s="965">
        <f t="shared" si="200"/>
        <v>-504404.99186940648</v>
      </c>
      <c r="AF305" s="965">
        <f t="shared" si="200"/>
        <v>-504404.99186940648</v>
      </c>
      <c r="AG305" s="965">
        <f t="shared" si="200"/>
        <v>-504404.99186940648</v>
      </c>
      <c r="AH305" s="965">
        <f t="shared" si="200"/>
        <v>-504404.99186940648</v>
      </c>
      <c r="AI305" s="965">
        <f t="shared" si="200"/>
        <v>-504404.99186940648</v>
      </c>
      <c r="AJ305" s="965">
        <f t="shared" si="200"/>
        <v>-504404.99186940648</v>
      </c>
      <c r="AK305" s="965">
        <f t="shared" si="200"/>
        <v>-504404.99186940648</v>
      </c>
      <c r="AL305" s="965">
        <f t="shared" si="200"/>
        <v>-504404.99186940648</v>
      </c>
      <c r="AM305" s="965">
        <f t="shared" si="200"/>
        <v>-504404.99186940648</v>
      </c>
      <c r="AN305" s="965">
        <f t="shared" si="200"/>
        <v>-504404.99186940648</v>
      </c>
      <c r="AO305" s="965">
        <f t="shared" si="200"/>
        <v>-504404.99186940648</v>
      </c>
      <c r="AP305" s="965">
        <f t="shared" si="200"/>
        <v>-504404.99186940648</v>
      </c>
      <c r="AQ305" s="965">
        <f t="shared" si="200"/>
        <v>-504404.99186940648</v>
      </c>
      <c r="AR305" s="965">
        <f t="shared" si="200"/>
        <v>-504404.99186940648</v>
      </c>
      <c r="AS305" s="965">
        <f t="shared" si="200"/>
        <v>-504404.99186940648</v>
      </c>
      <c r="AT305" s="965">
        <f t="shared" si="200"/>
        <v>-504404.99186940648</v>
      </c>
      <c r="AU305" s="166"/>
      <c r="AV305" s="166"/>
      <c r="AW305" s="166"/>
      <c r="AX305" s="166"/>
      <c r="AY305" s="166"/>
      <c r="AZ305" s="166"/>
      <c r="BA305" s="166"/>
      <c r="BB305" s="166"/>
      <c r="BC305" s="166"/>
      <c r="BD305" s="166"/>
      <c r="BE305" s="166"/>
      <c r="BF305" s="166"/>
      <c r="BG305" s="166"/>
      <c r="BH305" s="166"/>
      <c r="BI305" s="166"/>
      <c r="BJ305" s="166"/>
      <c r="BK305" s="166"/>
      <c r="BL305" s="166"/>
      <c r="BM305" s="166"/>
      <c r="BN305" s="166"/>
    </row>
    <row r="306" spans="2:66" x14ac:dyDescent="0.25">
      <c r="B306" s="831" t="str">
        <f t="shared" ref="B306:Q318" si="201">B78</f>
        <v>Activos iniciales - Depreciacion 40 años</v>
      </c>
      <c r="C306" s="965">
        <f t="shared" si="201"/>
        <v>0</v>
      </c>
      <c r="D306" s="965">
        <f t="shared" si="201"/>
        <v>0</v>
      </c>
      <c r="E306" s="965">
        <f t="shared" si="201"/>
        <v>0</v>
      </c>
      <c r="F306" s="965">
        <f t="shared" si="201"/>
        <v>0</v>
      </c>
      <c r="G306" s="965">
        <f t="shared" si="201"/>
        <v>-1099119.8758722784</v>
      </c>
      <c r="H306" s="965">
        <f t="shared" si="201"/>
        <v>-1099119.8758722784</v>
      </c>
      <c r="I306" s="965">
        <f t="shared" si="201"/>
        <v>-1099119.8758722784</v>
      </c>
      <c r="J306" s="965">
        <f t="shared" si="201"/>
        <v>-1099119.8758722784</v>
      </c>
      <c r="K306" s="965">
        <f t="shared" si="201"/>
        <v>-1099119.8758722784</v>
      </c>
      <c r="L306" s="965">
        <f t="shared" si="201"/>
        <v>-1099119.8758722784</v>
      </c>
      <c r="M306" s="965">
        <f t="shared" si="201"/>
        <v>-1099119.8758722784</v>
      </c>
      <c r="N306" s="965">
        <f t="shared" si="201"/>
        <v>-1099119.8758722784</v>
      </c>
      <c r="O306" s="965">
        <f t="shared" si="201"/>
        <v>-1099119.8758722784</v>
      </c>
      <c r="P306" s="965">
        <f t="shared" si="201"/>
        <v>-1099119.8758722784</v>
      </c>
      <c r="Q306" s="965">
        <f t="shared" si="201"/>
        <v>-1099119.8758722784</v>
      </c>
      <c r="R306" s="965">
        <f t="shared" si="200"/>
        <v>-1099119.8758722784</v>
      </c>
      <c r="S306" s="965">
        <f t="shared" si="200"/>
        <v>-1099119.8758722784</v>
      </c>
      <c r="T306" s="965">
        <f t="shared" si="200"/>
        <v>-1099119.8758722784</v>
      </c>
      <c r="U306" s="965">
        <f t="shared" si="200"/>
        <v>-1099119.8758722784</v>
      </c>
      <c r="V306" s="965">
        <f t="shared" si="200"/>
        <v>-1099119.8758722784</v>
      </c>
      <c r="W306" s="965">
        <f t="shared" si="200"/>
        <v>-1099119.8758722784</v>
      </c>
      <c r="X306" s="965">
        <f t="shared" si="200"/>
        <v>-1099119.8758722784</v>
      </c>
      <c r="Y306" s="965">
        <f t="shared" si="200"/>
        <v>-1099119.8758722784</v>
      </c>
      <c r="Z306" s="965">
        <f t="shared" si="200"/>
        <v>-1099119.8758722784</v>
      </c>
      <c r="AA306" s="965">
        <f t="shared" si="200"/>
        <v>-1099119.8758722784</v>
      </c>
      <c r="AB306" s="965">
        <f t="shared" si="200"/>
        <v>-1099119.8758722784</v>
      </c>
      <c r="AC306" s="965">
        <f t="shared" si="200"/>
        <v>-1099119.8758722784</v>
      </c>
      <c r="AD306" s="965">
        <f t="shared" si="200"/>
        <v>-1099119.8758722784</v>
      </c>
      <c r="AE306" s="965">
        <f t="shared" si="200"/>
        <v>-1099119.8758722784</v>
      </c>
      <c r="AF306" s="965">
        <f t="shared" si="200"/>
        <v>-1099119.8758722784</v>
      </c>
      <c r="AG306" s="965">
        <f t="shared" si="200"/>
        <v>-1099119.8758722784</v>
      </c>
      <c r="AH306" s="965">
        <f t="shared" si="200"/>
        <v>-1099119.8758722784</v>
      </c>
      <c r="AI306" s="965">
        <f t="shared" si="200"/>
        <v>-1099119.8758722784</v>
      </c>
      <c r="AJ306" s="965">
        <f t="shared" si="200"/>
        <v>-1099119.8758722784</v>
      </c>
      <c r="AK306" s="965">
        <f t="shared" si="200"/>
        <v>-1099119.8758722784</v>
      </c>
      <c r="AL306" s="965">
        <f t="shared" si="200"/>
        <v>-1099119.8758722784</v>
      </c>
      <c r="AM306" s="965">
        <f t="shared" si="200"/>
        <v>-1099119.8758722784</v>
      </c>
      <c r="AN306" s="965">
        <f t="shared" si="200"/>
        <v>-1099119.8758722784</v>
      </c>
      <c r="AO306" s="965">
        <f t="shared" si="200"/>
        <v>-1099119.8758722784</v>
      </c>
      <c r="AP306" s="965">
        <f t="shared" si="200"/>
        <v>-1099119.8758722784</v>
      </c>
      <c r="AQ306" s="965">
        <f t="shared" si="200"/>
        <v>-1099119.8758722784</v>
      </c>
      <c r="AR306" s="965">
        <f t="shared" si="200"/>
        <v>-1099119.8758722784</v>
      </c>
      <c r="AS306" s="965">
        <f t="shared" si="200"/>
        <v>-1099119.8758722784</v>
      </c>
      <c r="AT306" s="965">
        <f t="shared" si="200"/>
        <v>-1099119.8758722784</v>
      </c>
      <c r="AU306" s="166"/>
      <c r="AV306" s="166"/>
      <c r="AW306" s="166"/>
      <c r="AX306" s="166"/>
      <c r="AY306" s="166"/>
      <c r="AZ306" s="166"/>
      <c r="BA306" s="166"/>
      <c r="BB306" s="166"/>
      <c r="BC306" s="166"/>
      <c r="BD306" s="166"/>
      <c r="BE306" s="166"/>
      <c r="BF306" s="166"/>
      <c r="BG306" s="166"/>
      <c r="BH306" s="166"/>
      <c r="BI306" s="166"/>
      <c r="BJ306" s="166"/>
      <c r="BK306" s="166"/>
      <c r="BL306" s="166"/>
      <c r="BM306" s="166"/>
      <c r="BN306" s="166"/>
    </row>
    <row r="307" spans="2:66" x14ac:dyDescent="0.25">
      <c r="B307" s="831" t="str">
        <f t="shared" si="201"/>
        <v>Activos iniciales - Depreciacion 15 años</v>
      </c>
      <c r="C307" s="965">
        <f t="shared" si="200"/>
        <v>0</v>
      </c>
      <c r="D307" s="965">
        <f t="shared" si="200"/>
        <v>0</v>
      </c>
      <c r="E307" s="965">
        <f t="shared" si="200"/>
        <v>0</v>
      </c>
      <c r="F307" s="965">
        <f t="shared" si="200"/>
        <v>0</v>
      </c>
      <c r="G307" s="965">
        <f t="shared" si="200"/>
        <v>-627015.96420904167</v>
      </c>
      <c r="H307" s="965">
        <f t="shared" si="200"/>
        <v>-627015.96420904167</v>
      </c>
      <c r="I307" s="965">
        <f t="shared" si="200"/>
        <v>-627015.96420904167</v>
      </c>
      <c r="J307" s="965">
        <f t="shared" si="200"/>
        <v>-627015.96420904167</v>
      </c>
      <c r="K307" s="965">
        <f t="shared" si="200"/>
        <v>-627015.96420904167</v>
      </c>
      <c r="L307" s="965">
        <f t="shared" si="200"/>
        <v>-627015.96420904167</v>
      </c>
      <c r="M307" s="965">
        <f t="shared" si="200"/>
        <v>-627015.96420904167</v>
      </c>
      <c r="N307" s="965">
        <f t="shared" si="200"/>
        <v>-627015.96420904167</v>
      </c>
      <c r="O307" s="965">
        <f t="shared" si="200"/>
        <v>-627015.96420904167</v>
      </c>
      <c r="P307" s="965">
        <f t="shared" si="200"/>
        <v>-627015.96420904167</v>
      </c>
      <c r="Q307" s="965">
        <f t="shared" si="200"/>
        <v>-627015.96420904167</v>
      </c>
      <c r="R307" s="965">
        <f t="shared" si="200"/>
        <v>-627015.96420904167</v>
      </c>
      <c r="S307" s="965">
        <f t="shared" si="200"/>
        <v>-627015.96420904167</v>
      </c>
      <c r="T307" s="965">
        <f t="shared" si="200"/>
        <v>-627015.96420904167</v>
      </c>
      <c r="U307" s="965">
        <f t="shared" si="200"/>
        <v>-627015.96420904167</v>
      </c>
      <c r="V307" s="965">
        <f t="shared" si="200"/>
        <v>0</v>
      </c>
      <c r="W307" s="965">
        <f t="shared" si="200"/>
        <v>0</v>
      </c>
      <c r="X307" s="965">
        <f t="shared" si="200"/>
        <v>0</v>
      </c>
      <c r="Y307" s="965">
        <f t="shared" si="200"/>
        <v>0</v>
      </c>
      <c r="Z307" s="965">
        <f t="shared" si="200"/>
        <v>0</v>
      </c>
      <c r="AA307" s="965">
        <f t="shared" si="200"/>
        <v>0</v>
      </c>
      <c r="AB307" s="965">
        <f t="shared" si="200"/>
        <v>0</v>
      </c>
      <c r="AC307" s="965">
        <f t="shared" si="200"/>
        <v>0</v>
      </c>
      <c r="AD307" s="965">
        <f t="shared" si="200"/>
        <v>0</v>
      </c>
      <c r="AE307" s="965">
        <f t="shared" si="200"/>
        <v>0</v>
      </c>
      <c r="AF307" s="965">
        <f t="shared" si="200"/>
        <v>0</v>
      </c>
      <c r="AG307" s="965">
        <f t="shared" si="200"/>
        <v>0</v>
      </c>
      <c r="AH307" s="965">
        <f t="shared" si="200"/>
        <v>0</v>
      </c>
      <c r="AI307" s="965">
        <f t="shared" si="200"/>
        <v>0</v>
      </c>
      <c r="AJ307" s="965">
        <f t="shared" si="200"/>
        <v>0</v>
      </c>
      <c r="AK307" s="965">
        <f t="shared" si="200"/>
        <v>0</v>
      </c>
      <c r="AL307" s="965">
        <f t="shared" si="200"/>
        <v>0</v>
      </c>
      <c r="AM307" s="965">
        <f t="shared" si="200"/>
        <v>0</v>
      </c>
      <c r="AN307" s="965">
        <f t="shared" si="200"/>
        <v>0</v>
      </c>
      <c r="AO307" s="965">
        <f t="shared" si="200"/>
        <v>0</v>
      </c>
      <c r="AP307" s="965">
        <f t="shared" si="200"/>
        <v>0</v>
      </c>
      <c r="AQ307" s="965">
        <f t="shared" si="200"/>
        <v>0</v>
      </c>
      <c r="AR307" s="965">
        <f t="shared" si="200"/>
        <v>0</v>
      </c>
      <c r="AS307" s="965">
        <f t="shared" si="200"/>
        <v>0</v>
      </c>
      <c r="AT307" s="965">
        <f t="shared" si="200"/>
        <v>0</v>
      </c>
      <c r="AU307" s="166"/>
      <c r="AV307" s="166"/>
      <c r="AW307" s="166"/>
      <c r="AX307" s="166"/>
      <c r="AY307" s="166"/>
      <c r="AZ307" s="166"/>
      <c r="BA307" s="166"/>
      <c r="BB307" s="166"/>
      <c r="BC307" s="166"/>
      <c r="BD307" s="166"/>
      <c r="BE307" s="166"/>
      <c r="BF307" s="166"/>
      <c r="BG307" s="166"/>
      <c r="BH307" s="166"/>
      <c r="BI307" s="166"/>
      <c r="BJ307" s="166"/>
      <c r="BK307" s="166"/>
      <c r="BL307" s="166"/>
      <c r="BM307" s="166"/>
      <c r="BN307" s="166"/>
    </row>
    <row r="308" spans="2:66" x14ac:dyDescent="0.25">
      <c r="B308" s="831" t="str">
        <f t="shared" si="201"/>
        <v>Activos iniciales - Depreciacion 10 años</v>
      </c>
      <c r="C308" s="965">
        <f t="shared" si="200"/>
        <v>0</v>
      </c>
      <c r="D308" s="965">
        <f t="shared" si="200"/>
        <v>0</v>
      </c>
      <c r="E308" s="965">
        <f t="shared" si="200"/>
        <v>0</v>
      </c>
      <c r="F308" s="965">
        <f t="shared" si="200"/>
        <v>0</v>
      </c>
      <c r="G308" s="965">
        <f t="shared" si="200"/>
        <v>-235044.88831879152</v>
      </c>
      <c r="H308" s="965">
        <f t="shared" si="200"/>
        <v>-235044.88831879152</v>
      </c>
      <c r="I308" s="965">
        <f t="shared" si="200"/>
        <v>-235044.88831879152</v>
      </c>
      <c r="J308" s="965">
        <f t="shared" si="200"/>
        <v>-235044.88831879152</v>
      </c>
      <c r="K308" s="965">
        <f t="shared" si="200"/>
        <v>-235044.88831879152</v>
      </c>
      <c r="L308" s="965">
        <f t="shared" si="200"/>
        <v>-235044.88831879152</v>
      </c>
      <c r="M308" s="965">
        <f t="shared" si="200"/>
        <v>-235044.88831879152</v>
      </c>
      <c r="N308" s="965">
        <f t="shared" si="200"/>
        <v>-235044.88831879152</v>
      </c>
      <c r="O308" s="965">
        <f t="shared" si="200"/>
        <v>-235044.88831879152</v>
      </c>
      <c r="P308" s="965">
        <f t="shared" si="200"/>
        <v>-235044.88831879152</v>
      </c>
      <c r="Q308" s="965">
        <f t="shared" si="200"/>
        <v>0</v>
      </c>
      <c r="R308" s="965">
        <f t="shared" si="200"/>
        <v>0</v>
      </c>
      <c r="S308" s="965">
        <f t="shared" si="200"/>
        <v>0</v>
      </c>
      <c r="T308" s="965">
        <f t="shared" si="200"/>
        <v>0</v>
      </c>
      <c r="U308" s="965">
        <f t="shared" si="200"/>
        <v>0</v>
      </c>
      <c r="V308" s="965">
        <f t="shared" si="200"/>
        <v>0</v>
      </c>
      <c r="W308" s="965">
        <f t="shared" si="200"/>
        <v>0</v>
      </c>
      <c r="X308" s="965">
        <f t="shared" si="200"/>
        <v>0</v>
      </c>
      <c r="Y308" s="965">
        <f t="shared" si="200"/>
        <v>0</v>
      </c>
      <c r="Z308" s="965">
        <f t="shared" si="200"/>
        <v>0</v>
      </c>
      <c r="AA308" s="965">
        <f t="shared" si="200"/>
        <v>0</v>
      </c>
      <c r="AB308" s="965">
        <f t="shared" si="200"/>
        <v>0</v>
      </c>
      <c r="AC308" s="965">
        <f t="shared" si="200"/>
        <v>0</v>
      </c>
      <c r="AD308" s="965">
        <f t="shared" si="200"/>
        <v>0</v>
      </c>
      <c r="AE308" s="965">
        <f t="shared" si="200"/>
        <v>0</v>
      </c>
      <c r="AF308" s="965">
        <f t="shared" si="200"/>
        <v>0</v>
      </c>
      <c r="AG308" s="965">
        <f t="shared" si="200"/>
        <v>0</v>
      </c>
      <c r="AH308" s="965">
        <f t="shared" si="200"/>
        <v>0</v>
      </c>
      <c r="AI308" s="965">
        <f t="shared" si="200"/>
        <v>0</v>
      </c>
      <c r="AJ308" s="965">
        <f t="shared" si="200"/>
        <v>0</v>
      </c>
      <c r="AK308" s="965">
        <f t="shared" si="200"/>
        <v>0</v>
      </c>
      <c r="AL308" s="965">
        <f t="shared" si="200"/>
        <v>0</v>
      </c>
      <c r="AM308" s="965">
        <f t="shared" si="200"/>
        <v>0</v>
      </c>
      <c r="AN308" s="965">
        <f t="shared" si="200"/>
        <v>0</v>
      </c>
      <c r="AO308" s="965">
        <f t="shared" si="200"/>
        <v>0</v>
      </c>
      <c r="AP308" s="965">
        <f t="shared" si="200"/>
        <v>0</v>
      </c>
      <c r="AQ308" s="965">
        <f t="shared" si="200"/>
        <v>0</v>
      </c>
      <c r="AR308" s="965">
        <f t="shared" si="200"/>
        <v>0</v>
      </c>
      <c r="AS308" s="965">
        <f t="shared" si="200"/>
        <v>0</v>
      </c>
      <c r="AT308" s="965">
        <f t="shared" si="200"/>
        <v>0</v>
      </c>
      <c r="AU308" s="166"/>
      <c r="AV308" s="166"/>
      <c r="AW308" s="166"/>
      <c r="AX308" s="166"/>
      <c r="AY308" s="166"/>
      <c r="AZ308" s="166"/>
      <c r="BA308" s="166"/>
      <c r="BB308" s="166"/>
      <c r="BC308" s="166"/>
      <c r="BD308" s="166"/>
      <c r="BE308" s="166"/>
      <c r="BF308" s="166"/>
      <c r="BG308" s="166"/>
      <c r="BH308" s="166"/>
      <c r="BI308" s="166"/>
      <c r="BJ308" s="166"/>
      <c r="BK308" s="166"/>
      <c r="BL308" s="166"/>
      <c r="BM308" s="166"/>
      <c r="BN308" s="166"/>
    </row>
    <row r="309" spans="2:66" x14ac:dyDescent="0.25">
      <c r="B309" s="831" t="str">
        <f t="shared" si="201"/>
        <v>Activos iniciales - Depreciacion 5 años</v>
      </c>
      <c r="C309" s="965">
        <f t="shared" si="200"/>
        <v>0</v>
      </c>
      <c r="D309" s="965">
        <f t="shared" si="200"/>
        <v>0</v>
      </c>
      <c r="E309" s="965">
        <f t="shared" si="200"/>
        <v>0</v>
      </c>
      <c r="F309" s="965">
        <f t="shared" si="200"/>
        <v>0</v>
      </c>
      <c r="G309" s="965">
        <f t="shared" si="200"/>
        <v>-141000.47274877818</v>
      </c>
      <c r="H309" s="965">
        <f t="shared" si="200"/>
        <v>-141000.47274877818</v>
      </c>
      <c r="I309" s="965">
        <f t="shared" si="200"/>
        <v>-141000.47274877818</v>
      </c>
      <c r="J309" s="965">
        <f t="shared" si="200"/>
        <v>-141000.47274877818</v>
      </c>
      <c r="K309" s="965">
        <f t="shared" si="200"/>
        <v>-141000.47274877818</v>
      </c>
      <c r="L309" s="965">
        <f t="shared" si="200"/>
        <v>0</v>
      </c>
      <c r="M309" s="965">
        <f t="shared" si="200"/>
        <v>0</v>
      </c>
      <c r="N309" s="965">
        <f t="shared" si="200"/>
        <v>0</v>
      </c>
      <c r="O309" s="965">
        <f t="shared" si="200"/>
        <v>0</v>
      </c>
      <c r="P309" s="965">
        <f t="shared" si="200"/>
        <v>0</v>
      </c>
      <c r="Q309" s="965">
        <f t="shared" si="200"/>
        <v>0</v>
      </c>
      <c r="R309" s="965">
        <f t="shared" si="200"/>
        <v>0</v>
      </c>
      <c r="S309" s="965">
        <f t="shared" si="200"/>
        <v>0</v>
      </c>
      <c r="T309" s="965">
        <f t="shared" si="200"/>
        <v>0</v>
      </c>
      <c r="U309" s="965">
        <f t="shared" si="200"/>
        <v>0</v>
      </c>
      <c r="V309" s="965">
        <f t="shared" si="200"/>
        <v>0</v>
      </c>
      <c r="W309" s="965">
        <f t="shared" si="200"/>
        <v>0</v>
      </c>
      <c r="X309" s="965">
        <f t="shared" si="200"/>
        <v>0</v>
      </c>
      <c r="Y309" s="965">
        <f t="shared" si="200"/>
        <v>0</v>
      </c>
      <c r="Z309" s="965">
        <f t="shared" si="200"/>
        <v>0</v>
      </c>
      <c r="AA309" s="965">
        <f t="shared" si="200"/>
        <v>0</v>
      </c>
      <c r="AB309" s="965">
        <f t="shared" si="200"/>
        <v>0</v>
      </c>
      <c r="AC309" s="965">
        <f t="shared" si="200"/>
        <v>0</v>
      </c>
      <c r="AD309" s="965">
        <f t="shared" si="200"/>
        <v>0</v>
      </c>
      <c r="AE309" s="965">
        <f t="shared" si="200"/>
        <v>0</v>
      </c>
      <c r="AF309" s="965">
        <f t="shared" si="200"/>
        <v>0</v>
      </c>
      <c r="AG309" s="965">
        <f t="shared" si="200"/>
        <v>0</v>
      </c>
      <c r="AH309" s="965">
        <f t="shared" si="200"/>
        <v>0</v>
      </c>
      <c r="AI309" s="965">
        <f t="shared" si="200"/>
        <v>0</v>
      </c>
      <c r="AJ309" s="965">
        <f t="shared" si="200"/>
        <v>0</v>
      </c>
      <c r="AK309" s="965">
        <f t="shared" si="200"/>
        <v>0</v>
      </c>
      <c r="AL309" s="965">
        <f t="shared" si="200"/>
        <v>0</v>
      </c>
      <c r="AM309" s="965">
        <f t="shared" si="200"/>
        <v>0</v>
      </c>
      <c r="AN309" s="965">
        <f t="shared" si="200"/>
        <v>0</v>
      </c>
      <c r="AO309" s="965">
        <f t="shared" si="200"/>
        <v>0</v>
      </c>
      <c r="AP309" s="965">
        <f t="shared" si="200"/>
        <v>0</v>
      </c>
      <c r="AQ309" s="965">
        <f t="shared" si="200"/>
        <v>0</v>
      </c>
      <c r="AR309" s="965">
        <f t="shared" si="200"/>
        <v>0</v>
      </c>
      <c r="AS309" s="965">
        <f t="shared" si="200"/>
        <v>0</v>
      </c>
      <c r="AT309" s="965">
        <f t="shared" si="200"/>
        <v>0</v>
      </c>
      <c r="AU309" s="166"/>
      <c r="AV309" s="166"/>
      <c r="AW309" s="166"/>
      <c r="AX309" s="166"/>
      <c r="AY309" s="166"/>
      <c r="AZ309" s="166"/>
      <c r="BA309" s="166"/>
      <c r="BB309" s="166"/>
      <c r="BC309" s="166"/>
      <c r="BD309" s="166"/>
      <c r="BE309" s="166"/>
      <c r="BF309" s="166"/>
      <c r="BG309" s="166"/>
      <c r="BH309" s="166"/>
      <c r="BI309" s="166"/>
      <c r="BJ309" s="166"/>
      <c r="BK309" s="166"/>
      <c r="BL309" s="166"/>
      <c r="BM309" s="166"/>
      <c r="BN309" s="166"/>
    </row>
    <row r="310" spans="2:66" x14ac:dyDescent="0.25">
      <c r="B310" s="831" t="str">
        <f t="shared" si="201"/>
        <v>Activos iniciales - Valor residual</v>
      </c>
      <c r="C310" s="965">
        <f t="shared" si="200"/>
        <v>0</v>
      </c>
      <c r="D310" s="965">
        <f t="shared" si="200"/>
        <v>0</v>
      </c>
      <c r="E310" s="965">
        <f t="shared" si="200"/>
        <v>0</v>
      </c>
      <c r="F310" s="965">
        <f t="shared" si="200"/>
        <v>0</v>
      </c>
      <c r="G310" s="965">
        <f t="shared" si="200"/>
        <v>91399247.348360002</v>
      </c>
      <c r="H310" s="965">
        <f t="shared" si="200"/>
        <v>88792661.1553417</v>
      </c>
      <c r="I310" s="965">
        <f t="shared" si="200"/>
        <v>86186074.962323397</v>
      </c>
      <c r="J310" s="965">
        <f t="shared" si="200"/>
        <v>83579488.769305095</v>
      </c>
      <c r="K310" s="965">
        <f t="shared" si="200"/>
        <v>80972902.576286793</v>
      </c>
      <c r="L310" s="965">
        <f t="shared" si="200"/>
        <v>78507316.856017277</v>
      </c>
      <c r="M310" s="965">
        <f t="shared" si="200"/>
        <v>76041731.135747761</v>
      </c>
      <c r="N310" s="965">
        <f t="shared" si="200"/>
        <v>73576145.415478244</v>
      </c>
      <c r="O310" s="965">
        <f t="shared" si="200"/>
        <v>71110559.695208728</v>
      </c>
      <c r="P310" s="965">
        <f t="shared" si="200"/>
        <v>68644973.974939212</v>
      </c>
      <c r="Q310" s="965">
        <f t="shared" si="200"/>
        <v>66414433.142988488</v>
      </c>
      <c r="R310" s="965">
        <f t="shared" si="200"/>
        <v>64183892.311037764</v>
      </c>
      <c r="S310" s="965">
        <f t="shared" si="200"/>
        <v>61953351.47908704</v>
      </c>
      <c r="T310" s="965">
        <f t="shared" si="200"/>
        <v>59722810.647136316</v>
      </c>
      <c r="U310" s="965">
        <f t="shared" si="200"/>
        <v>57492269.815185592</v>
      </c>
      <c r="V310" s="965">
        <f t="shared" si="200"/>
        <v>55888744.94744391</v>
      </c>
      <c r="W310" s="965">
        <f t="shared" si="200"/>
        <v>54285220.079702228</v>
      </c>
      <c r="X310" s="965">
        <f t="shared" si="200"/>
        <v>52681695.211960547</v>
      </c>
      <c r="Y310" s="965">
        <f t="shared" si="200"/>
        <v>51078170.344218865</v>
      </c>
      <c r="Z310" s="965">
        <f t="shared" si="200"/>
        <v>49474645.476477183</v>
      </c>
      <c r="AA310" s="965">
        <f t="shared" si="200"/>
        <v>47871120.608735502</v>
      </c>
      <c r="AB310" s="965">
        <f t="shared" si="200"/>
        <v>46267595.74099382</v>
      </c>
      <c r="AC310" s="965">
        <f t="shared" si="200"/>
        <v>44664070.873252138</v>
      </c>
      <c r="AD310" s="965">
        <f t="shared" si="200"/>
        <v>43060546.005510457</v>
      </c>
      <c r="AE310" s="965">
        <f t="shared" si="200"/>
        <v>41457021.137768775</v>
      </c>
      <c r="AF310" s="965">
        <f t="shared" si="200"/>
        <v>39853496.270027094</v>
      </c>
      <c r="AG310" s="965">
        <f t="shared" si="200"/>
        <v>38249971.402285412</v>
      </c>
      <c r="AH310" s="965">
        <f t="shared" si="200"/>
        <v>36646446.53454373</v>
      </c>
      <c r="AI310" s="965">
        <f t="shared" si="200"/>
        <v>35042921.666802049</v>
      </c>
      <c r="AJ310" s="965">
        <f t="shared" si="200"/>
        <v>33439396.799060363</v>
      </c>
      <c r="AK310" s="965">
        <f t="shared" si="200"/>
        <v>31835871.931318678</v>
      </c>
      <c r="AL310" s="965">
        <f t="shared" si="200"/>
        <v>30232347.063576993</v>
      </c>
      <c r="AM310" s="965">
        <f t="shared" si="200"/>
        <v>28628822.195835307</v>
      </c>
      <c r="AN310" s="965">
        <f t="shared" si="200"/>
        <v>27025297.328093622</v>
      </c>
      <c r="AO310" s="965">
        <f t="shared" si="200"/>
        <v>25421772.460351937</v>
      </c>
      <c r="AP310" s="965">
        <f t="shared" si="200"/>
        <v>23818247.592610251</v>
      </c>
      <c r="AQ310" s="965">
        <f t="shared" si="200"/>
        <v>22214722.724868566</v>
      </c>
      <c r="AR310" s="965">
        <f t="shared" si="200"/>
        <v>20611197.85712688</v>
      </c>
      <c r="AS310" s="965">
        <f t="shared" si="200"/>
        <v>19007672.989385195</v>
      </c>
      <c r="AT310" s="965">
        <f t="shared" si="200"/>
        <v>17404148.12164351</v>
      </c>
      <c r="AU310" s="166"/>
      <c r="AV310" s="166"/>
      <c r="AW310" s="166"/>
      <c r="AX310" s="166"/>
      <c r="AY310" s="166"/>
      <c r="AZ310" s="166"/>
      <c r="BA310" s="166"/>
      <c r="BB310" s="166"/>
      <c r="BC310" s="166"/>
      <c r="BD310" s="166"/>
      <c r="BE310" s="166"/>
      <c r="BF310" s="166"/>
      <c r="BG310" s="166"/>
      <c r="BH310" s="166"/>
      <c r="BI310" s="166"/>
      <c r="BJ310" s="166"/>
      <c r="BK310" s="166"/>
      <c r="BL310" s="166"/>
      <c r="BM310" s="166"/>
      <c r="BN310" s="166"/>
    </row>
    <row r="311" spans="2:66" x14ac:dyDescent="0.25">
      <c r="B311" s="831" t="str">
        <f t="shared" si="201"/>
        <v>Activos nuevos 1 - Depreciacion 10 años</v>
      </c>
      <c r="C311" s="965">
        <f t="shared" si="200"/>
        <v>0</v>
      </c>
      <c r="D311" s="965">
        <f t="shared" si="200"/>
        <v>0</v>
      </c>
      <c r="E311" s="965">
        <f t="shared" si="200"/>
        <v>0</v>
      </c>
      <c r="F311" s="965">
        <f t="shared" si="200"/>
        <v>0</v>
      </c>
      <c r="G311" s="965">
        <f t="shared" si="200"/>
        <v>0</v>
      </c>
      <c r="H311" s="965">
        <f t="shared" si="200"/>
        <v>0</v>
      </c>
      <c r="I311" s="965">
        <f t="shared" ref="C311:AT316" si="202">I83</f>
        <v>0</v>
      </c>
      <c r="J311" s="965">
        <f t="shared" si="202"/>
        <v>0</v>
      </c>
      <c r="K311" s="965">
        <f t="shared" si="202"/>
        <v>0</v>
      </c>
      <c r="L311" s="965">
        <f t="shared" si="202"/>
        <v>0</v>
      </c>
      <c r="M311" s="965">
        <f t="shared" si="202"/>
        <v>0</v>
      </c>
      <c r="N311" s="965">
        <f t="shared" si="202"/>
        <v>0</v>
      </c>
      <c r="O311" s="965">
        <f t="shared" si="202"/>
        <v>0</v>
      </c>
      <c r="P311" s="965">
        <f t="shared" si="202"/>
        <v>0</v>
      </c>
      <c r="Q311" s="965">
        <f t="shared" si="202"/>
        <v>0</v>
      </c>
      <c r="R311" s="965">
        <f t="shared" si="202"/>
        <v>-300957.91077587084</v>
      </c>
      <c r="S311" s="965">
        <f t="shared" si="202"/>
        <v>-300957.91077587084</v>
      </c>
      <c r="T311" s="965">
        <f t="shared" si="202"/>
        <v>-300957.91077587084</v>
      </c>
      <c r="U311" s="965">
        <f t="shared" si="202"/>
        <v>-300957.91077587084</v>
      </c>
      <c r="V311" s="965">
        <f t="shared" si="202"/>
        <v>-300957.91077587084</v>
      </c>
      <c r="W311" s="965">
        <f t="shared" si="202"/>
        <v>-300957.91077587084</v>
      </c>
      <c r="X311" s="965">
        <f t="shared" si="202"/>
        <v>-300957.91077587084</v>
      </c>
      <c r="Y311" s="965">
        <f t="shared" si="202"/>
        <v>-300957.91077587084</v>
      </c>
      <c r="Z311" s="965">
        <f t="shared" si="202"/>
        <v>-300957.91077587084</v>
      </c>
      <c r="AA311" s="965">
        <f t="shared" si="202"/>
        <v>-300957.91077587084</v>
      </c>
      <c r="AB311" s="965">
        <f t="shared" si="202"/>
        <v>-300957.91077587084</v>
      </c>
      <c r="AC311" s="965">
        <f t="shared" si="202"/>
        <v>0</v>
      </c>
      <c r="AD311" s="965">
        <f t="shared" si="202"/>
        <v>0</v>
      </c>
      <c r="AE311" s="965">
        <f t="shared" si="202"/>
        <v>0</v>
      </c>
      <c r="AF311" s="965">
        <f t="shared" si="202"/>
        <v>0</v>
      </c>
      <c r="AG311" s="965">
        <f t="shared" si="202"/>
        <v>0</v>
      </c>
      <c r="AH311" s="965">
        <f t="shared" si="202"/>
        <v>0</v>
      </c>
      <c r="AI311" s="965">
        <f t="shared" si="202"/>
        <v>0</v>
      </c>
      <c r="AJ311" s="965">
        <f t="shared" si="202"/>
        <v>0</v>
      </c>
      <c r="AK311" s="965">
        <f t="shared" si="202"/>
        <v>0</v>
      </c>
      <c r="AL311" s="965">
        <f t="shared" si="202"/>
        <v>0</v>
      </c>
      <c r="AM311" s="965">
        <f t="shared" si="202"/>
        <v>0</v>
      </c>
      <c r="AN311" s="965">
        <f t="shared" si="202"/>
        <v>0</v>
      </c>
      <c r="AO311" s="965">
        <f t="shared" si="202"/>
        <v>0</v>
      </c>
      <c r="AP311" s="965">
        <f t="shared" si="202"/>
        <v>0</v>
      </c>
      <c r="AQ311" s="965">
        <f t="shared" si="202"/>
        <v>0</v>
      </c>
      <c r="AR311" s="965">
        <f t="shared" si="202"/>
        <v>0</v>
      </c>
      <c r="AS311" s="965">
        <f t="shared" si="202"/>
        <v>0</v>
      </c>
      <c r="AT311" s="965">
        <f t="shared" si="202"/>
        <v>0</v>
      </c>
      <c r="AU311" s="166"/>
      <c r="AV311" s="166"/>
      <c r="AW311" s="166"/>
      <c r="AX311" s="166"/>
      <c r="AY311" s="166"/>
      <c r="AZ311" s="166"/>
      <c r="BA311" s="166"/>
      <c r="BB311" s="166"/>
      <c r="BC311" s="166"/>
      <c r="BD311" s="166"/>
      <c r="BE311" s="166"/>
      <c r="BF311" s="166"/>
      <c r="BG311" s="166"/>
      <c r="BH311" s="166"/>
      <c r="BI311" s="166"/>
      <c r="BJ311" s="166"/>
      <c r="BK311" s="166"/>
      <c r="BL311" s="166"/>
      <c r="BM311" s="166"/>
      <c r="BN311" s="166"/>
    </row>
    <row r="312" spans="2:66" x14ac:dyDescent="0.25">
      <c r="B312" s="831" t="str">
        <f t="shared" si="201"/>
        <v>Activos nuevos 1 - Valor residual</v>
      </c>
      <c r="C312" s="965">
        <f t="shared" si="202"/>
        <v>0</v>
      </c>
      <c r="D312" s="965">
        <f t="shared" si="202"/>
        <v>0</v>
      </c>
      <c r="E312" s="965">
        <f t="shared" si="202"/>
        <v>0</v>
      </c>
      <c r="F312" s="965">
        <f t="shared" si="202"/>
        <v>0</v>
      </c>
      <c r="G312" s="965">
        <f t="shared" si="202"/>
        <v>0</v>
      </c>
      <c r="H312" s="965">
        <f t="shared" si="202"/>
        <v>0</v>
      </c>
      <c r="I312" s="965">
        <f t="shared" si="202"/>
        <v>0</v>
      </c>
      <c r="J312" s="965">
        <f t="shared" si="202"/>
        <v>0</v>
      </c>
      <c r="K312" s="965">
        <f t="shared" si="202"/>
        <v>0</v>
      </c>
      <c r="L312" s="965">
        <f t="shared" si="202"/>
        <v>0</v>
      </c>
      <c r="M312" s="965">
        <f t="shared" si="202"/>
        <v>0</v>
      </c>
      <c r="N312" s="965">
        <f t="shared" si="202"/>
        <v>0</v>
      </c>
      <c r="O312" s="965">
        <f t="shared" si="202"/>
        <v>0</v>
      </c>
      <c r="P312" s="965">
        <f t="shared" si="202"/>
        <v>0</v>
      </c>
      <c r="Q312" s="965">
        <f t="shared" si="202"/>
        <v>0</v>
      </c>
      <c r="R312" s="965">
        <f t="shared" si="202"/>
        <v>3009579.1077587083</v>
      </c>
      <c r="S312" s="965">
        <f t="shared" si="202"/>
        <v>2708621.1969828373</v>
      </c>
      <c r="T312" s="965">
        <f t="shared" si="202"/>
        <v>2407663.2862069663</v>
      </c>
      <c r="U312" s="965">
        <f t="shared" si="202"/>
        <v>2106705.3754310952</v>
      </c>
      <c r="V312" s="965">
        <f t="shared" si="202"/>
        <v>1805747.4646552245</v>
      </c>
      <c r="W312" s="965">
        <f t="shared" si="202"/>
        <v>1504789.5538793537</v>
      </c>
      <c r="X312" s="965">
        <f t="shared" si="202"/>
        <v>1203831.6431034829</v>
      </c>
      <c r="Y312" s="965">
        <f t="shared" si="202"/>
        <v>902873.73232761212</v>
      </c>
      <c r="Z312" s="965">
        <f t="shared" si="202"/>
        <v>601915.82155174133</v>
      </c>
      <c r="AA312" s="965">
        <f t="shared" si="202"/>
        <v>300957.91077587049</v>
      </c>
      <c r="AB312" s="965">
        <f t="shared" si="202"/>
        <v>0</v>
      </c>
      <c r="AC312" s="965">
        <f t="shared" si="202"/>
        <v>0</v>
      </c>
      <c r="AD312" s="965">
        <f t="shared" si="202"/>
        <v>0</v>
      </c>
      <c r="AE312" s="965">
        <f t="shared" si="202"/>
        <v>0</v>
      </c>
      <c r="AF312" s="965">
        <f t="shared" si="202"/>
        <v>0</v>
      </c>
      <c r="AG312" s="965">
        <f t="shared" si="202"/>
        <v>0</v>
      </c>
      <c r="AH312" s="965">
        <f t="shared" si="202"/>
        <v>0</v>
      </c>
      <c r="AI312" s="965">
        <f t="shared" si="202"/>
        <v>0</v>
      </c>
      <c r="AJ312" s="965">
        <f t="shared" si="202"/>
        <v>0</v>
      </c>
      <c r="AK312" s="965">
        <f t="shared" si="202"/>
        <v>0</v>
      </c>
      <c r="AL312" s="965">
        <f t="shared" si="202"/>
        <v>0</v>
      </c>
      <c r="AM312" s="965">
        <f t="shared" si="202"/>
        <v>0</v>
      </c>
      <c r="AN312" s="965">
        <f t="shared" si="202"/>
        <v>0</v>
      </c>
      <c r="AO312" s="965">
        <f t="shared" si="202"/>
        <v>0</v>
      </c>
      <c r="AP312" s="965">
        <f t="shared" si="202"/>
        <v>0</v>
      </c>
      <c r="AQ312" s="965">
        <f t="shared" si="202"/>
        <v>0</v>
      </c>
      <c r="AR312" s="965">
        <f t="shared" si="202"/>
        <v>0</v>
      </c>
      <c r="AS312" s="965">
        <f t="shared" si="202"/>
        <v>0</v>
      </c>
      <c r="AT312" s="965">
        <f t="shared" si="202"/>
        <v>0</v>
      </c>
      <c r="AU312" s="166"/>
      <c r="AV312" s="166"/>
      <c r="AW312" s="166"/>
      <c r="AX312" s="166"/>
      <c r="AY312" s="166"/>
      <c r="AZ312" s="166"/>
      <c r="BA312" s="166"/>
      <c r="BB312" s="166"/>
      <c r="BC312" s="166"/>
      <c r="BD312" s="166"/>
      <c r="BE312" s="166"/>
      <c r="BF312" s="166"/>
      <c r="BG312" s="166"/>
      <c r="BH312" s="166"/>
      <c r="BI312" s="166"/>
      <c r="BJ312" s="166"/>
      <c r="BK312" s="166"/>
      <c r="BL312" s="166"/>
      <c r="BM312" s="166"/>
      <c r="BN312" s="166"/>
    </row>
    <row r="313" spans="2:66" x14ac:dyDescent="0.25">
      <c r="B313" s="831" t="str">
        <f t="shared" si="201"/>
        <v>Activos nuevos 2 - Depreciacion 15 años</v>
      </c>
      <c r="C313" s="965">
        <f t="shared" si="202"/>
        <v>0</v>
      </c>
      <c r="D313" s="965">
        <f t="shared" si="202"/>
        <v>0</v>
      </c>
      <c r="E313" s="965">
        <f t="shared" si="202"/>
        <v>0</v>
      </c>
      <c r="F313" s="965">
        <f t="shared" si="202"/>
        <v>0</v>
      </c>
      <c r="G313" s="965">
        <f t="shared" si="202"/>
        <v>0</v>
      </c>
      <c r="H313" s="965">
        <f t="shared" si="202"/>
        <v>0</v>
      </c>
      <c r="I313" s="965">
        <f t="shared" si="202"/>
        <v>0</v>
      </c>
      <c r="J313" s="965">
        <f t="shared" si="202"/>
        <v>0</v>
      </c>
      <c r="K313" s="965">
        <f t="shared" si="202"/>
        <v>0</v>
      </c>
      <c r="L313" s="965">
        <f t="shared" si="202"/>
        <v>0</v>
      </c>
      <c r="M313" s="965">
        <f t="shared" si="202"/>
        <v>0</v>
      </c>
      <c r="N313" s="965">
        <f t="shared" si="202"/>
        <v>0</v>
      </c>
      <c r="O313" s="965">
        <f t="shared" si="202"/>
        <v>0</v>
      </c>
      <c r="P313" s="965">
        <f t="shared" si="202"/>
        <v>0</v>
      </c>
      <c r="Q313" s="965">
        <f t="shared" si="202"/>
        <v>0</v>
      </c>
      <c r="R313" s="965">
        <f t="shared" si="202"/>
        <v>0</v>
      </c>
      <c r="S313" s="965">
        <f t="shared" si="202"/>
        <v>0</v>
      </c>
      <c r="T313" s="965">
        <f t="shared" si="202"/>
        <v>0</v>
      </c>
      <c r="U313" s="965">
        <f t="shared" si="202"/>
        <v>0</v>
      </c>
      <c r="V313" s="965">
        <f t="shared" si="202"/>
        <v>0</v>
      </c>
      <c r="W313" s="965">
        <f t="shared" si="202"/>
        <v>0</v>
      </c>
      <c r="X313" s="965">
        <f t="shared" si="202"/>
        <v>-871957.15905411413</v>
      </c>
      <c r="Y313" s="965">
        <f t="shared" si="202"/>
        <v>-871957.15905411413</v>
      </c>
      <c r="Z313" s="965">
        <f t="shared" si="202"/>
        <v>-871957.15905411413</v>
      </c>
      <c r="AA313" s="965">
        <f t="shared" si="202"/>
        <v>-871957.15905411413</v>
      </c>
      <c r="AB313" s="965">
        <f t="shared" si="202"/>
        <v>-871957.15905411413</v>
      </c>
      <c r="AC313" s="965">
        <f t="shared" si="202"/>
        <v>-871957.15905411413</v>
      </c>
      <c r="AD313" s="965">
        <f t="shared" si="202"/>
        <v>-871957.15905411413</v>
      </c>
      <c r="AE313" s="965">
        <f t="shared" si="202"/>
        <v>-871957.15905411413</v>
      </c>
      <c r="AF313" s="965">
        <f t="shared" si="202"/>
        <v>-871957.15905411413</v>
      </c>
      <c r="AG313" s="965">
        <f t="shared" si="202"/>
        <v>-871957.15905411413</v>
      </c>
      <c r="AH313" s="965">
        <f t="shared" si="202"/>
        <v>-871957.15905411413</v>
      </c>
      <c r="AI313" s="965">
        <f t="shared" si="202"/>
        <v>-871957.15905411413</v>
      </c>
      <c r="AJ313" s="965">
        <f t="shared" si="202"/>
        <v>-871957.15905411413</v>
      </c>
      <c r="AK313" s="965">
        <f t="shared" si="202"/>
        <v>-871957.15905411413</v>
      </c>
      <c r="AL313" s="965">
        <f t="shared" si="202"/>
        <v>-871957.15905411413</v>
      </c>
      <c r="AM313" s="965">
        <f t="shared" si="202"/>
        <v>0</v>
      </c>
      <c r="AN313" s="965">
        <f t="shared" si="202"/>
        <v>0</v>
      </c>
      <c r="AO313" s="965">
        <f t="shared" si="202"/>
        <v>0</v>
      </c>
      <c r="AP313" s="965">
        <f t="shared" si="202"/>
        <v>0</v>
      </c>
      <c r="AQ313" s="965">
        <f t="shared" si="202"/>
        <v>0</v>
      </c>
      <c r="AR313" s="965">
        <f t="shared" si="202"/>
        <v>0</v>
      </c>
      <c r="AS313" s="965">
        <f t="shared" si="202"/>
        <v>0</v>
      </c>
      <c r="AT313" s="965">
        <f t="shared" si="202"/>
        <v>0</v>
      </c>
      <c r="AU313" s="166"/>
      <c r="AV313" s="166"/>
      <c r="AW313" s="166"/>
      <c r="AX313" s="166"/>
      <c r="AY313" s="166"/>
      <c r="AZ313" s="166"/>
      <c r="BA313" s="166"/>
      <c r="BB313" s="166"/>
      <c r="BC313" s="166"/>
      <c r="BD313" s="166"/>
      <c r="BE313" s="166"/>
      <c r="BF313" s="166"/>
      <c r="BG313" s="166"/>
      <c r="BH313" s="166"/>
      <c r="BI313" s="166"/>
      <c r="BJ313" s="166"/>
      <c r="BK313" s="166"/>
      <c r="BL313" s="166"/>
      <c r="BM313" s="166"/>
      <c r="BN313" s="166"/>
    </row>
    <row r="314" spans="2:66" x14ac:dyDescent="0.25">
      <c r="B314" s="831" t="str">
        <f t="shared" si="201"/>
        <v>Activos nuevos 2 - Valor residual</v>
      </c>
      <c r="C314" s="965">
        <f t="shared" si="202"/>
        <v>0</v>
      </c>
      <c r="D314" s="965">
        <f t="shared" si="202"/>
        <v>0</v>
      </c>
      <c r="E314" s="965">
        <f t="shared" si="202"/>
        <v>0</v>
      </c>
      <c r="F314" s="965">
        <f t="shared" si="202"/>
        <v>0</v>
      </c>
      <c r="G314" s="965">
        <f t="shared" si="202"/>
        <v>0</v>
      </c>
      <c r="H314" s="965">
        <f t="shared" si="202"/>
        <v>0</v>
      </c>
      <c r="I314" s="965">
        <f t="shared" si="202"/>
        <v>0</v>
      </c>
      <c r="J314" s="965">
        <f t="shared" si="202"/>
        <v>0</v>
      </c>
      <c r="K314" s="965">
        <f t="shared" si="202"/>
        <v>0</v>
      </c>
      <c r="L314" s="965">
        <f t="shared" si="202"/>
        <v>0</v>
      </c>
      <c r="M314" s="965">
        <f t="shared" si="202"/>
        <v>0</v>
      </c>
      <c r="N314" s="965">
        <f t="shared" si="202"/>
        <v>0</v>
      </c>
      <c r="O314" s="965">
        <f t="shared" si="202"/>
        <v>0</v>
      </c>
      <c r="P314" s="965">
        <f t="shared" si="202"/>
        <v>0</v>
      </c>
      <c r="Q314" s="965">
        <f t="shared" si="202"/>
        <v>0</v>
      </c>
      <c r="R314" s="965">
        <f t="shared" si="202"/>
        <v>0</v>
      </c>
      <c r="S314" s="965">
        <f t="shared" si="202"/>
        <v>0</v>
      </c>
      <c r="T314" s="965">
        <f t="shared" si="202"/>
        <v>0</v>
      </c>
      <c r="U314" s="965">
        <f t="shared" si="202"/>
        <v>0</v>
      </c>
      <c r="V314" s="965">
        <f t="shared" si="202"/>
        <v>0</v>
      </c>
      <c r="W314" s="965">
        <f t="shared" si="202"/>
        <v>0</v>
      </c>
      <c r="X314" s="965">
        <f t="shared" si="202"/>
        <v>12207400.226757599</v>
      </c>
      <c r="Y314" s="965">
        <f t="shared" si="202"/>
        <v>11335443.067703485</v>
      </c>
      <c r="Z314" s="965">
        <f t="shared" si="202"/>
        <v>10463485.908649372</v>
      </c>
      <c r="AA314" s="965">
        <f t="shared" si="202"/>
        <v>9591528.7495952584</v>
      </c>
      <c r="AB314" s="965">
        <f t="shared" si="202"/>
        <v>8719571.5905411448</v>
      </c>
      <c r="AC314" s="965">
        <f t="shared" si="202"/>
        <v>7847614.4314870303</v>
      </c>
      <c r="AD314" s="965">
        <f t="shared" si="202"/>
        <v>6975657.2724329159</v>
      </c>
      <c r="AE314" s="965">
        <f t="shared" si="202"/>
        <v>6103700.1133788014</v>
      </c>
      <c r="AF314" s="965">
        <f t="shared" si="202"/>
        <v>5231742.9543246869</v>
      </c>
      <c r="AG314" s="965">
        <f t="shared" si="202"/>
        <v>4359785.7952705724</v>
      </c>
      <c r="AH314" s="965">
        <f t="shared" si="202"/>
        <v>3487828.6362164584</v>
      </c>
      <c r="AI314" s="965">
        <f t="shared" si="202"/>
        <v>2615871.4771623444</v>
      </c>
      <c r="AJ314" s="965">
        <f t="shared" si="202"/>
        <v>1743914.3181082304</v>
      </c>
      <c r="AK314" s="965">
        <f t="shared" si="202"/>
        <v>871957.15905411623</v>
      </c>
      <c r="AL314" s="965">
        <f t="shared" si="202"/>
        <v>2.0954757928848267E-9</v>
      </c>
      <c r="AM314" s="965">
        <f t="shared" si="202"/>
        <v>0</v>
      </c>
      <c r="AN314" s="965">
        <f t="shared" si="202"/>
        <v>0</v>
      </c>
      <c r="AO314" s="965">
        <f t="shared" si="202"/>
        <v>0</v>
      </c>
      <c r="AP314" s="965">
        <f t="shared" si="202"/>
        <v>0</v>
      </c>
      <c r="AQ314" s="965">
        <f t="shared" si="202"/>
        <v>0</v>
      </c>
      <c r="AR314" s="965">
        <f t="shared" si="202"/>
        <v>0</v>
      </c>
      <c r="AS314" s="965">
        <f t="shared" si="202"/>
        <v>0</v>
      </c>
      <c r="AT314" s="965">
        <f t="shared" si="202"/>
        <v>0</v>
      </c>
      <c r="AU314" s="166"/>
      <c r="AV314" s="166"/>
      <c r="AW314" s="166"/>
      <c r="AX314" s="166"/>
      <c r="AY314" s="166"/>
      <c r="AZ314" s="166"/>
      <c r="BA314" s="166"/>
      <c r="BB314" s="166"/>
      <c r="BC314" s="166"/>
      <c r="BD314" s="166"/>
      <c r="BE314" s="166"/>
      <c r="BF314" s="166"/>
      <c r="BG314" s="166"/>
      <c r="BH314" s="166"/>
      <c r="BI314" s="166"/>
      <c r="BJ314" s="166"/>
      <c r="BK314" s="166"/>
      <c r="BL314" s="166"/>
      <c r="BM314" s="166"/>
      <c r="BN314" s="166"/>
    </row>
    <row r="315" spans="2:66" x14ac:dyDescent="0.25">
      <c r="B315" s="831" t="str">
        <f t="shared" si="201"/>
        <v>Activos nuevos 3 - Depreciacion 10 años</v>
      </c>
      <c r="C315" s="965">
        <f t="shared" si="202"/>
        <v>0</v>
      </c>
      <c r="D315" s="965">
        <f t="shared" si="202"/>
        <v>0</v>
      </c>
      <c r="E315" s="965">
        <f t="shared" si="202"/>
        <v>0</v>
      </c>
      <c r="F315" s="965">
        <f t="shared" si="202"/>
        <v>0</v>
      </c>
      <c r="G315" s="965">
        <f t="shared" si="202"/>
        <v>0</v>
      </c>
      <c r="H315" s="965">
        <f t="shared" si="202"/>
        <v>0</v>
      </c>
      <c r="I315" s="965">
        <f t="shared" si="202"/>
        <v>0</v>
      </c>
      <c r="J315" s="965">
        <f t="shared" si="202"/>
        <v>0</v>
      </c>
      <c r="K315" s="965">
        <f t="shared" si="202"/>
        <v>0</v>
      </c>
      <c r="L315" s="965">
        <f t="shared" si="202"/>
        <v>0</v>
      </c>
      <c r="M315" s="965">
        <f t="shared" si="202"/>
        <v>0</v>
      </c>
      <c r="N315" s="965">
        <f t="shared" si="202"/>
        <v>0</v>
      </c>
      <c r="O315" s="965">
        <f t="shared" si="202"/>
        <v>0</v>
      </c>
      <c r="P315" s="965">
        <f t="shared" si="202"/>
        <v>0</v>
      </c>
      <c r="Q315" s="965">
        <f t="shared" si="202"/>
        <v>0</v>
      </c>
      <c r="R315" s="965">
        <f t="shared" si="202"/>
        <v>0</v>
      </c>
      <c r="S315" s="965">
        <f t="shared" si="202"/>
        <v>0</v>
      </c>
      <c r="T315" s="965">
        <f t="shared" si="202"/>
        <v>0</v>
      </c>
      <c r="U315" s="965">
        <f t="shared" si="202"/>
        <v>0</v>
      </c>
      <c r="V315" s="965">
        <f t="shared" si="202"/>
        <v>0</v>
      </c>
      <c r="W315" s="965">
        <f t="shared" si="202"/>
        <v>0</v>
      </c>
      <c r="X315" s="965">
        <f t="shared" si="202"/>
        <v>0</v>
      </c>
      <c r="Y315" s="965">
        <f t="shared" si="202"/>
        <v>0</v>
      </c>
      <c r="Z315" s="965">
        <f t="shared" si="202"/>
        <v>0</v>
      </c>
      <c r="AA315" s="965">
        <f t="shared" si="202"/>
        <v>0</v>
      </c>
      <c r="AB315" s="965">
        <f t="shared" si="202"/>
        <v>0</v>
      </c>
      <c r="AC315" s="965">
        <f t="shared" si="202"/>
        <v>-373448.70931000181</v>
      </c>
      <c r="AD315" s="965">
        <f t="shared" si="202"/>
        <v>-373448.70931000181</v>
      </c>
      <c r="AE315" s="965">
        <f t="shared" si="202"/>
        <v>-373448.70931000181</v>
      </c>
      <c r="AF315" s="965">
        <f t="shared" si="202"/>
        <v>-373448.70931000181</v>
      </c>
      <c r="AG315" s="965">
        <f t="shared" si="202"/>
        <v>-373448.70931000181</v>
      </c>
      <c r="AH315" s="965">
        <f t="shared" si="202"/>
        <v>-373448.70931000181</v>
      </c>
      <c r="AI315" s="965">
        <f t="shared" si="202"/>
        <v>-373448.70931000181</v>
      </c>
      <c r="AJ315" s="965">
        <f t="shared" si="202"/>
        <v>-373448.70931000181</v>
      </c>
      <c r="AK315" s="965">
        <f t="shared" si="202"/>
        <v>-373448.70931000181</v>
      </c>
      <c r="AL315" s="965">
        <f t="shared" si="202"/>
        <v>-373448.70931000181</v>
      </c>
      <c r="AM315" s="965">
        <f t="shared" si="202"/>
        <v>-373448.70931000181</v>
      </c>
      <c r="AN315" s="965">
        <f t="shared" si="202"/>
        <v>0</v>
      </c>
      <c r="AO315" s="965">
        <f t="shared" si="202"/>
        <v>0</v>
      </c>
      <c r="AP315" s="965">
        <f t="shared" si="202"/>
        <v>0</v>
      </c>
      <c r="AQ315" s="965">
        <f t="shared" si="202"/>
        <v>0</v>
      </c>
      <c r="AR315" s="965">
        <f t="shared" si="202"/>
        <v>0</v>
      </c>
      <c r="AS315" s="965">
        <f t="shared" si="202"/>
        <v>0</v>
      </c>
      <c r="AT315" s="965">
        <f t="shared" si="202"/>
        <v>0</v>
      </c>
      <c r="AU315" s="166"/>
      <c r="AV315" s="166"/>
      <c r="AW315" s="166"/>
      <c r="AX315" s="166"/>
      <c r="AY315" s="166"/>
      <c r="AZ315" s="166"/>
      <c r="BA315" s="166"/>
      <c r="BB315" s="166"/>
      <c r="BC315" s="166"/>
      <c r="BD315" s="166"/>
      <c r="BE315" s="166"/>
      <c r="BF315" s="166"/>
      <c r="BG315" s="166"/>
      <c r="BH315" s="166"/>
      <c r="BI315" s="166"/>
      <c r="BJ315" s="166"/>
      <c r="BK315" s="166"/>
      <c r="BL315" s="166"/>
      <c r="BM315" s="166"/>
      <c r="BN315" s="166"/>
    </row>
    <row r="316" spans="2:66" x14ac:dyDescent="0.25">
      <c r="B316" s="831" t="str">
        <f t="shared" si="201"/>
        <v>Activos nuevos 3 - Valor residual</v>
      </c>
      <c r="C316" s="965">
        <f t="shared" si="202"/>
        <v>0</v>
      </c>
      <c r="D316" s="965">
        <f t="shared" si="202"/>
        <v>0</v>
      </c>
      <c r="E316" s="965">
        <f t="shared" si="202"/>
        <v>0</v>
      </c>
      <c r="F316" s="965">
        <f t="shared" si="202"/>
        <v>0</v>
      </c>
      <c r="G316" s="965">
        <f t="shared" si="202"/>
        <v>0</v>
      </c>
      <c r="H316" s="965">
        <f t="shared" si="202"/>
        <v>0</v>
      </c>
      <c r="I316" s="965">
        <f t="shared" si="202"/>
        <v>0</v>
      </c>
      <c r="J316" s="965">
        <f t="shared" si="202"/>
        <v>0</v>
      </c>
      <c r="K316" s="965">
        <f t="shared" si="202"/>
        <v>0</v>
      </c>
      <c r="L316" s="965">
        <f t="shared" si="202"/>
        <v>0</v>
      </c>
      <c r="M316" s="965">
        <f t="shared" si="202"/>
        <v>0</v>
      </c>
      <c r="N316" s="965">
        <f t="shared" si="202"/>
        <v>0</v>
      </c>
      <c r="O316" s="965">
        <f t="shared" si="202"/>
        <v>0</v>
      </c>
      <c r="P316" s="965">
        <f t="shared" si="202"/>
        <v>0</v>
      </c>
      <c r="Q316" s="965">
        <f t="shared" si="202"/>
        <v>0</v>
      </c>
      <c r="R316" s="965">
        <f t="shared" si="202"/>
        <v>0</v>
      </c>
      <c r="S316" s="965">
        <f t="shared" si="202"/>
        <v>0</v>
      </c>
      <c r="T316" s="965">
        <f t="shared" si="202"/>
        <v>0</v>
      </c>
      <c r="U316" s="965">
        <f t="shared" si="202"/>
        <v>0</v>
      </c>
      <c r="V316" s="965">
        <f t="shared" si="202"/>
        <v>0</v>
      </c>
      <c r="W316" s="965">
        <f t="shared" si="202"/>
        <v>0</v>
      </c>
      <c r="X316" s="965">
        <f t="shared" si="202"/>
        <v>0</v>
      </c>
      <c r="Y316" s="965">
        <f t="shared" si="202"/>
        <v>0</v>
      </c>
      <c r="Z316" s="965">
        <f t="shared" si="202"/>
        <v>0</v>
      </c>
      <c r="AA316" s="965">
        <f t="shared" si="202"/>
        <v>0</v>
      </c>
      <c r="AB316" s="965">
        <f t="shared" si="202"/>
        <v>0</v>
      </c>
      <c r="AC316" s="965">
        <f t="shared" si="202"/>
        <v>3734487.0931000183</v>
      </c>
      <c r="AD316" s="965">
        <f t="shared" si="202"/>
        <v>3361038.3837900166</v>
      </c>
      <c r="AE316" s="965">
        <f t="shared" si="202"/>
        <v>2987589.6744800149</v>
      </c>
      <c r="AF316" s="965">
        <f t="shared" si="202"/>
        <v>2614140.9651700133</v>
      </c>
      <c r="AG316" s="965">
        <f t="shared" si="202"/>
        <v>2240692.2558600116</v>
      </c>
      <c r="AH316" s="965">
        <f t="shared" si="202"/>
        <v>1867243.5465500099</v>
      </c>
      <c r="AI316" s="965">
        <f t="shared" si="202"/>
        <v>1493794.8372400082</v>
      </c>
      <c r="AJ316" s="965">
        <f t="shared" si="202"/>
        <v>1120346.1279300065</v>
      </c>
      <c r="AK316" s="965">
        <f t="shared" si="202"/>
        <v>746897.41862000467</v>
      </c>
      <c r="AL316" s="965">
        <f t="shared" si="202"/>
        <v>373448.70931000286</v>
      </c>
      <c r="AM316" s="965">
        <f t="shared" si="202"/>
        <v>1.0477378964424133E-9</v>
      </c>
      <c r="AN316" s="965">
        <f t="shared" si="202"/>
        <v>0</v>
      </c>
      <c r="AO316" s="965">
        <f t="shared" si="202"/>
        <v>0</v>
      </c>
      <c r="AP316" s="965">
        <f t="shared" si="202"/>
        <v>0</v>
      </c>
      <c r="AQ316" s="965">
        <f t="shared" si="202"/>
        <v>0</v>
      </c>
      <c r="AR316" s="965">
        <f t="shared" ref="C316:AT318" si="203">AR88</f>
        <v>0</v>
      </c>
      <c r="AS316" s="965">
        <f t="shared" si="203"/>
        <v>0</v>
      </c>
      <c r="AT316" s="965">
        <f t="shared" si="203"/>
        <v>0</v>
      </c>
      <c r="AU316" s="166"/>
      <c r="AV316" s="166"/>
      <c r="AW316" s="166"/>
      <c r="AX316" s="166"/>
      <c r="AY316" s="166"/>
      <c r="AZ316" s="166"/>
      <c r="BA316" s="166"/>
      <c r="BB316" s="166"/>
      <c r="BC316" s="166"/>
      <c r="BD316" s="166"/>
      <c r="BE316" s="166"/>
      <c r="BF316" s="166"/>
      <c r="BG316" s="166"/>
      <c r="BH316" s="166"/>
      <c r="BI316" s="166"/>
      <c r="BJ316" s="166"/>
      <c r="BK316" s="166"/>
      <c r="BL316" s="166"/>
      <c r="BM316" s="166"/>
      <c r="BN316" s="166"/>
    </row>
    <row r="317" spans="2:66" x14ac:dyDescent="0.25">
      <c r="B317" s="831" t="str">
        <f t="shared" si="201"/>
        <v>Activos nuevos 4 - Depreciacion 15 años</v>
      </c>
      <c r="C317" s="965">
        <f t="shared" si="203"/>
        <v>0</v>
      </c>
      <c r="D317" s="965">
        <f t="shared" si="203"/>
        <v>0</v>
      </c>
      <c r="E317" s="965">
        <f t="shared" si="203"/>
        <v>0</v>
      </c>
      <c r="F317" s="965">
        <f t="shared" si="203"/>
        <v>0</v>
      </c>
      <c r="G317" s="965">
        <f t="shared" si="203"/>
        <v>0</v>
      </c>
      <c r="H317" s="965">
        <f t="shared" si="203"/>
        <v>0</v>
      </c>
      <c r="I317" s="965">
        <f t="shared" si="203"/>
        <v>0</v>
      </c>
      <c r="J317" s="965">
        <f t="shared" si="203"/>
        <v>0</v>
      </c>
      <c r="K317" s="965">
        <f t="shared" si="203"/>
        <v>0</v>
      </c>
      <c r="L317" s="965">
        <f t="shared" si="203"/>
        <v>0</v>
      </c>
      <c r="M317" s="965">
        <f t="shared" si="203"/>
        <v>0</v>
      </c>
      <c r="N317" s="965">
        <f t="shared" si="203"/>
        <v>0</v>
      </c>
      <c r="O317" s="965">
        <f t="shared" si="203"/>
        <v>0</v>
      </c>
      <c r="P317" s="965">
        <f t="shared" si="203"/>
        <v>0</v>
      </c>
      <c r="Q317" s="965">
        <f t="shared" si="203"/>
        <v>0</v>
      </c>
      <c r="R317" s="965">
        <f t="shared" si="203"/>
        <v>0</v>
      </c>
      <c r="S317" s="965">
        <f t="shared" si="203"/>
        <v>0</v>
      </c>
      <c r="T317" s="965">
        <f t="shared" si="203"/>
        <v>0</v>
      </c>
      <c r="U317" s="965">
        <f t="shared" si="203"/>
        <v>0</v>
      </c>
      <c r="V317" s="965">
        <f t="shared" si="203"/>
        <v>0</v>
      </c>
      <c r="W317" s="965">
        <f t="shared" si="203"/>
        <v>0</v>
      </c>
      <c r="X317" s="965">
        <f t="shared" si="203"/>
        <v>0</v>
      </c>
      <c r="Y317" s="965">
        <f t="shared" si="203"/>
        <v>0</v>
      </c>
      <c r="Z317" s="965">
        <f t="shared" si="203"/>
        <v>0</v>
      </c>
      <c r="AA317" s="965">
        <f t="shared" si="203"/>
        <v>0</v>
      </c>
      <c r="AB317" s="965">
        <f t="shared" si="203"/>
        <v>0</v>
      </c>
      <c r="AC317" s="965">
        <f t="shared" si="203"/>
        <v>0</v>
      </c>
      <c r="AD317" s="965">
        <f t="shared" si="203"/>
        <v>0</v>
      </c>
      <c r="AE317" s="965">
        <f t="shared" si="203"/>
        <v>0</v>
      </c>
      <c r="AF317" s="965">
        <f t="shared" si="203"/>
        <v>0</v>
      </c>
      <c r="AG317" s="965">
        <f t="shared" si="203"/>
        <v>0</v>
      </c>
      <c r="AH317" s="965">
        <f t="shared" si="203"/>
        <v>0</v>
      </c>
      <c r="AI317" s="965">
        <f t="shared" si="203"/>
        <v>0</v>
      </c>
      <c r="AJ317" s="965">
        <f t="shared" si="203"/>
        <v>0</v>
      </c>
      <c r="AK317" s="965">
        <f t="shared" si="203"/>
        <v>0</v>
      </c>
      <c r="AL317" s="965">
        <f t="shared" si="203"/>
        <v>0</v>
      </c>
      <c r="AM317" s="965">
        <f t="shared" si="203"/>
        <v>0</v>
      </c>
      <c r="AN317" s="965">
        <f t="shared" si="203"/>
        <v>0</v>
      </c>
      <c r="AO317" s="965">
        <f t="shared" si="203"/>
        <v>-1606150.4772574131</v>
      </c>
      <c r="AP317" s="965">
        <f t="shared" si="203"/>
        <v>-1606150.4772574131</v>
      </c>
      <c r="AQ317" s="965">
        <f t="shared" si="203"/>
        <v>-1606150.4772574131</v>
      </c>
      <c r="AR317" s="965">
        <f t="shared" si="203"/>
        <v>-1606150.4772574131</v>
      </c>
      <c r="AS317" s="965">
        <f t="shared" si="203"/>
        <v>-1606150.4772574131</v>
      </c>
      <c r="AT317" s="965">
        <f t="shared" si="203"/>
        <v>-1606150.4772574131</v>
      </c>
      <c r="AU317" s="166"/>
      <c r="AV317" s="166"/>
      <c r="AW317" s="166"/>
      <c r="AX317" s="166"/>
      <c r="AY317" s="166"/>
      <c r="AZ317" s="166"/>
      <c r="BA317" s="166"/>
      <c r="BB317" s="166"/>
      <c r="BC317" s="166"/>
      <c r="BD317" s="166"/>
      <c r="BE317" s="166"/>
      <c r="BF317" s="166"/>
      <c r="BG317" s="166"/>
      <c r="BH317" s="166"/>
      <c r="BI317" s="166"/>
      <c r="BJ317" s="166"/>
      <c r="BK317" s="166"/>
      <c r="BL317" s="166"/>
      <c r="BM317" s="166"/>
      <c r="BN317" s="166"/>
    </row>
    <row r="318" spans="2:66" x14ac:dyDescent="0.25">
      <c r="B318" s="846" t="str">
        <f t="shared" si="201"/>
        <v>Activos nuevos 4 - Valor residual</v>
      </c>
      <c r="C318" s="968">
        <f t="shared" si="203"/>
        <v>0</v>
      </c>
      <c r="D318" s="968">
        <f t="shared" si="203"/>
        <v>0</v>
      </c>
      <c r="E318" s="968">
        <f t="shared" si="203"/>
        <v>0</v>
      </c>
      <c r="F318" s="968">
        <f t="shared" si="203"/>
        <v>0</v>
      </c>
      <c r="G318" s="968">
        <f t="shared" si="203"/>
        <v>0</v>
      </c>
      <c r="H318" s="968">
        <f t="shared" si="203"/>
        <v>0</v>
      </c>
      <c r="I318" s="968">
        <f t="shared" si="203"/>
        <v>0</v>
      </c>
      <c r="J318" s="968">
        <f t="shared" si="203"/>
        <v>0</v>
      </c>
      <c r="K318" s="968">
        <f t="shared" si="203"/>
        <v>0</v>
      </c>
      <c r="L318" s="968">
        <f t="shared" si="203"/>
        <v>0</v>
      </c>
      <c r="M318" s="968">
        <f t="shared" si="203"/>
        <v>0</v>
      </c>
      <c r="N318" s="968">
        <f t="shared" si="203"/>
        <v>0</v>
      </c>
      <c r="O318" s="968">
        <f t="shared" si="203"/>
        <v>0</v>
      </c>
      <c r="P318" s="968">
        <f t="shared" si="203"/>
        <v>0</v>
      </c>
      <c r="Q318" s="968">
        <f t="shared" si="203"/>
        <v>0</v>
      </c>
      <c r="R318" s="968">
        <f t="shared" si="203"/>
        <v>0</v>
      </c>
      <c r="S318" s="968">
        <f t="shared" si="203"/>
        <v>0</v>
      </c>
      <c r="T318" s="968">
        <f t="shared" si="203"/>
        <v>0</v>
      </c>
      <c r="U318" s="968">
        <f t="shared" si="203"/>
        <v>0</v>
      </c>
      <c r="V318" s="968">
        <f t="shared" si="203"/>
        <v>0</v>
      </c>
      <c r="W318" s="968">
        <f t="shared" si="203"/>
        <v>0</v>
      </c>
      <c r="X318" s="968">
        <f t="shared" si="203"/>
        <v>0</v>
      </c>
      <c r="Y318" s="968">
        <f t="shared" si="203"/>
        <v>0</v>
      </c>
      <c r="Z318" s="968">
        <f t="shared" si="203"/>
        <v>0</v>
      </c>
      <c r="AA318" s="968">
        <f t="shared" si="203"/>
        <v>0</v>
      </c>
      <c r="AB318" s="968">
        <f t="shared" si="203"/>
        <v>0</v>
      </c>
      <c r="AC318" s="968">
        <f t="shared" si="203"/>
        <v>0</v>
      </c>
      <c r="AD318" s="968">
        <f t="shared" si="203"/>
        <v>0</v>
      </c>
      <c r="AE318" s="968">
        <f t="shared" si="203"/>
        <v>0</v>
      </c>
      <c r="AF318" s="968">
        <f t="shared" si="203"/>
        <v>0</v>
      </c>
      <c r="AG318" s="968">
        <f t="shared" si="203"/>
        <v>0</v>
      </c>
      <c r="AH318" s="968">
        <f t="shared" si="203"/>
        <v>0</v>
      </c>
      <c r="AI318" s="968">
        <f t="shared" si="203"/>
        <v>0</v>
      </c>
      <c r="AJ318" s="968">
        <f t="shared" si="203"/>
        <v>0</v>
      </c>
      <c r="AK318" s="968">
        <f t="shared" si="203"/>
        <v>0</v>
      </c>
      <c r="AL318" s="968">
        <f t="shared" si="203"/>
        <v>0</v>
      </c>
      <c r="AM318" s="968">
        <f t="shared" si="203"/>
        <v>0</v>
      </c>
      <c r="AN318" s="968">
        <f t="shared" si="203"/>
        <v>0</v>
      </c>
      <c r="AO318" s="968">
        <f t="shared" si="203"/>
        <v>24092257.158861194</v>
      </c>
      <c r="AP318" s="968">
        <f t="shared" si="203"/>
        <v>22486106.681603782</v>
      </c>
      <c r="AQ318" s="968">
        <f t="shared" si="203"/>
        <v>20879956.20434637</v>
      </c>
      <c r="AR318" s="968">
        <f t="shared" si="203"/>
        <v>19273805.727088958</v>
      </c>
      <c r="AS318" s="968">
        <f t="shared" si="203"/>
        <v>17667655.249831546</v>
      </c>
      <c r="AT318" s="968">
        <f t="shared" si="203"/>
        <v>16061504.772574132</v>
      </c>
      <c r="AU318" s="166"/>
      <c r="AV318" s="166"/>
      <c r="AW318" s="166"/>
      <c r="AX318" s="166"/>
      <c r="AY318" s="166"/>
      <c r="AZ318" s="166"/>
      <c r="BA318" s="166"/>
      <c r="BB318" s="166"/>
      <c r="BC318" s="166"/>
      <c r="BD318" s="166"/>
      <c r="BE318" s="166"/>
      <c r="BF318" s="166"/>
      <c r="BG318" s="166"/>
      <c r="BH318" s="166"/>
      <c r="BI318" s="166"/>
      <c r="BJ318" s="166"/>
      <c r="BK318" s="166"/>
      <c r="BL318" s="166"/>
      <c r="BM318" s="166"/>
      <c r="BN318" s="166"/>
    </row>
    <row r="319" spans="2:66" x14ac:dyDescent="0.25">
      <c r="B319" s="845" t="s">
        <v>441</v>
      </c>
      <c r="C319" s="824">
        <v>0</v>
      </c>
      <c r="D319" s="824">
        <v>0</v>
      </c>
      <c r="E319" s="824">
        <v>0</v>
      </c>
      <c r="F319" s="824">
        <v>0</v>
      </c>
      <c r="G319" s="824">
        <f>SUM(G305:G309)+G311+G313+G315+G317</f>
        <v>-2606586.1930182963</v>
      </c>
      <c r="H319" s="824">
        <f t="shared" ref="H319:AT319" si="204">SUM(H305:H309)+H311+H313+H315+H317</f>
        <v>-2606586.1930182963</v>
      </c>
      <c r="I319" s="824">
        <f t="shared" si="204"/>
        <v>-2606586.1930182963</v>
      </c>
      <c r="J319" s="824">
        <f t="shared" si="204"/>
        <v>-2606586.1930182963</v>
      </c>
      <c r="K319" s="824">
        <f t="shared" si="204"/>
        <v>-2606586.1930182963</v>
      </c>
      <c r="L319" s="824">
        <f t="shared" si="204"/>
        <v>-2465585.720269518</v>
      </c>
      <c r="M319" s="824">
        <f t="shared" si="204"/>
        <v>-2465585.720269518</v>
      </c>
      <c r="N319" s="824">
        <f t="shared" si="204"/>
        <v>-2465585.720269518</v>
      </c>
      <c r="O319" s="824">
        <f t="shared" si="204"/>
        <v>-2465585.720269518</v>
      </c>
      <c r="P319" s="824">
        <f t="shared" si="204"/>
        <v>-2465585.720269518</v>
      </c>
      <c r="Q319" s="824">
        <f t="shared" si="204"/>
        <v>-2230540.8319507265</v>
      </c>
      <c r="R319" s="824">
        <f t="shared" si="204"/>
        <v>-2531498.7427265975</v>
      </c>
      <c r="S319" s="824">
        <f t="shared" si="204"/>
        <v>-2531498.7427265975</v>
      </c>
      <c r="T319" s="824">
        <f t="shared" si="204"/>
        <v>-2531498.7427265975</v>
      </c>
      <c r="U319" s="824">
        <f t="shared" si="204"/>
        <v>-2531498.7427265975</v>
      </c>
      <c r="V319" s="824">
        <f t="shared" si="204"/>
        <v>-1904482.7785175557</v>
      </c>
      <c r="W319" s="824">
        <f t="shared" si="204"/>
        <v>-1904482.7785175557</v>
      </c>
      <c r="X319" s="824">
        <f t="shared" si="204"/>
        <v>-2776439.9375716699</v>
      </c>
      <c r="Y319" s="824">
        <f t="shared" si="204"/>
        <v>-2776439.9375716699</v>
      </c>
      <c r="Z319" s="824">
        <f t="shared" si="204"/>
        <v>-2776439.9375716699</v>
      </c>
      <c r="AA319" s="824">
        <f t="shared" si="204"/>
        <v>-2776439.9375716699</v>
      </c>
      <c r="AB319" s="824">
        <f t="shared" si="204"/>
        <v>-2776439.9375716699</v>
      </c>
      <c r="AC319" s="824">
        <f t="shared" si="204"/>
        <v>-2848930.7361058006</v>
      </c>
      <c r="AD319" s="824">
        <f t="shared" si="204"/>
        <v>-2848930.7361058006</v>
      </c>
      <c r="AE319" s="824">
        <f t="shared" si="204"/>
        <v>-2848930.7361058006</v>
      </c>
      <c r="AF319" s="824">
        <f t="shared" si="204"/>
        <v>-2848930.7361058006</v>
      </c>
      <c r="AG319" s="824">
        <f t="shared" si="204"/>
        <v>-2848930.7361058006</v>
      </c>
      <c r="AH319" s="824">
        <f t="shared" si="204"/>
        <v>-2848930.7361058006</v>
      </c>
      <c r="AI319" s="824">
        <f t="shared" si="204"/>
        <v>-2848930.7361058006</v>
      </c>
      <c r="AJ319" s="824">
        <f t="shared" si="204"/>
        <v>-2848930.7361058006</v>
      </c>
      <c r="AK319" s="824">
        <f t="shared" si="204"/>
        <v>-2848930.7361058006</v>
      </c>
      <c r="AL319" s="824">
        <f t="shared" si="204"/>
        <v>-2848930.7361058006</v>
      </c>
      <c r="AM319" s="824">
        <f t="shared" si="204"/>
        <v>-1976973.5770516866</v>
      </c>
      <c r="AN319" s="824">
        <f t="shared" si="204"/>
        <v>-1603524.8677416849</v>
      </c>
      <c r="AO319" s="824">
        <f t="shared" si="204"/>
        <v>-3209675.3449990982</v>
      </c>
      <c r="AP319" s="824">
        <f t="shared" si="204"/>
        <v>-3209675.3449990982</v>
      </c>
      <c r="AQ319" s="824">
        <f t="shared" si="204"/>
        <v>-3209675.3449990982</v>
      </c>
      <c r="AR319" s="824">
        <f t="shared" si="204"/>
        <v>-3209675.3449990982</v>
      </c>
      <c r="AS319" s="824">
        <f t="shared" si="204"/>
        <v>-3209675.3449990982</v>
      </c>
      <c r="AT319" s="824">
        <f t="shared" si="204"/>
        <v>-3209675.3449990982</v>
      </c>
      <c r="AU319" s="166"/>
      <c r="AV319" s="166"/>
      <c r="AW319" s="166"/>
      <c r="AX319" s="166"/>
      <c r="AY319" s="166"/>
      <c r="AZ319" s="166"/>
      <c r="BA319" s="166"/>
      <c r="BB319" s="166"/>
      <c r="BC319" s="166"/>
      <c r="BD319" s="166"/>
      <c r="BE319" s="166"/>
      <c r="BF319" s="166"/>
      <c r="BG319" s="166"/>
      <c r="BH319" s="166"/>
      <c r="BI319" s="166"/>
      <c r="BJ319" s="166"/>
      <c r="BK319" s="166"/>
      <c r="BL319" s="166"/>
      <c r="BM319" s="166"/>
      <c r="BN319" s="166"/>
    </row>
    <row r="320" spans="2:66" x14ac:dyDescent="0.25">
      <c r="B320" s="833" t="s">
        <v>435</v>
      </c>
      <c r="C320" s="824">
        <f>C310+C314+C318</f>
        <v>0</v>
      </c>
      <c r="D320" s="824">
        <f t="shared" ref="D320:F320" si="205">D310+D314+D318</f>
        <v>0</v>
      </c>
      <c r="E320" s="824">
        <f t="shared" si="205"/>
        <v>0</v>
      </c>
      <c r="F320" s="824">
        <f t="shared" si="205"/>
        <v>0</v>
      </c>
      <c r="G320" s="824">
        <f>G310+G312+G314+G316+G318</f>
        <v>91399247.348360002</v>
      </c>
      <c r="H320" s="824">
        <f t="shared" ref="H320:AT320" si="206">H310+H312+H314+H316+H318</f>
        <v>88792661.1553417</v>
      </c>
      <c r="I320" s="824">
        <f t="shared" si="206"/>
        <v>86186074.962323397</v>
      </c>
      <c r="J320" s="824">
        <f t="shared" si="206"/>
        <v>83579488.769305095</v>
      </c>
      <c r="K320" s="824">
        <f t="shared" si="206"/>
        <v>80972902.576286793</v>
      </c>
      <c r="L320" s="824">
        <f t="shared" si="206"/>
        <v>78507316.856017277</v>
      </c>
      <c r="M320" s="824">
        <f t="shared" si="206"/>
        <v>76041731.135747761</v>
      </c>
      <c r="N320" s="824">
        <f t="shared" si="206"/>
        <v>73576145.415478244</v>
      </c>
      <c r="O320" s="824">
        <f t="shared" si="206"/>
        <v>71110559.695208728</v>
      </c>
      <c r="P320" s="824">
        <f t="shared" si="206"/>
        <v>68644973.974939212</v>
      </c>
      <c r="Q320" s="824">
        <f t="shared" si="206"/>
        <v>66414433.142988488</v>
      </c>
      <c r="R320" s="824">
        <f t="shared" si="206"/>
        <v>67193471.41879648</v>
      </c>
      <c r="S320" s="824">
        <f t="shared" si="206"/>
        <v>64661972.676069878</v>
      </c>
      <c r="T320" s="824">
        <f t="shared" si="206"/>
        <v>62130473.933343284</v>
      </c>
      <c r="U320" s="824">
        <f t="shared" si="206"/>
        <v>59598975.19061669</v>
      </c>
      <c r="V320" s="824">
        <f t="shared" si="206"/>
        <v>57694492.412099138</v>
      </c>
      <c r="W320" s="824">
        <f t="shared" si="206"/>
        <v>55790009.633581579</v>
      </c>
      <c r="X320" s="824">
        <f t="shared" si="206"/>
        <v>66092927.081821628</v>
      </c>
      <c r="Y320" s="824">
        <f t="shared" si="206"/>
        <v>63316487.144249961</v>
      </c>
      <c r="Z320" s="824">
        <f t="shared" si="206"/>
        <v>60540047.206678294</v>
      </c>
      <c r="AA320" s="824">
        <f t="shared" si="206"/>
        <v>57763607.269106627</v>
      </c>
      <c r="AB320" s="824">
        <f t="shared" si="206"/>
        <v>54987167.331534967</v>
      </c>
      <c r="AC320" s="824">
        <f t="shared" si="206"/>
        <v>56246172.397839189</v>
      </c>
      <c r="AD320" s="824">
        <f t="shared" si="206"/>
        <v>53397241.661733389</v>
      </c>
      <c r="AE320" s="824">
        <f t="shared" si="206"/>
        <v>50548310.925627589</v>
      </c>
      <c r="AF320" s="824">
        <f t="shared" si="206"/>
        <v>47699380.18952179</v>
      </c>
      <c r="AG320" s="824">
        <f t="shared" si="206"/>
        <v>44850449.45341599</v>
      </c>
      <c r="AH320" s="824">
        <f t="shared" si="206"/>
        <v>42001518.717310205</v>
      </c>
      <c r="AI320" s="824">
        <f t="shared" si="206"/>
        <v>39152587.981204405</v>
      </c>
      <c r="AJ320" s="824">
        <f t="shared" si="206"/>
        <v>36303657.245098598</v>
      </c>
      <c r="AK320" s="824">
        <f t="shared" si="206"/>
        <v>33454726.508992799</v>
      </c>
      <c r="AL320" s="824">
        <f t="shared" si="206"/>
        <v>30605795.772886999</v>
      </c>
      <c r="AM320" s="824">
        <f t="shared" si="206"/>
        <v>28628822.195835307</v>
      </c>
      <c r="AN320" s="824">
        <f t="shared" si="206"/>
        <v>27025297.328093622</v>
      </c>
      <c r="AO320" s="824">
        <f t="shared" si="206"/>
        <v>49514029.619213134</v>
      </c>
      <c r="AP320" s="824">
        <f t="shared" si="206"/>
        <v>46304354.274214029</v>
      </c>
      <c r="AQ320" s="824">
        <f t="shared" si="206"/>
        <v>43094678.929214939</v>
      </c>
      <c r="AR320" s="824">
        <f t="shared" si="206"/>
        <v>39885003.584215835</v>
      </c>
      <c r="AS320" s="824">
        <f t="shared" si="206"/>
        <v>36675328.239216745</v>
      </c>
      <c r="AT320" s="824">
        <f t="shared" si="206"/>
        <v>33465652.89421764</v>
      </c>
      <c r="AU320" s="166"/>
      <c r="AV320" s="166"/>
      <c r="AW320" s="166"/>
      <c r="AX320" s="166"/>
      <c r="AY320" s="166"/>
      <c r="AZ320" s="166"/>
      <c r="BA320" s="166"/>
      <c r="BB320" s="166"/>
      <c r="BC320" s="166"/>
      <c r="BD320" s="166"/>
      <c r="BE320" s="166"/>
      <c r="BF320" s="166"/>
      <c r="BG320" s="166"/>
      <c r="BH320" s="166"/>
      <c r="BI320" s="166"/>
      <c r="BJ320" s="166"/>
      <c r="BK320" s="166"/>
      <c r="BL320" s="166"/>
      <c r="BM320" s="166"/>
      <c r="BN320" s="166"/>
    </row>
    <row r="321" spans="2:66" x14ac:dyDescent="0.25">
      <c r="B321" s="481"/>
      <c r="C321" s="382"/>
      <c r="D321" s="382"/>
      <c r="E321" s="382"/>
      <c r="F321" s="382"/>
      <c r="G321" s="382"/>
      <c r="H321" s="382"/>
      <c r="I321" s="382"/>
      <c r="J321" s="382"/>
      <c r="K321" s="382"/>
      <c r="L321" s="382"/>
      <c r="M321" s="382"/>
      <c r="N321" s="382"/>
      <c r="O321" s="382"/>
      <c r="P321" s="382"/>
      <c r="Q321" s="382"/>
      <c r="R321" s="382"/>
      <c r="S321" s="382"/>
      <c r="T321" s="382"/>
      <c r="U321" s="382"/>
      <c r="V321" s="382"/>
      <c r="W321" s="382"/>
      <c r="X321" s="382"/>
      <c r="Y321" s="382"/>
      <c r="Z321" s="382"/>
      <c r="AA321" s="382"/>
      <c r="AB321" s="382"/>
      <c r="AC321" s="382"/>
      <c r="AD321" s="382"/>
      <c r="AE321" s="382"/>
      <c r="AF321" s="382"/>
      <c r="AG321" s="382"/>
      <c r="AH321" s="382"/>
      <c r="AI321" s="382"/>
      <c r="AJ321" s="382"/>
      <c r="AK321" s="382"/>
      <c r="AL321" s="382"/>
      <c r="AM321" s="382"/>
      <c r="AN321" s="382"/>
      <c r="AO321" s="382"/>
      <c r="AP321" s="382"/>
      <c r="AQ321" s="382"/>
      <c r="AR321" s="382"/>
      <c r="AS321" s="382"/>
      <c r="AT321" s="382"/>
      <c r="AU321" s="166"/>
      <c r="AV321" s="166"/>
      <c r="AW321" s="166"/>
      <c r="AX321" s="166"/>
      <c r="AY321" s="166"/>
      <c r="AZ321" s="166"/>
      <c r="BA321" s="166"/>
      <c r="BB321" s="166"/>
      <c r="BC321" s="166"/>
      <c r="BD321" s="166"/>
      <c r="BE321" s="166"/>
      <c r="BF321" s="166"/>
      <c r="BG321" s="166"/>
      <c r="BH321" s="166"/>
      <c r="BI321" s="166"/>
      <c r="BJ321" s="166"/>
      <c r="BK321" s="166"/>
      <c r="BL321" s="166"/>
      <c r="BM321" s="166"/>
      <c r="BN321" s="166"/>
    </row>
    <row r="322" spans="2:66" ht="13.8" thickBot="1" x14ac:dyDescent="0.3">
      <c r="B322" s="834"/>
      <c r="C322" s="178"/>
      <c r="D322" s="178"/>
      <c r="E322" s="178"/>
      <c r="F322" s="178"/>
      <c r="G322" s="178"/>
      <c r="H322" s="178"/>
      <c r="I322" s="178"/>
      <c r="J322" s="178"/>
      <c r="K322" s="178"/>
      <c r="L322" s="178"/>
      <c r="M322" s="178"/>
      <c r="N322" s="178"/>
      <c r="O322" s="178"/>
      <c r="P322" s="178"/>
      <c r="Q322" s="178"/>
      <c r="R322" s="178"/>
      <c r="S322" s="178"/>
      <c r="T322" s="178"/>
      <c r="U322" s="178"/>
      <c r="V322" s="178"/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  <c r="AM322" s="178"/>
      <c r="AN322" s="178"/>
      <c r="AO322" s="178"/>
      <c r="AP322" s="178"/>
      <c r="AQ322" s="178"/>
      <c r="AR322" s="178"/>
      <c r="AS322" s="178"/>
      <c r="AT322" s="178"/>
      <c r="AU322" s="166"/>
      <c r="AV322" s="166"/>
      <c r="AW322" s="166"/>
      <c r="AX322" s="166"/>
      <c r="AY322" s="166"/>
      <c r="AZ322" s="166"/>
      <c r="BA322" s="166"/>
      <c r="BB322" s="166"/>
      <c r="BC322" s="166"/>
      <c r="BD322" s="166"/>
      <c r="BE322" s="166"/>
      <c r="BF322" s="166"/>
      <c r="BG322" s="166"/>
      <c r="BH322" s="166"/>
      <c r="BI322" s="166"/>
      <c r="BJ322" s="166"/>
      <c r="BK322" s="166"/>
      <c r="BL322" s="166"/>
      <c r="BM322" s="166"/>
      <c r="BN322" s="166"/>
    </row>
    <row r="323" spans="2:66" ht="14.4" x14ac:dyDescent="0.25">
      <c r="B323" s="835" t="s">
        <v>390</v>
      </c>
      <c r="C323" s="818"/>
      <c r="D323" s="818"/>
      <c r="E323" s="818"/>
      <c r="F323" s="818"/>
      <c r="G323" s="818"/>
      <c r="H323" s="818"/>
      <c r="I323" s="818"/>
      <c r="J323" s="818"/>
      <c r="K323" s="818"/>
      <c r="L323" s="818"/>
      <c r="M323" s="818"/>
      <c r="N323" s="818"/>
      <c r="O323" s="818"/>
      <c r="P323" s="818"/>
      <c r="Q323" s="818"/>
      <c r="R323" s="818"/>
      <c r="S323" s="818"/>
      <c r="T323" s="818"/>
      <c r="U323" s="818"/>
      <c r="V323" s="818"/>
      <c r="W323" s="818"/>
      <c r="X323" s="818"/>
      <c r="Y323" s="818"/>
      <c r="Z323" s="818"/>
      <c r="AA323" s="818"/>
      <c r="AB323" s="818"/>
      <c r="AC323" s="818"/>
      <c r="AD323" s="818"/>
      <c r="AE323" s="818"/>
      <c r="AF323" s="818"/>
      <c r="AG323" s="818"/>
      <c r="AH323" s="818"/>
      <c r="AI323" s="818"/>
      <c r="AJ323" s="818"/>
      <c r="AK323" s="818"/>
      <c r="AL323" s="818"/>
      <c r="AM323" s="818"/>
      <c r="AN323" s="818"/>
      <c r="AO323" s="818"/>
      <c r="AP323" s="818"/>
      <c r="AQ323" s="818"/>
      <c r="AR323" s="818"/>
      <c r="AS323" s="818"/>
      <c r="AT323" s="819"/>
      <c r="AU323" s="166"/>
      <c r="AV323" s="166"/>
      <c r="AW323" s="166"/>
      <c r="AX323" s="166"/>
      <c r="AY323" s="166"/>
      <c r="AZ323" s="166"/>
      <c r="BA323" s="166"/>
      <c r="BB323" s="166"/>
      <c r="BC323" s="166"/>
      <c r="BD323" s="166"/>
      <c r="BE323" s="166"/>
      <c r="BF323" s="166"/>
      <c r="BG323" s="166"/>
      <c r="BH323" s="166"/>
      <c r="BI323" s="166"/>
      <c r="BJ323" s="166"/>
      <c r="BK323" s="166"/>
      <c r="BL323" s="166"/>
      <c r="BM323" s="166"/>
      <c r="BN323" s="166"/>
    </row>
    <row r="324" spans="2:66" x14ac:dyDescent="0.25">
      <c r="B324" s="836" t="s">
        <v>391</v>
      </c>
      <c r="C324" s="268">
        <v>0</v>
      </c>
      <c r="D324" s="268">
        <v>0</v>
      </c>
      <c r="E324" s="268">
        <v>0</v>
      </c>
      <c r="F324" s="268">
        <v>0</v>
      </c>
      <c r="G324" s="268">
        <f>-G300</f>
        <v>-2791546.919500811</v>
      </c>
      <c r="H324" s="268">
        <f t="shared" ref="H324:AT324" si="207">-H300</f>
        <v>-3091692.739287667</v>
      </c>
      <c r="I324" s="268">
        <f t="shared" si="207"/>
        <v>-2934364.0421133931</v>
      </c>
      <c r="J324" s="268">
        <f t="shared" si="207"/>
        <v>-3003556.4739287407</v>
      </c>
      <c r="K324" s="268">
        <f t="shared" si="207"/>
        <v>-6864999.4108087067</v>
      </c>
      <c r="L324" s="268">
        <f t="shared" si="207"/>
        <v>-3146987.7384020691</v>
      </c>
      <c r="M324" s="268">
        <f t="shared" si="207"/>
        <v>-3221309.8210025458</v>
      </c>
      <c r="N324" s="268">
        <f t="shared" si="207"/>
        <v>-3297426.7865636172</v>
      </c>
      <c r="O324" s="268">
        <f t="shared" si="207"/>
        <v>-3375382.9246263341</v>
      </c>
      <c r="P324" s="268">
        <f t="shared" si="207"/>
        <v>-7620124.5585567057</v>
      </c>
      <c r="Q324" s="268">
        <f t="shared" si="207"/>
        <v>-3536995.481726327</v>
      </c>
      <c r="R324" s="268">
        <f t="shared" si="207"/>
        <v>-3620746.1717735282</v>
      </c>
      <c r="S324" s="268">
        <f t="shared" si="207"/>
        <v>-3706524.6358547215</v>
      </c>
      <c r="T324" s="268">
        <f t="shared" si="207"/>
        <v>-3794381.0340164835</v>
      </c>
      <c r="U324" s="268">
        <f t="shared" si="207"/>
        <v>-8460551.8528040089</v>
      </c>
      <c r="V324" s="268">
        <f t="shared" si="207"/>
        <v>-3976534.6360238022</v>
      </c>
      <c r="W324" s="268">
        <f t="shared" si="207"/>
        <v>-4070938.621770741</v>
      </c>
      <c r="X324" s="268">
        <f t="shared" si="207"/>
        <v>-4167634.1731139594</v>
      </c>
      <c r="Y324" s="268">
        <f t="shared" si="207"/>
        <v>-4266678.1150930393</v>
      </c>
      <c r="Z324" s="268">
        <f t="shared" si="207"/>
        <v>-9396213.810979465</v>
      </c>
      <c r="AA324" s="268">
        <f t="shared" si="207"/>
        <v>-4472045.6967975702</v>
      </c>
      <c r="AB324" s="268">
        <f t="shared" si="207"/>
        <v>-4578490.3244372597</v>
      </c>
      <c r="AC324" s="268">
        <f t="shared" si="207"/>
        <v>-4687525.3956046067</v>
      </c>
      <c r="AD324" s="268">
        <f t="shared" si="207"/>
        <v>-4799215.3044166798</v>
      </c>
      <c r="AE324" s="268">
        <f t="shared" si="207"/>
        <v>-10438238.257315286</v>
      </c>
      <c r="AF324" s="268">
        <f t="shared" si="207"/>
        <v>-5030825.4186769668</v>
      </c>
      <c r="AG324" s="268">
        <f t="shared" si="207"/>
        <v>-5150882.7472600536</v>
      </c>
      <c r="AH324" s="268">
        <f t="shared" si="207"/>
        <v>-5273869.24748501</v>
      </c>
      <c r="AI324" s="268">
        <f t="shared" si="207"/>
        <v>-5399857.9116118001</v>
      </c>
      <c r="AJ324" s="268">
        <f t="shared" si="207"/>
        <v>-11599097.173153548</v>
      </c>
      <c r="AK324" s="268">
        <f t="shared" si="207"/>
        <v>-5661143.0252687559</v>
      </c>
      <c r="AL324" s="268">
        <f t="shared" si="207"/>
        <v>-5796594.9293390466</v>
      </c>
      <c r="AM324" s="268">
        <f t="shared" si="207"/>
        <v>-5935360.0062841373</v>
      </c>
      <c r="AN324" s="268">
        <f t="shared" si="207"/>
        <v>-6077521.0181308491</v>
      </c>
      <c r="AO324" s="268">
        <f t="shared" si="207"/>
        <v>-12892774.71989817</v>
      </c>
      <c r="AP324" s="268">
        <f t="shared" si="207"/>
        <v>-6372372.4917223342</v>
      </c>
      <c r="AQ324" s="268">
        <f t="shared" si="207"/>
        <v>-6525239.2401587041</v>
      </c>
      <c r="AR324" s="268">
        <f t="shared" si="207"/>
        <v>-6681854.610653758</v>
      </c>
      <c r="AS324" s="268">
        <f t="shared" si="207"/>
        <v>-6842312.4692722289</v>
      </c>
      <c r="AT324" s="799">
        <f t="shared" si="207"/>
        <v>-14334956.983977951</v>
      </c>
      <c r="AU324" s="166"/>
      <c r="AV324" s="166"/>
      <c r="AW324" s="166"/>
      <c r="AX324" s="166"/>
      <c r="AY324" s="166"/>
      <c r="AZ324" s="166"/>
      <c r="BA324" s="166"/>
      <c r="BB324" s="166"/>
      <c r="BC324" s="166"/>
      <c r="BD324" s="166"/>
      <c r="BE324" s="166"/>
      <c r="BF324" s="166"/>
      <c r="BG324" s="166"/>
      <c r="BH324" s="166"/>
      <c r="BI324" s="166"/>
      <c r="BJ324" s="166"/>
      <c r="BK324" s="166"/>
      <c r="BL324" s="166"/>
      <c r="BM324" s="166"/>
      <c r="BN324" s="166"/>
    </row>
    <row r="325" spans="2:66" ht="15" thickBot="1" x14ac:dyDescent="0.3">
      <c r="B325" s="842" t="s">
        <v>389</v>
      </c>
      <c r="C325" s="820"/>
      <c r="D325" s="820"/>
      <c r="E325" s="820"/>
      <c r="F325" s="820"/>
      <c r="G325" s="820">
        <f>G324</f>
        <v>-2791546.919500811</v>
      </c>
      <c r="H325" s="820">
        <f t="shared" ref="H325:AT325" si="208">H324</f>
        <v>-3091692.739287667</v>
      </c>
      <c r="I325" s="820">
        <f t="shared" si="208"/>
        <v>-2934364.0421133931</v>
      </c>
      <c r="J325" s="820">
        <f t="shared" si="208"/>
        <v>-3003556.4739287407</v>
      </c>
      <c r="K325" s="820">
        <f t="shared" si="208"/>
        <v>-6864999.4108087067</v>
      </c>
      <c r="L325" s="820">
        <f t="shared" si="208"/>
        <v>-3146987.7384020691</v>
      </c>
      <c r="M325" s="820">
        <f t="shared" si="208"/>
        <v>-3221309.8210025458</v>
      </c>
      <c r="N325" s="820">
        <f t="shared" si="208"/>
        <v>-3297426.7865636172</v>
      </c>
      <c r="O325" s="820">
        <f t="shared" si="208"/>
        <v>-3375382.9246263341</v>
      </c>
      <c r="P325" s="820">
        <f t="shared" si="208"/>
        <v>-7620124.5585567057</v>
      </c>
      <c r="Q325" s="820">
        <f t="shared" si="208"/>
        <v>-3536995.481726327</v>
      </c>
      <c r="R325" s="820">
        <f t="shared" si="208"/>
        <v>-3620746.1717735282</v>
      </c>
      <c r="S325" s="820">
        <f t="shared" si="208"/>
        <v>-3706524.6358547215</v>
      </c>
      <c r="T325" s="820">
        <f t="shared" si="208"/>
        <v>-3794381.0340164835</v>
      </c>
      <c r="U325" s="820">
        <f t="shared" si="208"/>
        <v>-8460551.8528040089</v>
      </c>
      <c r="V325" s="820">
        <f t="shared" si="208"/>
        <v>-3976534.6360238022</v>
      </c>
      <c r="W325" s="820">
        <f t="shared" si="208"/>
        <v>-4070938.621770741</v>
      </c>
      <c r="X325" s="820">
        <f t="shared" si="208"/>
        <v>-4167634.1731139594</v>
      </c>
      <c r="Y325" s="820">
        <f t="shared" si="208"/>
        <v>-4266678.1150930393</v>
      </c>
      <c r="Z325" s="820">
        <f t="shared" si="208"/>
        <v>-9396213.810979465</v>
      </c>
      <c r="AA325" s="820">
        <f t="shared" si="208"/>
        <v>-4472045.6967975702</v>
      </c>
      <c r="AB325" s="820">
        <f t="shared" si="208"/>
        <v>-4578490.3244372597</v>
      </c>
      <c r="AC325" s="820">
        <f t="shared" si="208"/>
        <v>-4687525.3956046067</v>
      </c>
      <c r="AD325" s="820">
        <f t="shared" si="208"/>
        <v>-4799215.3044166798</v>
      </c>
      <c r="AE325" s="820">
        <f t="shared" si="208"/>
        <v>-10438238.257315286</v>
      </c>
      <c r="AF325" s="820">
        <f t="shared" si="208"/>
        <v>-5030825.4186769668</v>
      </c>
      <c r="AG325" s="820">
        <f t="shared" si="208"/>
        <v>-5150882.7472600536</v>
      </c>
      <c r="AH325" s="820">
        <f t="shared" si="208"/>
        <v>-5273869.24748501</v>
      </c>
      <c r="AI325" s="820">
        <f t="shared" si="208"/>
        <v>-5399857.9116118001</v>
      </c>
      <c r="AJ325" s="820">
        <f t="shared" si="208"/>
        <v>-11599097.173153548</v>
      </c>
      <c r="AK325" s="820">
        <f t="shared" si="208"/>
        <v>-5661143.0252687559</v>
      </c>
      <c r="AL325" s="820">
        <f t="shared" si="208"/>
        <v>-5796594.9293390466</v>
      </c>
      <c r="AM325" s="820">
        <f t="shared" si="208"/>
        <v>-5935360.0062841373</v>
      </c>
      <c r="AN325" s="820">
        <f t="shared" si="208"/>
        <v>-6077521.0181308491</v>
      </c>
      <c r="AO325" s="820">
        <f t="shared" si="208"/>
        <v>-12892774.71989817</v>
      </c>
      <c r="AP325" s="820">
        <f t="shared" si="208"/>
        <v>-6372372.4917223342</v>
      </c>
      <c r="AQ325" s="820">
        <f t="shared" si="208"/>
        <v>-6525239.2401587041</v>
      </c>
      <c r="AR325" s="820">
        <f t="shared" si="208"/>
        <v>-6681854.610653758</v>
      </c>
      <c r="AS325" s="820">
        <f t="shared" si="208"/>
        <v>-6842312.4692722289</v>
      </c>
      <c r="AT325" s="821">
        <f t="shared" si="208"/>
        <v>-14334956.983977951</v>
      </c>
      <c r="AU325" s="166"/>
      <c r="AV325" s="166"/>
      <c r="AW325" s="166"/>
      <c r="AX325" s="166"/>
      <c r="AY325" s="166"/>
      <c r="AZ325" s="166"/>
      <c r="BA325" s="166"/>
      <c r="BB325" s="166"/>
      <c r="BC325" s="166"/>
      <c r="BD325" s="166"/>
      <c r="BE325" s="166"/>
      <c r="BF325" s="166"/>
      <c r="BG325" s="166"/>
      <c r="BH325" s="166"/>
      <c r="BI325" s="166"/>
      <c r="BJ325" s="166"/>
      <c r="BK325" s="166"/>
      <c r="BL325" s="166"/>
      <c r="BM325" s="166"/>
      <c r="BN325" s="166"/>
    </row>
    <row r="326" spans="2:66" ht="15" thickBot="1" x14ac:dyDescent="0.3">
      <c r="B326" s="837"/>
      <c r="C326" s="824"/>
      <c r="D326" s="824"/>
      <c r="E326" s="824"/>
      <c r="F326" s="824"/>
      <c r="G326" s="824"/>
      <c r="H326" s="824"/>
      <c r="I326" s="824"/>
      <c r="J326" s="824"/>
      <c r="K326" s="824"/>
      <c r="L326" s="824"/>
      <c r="M326" s="824"/>
      <c r="N326" s="824"/>
      <c r="O326" s="824"/>
      <c r="P326" s="824"/>
      <c r="Q326" s="824"/>
      <c r="R326" s="824"/>
      <c r="S326" s="824"/>
      <c r="T326" s="824"/>
      <c r="U326" s="824"/>
      <c r="V326" s="824"/>
      <c r="W326" s="824"/>
      <c r="X326" s="824"/>
      <c r="Y326" s="824"/>
      <c r="Z326" s="824"/>
      <c r="AA326" s="824"/>
      <c r="AB326" s="824"/>
      <c r="AC326" s="824"/>
      <c r="AD326" s="824"/>
      <c r="AE326" s="824"/>
      <c r="AF326" s="824"/>
      <c r="AG326" s="824"/>
      <c r="AH326" s="824"/>
      <c r="AI326" s="824"/>
      <c r="AJ326" s="824"/>
      <c r="AK326" s="824"/>
      <c r="AL326" s="824"/>
      <c r="AM326" s="824"/>
      <c r="AN326" s="824"/>
      <c r="AO326" s="824"/>
      <c r="AP326" s="824"/>
      <c r="AQ326" s="824"/>
      <c r="AR326" s="824"/>
      <c r="AS326" s="824"/>
      <c r="AT326" s="824"/>
      <c r="AU326" s="166"/>
      <c r="AV326" s="166"/>
      <c r="AW326" s="166"/>
      <c r="AX326" s="166"/>
      <c r="AY326" s="166"/>
      <c r="AZ326" s="166"/>
      <c r="BA326" s="166"/>
      <c r="BB326" s="166"/>
      <c r="BC326" s="166"/>
      <c r="BD326" s="166"/>
      <c r="BE326" s="166"/>
      <c r="BF326" s="166"/>
      <c r="BG326" s="166"/>
      <c r="BH326" s="166"/>
      <c r="BI326" s="166"/>
      <c r="BJ326" s="166"/>
      <c r="BK326" s="166"/>
      <c r="BL326" s="166"/>
      <c r="BM326" s="166"/>
      <c r="BN326" s="166"/>
    </row>
    <row r="327" spans="2:66" ht="14.4" x14ac:dyDescent="0.25">
      <c r="B327" s="835" t="s">
        <v>392</v>
      </c>
      <c r="C327" s="818"/>
      <c r="D327" s="818"/>
      <c r="E327" s="818"/>
      <c r="F327" s="818"/>
      <c r="G327" s="818"/>
      <c r="H327" s="818"/>
      <c r="I327" s="818"/>
      <c r="J327" s="818"/>
      <c r="K327" s="818"/>
      <c r="L327" s="818"/>
      <c r="M327" s="818"/>
      <c r="N327" s="818"/>
      <c r="O327" s="818"/>
      <c r="P327" s="818"/>
      <c r="Q327" s="818"/>
      <c r="R327" s="818"/>
      <c r="S327" s="818"/>
      <c r="T327" s="818"/>
      <c r="U327" s="818"/>
      <c r="V327" s="818"/>
      <c r="W327" s="818"/>
      <c r="X327" s="818"/>
      <c r="Y327" s="818"/>
      <c r="Z327" s="818"/>
      <c r="AA327" s="818"/>
      <c r="AB327" s="818"/>
      <c r="AC327" s="818"/>
      <c r="AD327" s="818"/>
      <c r="AE327" s="818"/>
      <c r="AF327" s="818"/>
      <c r="AG327" s="818"/>
      <c r="AH327" s="818"/>
      <c r="AI327" s="818"/>
      <c r="AJ327" s="818"/>
      <c r="AK327" s="818"/>
      <c r="AL327" s="818"/>
      <c r="AM327" s="818"/>
      <c r="AN327" s="818"/>
      <c r="AO327" s="818"/>
      <c r="AP327" s="818"/>
      <c r="AQ327" s="818"/>
      <c r="AR327" s="818"/>
      <c r="AS327" s="818"/>
      <c r="AT327" s="819"/>
      <c r="AU327" s="166"/>
      <c r="AV327" s="166"/>
      <c r="AW327" s="166"/>
      <c r="AX327" s="166"/>
      <c r="AY327" s="166"/>
      <c r="AZ327" s="166"/>
      <c r="BA327" s="166"/>
      <c r="BB327" s="166"/>
      <c r="BC327" s="166"/>
      <c r="BD327" s="166"/>
      <c r="BE327" s="166"/>
      <c r="BF327" s="166"/>
      <c r="BG327" s="166"/>
      <c r="BH327" s="166"/>
      <c r="BI327" s="166"/>
      <c r="BJ327" s="166"/>
      <c r="BK327" s="166"/>
      <c r="BL327" s="166"/>
      <c r="BM327" s="166"/>
      <c r="BN327" s="166"/>
    </row>
    <row r="328" spans="2:66" x14ac:dyDescent="0.25">
      <c r="B328" s="836" t="s">
        <v>393</v>
      </c>
      <c r="C328" s="268">
        <v>0</v>
      </c>
      <c r="D328" s="268">
        <v>0</v>
      </c>
      <c r="E328" s="268">
        <v>0</v>
      </c>
      <c r="F328" s="268">
        <v>0</v>
      </c>
      <c r="G328" s="178">
        <f t="shared" ref="G328:AT328" si="209">G302</f>
        <v>5799103.7517471425</v>
      </c>
      <c r="H328" s="178">
        <f t="shared" si="209"/>
        <v>7732138.3356628539</v>
      </c>
      <c r="I328" s="178">
        <f t="shared" si="209"/>
        <v>8172264.2641550843</v>
      </c>
      <c r="J328" s="178">
        <f t="shared" si="209"/>
        <v>8260577.8983746506</v>
      </c>
      <c r="K328" s="178">
        <f t="shared" si="209"/>
        <v>8686186.7505110241</v>
      </c>
      <c r="L328" s="178">
        <f t="shared" si="209"/>
        <v>8778068.255553063</v>
      </c>
      <c r="M328" s="178">
        <f t="shared" si="209"/>
        <v>9228295.7309231441</v>
      </c>
      <c r="N328" s="178">
        <f t="shared" si="209"/>
        <v>9275106.2391312253</v>
      </c>
      <c r="O328" s="178">
        <f t="shared" si="209"/>
        <v>9698522.1839318108</v>
      </c>
      <c r="P328" s="178">
        <f t="shared" si="209"/>
        <v>9747223.8366714995</v>
      </c>
      <c r="Q328" s="178">
        <f t="shared" si="209"/>
        <v>10191680.8791834</v>
      </c>
      <c r="R328" s="178">
        <f t="shared" si="209"/>
        <v>10242350.078693777</v>
      </c>
      <c r="S328" s="178">
        <f t="shared" si="209"/>
        <v>10661137.480721099</v>
      </c>
      <c r="T328" s="178">
        <f t="shared" si="209"/>
        <v>10666133.939569199</v>
      </c>
      <c r="U328" s="178">
        <f t="shared" si="209"/>
        <v>11102244.066513358</v>
      </c>
      <c r="V328" s="178">
        <f t="shared" si="209"/>
        <v>11107442.382298917</v>
      </c>
      <c r="W328" s="178">
        <f t="shared" si="209"/>
        <v>11561591.382287087</v>
      </c>
      <c r="X328" s="178">
        <f t="shared" si="209"/>
        <v>11633274.122970717</v>
      </c>
      <c r="Y328" s="178">
        <f t="shared" si="209"/>
        <v>12177837.12094599</v>
      </c>
      <c r="Z328" s="178">
        <f t="shared" si="209"/>
        <v>12252415.844353242</v>
      </c>
      <c r="AA328" s="178">
        <f t="shared" si="209"/>
        <v>12825005.148298016</v>
      </c>
      <c r="AB328" s="178">
        <f t="shared" si="209"/>
        <v>12902596.852130923</v>
      </c>
      <c r="AC328" s="178">
        <f t="shared" si="209"/>
        <v>13423861.764957011</v>
      </c>
      <c r="AD328" s="178">
        <f t="shared" si="209"/>
        <v>13423861.764957011</v>
      </c>
      <c r="AE328" s="178">
        <f t="shared" si="209"/>
        <v>13966185.780261276</v>
      </c>
      <c r="AF328" s="178">
        <f t="shared" si="209"/>
        <v>13966185.780261276</v>
      </c>
      <c r="AG328" s="178">
        <f t="shared" si="209"/>
        <v>14530419.685783831</v>
      </c>
      <c r="AH328" s="178">
        <f t="shared" si="209"/>
        <v>14530419.685783831</v>
      </c>
      <c r="AI328" s="178">
        <f t="shared" si="209"/>
        <v>15117448.641089497</v>
      </c>
      <c r="AJ328" s="178">
        <f t="shared" si="209"/>
        <v>15117448.641089497</v>
      </c>
      <c r="AK328" s="178">
        <f t="shared" si="209"/>
        <v>15728193.566189513</v>
      </c>
      <c r="AL328" s="178">
        <f t="shared" si="209"/>
        <v>15728193.566189513</v>
      </c>
      <c r="AM328" s="178">
        <f t="shared" si="209"/>
        <v>16363612.586263567</v>
      </c>
      <c r="AN328" s="178">
        <f t="shared" si="209"/>
        <v>16363612.586263567</v>
      </c>
      <c r="AO328" s="178">
        <f t="shared" si="209"/>
        <v>17024702.534748621</v>
      </c>
      <c r="AP328" s="178">
        <f t="shared" si="209"/>
        <v>17024702.534748621</v>
      </c>
      <c r="AQ328" s="178">
        <f t="shared" si="209"/>
        <v>17712500.517152462</v>
      </c>
      <c r="AR328" s="178">
        <f t="shared" si="209"/>
        <v>17712500.517152462</v>
      </c>
      <c r="AS328" s="178">
        <f t="shared" si="209"/>
        <v>18428085.538045421</v>
      </c>
      <c r="AT328" s="265">
        <f t="shared" si="209"/>
        <v>18428085.538045421</v>
      </c>
      <c r="AU328" s="166"/>
      <c r="AV328" s="166"/>
      <c r="AW328" s="166"/>
      <c r="AX328" s="166"/>
      <c r="AY328" s="166"/>
      <c r="AZ328" s="166"/>
      <c r="BA328" s="166"/>
      <c r="BB328" s="166"/>
      <c r="BC328" s="166"/>
      <c r="BD328" s="166"/>
      <c r="BE328" s="166"/>
      <c r="BF328" s="166"/>
      <c r="BG328" s="166"/>
      <c r="BH328" s="166"/>
      <c r="BI328" s="166"/>
      <c r="BJ328" s="166"/>
      <c r="BK328" s="166"/>
      <c r="BL328" s="166"/>
      <c r="BM328" s="166"/>
      <c r="BN328" s="166"/>
    </row>
    <row r="329" spans="2:66" x14ac:dyDescent="0.25">
      <c r="B329" s="836" t="s">
        <v>394</v>
      </c>
      <c r="C329" s="268">
        <v>0</v>
      </c>
      <c r="D329" s="268">
        <v>0</v>
      </c>
      <c r="E329" s="268">
        <v>0</v>
      </c>
      <c r="F329" s="268">
        <v>0</v>
      </c>
      <c r="G329" s="178">
        <f t="shared" ref="G329:AT329" si="210">G303</f>
        <v>420000</v>
      </c>
      <c r="H329" s="178">
        <f t="shared" si="210"/>
        <v>428400</v>
      </c>
      <c r="I329" s="178">
        <f t="shared" si="210"/>
        <v>436968</v>
      </c>
      <c r="J329" s="178">
        <f t="shared" si="210"/>
        <v>445707.36</v>
      </c>
      <c r="K329" s="178">
        <f t="shared" si="210"/>
        <v>454621.50719999999</v>
      </c>
      <c r="L329" s="178">
        <f t="shared" si="210"/>
        <v>463713.93734400003</v>
      </c>
      <c r="M329" s="178">
        <f t="shared" si="210"/>
        <v>472988.21609088004</v>
      </c>
      <c r="N329" s="178">
        <f t="shared" si="210"/>
        <v>482447.98041269754</v>
      </c>
      <c r="O329" s="178">
        <f t="shared" si="210"/>
        <v>492096.9400209515</v>
      </c>
      <c r="P329" s="178">
        <f t="shared" si="210"/>
        <v>501938.87882137054</v>
      </c>
      <c r="Q329" s="178">
        <f t="shared" si="210"/>
        <v>511977.65639779798</v>
      </c>
      <c r="R329" s="178">
        <f t="shared" si="210"/>
        <v>522217.20952575386</v>
      </c>
      <c r="S329" s="178">
        <f t="shared" si="210"/>
        <v>532661.55371626897</v>
      </c>
      <c r="T329" s="178">
        <f t="shared" si="210"/>
        <v>543314.78479059436</v>
      </c>
      <c r="U329" s="178">
        <f t="shared" si="210"/>
        <v>554181.08048640634</v>
      </c>
      <c r="V329" s="178">
        <f t="shared" si="210"/>
        <v>565264.70209613431</v>
      </c>
      <c r="W329" s="178">
        <f t="shared" si="210"/>
        <v>576569.99613805709</v>
      </c>
      <c r="X329" s="178">
        <f t="shared" si="210"/>
        <v>588101.39606081822</v>
      </c>
      <c r="Y329" s="178">
        <f t="shared" si="210"/>
        <v>599863.42398203455</v>
      </c>
      <c r="Z329" s="178">
        <f t="shared" si="210"/>
        <v>611860.69246167527</v>
      </c>
      <c r="AA329" s="178">
        <f t="shared" si="210"/>
        <v>624097.90631090873</v>
      </c>
      <c r="AB329" s="178">
        <f t="shared" si="210"/>
        <v>636579.8644371269</v>
      </c>
      <c r="AC329" s="178">
        <f t="shared" si="210"/>
        <v>649311.46172586945</v>
      </c>
      <c r="AD329" s="178">
        <f t="shared" si="210"/>
        <v>662297.69096038677</v>
      </c>
      <c r="AE329" s="178">
        <f t="shared" si="210"/>
        <v>675543.6447795945</v>
      </c>
      <c r="AF329" s="178">
        <f t="shared" si="210"/>
        <v>689054.51767518639</v>
      </c>
      <c r="AG329" s="178">
        <f t="shared" si="210"/>
        <v>702835.60802869021</v>
      </c>
      <c r="AH329" s="178">
        <f t="shared" si="210"/>
        <v>716892.3201892639</v>
      </c>
      <c r="AI329" s="178">
        <f t="shared" si="210"/>
        <v>731230.1665930493</v>
      </c>
      <c r="AJ329" s="178">
        <f t="shared" si="210"/>
        <v>745854.76992491016</v>
      </c>
      <c r="AK329" s="178">
        <f t="shared" si="210"/>
        <v>760771.86532340851</v>
      </c>
      <c r="AL329" s="178">
        <f t="shared" si="210"/>
        <v>775987.30262987642</v>
      </c>
      <c r="AM329" s="178">
        <f t="shared" si="210"/>
        <v>791507.04868247418</v>
      </c>
      <c r="AN329" s="178">
        <f t="shared" si="210"/>
        <v>807337.18965612364</v>
      </c>
      <c r="AO329" s="178">
        <f t="shared" si="210"/>
        <v>823483.93344924611</v>
      </c>
      <c r="AP329" s="178">
        <f t="shared" si="210"/>
        <v>839953.61211823102</v>
      </c>
      <c r="AQ329" s="178">
        <f t="shared" si="210"/>
        <v>856752.68436059554</v>
      </c>
      <c r="AR329" s="178">
        <f t="shared" si="210"/>
        <v>873887.73804780759</v>
      </c>
      <c r="AS329" s="178">
        <f t="shared" si="210"/>
        <v>891365.49280876387</v>
      </c>
      <c r="AT329" s="265">
        <f t="shared" si="210"/>
        <v>909192.80266493873</v>
      </c>
      <c r="AU329" s="166"/>
      <c r="AV329" s="166"/>
      <c r="AW329" s="166"/>
      <c r="AX329" s="166"/>
      <c r="AY329" s="166"/>
      <c r="AZ329" s="166"/>
      <c r="BA329" s="166"/>
      <c r="BB329" s="166"/>
      <c r="BC329" s="166"/>
      <c r="BD329" s="166"/>
      <c r="BE329" s="166"/>
      <c r="BF329" s="166"/>
      <c r="BG329" s="166"/>
      <c r="BH329" s="166"/>
      <c r="BI329" s="166"/>
      <c r="BJ329" s="166"/>
      <c r="BK329" s="166"/>
      <c r="BL329" s="166"/>
      <c r="BM329" s="166"/>
      <c r="BN329" s="166"/>
    </row>
    <row r="330" spans="2:66" ht="15" thickBot="1" x14ac:dyDescent="0.3">
      <c r="B330" s="842" t="s">
        <v>388</v>
      </c>
      <c r="C330" s="822">
        <v>0</v>
      </c>
      <c r="D330" s="822">
        <v>0</v>
      </c>
      <c r="E330" s="822">
        <v>0</v>
      </c>
      <c r="F330" s="822">
        <v>0</v>
      </c>
      <c r="G330" s="822">
        <f>G328+G329</f>
        <v>6219103.7517471425</v>
      </c>
      <c r="H330" s="822">
        <f t="shared" ref="H330:AT330" si="211">H328+H329</f>
        <v>8160538.3356628539</v>
      </c>
      <c r="I330" s="822">
        <f t="shared" si="211"/>
        <v>8609232.2641550843</v>
      </c>
      <c r="J330" s="822">
        <f t="shared" si="211"/>
        <v>8706285.25837465</v>
      </c>
      <c r="K330" s="822">
        <f t="shared" si="211"/>
        <v>9140808.257711025</v>
      </c>
      <c r="L330" s="822">
        <f t="shared" si="211"/>
        <v>9241782.1928970627</v>
      </c>
      <c r="M330" s="822">
        <f t="shared" si="211"/>
        <v>9701283.9470140245</v>
      </c>
      <c r="N330" s="822">
        <f t="shared" si="211"/>
        <v>9757554.2195439227</v>
      </c>
      <c r="O330" s="822">
        <f t="shared" si="211"/>
        <v>10190619.123952763</v>
      </c>
      <c r="P330" s="822">
        <f t="shared" si="211"/>
        <v>10249162.715492871</v>
      </c>
      <c r="Q330" s="822">
        <f t="shared" si="211"/>
        <v>10703658.535581198</v>
      </c>
      <c r="R330" s="822">
        <f t="shared" si="211"/>
        <v>10764567.288219532</v>
      </c>
      <c r="S330" s="822">
        <f t="shared" si="211"/>
        <v>11193799.034437368</v>
      </c>
      <c r="T330" s="822">
        <f t="shared" si="211"/>
        <v>11209448.724359794</v>
      </c>
      <c r="U330" s="822">
        <f t="shared" si="211"/>
        <v>11656425.146999763</v>
      </c>
      <c r="V330" s="822">
        <f t="shared" si="211"/>
        <v>11672707.084395051</v>
      </c>
      <c r="W330" s="822">
        <f t="shared" si="211"/>
        <v>12138161.378425144</v>
      </c>
      <c r="X330" s="822">
        <f t="shared" si="211"/>
        <v>12221375.519031536</v>
      </c>
      <c r="Y330" s="822">
        <f t="shared" si="211"/>
        <v>12777700.544928025</v>
      </c>
      <c r="Z330" s="822">
        <f t="shared" si="211"/>
        <v>12864276.536814917</v>
      </c>
      <c r="AA330" s="822">
        <f t="shared" si="211"/>
        <v>13449103.054608924</v>
      </c>
      <c r="AB330" s="822">
        <f t="shared" si="211"/>
        <v>13539176.716568051</v>
      </c>
      <c r="AC330" s="822">
        <f t="shared" si="211"/>
        <v>14073173.226682881</v>
      </c>
      <c r="AD330" s="822">
        <f t="shared" si="211"/>
        <v>14086159.455917398</v>
      </c>
      <c r="AE330" s="822">
        <f t="shared" si="211"/>
        <v>14641729.425040871</v>
      </c>
      <c r="AF330" s="822">
        <f t="shared" si="211"/>
        <v>14655240.297936462</v>
      </c>
      <c r="AG330" s="822">
        <f t="shared" si="211"/>
        <v>15233255.293812521</v>
      </c>
      <c r="AH330" s="822">
        <f t="shared" si="211"/>
        <v>15247312.005973095</v>
      </c>
      <c r="AI330" s="822">
        <f t="shared" si="211"/>
        <v>15848678.807682546</v>
      </c>
      <c r="AJ330" s="822">
        <f t="shared" si="211"/>
        <v>15863303.411014408</v>
      </c>
      <c r="AK330" s="822">
        <f t="shared" si="211"/>
        <v>16488965.431512922</v>
      </c>
      <c r="AL330" s="822">
        <f t="shared" si="211"/>
        <v>16504180.868819389</v>
      </c>
      <c r="AM330" s="822">
        <f t="shared" si="211"/>
        <v>17155119.634946041</v>
      </c>
      <c r="AN330" s="822">
        <f t="shared" si="211"/>
        <v>17170949.775919691</v>
      </c>
      <c r="AO330" s="822">
        <f t="shared" si="211"/>
        <v>17848186.468197867</v>
      </c>
      <c r="AP330" s="822">
        <f t="shared" si="211"/>
        <v>17864656.146866851</v>
      </c>
      <c r="AQ330" s="822">
        <f t="shared" si="211"/>
        <v>18569253.201513059</v>
      </c>
      <c r="AR330" s="822">
        <f t="shared" si="211"/>
        <v>18586388.255200271</v>
      </c>
      <c r="AS330" s="822">
        <f t="shared" si="211"/>
        <v>19319451.030854184</v>
      </c>
      <c r="AT330" s="823">
        <f t="shared" si="211"/>
        <v>19337278.340710361</v>
      </c>
      <c r="AU330" s="166"/>
      <c r="AV330" s="166"/>
      <c r="AW330" s="166"/>
      <c r="AX330" s="166"/>
      <c r="AY330" s="166"/>
      <c r="AZ330" s="166"/>
      <c r="BA330" s="166"/>
      <c r="BB330" s="166"/>
      <c r="BC330" s="166"/>
      <c r="BD330" s="166"/>
      <c r="BE330" s="166"/>
      <c r="BF330" s="166"/>
      <c r="BG330" s="166"/>
      <c r="BH330" s="166"/>
      <c r="BI330" s="166"/>
      <c r="BJ330" s="166"/>
      <c r="BK330" s="166"/>
      <c r="BL330" s="166"/>
      <c r="BM330" s="166"/>
      <c r="BN330" s="166"/>
    </row>
    <row r="331" spans="2:66" ht="15" thickBot="1" x14ac:dyDescent="0.3">
      <c r="B331" s="838"/>
      <c r="C331" s="178"/>
      <c r="D331" s="178"/>
      <c r="E331" s="178"/>
      <c r="F331" s="178"/>
      <c r="G331" s="178"/>
      <c r="H331" s="178"/>
      <c r="I331" s="178"/>
      <c r="J331" s="178"/>
      <c r="K331" s="178"/>
      <c r="L331" s="178"/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  <c r="Y331" s="178"/>
      <c r="Z331" s="178"/>
      <c r="AA331" s="178"/>
      <c r="AB331" s="178"/>
      <c r="AC331" s="178"/>
      <c r="AD331" s="178"/>
      <c r="AE331" s="178"/>
      <c r="AF331" s="178"/>
      <c r="AG331" s="178"/>
      <c r="AH331" s="178"/>
      <c r="AI331" s="178"/>
      <c r="AJ331" s="178"/>
      <c r="AK331" s="178"/>
      <c r="AL331" s="178"/>
      <c r="AM331" s="178"/>
      <c r="AN331" s="178"/>
      <c r="AO331" s="178"/>
      <c r="AP331" s="178"/>
      <c r="AQ331" s="178"/>
      <c r="AR331" s="178"/>
      <c r="AS331" s="178"/>
      <c r="AT331" s="178"/>
      <c r="AU331" s="166"/>
      <c r="AV331" s="166"/>
      <c r="AW331" s="166"/>
      <c r="AX331" s="166"/>
      <c r="AY331" s="166"/>
      <c r="AZ331" s="166"/>
      <c r="BA331" s="166"/>
      <c r="BB331" s="166"/>
      <c r="BC331" s="166"/>
      <c r="BD331" s="166"/>
      <c r="BE331" s="166"/>
      <c r="BF331" s="166"/>
      <c r="BG331" s="166"/>
      <c r="BH331" s="166"/>
      <c r="BI331" s="166"/>
      <c r="BJ331" s="166"/>
      <c r="BK331" s="166"/>
      <c r="BL331" s="166"/>
      <c r="BM331" s="166"/>
      <c r="BN331" s="166"/>
    </row>
    <row r="332" spans="2:66" ht="15" thickBot="1" x14ac:dyDescent="0.3">
      <c r="B332" s="843" t="s">
        <v>387</v>
      </c>
      <c r="C332" s="825"/>
      <c r="D332" s="825"/>
      <c r="E332" s="825"/>
      <c r="F332" s="825"/>
      <c r="G332" s="826">
        <f>G330+G325</f>
        <v>3427556.8322463315</v>
      </c>
      <c r="H332" s="826">
        <f t="shared" ref="H332:AT332" si="212">H330+H325</f>
        <v>5068845.5963751869</v>
      </c>
      <c r="I332" s="826">
        <f t="shared" si="212"/>
        <v>5674868.2220416907</v>
      </c>
      <c r="J332" s="826">
        <f t="shared" si="212"/>
        <v>5702728.7844459098</v>
      </c>
      <c r="K332" s="826">
        <f t="shared" si="212"/>
        <v>2275808.8469023183</v>
      </c>
      <c r="L332" s="826">
        <f t="shared" si="212"/>
        <v>6094794.4544949941</v>
      </c>
      <c r="M332" s="826">
        <f t="shared" si="212"/>
        <v>6479974.1260114787</v>
      </c>
      <c r="N332" s="826">
        <f t="shared" si="212"/>
        <v>6460127.4329803055</v>
      </c>
      <c r="O332" s="826">
        <f t="shared" si="212"/>
        <v>6815236.1993264295</v>
      </c>
      <c r="P332" s="826">
        <f t="shared" si="212"/>
        <v>2629038.1569361649</v>
      </c>
      <c r="Q332" s="826">
        <f t="shared" si="212"/>
        <v>7166663.0538548706</v>
      </c>
      <c r="R332" s="826">
        <f t="shared" si="212"/>
        <v>7143821.1164460033</v>
      </c>
      <c r="S332" s="826">
        <f t="shared" si="212"/>
        <v>7487274.3985826466</v>
      </c>
      <c r="T332" s="826">
        <f t="shared" si="212"/>
        <v>7415067.6903433101</v>
      </c>
      <c r="U332" s="826">
        <f t="shared" si="212"/>
        <v>3195873.2941957545</v>
      </c>
      <c r="V332" s="826">
        <f t="shared" si="212"/>
        <v>7696172.4483712483</v>
      </c>
      <c r="W332" s="826">
        <f t="shared" si="212"/>
        <v>8067222.7566544022</v>
      </c>
      <c r="X332" s="826">
        <f t="shared" si="212"/>
        <v>8053741.3459175769</v>
      </c>
      <c r="Y332" s="826">
        <f t="shared" si="212"/>
        <v>8511022.4298349861</v>
      </c>
      <c r="Z332" s="826">
        <f t="shared" si="212"/>
        <v>3468062.7258354519</v>
      </c>
      <c r="AA332" s="826">
        <f t="shared" si="212"/>
        <v>8977057.3578113541</v>
      </c>
      <c r="AB332" s="826">
        <f t="shared" si="212"/>
        <v>8960686.3921307921</v>
      </c>
      <c r="AC332" s="826">
        <f t="shared" si="212"/>
        <v>9385647.8310782742</v>
      </c>
      <c r="AD332" s="826">
        <f t="shared" si="212"/>
        <v>9286944.1515007168</v>
      </c>
      <c r="AE332" s="826">
        <f t="shared" si="212"/>
        <v>4203491.1677255854</v>
      </c>
      <c r="AF332" s="826">
        <f t="shared" si="212"/>
        <v>9624414.8792594951</v>
      </c>
      <c r="AG332" s="826">
        <f t="shared" si="212"/>
        <v>10082372.546552468</v>
      </c>
      <c r="AH332" s="826">
        <f t="shared" si="212"/>
        <v>9973442.7584880851</v>
      </c>
      <c r="AI332" s="826">
        <f t="shared" si="212"/>
        <v>10448820.896070745</v>
      </c>
      <c r="AJ332" s="826">
        <f t="shared" si="212"/>
        <v>4264206.2378608603</v>
      </c>
      <c r="AK332" s="826">
        <f t="shared" si="212"/>
        <v>10827822.406244166</v>
      </c>
      <c r="AL332" s="826">
        <f t="shared" si="212"/>
        <v>10707585.939480342</v>
      </c>
      <c r="AM332" s="826">
        <f t="shared" si="212"/>
        <v>11219759.628661904</v>
      </c>
      <c r="AN332" s="826">
        <f t="shared" si="212"/>
        <v>11093428.757788841</v>
      </c>
      <c r="AO332" s="826">
        <f t="shared" si="212"/>
        <v>4955411.7482996974</v>
      </c>
      <c r="AP332" s="826">
        <f t="shared" si="212"/>
        <v>11492283.655144516</v>
      </c>
      <c r="AQ332" s="826">
        <f t="shared" si="212"/>
        <v>12044013.961354356</v>
      </c>
      <c r="AR332" s="826">
        <f t="shared" si="212"/>
        <v>11904533.644546513</v>
      </c>
      <c r="AS332" s="826">
        <f t="shared" si="212"/>
        <v>12477138.561581954</v>
      </c>
      <c r="AT332" s="827">
        <f t="shared" si="212"/>
        <v>5002321.3567324094</v>
      </c>
      <c r="AU332" s="166"/>
      <c r="AV332" s="166"/>
      <c r="AW332" s="166"/>
      <c r="AX332" s="166"/>
      <c r="AY332" s="166"/>
      <c r="AZ332" s="166"/>
      <c r="BA332" s="166"/>
      <c r="BB332" s="166"/>
      <c r="BC332" s="166"/>
      <c r="BD332" s="166"/>
      <c r="BE332" s="166"/>
      <c r="BF332" s="166"/>
      <c r="BG332" s="166"/>
      <c r="BH332" s="166"/>
      <c r="BI332" s="166"/>
      <c r="BJ332" s="166"/>
      <c r="BK332" s="166"/>
      <c r="BL332" s="166"/>
      <c r="BM332" s="166"/>
      <c r="BN332" s="166"/>
    </row>
    <row r="333" spans="2:66" ht="15" thickBot="1" x14ac:dyDescent="0.3">
      <c r="B333" s="839"/>
      <c r="C333" s="801"/>
      <c r="D333" s="801"/>
      <c r="E333" s="801"/>
      <c r="F333" s="801"/>
      <c r="G333" s="824"/>
      <c r="H333" s="824"/>
      <c r="I333" s="824"/>
      <c r="J333" s="824"/>
      <c r="K333" s="824"/>
      <c r="L333" s="824"/>
      <c r="M333" s="824"/>
      <c r="N333" s="824"/>
      <c r="O333" s="824"/>
      <c r="P333" s="824"/>
      <c r="Q333" s="824"/>
      <c r="R333" s="824"/>
      <c r="S333" s="824"/>
      <c r="T333" s="824"/>
      <c r="U333" s="824"/>
      <c r="V333" s="824"/>
      <c r="W333" s="824"/>
      <c r="X333" s="824"/>
      <c r="Y333" s="824"/>
      <c r="Z333" s="824"/>
      <c r="AA333" s="824"/>
      <c r="AB333" s="824"/>
      <c r="AC333" s="824"/>
      <c r="AD333" s="824"/>
      <c r="AE333" s="824"/>
      <c r="AF333" s="824"/>
      <c r="AG333" s="824"/>
      <c r="AH333" s="824"/>
      <c r="AI333" s="824"/>
      <c r="AJ333" s="824"/>
      <c r="AK333" s="824"/>
      <c r="AL333" s="824"/>
      <c r="AM333" s="824"/>
      <c r="AN333" s="824"/>
      <c r="AO333" s="824"/>
      <c r="AP333" s="824"/>
      <c r="AQ333" s="824"/>
      <c r="AR333" s="824"/>
      <c r="AS333" s="824"/>
      <c r="AT333" s="824"/>
      <c r="AU333" s="166"/>
      <c r="AV333" s="166"/>
      <c r="AW333" s="166"/>
      <c r="AX333" s="166"/>
      <c r="AY333" s="166"/>
      <c r="AZ333" s="166"/>
      <c r="BA333" s="166"/>
      <c r="BB333" s="166"/>
      <c r="BC333" s="166"/>
      <c r="BD333" s="166"/>
      <c r="BE333" s="166"/>
      <c r="BF333" s="166"/>
      <c r="BG333" s="166"/>
      <c r="BH333" s="166"/>
      <c r="BI333" s="166"/>
      <c r="BJ333" s="166"/>
      <c r="BK333" s="166"/>
      <c r="BL333" s="166"/>
      <c r="BM333" s="166"/>
      <c r="BN333" s="166"/>
    </row>
    <row r="334" spans="2:66" ht="14.4" x14ac:dyDescent="0.25">
      <c r="B334" s="835" t="s">
        <v>397</v>
      </c>
      <c r="C334" s="818"/>
      <c r="D334" s="818"/>
      <c r="E334" s="818"/>
      <c r="F334" s="818"/>
      <c r="G334" s="818"/>
      <c r="H334" s="818"/>
      <c r="I334" s="818"/>
      <c r="J334" s="818"/>
      <c r="K334" s="818"/>
      <c r="L334" s="818"/>
      <c r="M334" s="818"/>
      <c r="N334" s="818"/>
      <c r="O334" s="818"/>
      <c r="P334" s="818"/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  <c r="AA334" s="818"/>
      <c r="AB334" s="818"/>
      <c r="AC334" s="818"/>
      <c r="AD334" s="818"/>
      <c r="AE334" s="818"/>
      <c r="AF334" s="818"/>
      <c r="AG334" s="818"/>
      <c r="AH334" s="818"/>
      <c r="AI334" s="818"/>
      <c r="AJ334" s="818"/>
      <c r="AK334" s="818"/>
      <c r="AL334" s="818"/>
      <c r="AM334" s="818"/>
      <c r="AN334" s="818"/>
      <c r="AO334" s="818"/>
      <c r="AP334" s="818"/>
      <c r="AQ334" s="818"/>
      <c r="AR334" s="818"/>
      <c r="AS334" s="818"/>
      <c r="AT334" s="819"/>
      <c r="AU334" s="166"/>
      <c r="AV334" s="166"/>
      <c r="AW334" s="166"/>
      <c r="AX334" s="166"/>
      <c r="AY334" s="166"/>
      <c r="AZ334" s="166"/>
      <c r="BA334" s="166"/>
      <c r="BB334" s="166"/>
      <c r="BC334" s="166"/>
      <c r="BD334" s="166"/>
      <c r="BE334" s="166"/>
      <c r="BF334" s="166"/>
      <c r="BG334" s="166"/>
      <c r="BH334" s="166"/>
      <c r="BI334" s="166"/>
      <c r="BJ334" s="166"/>
      <c r="BK334" s="166"/>
      <c r="BL334" s="166"/>
      <c r="BM334" s="166"/>
      <c r="BN334" s="166"/>
    </row>
    <row r="335" spans="2:66" x14ac:dyDescent="0.25">
      <c r="B335" s="836" t="s">
        <v>442</v>
      </c>
      <c r="C335" s="268">
        <v>0</v>
      </c>
      <c r="D335" s="268">
        <v>0</v>
      </c>
      <c r="E335" s="268">
        <v>0</v>
      </c>
      <c r="F335" s="268">
        <v>0</v>
      </c>
      <c r="G335" s="178">
        <f>G332</f>
        <v>3427556.8322463315</v>
      </c>
      <c r="H335" s="178">
        <f t="shared" ref="H335:AT335" si="213">H332</f>
        <v>5068845.5963751869</v>
      </c>
      <c r="I335" s="178">
        <f t="shared" si="213"/>
        <v>5674868.2220416907</v>
      </c>
      <c r="J335" s="178">
        <f t="shared" si="213"/>
        <v>5702728.7844459098</v>
      </c>
      <c r="K335" s="178">
        <f t="shared" si="213"/>
        <v>2275808.8469023183</v>
      </c>
      <c r="L335" s="178">
        <f t="shared" si="213"/>
        <v>6094794.4544949941</v>
      </c>
      <c r="M335" s="178">
        <f t="shared" si="213"/>
        <v>6479974.1260114787</v>
      </c>
      <c r="N335" s="178">
        <f t="shared" si="213"/>
        <v>6460127.4329803055</v>
      </c>
      <c r="O335" s="178">
        <f t="shared" si="213"/>
        <v>6815236.1993264295</v>
      </c>
      <c r="P335" s="178">
        <f t="shared" si="213"/>
        <v>2629038.1569361649</v>
      </c>
      <c r="Q335" s="178">
        <f t="shared" si="213"/>
        <v>7166663.0538548706</v>
      </c>
      <c r="R335" s="178">
        <f t="shared" si="213"/>
        <v>7143821.1164460033</v>
      </c>
      <c r="S335" s="178">
        <f t="shared" si="213"/>
        <v>7487274.3985826466</v>
      </c>
      <c r="T335" s="178">
        <f t="shared" si="213"/>
        <v>7415067.6903433101</v>
      </c>
      <c r="U335" s="178">
        <f t="shared" si="213"/>
        <v>3195873.2941957545</v>
      </c>
      <c r="V335" s="178">
        <f t="shared" si="213"/>
        <v>7696172.4483712483</v>
      </c>
      <c r="W335" s="178">
        <f t="shared" si="213"/>
        <v>8067222.7566544022</v>
      </c>
      <c r="X335" s="178">
        <f t="shared" si="213"/>
        <v>8053741.3459175769</v>
      </c>
      <c r="Y335" s="178">
        <f t="shared" si="213"/>
        <v>8511022.4298349861</v>
      </c>
      <c r="Z335" s="178">
        <f t="shared" si="213"/>
        <v>3468062.7258354519</v>
      </c>
      <c r="AA335" s="178">
        <f t="shared" si="213"/>
        <v>8977057.3578113541</v>
      </c>
      <c r="AB335" s="178">
        <f t="shared" si="213"/>
        <v>8960686.3921307921</v>
      </c>
      <c r="AC335" s="178">
        <f t="shared" si="213"/>
        <v>9385647.8310782742</v>
      </c>
      <c r="AD335" s="178">
        <f t="shared" si="213"/>
        <v>9286944.1515007168</v>
      </c>
      <c r="AE335" s="178">
        <f t="shared" si="213"/>
        <v>4203491.1677255854</v>
      </c>
      <c r="AF335" s="178">
        <f t="shared" si="213"/>
        <v>9624414.8792594951</v>
      </c>
      <c r="AG335" s="178">
        <f t="shared" si="213"/>
        <v>10082372.546552468</v>
      </c>
      <c r="AH335" s="178">
        <f t="shared" si="213"/>
        <v>9973442.7584880851</v>
      </c>
      <c r="AI335" s="178">
        <f t="shared" si="213"/>
        <v>10448820.896070745</v>
      </c>
      <c r="AJ335" s="178">
        <f t="shared" si="213"/>
        <v>4264206.2378608603</v>
      </c>
      <c r="AK335" s="178">
        <f t="shared" si="213"/>
        <v>10827822.406244166</v>
      </c>
      <c r="AL335" s="178">
        <f t="shared" si="213"/>
        <v>10707585.939480342</v>
      </c>
      <c r="AM335" s="178">
        <f t="shared" si="213"/>
        <v>11219759.628661904</v>
      </c>
      <c r="AN335" s="178">
        <f t="shared" si="213"/>
        <v>11093428.757788841</v>
      </c>
      <c r="AO335" s="178">
        <f t="shared" si="213"/>
        <v>4955411.7482996974</v>
      </c>
      <c r="AP335" s="178">
        <f t="shared" si="213"/>
        <v>11492283.655144516</v>
      </c>
      <c r="AQ335" s="178">
        <f t="shared" si="213"/>
        <v>12044013.961354356</v>
      </c>
      <c r="AR335" s="178">
        <f t="shared" si="213"/>
        <v>11904533.644546513</v>
      </c>
      <c r="AS335" s="178">
        <f t="shared" si="213"/>
        <v>12477138.561581954</v>
      </c>
      <c r="AT335" s="265">
        <f t="shared" si="213"/>
        <v>5002321.3567324094</v>
      </c>
      <c r="AU335" s="166"/>
      <c r="AV335" s="166"/>
      <c r="AW335" s="166"/>
      <c r="AX335" s="166"/>
      <c r="AY335" s="166"/>
      <c r="AZ335" s="166"/>
      <c r="BA335" s="166"/>
      <c r="BB335" s="166"/>
      <c r="BC335" s="166"/>
      <c r="BD335" s="166"/>
      <c r="BE335" s="166"/>
      <c r="BF335" s="166"/>
      <c r="BG335" s="166"/>
      <c r="BH335" s="166"/>
      <c r="BI335" s="166"/>
      <c r="BJ335" s="166"/>
      <c r="BK335" s="166"/>
      <c r="BL335" s="166"/>
      <c r="BM335" s="166"/>
      <c r="BN335" s="166"/>
    </row>
    <row r="336" spans="2:66" x14ac:dyDescent="0.25">
      <c r="B336" s="836" t="s">
        <v>440</v>
      </c>
      <c r="C336" s="268">
        <v>0</v>
      </c>
      <c r="D336" s="268">
        <v>0</v>
      </c>
      <c r="E336" s="268">
        <v>0</v>
      </c>
      <c r="F336" s="268">
        <v>0</v>
      </c>
      <c r="G336" s="178">
        <f>IF(G335&gt;0,-$C$23*G335,0)</f>
        <v>0</v>
      </c>
      <c r="H336" s="178">
        <f t="shared" ref="H336:AT336" si="214">IF(H335&gt;0,-$C$23*H335,0)</f>
        <v>0</v>
      </c>
      <c r="I336" s="178">
        <f t="shared" si="214"/>
        <v>0</v>
      </c>
      <c r="J336" s="178">
        <f t="shared" si="214"/>
        <v>0</v>
      </c>
      <c r="K336" s="178">
        <f t="shared" si="214"/>
        <v>0</v>
      </c>
      <c r="L336" s="178">
        <f t="shared" si="214"/>
        <v>0</v>
      </c>
      <c r="M336" s="178">
        <f t="shared" si="214"/>
        <v>0</v>
      </c>
      <c r="N336" s="178">
        <f t="shared" si="214"/>
        <v>0</v>
      </c>
      <c r="O336" s="178">
        <f t="shared" si="214"/>
        <v>0</v>
      </c>
      <c r="P336" s="178">
        <f t="shared" si="214"/>
        <v>0</v>
      </c>
      <c r="Q336" s="178">
        <f t="shared" si="214"/>
        <v>0</v>
      </c>
      <c r="R336" s="178">
        <f t="shared" si="214"/>
        <v>0</v>
      </c>
      <c r="S336" s="178">
        <f t="shared" si="214"/>
        <v>0</v>
      </c>
      <c r="T336" s="178">
        <f t="shared" si="214"/>
        <v>0</v>
      </c>
      <c r="U336" s="178">
        <f t="shared" si="214"/>
        <v>0</v>
      </c>
      <c r="V336" s="178">
        <f t="shared" si="214"/>
        <v>0</v>
      </c>
      <c r="W336" s="178">
        <f t="shared" si="214"/>
        <v>0</v>
      </c>
      <c r="X336" s="178">
        <f t="shared" si="214"/>
        <v>0</v>
      </c>
      <c r="Y336" s="178">
        <f t="shared" si="214"/>
        <v>0</v>
      </c>
      <c r="Z336" s="178">
        <f t="shared" si="214"/>
        <v>0</v>
      </c>
      <c r="AA336" s="178">
        <f t="shared" si="214"/>
        <v>0</v>
      </c>
      <c r="AB336" s="178">
        <f t="shared" si="214"/>
        <v>0</v>
      </c>
      <c r="AC336" s="178">
        <f t="shared" si="214"/>
        <v>0</v>
      </c>
      <c r="AD336" s="178">
        <f t="shared" si="214"/>
        <v>0</v>
      </c>
      <c r="AE336" s="178">
        <f t="shared" si="214"/>
        <v>0</v>
      </c>
      <c r="AF336" s="178">
        <f t="shared" si="214"/>
        <v>0</v>
      </c>
      <c r="AG336" s="178">
        <f t="shared" si="214"/>
        <v>0</v>
      </c>
      <c r="AH336" s="178">
        <f t="shared" si="214"/>
        <v>0</v>
      </c>
      <c r="AI336" s="178">
        <f t="shared" si="214"/>
        <v>0</v>
      </c>
      <c r="AJ336" s="178">
        <f t="shared" si="214"/>
        <v>0</v>
      </c>
      <c r="AK336" s="178">
        <f t="shared" si="214"/>
        <v>0</v>
      </c>
      <c r="AL336" s="178">
        <f t="shared" si="214"/>
        <v>0</v>
      </c>
      <c r="AM336" s="178">
        <f t="shared" si="214"/>
        <v>0</v>
      </c>
      <c r="AN336" s="178">
        <f t="shared" si="214"/>
        <v>0</v>
      </c>
      <c r="AO336" s="178">
        <f t="shared" si="214"/>
        <v>0</v>
      </c>
      <c r="AP336" s="178">
        <f t="shared" si="214"/>
        <v>0</v>
      </c>
      <c r="AQ336" s="178">
        <f t="shared" si="214"/>
        <v>0</v>
      </c>
      <c r="AR336" s="178">
        <f t="shared" si="214"/>
        <v>0</v>
      </c>
      <c r="AS336" s="178">
        <f t="shared" si="214"/>
        <v>0</v>
      </c>
      <c r="AT336" s="265">
        <f t="shared" si="214"/>
        <v>0</v>
      </c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66"/>
      <c r="BN336" s="166"/>
    </row>
    <row r="337" spans="2:66" ht="14.4" x14ac:dyDescent="0.25">
      <c r="B337" s="840" t="s">
        <v>175</v>
      </c>
      <c r="C337" s="800">
        <v>0</v>
      </c>
      <c r="D337" s="800">
        <v>0</v>
      </c>
      <c r="E337" s="800">
        <v>0</v>
      </c>
      <c r="F337" s="800">
        <v>0</v>
      </c>
      <c r="G337" s="261">
        <f>G319</f>
        <v>-2606586.1930182963</v>
      </c>
      <c r="H337" s="261">
        <f t="shared" ref="H337:AT337" si="215">H319</f>
        <v>-2606586.1930182963</v>
      </c>
      <c r="I337" s="261">
        <f t="shared" si="215"/>
        <v>-2606586.1930182963</v>
      </c>
      <c r="J337" s="261">
        <f t="shared" si="215"/>
        <v>-2606586.1930182963</v>
      </c>
      <c r="K337" s="261">
        <f t="shared" si="215"/>
        <v>-2606586.1930182963</v>
      </c>
      <c r="L337" s="261">
        <f t="shared" si="215"/>
        <v>-2465585.720269518</v>
      </c>
      <c r="M337" s="261">
        <f t="shared" si="215"/>
        <v>-2465585.720269518</v>
      </c>
      <c r="N337" s="261">
        <f t="shared" si="215"/>
        <v>-2465585.720269518</v>
      </c>
      <c r="O337" s="261">
        <f t="shared" si="215"/>
        <v>-2465585.720269518</v>
      </c>
      <c r="P337" s="261">
        <f t="shared" si="215"/>
        <v>-2465585.720269518</v>
      </c>
      <c r="Q337" s="261">
        <f t="shared" si="215"/>
        <v>-2230540.8319507265</v>
      </c>
      <c r="R337" s="261">
        <f t="shared" si="215"/>
        <v>-2531498.7427265975</v>
      </c>
      <c r="S337" s="261">
        <f t="shared" si="215"/>
        <v>-2531498.7427265975</v>
      </c>
      <c r="T337" s="261">
        <f t="shared" si="215"/>
        <v>-2531498.7427265975</v>
      </c>
      <c r="U337" s="261">
        <f t="shared" si="215"/>
        <v>-2531498.7427265975</v>
      </c>
      <c r="V337" s="261">
        <f t="shared" si="215"/>
        <v>-1904482.7785175557</v>
      </c>
      <c r="W337" s="261">
        <f t="shared" si="215"/>
        <v>-1904482.7785175557</v>
      </c>
      <c r="X337" s="261">
        <f t="shared" si="215"/>
        <v>-2776439.9375716699</v>
      </c>
      <c r="Y337" s="261">
        <f t="shared" si="215"/>
        <v>-2776439.9375716699</v>
      </c>
      <c r="Z337" s="261">
        <f t="shared" si="215"/>
        <v>-2776439.9375716699</v>
      </c>
      <c r="AA337" s="261">
        <f t="shared" si="215"/>
        <v>-2776439.9375716699</v>
      </c>
      <c r="AB337" s="261">
        <f t="shared" si="215"/>
        <v>-2776439.9375716699</v>
      </c>
      <c r="AC337" s="261">
        <f t="shared" si="215"/>
        <v>-2848930.7361058006</v>
      </c>
      <c r="AD337" s="261">
        <f t="shared" si="215"/>
        <v>-2848930.7361058006</v>
      </c>
      <c r="AE337" s="261">
        <f t="shared" si="215"/>
        <v>-2848930.7361058006</v>
      </c>
      <c r="AF337" s="261">
        <f t="shared" si="215"/>
        <v>-2848930.7361058006</v>
      </c>
      <c r="AG337" s="261">
        <f t="shared" si="215"/>
        <v>-2848930.7361058006</v>
      </c>
      <c r="AH337" s="261">
        <f t="shared" si="215"/>
        <v>-2848930.7361058006</v>
      </c>
      <c r="AI337" s="261">
        <f t="shared" si="215"/>
        <v>-2848930.7361058006</v>
      </c>
      <c r="AJ337" s="261">
        <f t="shared" si="215"/>
        <v>-2848930.7361058006</v>
      </c>
      <c r="AK337" s="261">
        <f t="shared" si="215"/>
        <v>-2848930.7361058006</v>
      </c>
      <c r="AL337" s="261">
        <f t="shared" si="215"/>
        <v>-2848930.7361058006</v>
      </c>
      <c r="AM337" s="261">
        <f t="shared" si="215"/>
        <v>-1976973.5770516866</v>
      </c>
      <c r="AN337" s="261">
        <f t="shared" si="215"/>
        <v>-1603524.8677416849</v>
      </c>
      <c r="AO337" s="261">
        <f t="shared" si="215"/>
        <v>-3209675.3449990982</v>
      </c>
      <c r="AP337" s="261">
        <f t="shared" si="215"/>
        <v>-3209675.3449990982</v>
      </c>
      <c r="AQ337" s="261">
        <f t="shared" si="215"/>
        <v>-3209675.3449990982</v>
      </c>
      <c r="AR337" s="261">
        <f t="shared" si="215"/>
        <v>-3209675.3449990982</v>
      </c>
      <c r="AS337" s="261">
        <f t="shared" si="215"/>
        <v>-3209675.3449990982</v>
      </c>
      <c r="AT337" s="266">
        <f t="shared" si="215"/>
        <v>-3209675.3449990982</v>
      </c>
      <c r="AU337" s="166"/>
      <c r="AV337" s="166"/>
      <c r="AW337" s="166"/>
      <c r="AX337" s="166"/>
      <c r="AY337" s="166"/>
      <c r="AZ337" s="166"/>
      <c r="BA337" s="166"/>
      <c r="BB337" s="166"/>
      <c r="BC337" s="166"/>
      <c r="BD337" s="166"/>
      <c r="BE337" s="166"/>
      <c r="BF337" s="166"/>
      <c r="BG337" s="166"/>
      <c r="BH337" s="166"/>
      <c r="BI337" s="166"/>
      <c r="BJ337" s="166"/>
      <c r="BK337" s="166"/>
      <c r="BL337" s="166"/>
      <c r="BM337" s="166"/>
      <c r="BN337" s="166"/>
    </row>
    <row r="338" spans="2:66" x14ac:dyDescent="0.25">
      <c r="B338" s="836" t="s">
        <v>444</v>
      </c>
      <c r="C338" s="268">
        <v>0</v>
      </c>
      <c r="D338" s="268">
        <v>0</v>
      </c>
      <c r="E338" s="268">
        <v>0</v>
      </c>
      <c r="F338" s="268">
        <v>0</v>
      </c>
      <c r="G338" s="178">
        <f t="shared" ref="G338:AT338" si="216">G335+G336+G337</f>
        <v>820970.63922803523</v>
      </c>
      <c r="H338" s="178">
        <f t="shared" si="216"/>
        <v>2462259.4033568907</v>
      </c>
      <c r="I338" s="178">
        <f t="shared" si="216"/>
        <v>3068282.0290233945</v>
      </c>
      <c r="J338" s="178">
        <f t="shared" si="216"/>
        <v>3096142.5914276135</v>
      </c>
      <c r="K338" s="178">
        <f t="shared" si="216"/>
        <v>-330777.34611597797</v>
      </c>
      <c r="L338" s="178">
        <f t="shared" si="216"/>
        <v>3629208.7342254762</v>
      </c>
      <c r="M338" s="178">
        <f t="shared" si="216"/>
        <v>4014388.4057419607</v>
      </c>
      <c r="N338" s="178">
        <f t="shared" si="216"/>
        <v>3994541.7127107875</v>
      </c>
      <c r="O338" s="178">
        <f t="shared" si="216"/>
        <v>4349650.4790569115</v>
      </c>
      <c r="P338" s="178">
        <f t="shared" si="216"/>
        <v>163452.43666664697</v>
      </c>
      <c r="Q338" s="178">
        <f t="shared" si="216"/>
        <v>4936122.2219041437</v>
      </c>
      <c r="R338" s="178">
        <f t="shared" si="216"/>
        <v>4612322.3737194054</v>
      </c>
      <c r="S338" s="178">
        <f t="shared" si="216"/>
        <v>4955775.6558560487</v>
      </c>
      <c r="T338" s="178">
        <f t="shared" si="216"/>
        <v>4883568.9476167131</v>
      </c>
      <c r="U338" s="178">
        <f t="shared" si="216"/>
        <v>664374.55146915698</v>
      </c>
      <c r="V338" s="178">
        <f t="shared" si="216"/>
        <v>5791689.6698536929</v>
      </c>
      <c r="W338" s="178">
        <f t="shared" si="216"/>
        <v>6162739.9781368468</v>
      </c>
      <c r="X338" s="178">
        <f t="shared" si="216"/>
        <v>5277301.408345907</v>
      </c>
      <c r="Y338" s="178">
        <f t="shared" si="216"/>
        <v>5734582.4922633162</v>
      </c>
      <c r="Z338" s="178">
        <f t="shared" si="216"/>
        <v>691622.78826378193</v>
      </c>
      <c r="AA338" s="178">
        <f t="shared" si="216"/>
        <v>6200617.4202396842</v>
      </c>
      <c r="AB338" s="178">
        <f t="shared" si="216"/>
        <v>6184246.4545591222</v>
      </c>
      <c r="AC338" s="178">
        <f t="shared" si="216"/>
        <v>6536717.0949724736</v>
      </c>
      <c r="AD338" s="178">
        <f t="shared" si="216"/>
        <v>6438013.4153949162</v>
      </c>
      <c r="AE338" s="178">
        <f t="shared" si="216"/>
        <v>1354560.4316197848</v>
      </c>
      <c r="AF338" s="178">
        <f t="shared" si="216"/>
        <v>6775484.1431536945</v>
      </c>
      <c r="AG338" s="178">
        <f t="shared" si="216"/>
        <v>7233441.8104466675</v>
      </c>
      <c r="AH338" s="178">
        <f t="shared" si="216"/>
        <v>7124512.0223822845</v>
      </c>
      <c r="AI338" s="178">
        <f t="shared" si="216"/>
        <v>7599890.1599649442</v>
      </c>
      <c r="AJ338" s="178">
        <f t="shared" si="216"/>
        <v>1415275.5017550597</v>
      </c>
      <c r="AK338" s="178">
        <f t="shared" si="216"/>
        <v>7978891.6701383656</v>
      </c>
      <c r="AL338" s="178">
        <f t="shared" si="216"/>
        <v>7858655.2033745414</v>
      </c>
      <c r="AM338" s="178">
        <f t="shared" si="216"/>
        <v>9242786.0516102184</v>
      </c>
      <c r="AN338" s="178">
        <f t="shared" si="216"/>
        <v>9489903.8900471553</v>
      </c>
      <c r="AO338" s="178">
        <f t="shared" si="216"/>
        <v>1745736.4033005992</v>
      </c>
      <c r="AP338" s="178">
        <f t="shared" si="216"/>
        <v>8282608.3101454182</v>
      </c>
      <c r="AQ338" s="178">
        <f t="shared" si="216"/>
        <v>8834338.616355259</v>
      </c>
      <c r="AR338" s="178">
        <f t="shared" si="216"/>
        <v>8694858.2995474152</v>
      </c>
      <c r="AS338" s="178">
        <f t="shared" si="216"/>
        <v>9267463.2165828571</v>
      </c>
      <c r="AT338" s="265">
        <f t="shared" si="216"/>
        <v>1792646.0117333112</v>
      </c>
      <c r="AU338" s="166"/>
      <c r="AV338" s="166"/>
      <c r="AW338" s="166"/>
      <c r="AX338" s="166"/>
      <c r="AY338" s="166"/>
      <c r="AZ338" s="166"/>
      <c r="BA338" s="166"/>
      <c r="BB338" s="166"/>
      <c r="BC338" s="166"/>
      <c r="BD338" s="166"/>
      <c r="BE338" s="166"/>
      <c r="BF338" s="166"/>
      <c r="BG338" s="166"/>
      <c r="BH338" s="166"/>
      <c r="BI338" s="166"/>
      <c r="BJ338" s="166"/>
      <c r="BK338" s="166"/>
      <c r="BL338" s="166"/>
      <c r="BM338" s="166"/>
      <c r="BN338" s="166"/>
    </row>
    <row r="339" spans="2:66" x14ac:dyDescent="0.25">
      <c r="B339" s="836" t="s">
        <v>443</v>
      </c>
      <c r="C339" s="268">
        <v>0</v>
      </c>
      <c r="D339" s="268">
        <v>0</v>
      </c>
      <c r="E339" s="268">
        <v>0</v>
      </c>
      <c r="F339" s="268">
        <v>0</v>
      </c>
      <c r="G339" s="178">
        <f>IF(G338&gt;0,-$C$24*G338,0)</f>
        <v>-287339.72372981231</v>
      </c>
      <c r="H339" s="178">
        <f t="shared" ref="H339:AT339" si="217">IF(H338&gt;0,-$C$24*H338,0)</f>
        <v>-861790.79117491166</v>
      </c>
      <c r="I339" s="178">
        <f t="shared" si="217"/>
        <v>-1073898.7101581879</v>
      </c>
      <c r="J339" s="178">
        <f t="shared" si="217"/>
        <v>-1083649.9069996646</v>
      </c>
      <c r="K339" s="178">
        <f t="shared" si="217"/>
        <v>0</v>
      </c>
      <c r="L339" s="178">
        <f t="shared" si="217"/>
        <v>-1270223.0569789165</v>
      </c>
      <c r="M339" s="178">
        <f t="shared" si="217"/>
        <v>-1405035.9420096863</v>
      </c>
      <c r="N339" s="178">
        <f t="shared" si="217"/>
        <v>-1398089.5994487756</v>
      </c>
      <c r="O339" s="178">
        <f t="shared" si="217"/>
        <v>-1522377.6676699189</v>
      </c>
      <c r="P339" s="178">
        <f t="shared" si="217"/>
        <v>-57208.35283332644</v>
      </c>
      <c r="Q339" s="178">
        <f t="shared" si="217"/>
        <v>-1727642.7776664502</v>
      </c>
      <c r="R339" s="178">
        <f t="shared" si="217"/>
        <v>-1614312.8308017917</v>
      </c>
      <c r="S339" s="178">
        <f t="shared" si="217"/>
        <v>-1734521.479549617</v>
      </c>
      <c r="T339" s="178">
        <f t="shared" si="217"/>
        <v>-1709249.1316658496</v>
      </c>
      <c r="U339" s="178">
        <f t="shared" si="217"/>
        <v>-232531.09301420493</v>
      </c>
      <c r="V339" s="178">
        <f t="shared" si="217"/>
        <v>-2027091.3844487923</v>
      </c>
      <c r="W339" s="178">
        <f t="shared" si="217"/>
        <v>-2156958.9923478961</v>
      </c>
      <c r="X339" s="178">
        <f t="shared" si="217"/>
        <v>-1847055.4929210674</v>
      </c>
      <c r="Y339" s="178">
        <f t="shared" si="217"/>
        <v>-2007103.8722921605</v>
      </c>
      <c r="Z339" s="178">
        <f t="shared" si="217"/>
        <v>-242067.97589232365</v>
      </c>
      <c r="AA339" s="178">
        <f t="shared" si="217"/>
        <v>-2170216.0970838894</v>
      </c>
      <c r="AB339" s="178">
        <f t="shared" si="217"/>
        <v>-2164486.2590956925</v>
      </c>
      <c r="AC339" s="178">
        <f t="shared" si="217"/>
        <v>-2287850.9832403655</v>
      </c>
      <c r="AD339" s="178">
        <f t="shared" si="217"/>
        <v>-2253304.6953882207</v>
      </c>
      <c r="AE339" s="178">
        <f t="shared" si="217"/>
        <v>-474096.15106692462</v>
      </c>
      <c r="AF339" s="178">
        <f t="shared" si="217"/>
        <v>-2371419.4501037928</v>
      </c>
      <c r="AG339" s="178">
        <f t="shared" si="217"/>
        <v>-2531704.6336563337</v>
      </c>
      <c r="AH339" s="178">
        <f t="shared" si="217"/>
        <v>-2493579.2078337995</v>
      </c>
      <c r="AI339" s="178">
        <f t="shared" si="217"/>
        <v>-2659961.5559877302</v>
      </c>
      <c r="AJ339" s="178">
        <f t="shared" si="217"/>
        <v>-495346.42561427085</v>
      </c>
      <c r="AK339" s="178">
        <f t="shared" si="217"/>
        <v>-2792612.0845484277</v>
      </c>
      <c r="AL339" s="178">
        <f t="shared" si="217"/>
        <v>-2750529.3211810892</v>
      </c>
      <c r="AM339" s="178">
        <f t="shared" si="217"/>
        <v>-3234975.1180635761</v>
      </c>
      <c r="AN339" s="178">
        <f t="shared" si="217"/>
        <v>-3321466.3615165041</v>
      </c>
      <c r="AO339" s="178">
        <f t="shared" si="217"/>
        <v>-611007.74115520972</v>
      </c>
      <c r="AP339" s="178">
        <f t="shared" si="217"/>
        <v>-2898912.9085508962</v>
      </c>
      <c r="AQ339" s="178">
        <f t="shared" si="217"/>
        <v>-3092018.5157243405</v>
      </c>
      <c r="AR339" s="178">
        <f t="shared" si="217"/>
        <v>-3043200.4048415953</v>
      </c>
      <c r="AS339" s="178">
        <f t="shared" si="217"/>
        <v>-3243612.1258039996</v>
      </c>
      <c r="AT339" s="265">
        <f t="shared" si="217"/>
        <v>-627426.10410665884</v>
      </c>
      <c r="AU339" s="166"/>
      <c r="AV339" s="166"/>
      <c r="AW339" s="166"/>
      <c r="AX339" s="166"/>
      <c r="AY339" s="166"/>
      <c r="AZ339" s="166"/>
      <c r="BA339" s="166"/>
      <c r="BB339" s="166"/>
      <c r="BC339" s="166"/>
      <c r="BD339" s="166"/>
      <c r="BE339" s="166"/>
      <c r="BF339" s="166"/>
      <c r="BG339" s="166"/>
      <c r="BH339" s="166"/>
      <c r="BI339" s="166"/>
      <c r="BJ339" s="166"/>
      <c r="BK339" s="166"/>
      <c r="BL339" s="166"/>
      <c r="BM339" s="166"/>
      <c r="BN339" s="166"/>
    </row>
    <row r="340" spans="2:66" ht="14.4" x14ac:dyDescent="0.25">
      <c r="B340" s="841" t="s">
        <v>445</v>
      </c>
      <c r="C340" s="801">
        <v>0</v>
      </c>
      <c r="D340" s="801">
        <v>0</v>
      </c>
      <c r="E340" s="801">
        <v>0</v>
      </c>
      <c r="F340" s="801">
        <v>0</v>
      </c>
      <c r="G340" s="262">
        <f>G338+G339</f>
        <v>533630.91549822292</v>
      </c>
      <c r="H340" s="262">
        <f t="shared" ref="H340:AT340" si="218">H338+H339</f>
        <v>1600468.612181979</v>
      </c>
      <c r="I340" s="262">
        <f t="shared" si="218"/>
        <v>1994383.3188652066</v>
      </c>
      <c r="J340" s="262">
        <f t="shared" si="218"/>
        <v>2012492.6844279489</v>
      </c>
      <c r="K340" s="262">
        <f t="shared" si="218"/>
        <v>-330777.34611597797</v>
      </c>
      <c r="L340" s="262">
        <f t="shared" si="218"/>
        <v>2358985.6772465594</v>
      </c>
      <c r="M340" s="262">
        <f t="shared" si="218"/>
        <v>2609352.4637322742</v>
      </c>
      <c r="N340" s="262">
        <f t="shared" si="218"/>
        <v>2596452.1132620117</v>
      </c>
      <c r="O340" s="262">
        <f t="shared" si="218"/>
        <v>2827272.8113869927</v>
      </c>
      <c r="P340" s="262">
        <f t="shared" si="218"/>
        <v>106244.08383332053</v>
      </c>
      <c r="Q340" s="262">
        <f t="shared" si="218"/>
        <v>3208479.4442376932</v>
      </c>
      <c r="R340" s="262">
        <f t="shared" si="218"/>
        <v>2998009.5429176139</v>
      </c>
      <c r="S340" s="262">
        <f t="shared" si="218"/>
        <v>3221254.1763064316</v>
      </c>
      <c r="T340" s="262">
        <f t="shared" si="218"/>
        <v>3174319.8159508635</v>
      </c>
      <c r="U340" s="262">
        <f t="shared" si="218"/>
        <v>431843.45845495205</v>
      </c>
      <c r="V340" s="262">
        <f t="shared" si="218"/>
        <v>3764598.2854049006</v>
      </c>
      <c r="W340" s="262">
        <f t="shared" si="218"/>
        <v>4005780.9857889507</v>
      </c>
      <c r="X340" s="262">
        <f t="shared" si="218"/>
        <v>3430245.9154248396</v>
      </c>
      <c r="Y340" s="262">
        <f t="shared" si="218"/>
        <v>3727478.6199711557</v>
      </c>
      <c r="Z340" s="262">
        <f t="shared" si="218"/>
        <v>449554.81237145828</v>
      </c>
      <c r="AA340" s="262">
        <f t="shared" si="218"/>
        <v>4030401.3231557948</v>
      </c>
      <c r="AB340" s="262">
        <f t="shared" si="218"/>
        <v>4019760.1954634297</v>
      </c>
      <c r="AC340" s="262">
        <f t="shared" si="218"/>
        <v>4248866.1117321085</v>
      </c>
      <c r="AD340" s="262">
        <f t="shared" si="218"/>
        <v>4184708.7200066955</v>
      </c>
      <c r="AE340" s="262">
        <f t="shared" si="218"/>
        <v>880464.28055286012</v>
      </c>
      <c r="AF340" s="262">
        <f t="shared" si="218"/>
        <v>4404064.6930499021</v>
      </c>
      <c r="AG340" s="262">
        <f t="shared" si="218"/>
        <v>4701737.1767903343</v>
      </c>
      <c r="AH340" s="262">
        <f t="shared" si="218"/>
        <v>4630932.814548485</v>
      </c>
      <c r="AI340" s="262">
        <f t="shared" si="218"/>
        <v>4939928.6039772145</v>
      </c>
      <c r="AJ340" s="262">
        <f t="shared" si="218"/>
        <v>919929.07614078885</v>
      </c>
      <c r="AK340" s="262">
        <f t="shared" si="218"/>
        <v>5186279.5855899379</v>
      </c>
      <c r="AL340" s="262">
        <f t="shared" si="218"/>
        <v>5108125.8821934517</v>
      </c>
      <c r="AM340" s="262">
        <f t="shared" si="218"/>
        <v>6007810.9335466418</v>
      </c>
      <c r="AN340" s="262">
        <f t="shared" si="218"/>
        <v>6168437.5285306517</v>
      </c>
      <c r="AO340" s="262">
        <f t="shared" si="218"/>
        <v>1134728.6621453895</v>
      </c>
      <c r="AP340" s="262">
        <f t="shared" si="218"/>
        <v>5383695.4015945215</v>
      </c>
      <c r="AQ340" s="262">
        <f t="shared" si="218"/>
        <v>5742320.1006309185</v>
      </c>
      <c r="AR340" s="262">
        <f t="shared" si="218"/>
        <v>5651657.8947058199</v>
      </c>
      <c r="AS340" s="262">
        <f t="shared" si="218"/>
        <v>6023851.0907788575</v>
      </c>
      <c r="AT340" s="267">
        <f t="shared" si="218"/>
        <v>1165219.9076266524</v>
      </c>
      <c r="AU340" s="166"/>
      <c r="AV340" s="166"/>
      <c r="AW340" s="166"/>
      <c r="AX340" s="166"/>
      <c r="AY340" s="166"/>
      <c r="AZ340" s="166"/>
      <c r="BA340" s="166"/>
      <c r="BB340" s="166"/>
      <c r="BC340" s="166"/>
      <c r="BD340" s="166"/>
      <c r="BE340" s="166"/>
      <c r="BF340" s="166"/>
      <c r="BG340" s="166"/>
      <c r="BH340" s="166"/>
      <c r="BI340" s="166"/>
      <c r="BJ340" s="166"/>
      <c r="BK340" s="166"/>
      <c r="BL340" s="166"/>
      <c r="BM340" s="166"/>
      <c r="BN340" s="166"/>
    </row>
    <row r="341" spans="2:66" x14ac:dyDescent="0.25">
      <c r="B341" s="836" t="s">
        <v>446</v>
      </c>
      <c r="C341" s="268">
        <v>0</v>
      </c>
      <c r="D341" s="268">
        <v>0</v>
      </c>
      <c r="E341" s="268">
        <v>0</v>
      </c>
      <c r="F341" s="268">
        <v>0</v>
      </c>
      <c r="G341" s="178">
        <f>-G337</f>
        <v>2606586.1930182963</v>
      </c>
      <c r="H341" s="178">
        <f t="shared" ref="H341:AT341" si="219">-H337</f>
        <v>2606586.1930182963</v>
      </c>
      <c r="I341" s="178">
        <f t="shared" si="219"/>
        <v>2606586.1930182963</v>
      </c>
      <c r="J341" s="178">
        <f t="shared" si="219"/>
        <v>2606586.1930182963</v>
      </c>
      <c r="K341" s="178">
        <f t="shared" si="219"/>
        <v>2606586.1930182963</v>
      </c>
      <c r="L341" s="178">
        <f t="shared" si="219"/>
        <v>2465585.720269518</v>
      </c>
      <c r="M341" s="178">
        <f t="shared" si="219"/>
        <v>2465585.720269518</v>
      </c>
      <c r="N341" s="178">
        <f t="shared" si="219"/>
        <v>2465585.720269518</v>
      </c>
      <c r="O341" s="178">
        <f t="shared" si="219"/>
        <v>2465585.720269518</v>
      </c>
      <c r="P341" s="178">
        <f t="shared" si="219"/>
        <v>2465585.720269518</v>
      </c>
      <c r="Q341" s="178">
        <f t="shared" si="219"/>
        <v>2230540.8319507265</v>
      </c>
      <c r="R341" s="178">
        <f t="shared" si="219"/>
        <v>2531498.7427265975</v>
      </c>
      <c r="S341" s="178">
        <f t="shared" si="219"/>
        <v>2531498.7427265975</v>
      </c>
      <c r="T341" s="178">
        <f t="shared" si="219"/>
        <v>2531498.7427265975</v>
      </c>
      <c r="U341" s="178">
        <f t="shared" si="219"/>
        <v>2531498.7427265975</v>
      </c>
      <c r="V341" s="178">
        <f t="shared" si="219"/>
        <v>1904482.7785175557</v>
      </c>
      <c r="W341" s="178">
        <f t="shared" si="219"/>
        <v>1904482.7785175557</v>
      </c>
      <c r="X341" s="178">
        <f t="shared" si="219"/>
        <v>2776439.9375716699</v>
      </c>
      <c r="Y341" s="178">
        <f t="shared" si="219"/>
        <v>2776439.9375716699</v>
      </c>
      <c r="Z341" s="178">
        <f t="shared" si="219"/>
        <v>2776439.9375716699</v>
      </c>
      <c r="AA341" s="178">
        <f t="shared" si="219"/>
        <v>2776439.9375716699</v>
      </c>
      <c r="AB341" s="178">
        <f t="shared" si="219"/>
        <v>2776439.9375716699</v>
      </c>
      <c r="AC341" s="178">
        <f t="shared" si="219"/>
        <v>2848930.7361058006</v>
      </c>
      <c r="AD341" s="178">
        <f t="shared" si="219"/>
        <v>2848930.7361058006</v>
      </c>
      <c r="AE341" s="178">
        <f t="shared" si="219"/>
        <v>2848930.7361058006</v>
      </c>
      <c r="AF341" s="178">
        <f t="shared" si="219"/>
        <v>2848930.7361058006</v>
      </c>
      <c r="AG341" s="178">
        <f t="shared" si="219"/>
        <v>2848930.7361058006</v>
      </c>
      <c r="AH341" s="178">
        <f t="shared" si="219"/>
        <v>2848930.7361058006</v>
      </c>
      <c r="AI341" s="178">
        <f t="shared" si="219"/>
        <v>2848930.7361058006</v>
      </c>
      <c r="AJ341" s="178">
        <f t="shared" si="219"/>
        <v>2848930.7361058006</v>
      </c>
      <c r="AK341" s="178">
        <f t="shared" si="219"/>
        <v>2848930.7361058006</v>
      </c>
      <c r="AL341" s="178">
        <f t="shared" si="219"/>
        <v>2848930.7361058006</v>
      </c>
      <c r="AM341" s="178">
        <f t="shared" si="219"/>
        <v>1976973.5770516866</v>
      </c>
      <c r="AN341" s="178">
        <f t="shared" si="219"/>
        <v>1603524.8677416849</v>
      </c>
      <c r="AO341" s="178">
        <f t="shared" si="219"/>
        <v>3209675.3449990982</v>
      </c>
      <c r="AP341" s="178">
        <f t="shared" si="219"/>
        <v>3209675.3449990982</v>
      </c>
      <c r="AQ341" s="178">
        <f t="shared" si="219"/>
        <v>3209675.3449990982</v>
      </c>
      <c r="AR341" s="178">
        <f t="shared" si="219"/>
        <v>3209675.3449990982</v>
      </c>
      <c r="AS341" s="178">
        <f t="shared" si="219"/>
        <v>3209675.3449990982</v>
      </c>
      <c r="AT341" s="265">
        <f t="shared" si="219"/>
        <v>3209675.3449990982</v>
      </c>
      <c r="AU341" s="166"/>
      <c r="AV341" s="166"/>
      <c r="AW341" s="166"/>
      <c r="AX341" s="166"/>
      <c r="AY341" s="166"/>
      <c r="AZ341" s="166"/>
      <c r="BA341" s="166"/>
      <c r="BB341" s="166"/>
      <c r="BC341" s="166"/>
      <c r="BD341" s="166"/>
      <c r="BE341" s="166"/>
      <c r="BF341" s="166"/>
      <c r="BG341" s="166"/>
      <c r="BH341" s="166"/>
      <c r="BI341" s="166"/>
      <c r="BJ341" s="166"/>
      <c r="BK341" s="166"/>
      <c r="BL341" s="166"/>
      <c r="BM341" s="166"/>
      <c r="BN341" s="166"/>
    </row>
    <row r="342" spans="2:66" ht="15" thickBot="1" x14ac:dyDescent="0.3">
      <c r="B342" s="842" t="s">
        <v>386</v>
      </c>
      <c r="C342" s="828"/>
      <c r="D342" s="828"/>
      <c r="E342" s="828"/>
      <c r="F342" s="828"/>
      <c r="G342" s="828">
        <f>G340+G341</f>
        <v>3140217.108516519</v>
      </c>
      <c r="H342" s="828">
        <f t="shared" ref="H342:AT342" si="220">H340+H341</f>
        <v>4207054.805200275</v>
      </c>
      <c r="I342" s="828">
        <f t="shared" si="220"/>
        <v>4600969.5118835028</v>
      </c>
      <c r="J342" s="828">
        <f t="shared" si="220"/>
        <v>4619078.8774462454</v>
      </c>
      <c r="K342" s="828">
        <f t="shared" si="220"/>
        <v>2275808.8469023183</v>
      </c>
      <c r="L342" s="828">
        <f t="shared" si="220"/>
        <v>4824571.3975160774</v>
      </c>
      <c r="M342" s="828">
        <f t="shared" si="220"/>
        <v>5074938.1840017922</v>
      </c>
      <c r="N342" s="828">
        <f t="shared" si="220"/>
        <v>5062037.8335315296</v>
      </c>
      <c r="O342" s="828">
        <f t="shared" si="220"/>
        <v>5292858.5316565111</v>
      </c>
      <c r="P342" s="828">
        <f t="shared" si="220"/>
        <v>2571829.8041028385</v>
      </c>
      <c r="Q342" s="828">
        <f t="shared" si="220"/>
        <v>5439020.2761884201</v>
      </c>
      <c r="R342" s="828">
        <f t="shared" si="220"/>
        <v>5529508.2856442109</v>
      </c>
      <c r="S342" s="828">
        <f t="shared" si="220"/>
        <v>5752752.9190330291</v>
      </c>
      <c r="T342" s="828">
        <f t="shared" si="220"/>
        <v>5705818.558677461</v>
      </c>
      <c r="U342" s="828">
        <f t="shared" si="220"/>
        <v>2963342.2011815496</v>
      </c>
      <c r="V342" s="828">
        <f t="shared" si="220"/>
        <v>5669081.0639224565</v>
      </c>
      <c r="W342" s="828">
        <f t="shared" si="220"/>
        <v>5910263.7643065061</v>
      </c>
      <c r="X342" s="828">
        <f t="shared" si="220"/>
        <v>6206685.8529965095</v>
      </c>
      <c r="Y342" s="828">
        <f t="shared" si="220"/>
        <v>6503918.5575428251</v>
      </c>
      <c r="Z342" s="828">
        <f t="shared" si="220"/>
        <v>3225994.7499431283</v>
      </c>
      <c r="AA342" s="828">
        <f t="shared" si="220"/>
        <v>6806841.2607274652</v>
      </c>
      <c r="AB342" s="828">
        <f t="shared" si="220"/>
        <v>6796200.1330350991</v>
      </c>
      <c r="AC342" s="828">
        <f t="shared" si="220"/>
        <v>7097796.8478379091</v>
      </c>
      <c r="AD342" s="828">
        <f t="shared" si="220"/>
        <v>7033639.4561124966</v>
      </c>
      <c r="AE342" s="828">
        <f t="shared" si="220"/>
        <v>3729395.016658661</v>
      </c>
      <c r="AF342" s="828">
        <f t="shared" si="220"/>
        <v>7252995.4291557027</v>
      </c>
      <c r="AG342" s="828">
        <f t="shared" si="220"/>
        <v>7550667.9128961349</v>
      </c>
      <c r="AH342" s="828">
        <f t="shared" si="220"/>
        <v>7479863.5506542856</v>
      </c>
      <c r="AI342" s="828">
        <f t="shared" si="220"/>
        <v>7788859.3400830152</v>
      </c>
      <c r="AJ342" s="828">
        <f t="shared" si="220"/>
        <v>3768859.8122465895</v>
      </c>
      <c r="AK342" s="828">
        <f t="shared" si="220"/>
        <v>8035210.3216957385</v>
      </c>
      <c r="AL342" s="828">
        <f t="shared" si="220"/>
        <v>7957056.6182992524</v>
      </c>
      <c r="AM342" s="828">
        <f t="shared" si="220"/>
        <v>7984784.510598328</v>
      </c>
      <c r="AN342" s="828">
        <f t="shared" si="220"/>
        <v>7771962.3962723371</v>
      </c>
      <c r="AO342" s="828">
        <f t="shared" si="220"/>
        <v>4344404.0071444875</v>
      </c>
      <c r="AP342" s="828">
        <f t="shared" si="220"/>
        <v>8593370.7465936206</v>
      </c>
      <c r="AQ342" s="828">
        <f t="shared" si="220"/>
        <v>8951995.4456300177</v>
      </c>
      <c r="AR342" s="828">
        <f t="shared" si="220"/>
        <v>8861333.2397049181</v>
      </c>
      <c r="AS342" s="828">
        <f t="shared" si="220"/>
        <v>9233526.4357779548</v>
      </c>
      <c r="AT342" s="829">
        <f t="shared" si="220"/>
        <v>4374895.2526257504</v>
      </c>
      <c r="AU342" s="166"/>
      <c r="AV342" s="166"/>
      <c r="AW342" s="166"/>
      <c r="AX342" s="166"/>
      <c r="AY342" s="166"/>
      <c r="AZ342" s="166"/>
      <c r="BA342" s="166"/>
      <c r="BB342" s="166"/>
      <c r="BC342" s="166"/>
      <c r="BD342" s="166"/>
      <c r="BE342" s="166"/>
      <c r="BF342" s="166"/>
      <c r="BG342" s="166"/>
      <c r="BH342" s="166"/>
      <c r="BI342" s="166"/>
      <c r="BJ342" s="166"/>
      <c r="BK342" s="166"/>
      <c r="BL342" s="166"/>
      <c r="BM342" s="166"/>
      <c r="BN342" s="166"/>
    </row>
    <row r="343" spans="2:66" ht="15" thickBot="1" x14ac:dyDescent="0.3">
      <c r="B343" s="839"/>
      <c r="C343" s="811"/>
      <c r="D343" s="811"/>
      <c r="E343" s="811"/>
      <c r="F343" s="811"/>
      <c r="G343" s="811"/>
      <c r="H343" s="811"/>
      <c r="I343" s="811"/>
      <c r="J343" s="811"/>
      <c r="K343" s="811"/>
      <c r="L343" s="811"/>
      <c r="M343" s="811"/>
      <c r="N343" s="811"/>
      <c r="O343" s="811"/>
      <c r="P343" s="811"/>
      <c r="Q343" s="811"/>
      <c r="R343" s="811"/>
      <c r="S343" s="811"/>
      <c r="T343" s="811"/>
      <c r="U343" s="811"/>
      <c r="V343" s="811"/>
      <c r="W343" s="811"/>
      <c r="X343" s="811"/>
      <c r="Y343" s="811"/>
      <c r="Z343" s="811"/>
      <c r="AA343" s="811"/>
      <c r="AB343" s="811"/>
      <c r="AC343" s="811"/>
      <c r="AD343" s="811"/>
      <c r="AE343" s="811"/>
      <c r="AF343" s="811"/>
      <c r="AG343" s="811"/>
      <c r="AH343" s="811"/>
      <c r="AI343" s="811"/>
      <c r="AJ343" s="811"/>
      <c r="AK343" s="811"/>
      <c r="AL343" s="811"/>
      <c r="AM343" s="811"/>
      <c r="AN343" s="811"/>
      <c r="AO343" s="811"/>
      <c r="AP343" s="811"/>
      <c r="AQ343" s="811"/>
      <c r="AR343" s="811"/>
      <c r="AS343" s="811"/>
      <c r="AT343" s="811"/>
      <c r="AU343" s="166"/>
      <c r="AV343" s="166"/>
      <c r="AW343" s="166"/>
      <c r="AX343" s="166"/>
      <c r="AY343" s="166"/>
      <c r="AZ343" s="166"/>
      <c r="BA343" s="166"/>
      <c r="BB343" s="166"/>
      <c r="BC343" s="166"/>
      <c r="BD343" s="166"/>
      <c r="BE343" s="166"/>
      <c r="BF343" s="166"/>
      <c r="BG343" s="166"/>
      <c r="BH343" s="166"/>
      <c r="BI343" s="166"/>
      <c r="BJ343" s="166"/>
      <c r="BK343" s="166"/>
      <c r="BL343" s="166"/>
      <c r="BM343" s="166"/>
      <c r="BN343" s="166"/>
    </row>
    <row r="344" spans="2:66" ht="14.4" x14ac:dyDescent="0.25">
      <c r="B344" s="835" t="s">
        <v>447</v>
      </c>
      <c r="C344" s="818"/>
      <c r="D344" s="818"/>
      <c r="E344" s="818"/>
      <c r="F344" s="818"/>
      <c r="G344" s="818"/>
      <c r="H344" s="818"/>
      <c r="I344" s="818"/>
      <c r="J344" s="818"/>
      <c r="K344" s="818"/>
      <c r="L344" s="818"/>
      <c r="M344" s="818"/>
      <c r="N344" s="818"/>
      <c r="O344" s="818"/>
      <c r="P344" s="818"/>
      <c r="Q344" s="818"/>
      <c r="R344" s="818"/>
      <c r="S344" s="818"/>
      <c r="T344" s="818"/>
      <c r="U344" s="818"/>
      <c r="V344" s="818"/>
      <c r="W344" s="818"/>
      <c r="X344" s="818"/>
      <c r="Y344" s="818"/>
      <c r="Z344" s="818"/>
      <c r="AA344" s="818"/>
      <c r="AB344" s="818"/>
      <c r="AC344" s="818"/>
      <c r="AD344" s="818"/>
      <c r="AE344" s="818"/>
      <c r="AF344" s="818"/>
      <c r="AG344" s="818"/>
      <c r="AH344" s="818"/>
      <c r="AI344" s="818"/>
      <c r="AJ344" s="818"/>
      <c r="AK344" s="818"/>
      <c r="AL344" s="818"/>
      <c r="AM344" s="818"/>
      <c r="AN344" s="818"/>
      <c r="AO344" s="818"/>
      <c r="AP344" s="818"/>
      <c r="AQ344" s="818"/>
      <c r="AR344" s="818"/>
      <c r="AS344" s="818"/>
      <c r="AT344" s="819"/>
      <c r="AU344" s="166"/>
      <c r="AV344" s="166"/>
      <c r="AW344" s="166"/>
      <c r="AX344" s="166"/>
      <c r="AY344" s="166"/>
      <c r="AZ344" s="166"/>
      <c r="BA344" s="166"/>
      <c r="BB344" s="166"/>
      <c r="BC344" s="166"/>
      <c r="BD344" s="166"/>
      <c r="BE344" s="166"/>
      <c r="BF344" s="166"/>
      <c r="BG344" s="166"/>
      <c r="BH344" s="166"/>
      <c r="BI344" s="166"/>
      <c r="BJ344" s="166"/>
      <c r="BK344" s="166"/>
      <c r="BL344" s="166"/>
      <c r="BM344" s="166"/>
      <c r="BN344" s="166"/>
    </row>
    <row r="345" spans="2:66" x14ac:dyDescent="0.25">
      <c r="B345" s="836" t="s">
        <v>448</v>
      </c>
      <c r="C345" s="268">
        <f>C269</f>
        <v>-5332198.1684703697</v>
      </c>
      <c r="D345" s="268">
        <f t="shared" ref="D345:F345" si="221">D269</f>
        <v>-19669755.173127942</v>
      </c>
      <c r="E345" s="268">
        <f t="shared" si="221"/>
        <v>-49167777.727487408</v>
      </c>
      <c r="F345" s="268">
        <f t="shared" si="221"/>
        <v>-19836102.472292583</v>
      </c>
      <c r="G345" s="178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  <c r="AN345" s="178"/>
      <c r="AO345" s="178"/>
      <c r="AP345" s="178"/>
      <c r="AQ345" s="178"/>
      <c r="AR345" s="178"/>
      <c r="AS345" s="178"/>
      <c r="AT345" s="265"/>
      <c r="AU345" s="166"/>
      <c r="AV345" s="166"/>
      <c r="AW345" s="166"/>
      <c r="AX345" s="166"/>
      <c r="AY345" s="166"/>
      <c r="AZ345" s="166"/>
      <c r="BA345" s="166"/>
      <c r="BB345" s="166"/>
      <c r="BC345" s="166"/>
      <c r="BD345" s="166"/>
      <c r="BE345" s="166"/>
      <c r="BF345" s="166"/>
      <c r="BG345" s="166"/>
      <c r="BH345" s="166"/>
      <c r="BI345" s="166"/>
      <c r="BJ345" s="166"/>
      <c r="BK345" s="166"/>
      <c r="BL345" s="166"/>
      <c r="BM345" s="166"/>
      <c r="BN345" s="166"/>
    </row>
    <row r="346" spans="2:66" x14ac:dyDescent="0.25">
      <c r="B346" s="836" t="s">
        <v>383</v>
      </c>
      <c r="C346" s="178"/>
      <c r="D346" s="178"/>
      <c r="E346" s="178"/>
      <c r="F346" s="178"/>
      <c r="G346" s="268">
        <f t="shared" ref="G346:AT346" si="222">G270</f>
        <v>0</v>
      </c>
      <c r="H346" s="268">
        <f t="shared" si="222"/>
        <v>0</v>
      </c>
      <c r="I346" s="268">
        <f t="shared" si="222"/>
        <v>0</v>
      </c>
      <c r="J346" s="268">
        <f t="shared" si="222"/>
        <v>0</v>
      </c>
      <c r="K346" s="268">
        <f t="shared" si="222"/>
        <v>0</v>
      </c>
      <c r="L346" s="268">
        <f t="shared" si="222"/>
        <v>0</v>
      </c>
      <c r="M346" s="268">
        <f t="shared" si="222"/>
        <v>0</v>
      </c>
      <c r="N346" s="268">
        <f t="shared" si="222"/>
        <v>0</v>
      </c>
      <c r="O346" s="268">
        <f t="shared" si="222"/>
        <v>0</v>
      </c>
      <c r="P346" s="268">
        <f t="shared" si="222"/>
        <v>-1360136.2924377397</v>
      </c>
      <c r="Q346" s="268">
        <f t="shared" si="222"/>
        <v>-1649442.8153209686</v>
      </c>
      <c r="R346" s="268">
        <f t="shared" si="222"/>
        <v>0</v>
      </c>
      <c r="S346" s="268">
        <f t="shared" si="222"/>
        <v>0</v>
      </c>
      <c r="T346" s="268">
        <f t="shared" si="222"/>
        <v>0</v>
      </c>
      <c r="U346" s="268">
        <f t="shared" si="222"/>
        <v>-2314062.3198277643</v>
      </c>
      <c r="V346" s="268">
        <f t="shared" si="222"/>
        <v>-7351611.2293968759</v>
      </c>
      <c r="W346" s="268">
        <f t="shared" si="222"/>
        <v>-3413683.8365870705</v>
      </c>
      <c r="X346" s="268">
        <f t="shared" si="222"/>
        <v>0</v>
      </c>
      <c r="Y346" s="268">
        <f t="shared" si="222"/>
        <v>0</v>
      </c>
      <c r="Z346" s="268">
        <f t="shared" si="222"/>
        <v>0</v>
      </c>
      <c r="AA346" s="268">
        <f t="shared" si="222"/>
        <v>-1687746.6137686879</v>
      </c>
      <c r="AB346" s="268">
        <f t="shared" si="222"/>
        <v>-2046740.4793313304</v>
      </c>
      <c r="AC346" s="268">
        <f t="shared" si="222"/>
        <v>0</v>
      </c>
      <c r="AD346" s="268">
        <f t="shared" si="222"/>
        <v>0</v>
      </c>
      <c r="AE346" s="268">
        <f t="shared" si="222"/>
        <v>0</v>
      </c>
      <c r="AF346" s="268">
        <f t="shared" si="222"/>
        <v>0</v>
      </c>
      <c r="AG346" s="268">
        <f t="shared" si="222"/>
        <v>0</v>
      </c>
      <c r="AH346" s="268">
        <f t="shared" si="222"/>
        <v>0</v>
      </c>
      <c r="AI346" s="268">
        <f t="shared" si="222"/>
        <v>0</v>
      </c>
      <c r="AJ346" s="268">
        <f t="shared" si="222"/>
        <v>0</v>
      </c>
      <c r="AK346" s="268">
        <f t="shared" si="222"/>
        <v>0</v>
      </c>
      <c r="AL346" s="268">
        <f t="shared" si="222"/>
        <v>-5293029.3906328678</v>
      </c>
      <c r="AM346" s="268">
        <f t="shared" si="222"/>
        <v>-12529821.357005024</v>
      </c>
      <c r="AN346" s="268">
        <f t="shared" si="222"/>
        <v>-4663255.9339658916</v>
      </c>
      <c r="AO346" s="268">
        <f t="shared" si="222"/>
        <v>0</v>
      </c>
      <c r="AP346" s="268">
        <f t="shared" si="222"/>
        <v>0</v>
      </c>
      <c r="AQ346" s="268">
        <f t="shared" si="222"/>
        <v>0</v>
      </c>
      <c r="AR346" s="268">
        <f t="shared" si="222"/>
        <v>0</v>
      </c>
      <c r="AS346" s="268">
        <f t="shared" si="222"/>
        <v>0</v>
      </c>
      <c r="AT346" s="799">
        <f t="shared" si="222"/>
        <v>0</v>
      </c>
      <c r="AU346" s="166"/>
      <c r="AV346" s="166"/>
      <c r="AW346" s="166"/>
      <c r="AX346" s="166"/>
      <c r="AY346" s="166"/>
      <c r="AZ346" s="166"/>
      <c r="BA346" s="166"/>
      <c r="BB346" s="166"/>
      <c r="BC346" s="166"/>
      <c r="BD346" s="166"/>
      <c r="BE346" s="166"/>
      <c r="BF346" s="166"/>
      <c r="BG346" s="166"/>
      <c r="BH346" s="166"/>
      <c r="BI346" s="166"/>
      <c r="BJ346" s="166"/>
      <c r="BK346" s="166"/>
      <c r="BL346" s="166"/>
      <c r="BM346" s="166"/>
      <c r="BN346" s="166"/>
    </row>
    <row r="347" spans="2:66" x14ac:dyDescent="0.25">
      <c r="B347" s="836" t="s">
        <v>384</v>
      </c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8"/>
      <c r="Z347" s="178"/>
      <c r="AA347" s="178"/>
      <c r="AB347" s="178"/>
      <c r="AC347" s="178"/>
      <c r="AD347" s="178"/>
      <c r="AE347" s="178"/>
      <c r="AF347" s="178"/>
      <c r="AG347" s="178"/>
      <c r="AH347" s="178"/>
      <c r="AI347" s="178"/>
      <c r="AJ347" s="758">
        <f>AJ320</f>
        <v>36303657.245098598</v>
      </c>
      <c r="AK347" s="178"/>
      <c r="AL347" s="178"/>
      <c r="AM347" s="178"/>
      <c r="AN347" s="178"/>
      <c r="AO347" s="178"/>
      <c r="AP347" s="178"/>
      <c r="AQ347" s="178"/>
      <c r="AR347" s="178"/>
      <c r="AS347" s="178"/>
      <c r="AT347" s="847">
        <f>AT320</f>
        <v>33465652.89421764</v>
      </c>
      <c r="AU347" s="166"/>
      <c r="AV347" s="166"/>
      <c r="AW347" s="166"/>
      <c r="AX347" s="166"/>
      <c r="AY347" s="166"/>
      <c r="AZ347" s="166"/>
      <c r="BA347" s="166"/>
      <c r="BB347" s="166"/>
      <c r="BC347" s="166"/>
      <c r="BD347" s="166"/>
      <c r="BE347" s="166"/>
      <c r="BF347" s="166"/>
      <c r="BG347" s="166"/>
      <c r="BH347" s="166"/>
      <c r="BI347" s="166"/>
      <c r="BJ347" s="166"/>
      <c r="BK347" s="166"/>
      <c r="BL347" s="166"/>
      <c r="BM347" s="166"/>
      <c r="BN347" s="166"/>
    </row>
    <row r="348" spans="2:66" ht="15" thickBot="1" x14ac:dyDescent="0.3">
      <c r="B348" s="842" t="s">
        <v>385</v>
      </c>
      <c r="C348" s="822">
        <f t="shared" ref="C348:AT348" si="223">C345+C346+C347</f>
        <v>-5332198.1684703697</v>
      </c>
      <c r="D348" s="822">
        <f t="shared" si="223"/>
        <v>-19669755.173127942</v>
      </c>
      <c r="E348" s="822">
        <f t="shared" si="223"/>
        <v>-49167777.727487408</v>
      </c>
      <c r="F348" s="822">
        <f t="shared" si="223"/>
        <v>-19836102.472292583</v>
      </c>
      <c r="G348" s="822">
        <f t="shared" si="223"/>
        <v>0</v>
      </c>
      <c r="H348" s="822">
        <f t="shared" si="223"/>
        <v>0</v>
      </c>
      <c r="I348" s="822">
        <f t="shared" si="223"/>
        <v>0</v>
      </c>
      <c r="J348" s="822">
        <f t="shared" si="223"/>
        <v>0</v>
      </c>
      <c r="K348" s="822">
        <f t="shared" si="223"/>
        <v>0</v>
      </c>
      <c r="L348" s="822">
        <f t="shared" si="223"/>
        <v>0</v>
      </c>
      <c r="M348" s="822">
        <f t="shared" si="223"/>
        <v>0</v>
      </c>
      <c r="N348" s="822">
        <f t="shared" si="223"/>
        <v>0</v>
      </c>
      <c r="O348" s="822">
        <f t="shared" si="223"/>
        <v>0</v>
      </c>
      <c r="P348" s="822">
        <f t="shared" si="223"/>
        <v>-1360136.2924377397</v>
      </c>
      <c r="Q348" s="822">
        <f t="shared" si="223"/>
        <v>-1649442.8153209686</v>
      </c>
      <c r="R348" s="822">
        <f t="shared" si="223"/>
        <v>0</v>
      </c>
      <c r="S348" s="822">
        <f t="shared" si="223"/>
        <v>0</v>
      </c>
      <c r="T348" s="822">
        <f t="shared" si="223"/>
        <v>0</v>
      </c>
      <c r="U348" s="822">
        <f t="shared" si="223"/>
        <v>-2314062.3198277643</v>
      </c>
      <c r="V348" s="822">
        <f t="shared" si="223"/>
        <v>-7351611.2293968759</v>
      </c>
      <c r="W348" s="822">
        <f t="shared" si="223"/>
        <v>-3413683.8365870705</v>
      </c>
      <c r="X348" s="822">
        <f t="shared" si="223"/>
        <v>0</v>
      </c>
      <c r="Y348" s="822">
        <f t="shared" si="223"/>
        <v>0</v>
      </c>
      <c r="Z348" s="822">
        <f t="shared" si="223"/>
        <v>0</v>
      </c>
      <c r="AA348" s="822">
        <f t="shared" si="223"/>
        <v>-1687746.6137686879</v>
      </c>
      <c r="AB348" s="822">
        <f t="shared" si="223"/>
        <v>-2046740.4793313304</v>
      </c>
      <c r="AC348" s="822">
        <f t="shared" si="223"/>
        <v>0</v>
      </c>
      <c r="AD348" s="822">
        <f t="shared" si="223"/>
        <v>0</v>
      </c>
      <c r="AE348" s="822">
        <f t="shared" si="223"/>
        <v>0</v>
      </c>
      <c r="AF348" s="822">
        <f t="shared" si="223"/>
        <v>0</v>
      </c>
      <c r="AG348" s="822">
        <f t="shared" si="223"/>
        <v>0</v>
      </c>
      <c r="AH348" s="822">
        <f t="shared" si="223"/>
        <v>0</v>
      </c>
      <c r="AI348" s="822">
        <f t="shared" si="223"/>
        <v>0</v>
      </c>
      <c r="AJ348" s="822">
        <f t="shared" si="223"/>
        <v>36303657.245098598</v>
      </c>
      <c r="AK348" s="822">
        <f t="shared" si="223"/>
        <v>0</v>
      </c>
      <c r="AL348" s="822">
        <f t="shared" si="223"/>
        <v>-5293029.3906328678</v>
      </c>
      <c r="AM348" s="822">
        <f t="shared" si="223"/>
        <v>-12529821.357005024</v>
      </c>
      <c r="AN348" s="822">
        <f t="shared" si="223"/>
        <v>-4663255.9339658916</v>
      </c>
      <c r="AO348" s="822">
        <f t="shared" si="223"/>
        <v>0</v>
      </c>
      <c r="AP348" s="822">
        <f t="shared" si="223"/>
        <v>0</v>
      </c>
      <c r="AQ348" s="822">
        <f t="shared" si="223"/>
        <v>0</v>
      </c>
      <c r="AR348" s="822">
        <f t="shared" si="223"/>
        <v>0</v>
      </c>
      <c r="AS348" s="822">
        <f t="shared" si="223"/>
        <v>0</v>
      </c>
      <c r="AT348" s="823">
        <f t="shared" si="223"/>
        <v>33465652.89421764</v>
      </c>
      <c r="AU348" s="166"/>
      <c r="AV348" s="166"/>
      <c r="AW348" s="166"/>
      <c r="AX348" s="166"/>
      <c r="AY348" s="166"/>
      <c r="AZ348" s="166"/>
      <c r="BA348" s="166"/>
      <c r="BB348" s="166"/>
      <c r="BC348" s="166"/>
      <c r="BD348" s="166"/>
      <c r="BE348" s="166"/>
      <c r="BF348" s="166"/>
      <c r="BG348" s="166"/>
      <c r="BH348" s="166"/>
      <c r="BI348" s="166"/>
      <c r="BJ348" s="166"/>
      <c r="BK348" s="166"/>
      <c r="BL348" s="166"/>
      <c r="BM348" s="166"/>
      <c r="BN348" s="166"/>
    </row>
    <row r="349" spans="2:66" ht="14.4" x14ac:dyDescent="0.25">
      <c r="B349" s="838"/>
      <c r="C349" s="178"/>
      <c r="D349" s="178"/>
      <c r="E349" s="178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  <c r="AU349" s="166"/>
      <c r="AV349" s="166"/>
      <c r="AW349" s="166"/>
      <c r="AX349" s="166"/>
      <c r="AY349" s="166"/>
      <c r="AZ349" s="166"/>
      <c r="BA349" s="166"/>
      <c r="BB349" s="166"/>
      <c r="BC349" s="166"/>
      <c r="BD349" s="166"/>
      <c r="BE349" s="166"/>
      <c r="BF349" s="166"/>
      <c r="BG349" s="166"/>
      <c r="BH349" s="166"/>
      <c r="BI349" s="166"/>
      <c r="BJ349" s="166"/>
      <c r="BK349" s="166"/>
      <c r="BL349" s="166"/>
      <c r="BM349" s="166"/>
      <c r="BN349" s="166"/>
    </row>
    <row r="350" spans="2:66" ht="14.4" x14ac:dyDescent="0.25">
      <c r="B350" s="838"/>
      <c r="C350" s="178"/>
      <c r="D350" s="178"/>
      <c r="E350" s="884" t="s">
        <v>473</v>
      </c>
      <c r="F350" s="178">
        <f>C348+D348+E348+F348</f>
        <v>-94005833.541378304</v>
      </c>
      <c r="G350" s="178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  <c r="AM350" s="178"/>
      <c r="AN350" s="178"/>
      <c r="AO350" s="178"/>
      <c r="AP350" s="178"/>
      <c r="AQ350" s="178"/>
      <c r="AR350" s="178"/>
      <c r="AS350" s="178"/>
      <c r="AT350" s="178"/>
      <c r="AU350" s="166"/>
      <c r="AV350" s="166"/>
      <c r="AW350" s="166"/>
      <c r="AX350" s="166"/>
      <c r="AY350" s="166"/>
      <c r="AZ350" s="166"/>
      <c r="BA350" s="166"/>
      <c r="BB350" s="166"/>
      <c r="BC350" s="166"/>
      <c r="BD350" s="166"/>
      <c r="BE350" s="166"/>
      <c r="BF350" s="166"/>
      <c r="BG350" s="166"/>
      <c r="BH350" s="166"/>
      <c r="BI350" s="166"/>
      <c r="BJ350" s="166"/>
      <c r="BK350" s="166"/>
      <c r="BL350" s="166"/>
      <c r="BM350" s="166"/>
      <c r="BN350" s="166"/>
    </row>
    <row r="351" spans="2:66" ht="14.4" x14ac:dyDescent="0.25">
      <c r="B351" s="838"/>
      <c r="C351" s="178"/>
      <c r="D351" s="178"/>
      <c r="E351" s="178"/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  <c r="AM351" s="178"/>
      <c r="AN351" s="178"/>
      <c r="AO351" s="178"/>
      <c r="AP351" s="178"/>
      <c r="AQ351" s="178"/>
      <c r="AR351" s="178"/>
      <c r="AS351" s="178"/>
      <c r="AT351" s="178"/>
      <c r="AU351" s="166"/>
      <c r="AV351" s="166"/>
      <c r="AW351" s="166"/>
      <c r="AX351" s="166"/>
      <c r="AY351" s="166"/>
      <c r="AZ351" s="166"/>
      <c r="BA351" s="166"/>
      <c r="BB351" s="166"/>
      <c r="BC351" s="166"/>
      <c r="BD351" s="166"/>
      <c r="BE351" s="166"/>
      <c r="BF351" s="166"/>
      <c r="BG351" s="166"/>
      <c r="BH351" s="166"/>
      <c r="BI351" s="166"/>
      <c r="BJ351" s="166"/>
      <c r="BK351" s="166"/>
      <c r="BL351" s="166"/>
      <c r="BM351" s="166"/>
      <c r="BN351" s="166"/>
    </row>
    <row r="352" spans="2:66" ht="14.4" x14ac:dyDescent="0.25">
      <c r="B352" s="844" t="s">
        <v>436</v>
      </c>
      <c r="C352" s="178">
        <f t="shared" ref="C352:AJ352" si="224">C342+C348</f>
        <v>-5332198.1684703697</v>
      </c>
      <c r="D352" s="178">
        <f t="shared" si="224"/>
        <v>-19669755.173127942</v>
      </c>
      <c r="E352" s="178">
        <f t="shared" si="224"/>
        <v>-49167777.727487408</v>
      </c>
      <c r="F352" s="178">
        <f t="shared" si="224"/>
        <v>-19836102.472292583</v>
      </c>
      <c r="G352" s="178">
        <f t="shared" si="224"/>
        <v>3140217.108516519</v>
      </c>
      <c r="H352" s="178">
        <f t="shared" si="224"/>
        <v>4207054.805200275</v>
      </c>
      <c r="I352" s="178">
        <f t="shared" si="224"/>
        <v>4600969.5118835028</v>
      </c>
      <c r="J352" s="178">
        <f t="shared" si="224"/>
        <v>4619078.8774462454</v>
      </c>
      <c r="K352" s="178">
        <f t="shared" si="224"/>
        <v>2275808.8469023183</v>
      </c>
      <c r="L352" s="178">
        <f t="shared" si="224"/>
        <v>4824571.3975160774</v>
      </c>
      <c r="M352" s="178">
        <f t="shared" si="224"/>
        <v>5074938.1840017922</v>
      </c>
      <c r="N352" s="178">
        <f t="shared" si="224"/>
        <v>5062037.8335315296</v>
      </c>
      <c r="O352" s="178">
        <f t="shared" si="224"/>
        <v>5292858.5316565111</v>
      </c>
      <c r="P352" s="178">
        <f t="shared" si="224"/>
        <v>1211693.5116650988</v>
      </c>
      <c r="Q352" s="178">
        <f t="shared" si="224"/>
        <v>3789577.4608674515</v>
      </c>
      <c r="R352" s="178">
        <f t="shared" si="224"/>
        <v>5529508.2856442109</v>
      </c>
      <c r="S352" s="178">
        <f t="shared" si="224"/>
        <v>5752752.9190330291</v>
      </c>
      <c r="T352" s="178">
        <f t="shared" si="224"/>
        <v>5705818.558677461</v>
      </c>
      <c r="U352" s="178">
        <f t="shared" si="224"/>
        <v>649279.88135378528</v>
      </c>
      <c r="V352" s="178">
        <f t="shared" si="224"/>
        <v>-1682530.1654744195</v>
      </c>
      <c r="W352" s="178">
        <f t="shared" si="224"/>
        <v>2496579.9277194357</v>
      </c>
      <c r="X352" s="178">
        <f t="shared" si="224"/>
        <v>6206685.8529965095</v>
      </c>
      <c r="Y352" s="178">
        <f t="shared" si="224"/>
        <v>6503918.5575428251</v>
      </c>
      <c r="Z352" s="178">
        <f t="shared" si="224"/>
        <v>3225994.7499431283</v>
      </c>
      <c r="AA352" s="178">
        <f t="shared" si="224"/>
        <v>5119094.6469587777</v>
      </c>
      <c r="AB352" s="178">
        <f t="shared" si="224"/>
        <v>4749459.6537037687</v>
      </c>
      <c r="AC352" s="178">
        <f t="shared" si="224"/>
        <v>7097796.8478379091</v>
      </c>
      <c r="AD352" s="178">
        <f t="shared" si="224"/>
        <v>7033639.4561124966</v>
      </c>
      <c r="AE352" s="178">
        <f t="shared" si="224"/>
        <v>3729395.016658661</v>
      </c>
      <c r="AF352" s="178">
        <f t="shared" si="224"/>
        <v>7252995.4291557027</v>
      </c>
      <c r="AG352" s="178">
        <f t="shared" si="224"/>
        <v>7550667.9128961349</v>
      </c>
      <c r="AH352" s="178">
        <f t="shared" si="224"/>
        <v>7479863.5506542856</v>
      </c>
      <c r="AI352" s="178">
        <f t="shared" si="224"/>
        <v>7788859.3400830152</v>
      </c>
      <c r="AJ352" s="178">
        <f t="shared" si="224"/>
        <v>40072517.057345189</v>
      </c>
      <c r="AK352" s="178"/>
      <c r="AL352" s="178"/>
      <c r="AM352" s="178"/>
      <c r="AN352" s="178"/>
      <c r="AO352" s="178"/>
      <c r="AP352" s="178"/>
      <c r="AQ352" s="178"/>
      <c r="AR352" s="178"/>
      <c r="AS352" s="178"/>
      <c r="AT352" s="178"/>
      <c r="AU352" s="166"/>
      <c r="AV352" s="166"/>
      <c r="AW352" s="166"/>
      <c r="AX352" s="166"/>
      <c r="AY352" s="166"/>
      <c r="AZ352" s="166"/>
      <c r="BA352" s="166"/>
      <c r="BB352" s="166"/>
      <c r="BC352" s="166"/>
      <c r="BD352" s="166"/>
      <c r="BE352" s="166"/>
      <c r="BF352" s="166"/>
      <c r="BG352" s="166"/>
      <c r="BH352" s="166"/>
      <c r="BI352" s="166"/>
      <c r="BJ352" s="166"/>
      <c r="BK352" s="166"/>
      <c r="BL352" s="166"/>
      <c r="BM352" s="166"/>
      <c r="BN352" s="166"/>
    </row>
    <row r="353" spans="2:66" ht="14.4" x14ac:dyDescent="0.25">
      <c r="B353" s="844" t="s">
        <v>438</v>
      </c>
      <c r="C353" s="178"/>
      <c r="D353" s="178"/>
      <c r="E353" s="178"/>
      <c r="F353" s="178"/>
      <c r="G353" s="178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848">
        <f>IRR(C352:AJ352)</f>
        <v>3.3169226298790599E-2</v>
      </c>
      <c r="AK353" s="178"/>
      <c r="AL353" s="178"/>
      <c r="AM353" s="178"/>
      <c r="AN353" s="178"/>
      <c r="AO353" s="178"/>
      <c r="AP353" s="178"/>
      <c r="AQ353" s="178"/>
      <c r="AR353" s="178"/>
      <c r="AS353" s="178"/>
      <c r="AT353" s="178"/>
      <c r="AU353" s="166"/>
      <c r="AV353" s="166"/>
      <c r="AW353" s="166"/>
      <c r="AX353" s="166"/>
      <c r="AY353" s="166"/>
      <c r="AZ353" s="166"/>
      <c r="BA353" s="166"/>
      <c r="BB353" s="166"/>
      <c r="BC353" s="166"/>
      <c r="BD353" s="166"/>
      <c r="BE353" s="166"/>
      <c r="BF353" s="166"/>
      <c r="BG353" s="166"/>
      <c r="BH353" s="166"/>
      <c r="BI353" s="166"/>
      <c r="BJ353" s="166"/>
      <c r="BK353" s="166"/>
      <c r="BL353" s="166"/>
      <c r="BM353" s="166"/>
      <c r="BN353" s="166"/>
    </row>
    <row r="354" spans="2:66" ht="14.4" x14ac:dyDescent="0.25">
      <c r="B354" s="844"/>
      <c r="C354" s="178"/>
      <c r="D354" s="178"/>
      <c r="E354" s="178"/>
      <c r="F354" s="178"/>
      <c r="G354" s="178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66"/>
      <c r="AV354" s="166"/>
      <c r="AW354" s="166"/>
      <c r="AX354" s="166"/>
      <c r="AY354" s="166"/>
      <c r="AZ354" s="166"/>
      <c r="BA354" s="166"/>
      <c r="BB354" s="166"/>
      <c r="BC354" s="166"/>
      <c r="BD354" s="166"/>
      <c r="BE354" s="166"/>
      <c r="BF354" s="166"/>
      <c r="BG354" s="166"/>
      <c r="BH354" s="166"/>
      <c r="BI354" s="166"/>
      <c r="BJ354" s="166"/>
      <c r="BK354" s="166"/>
      <c r="BL354" s="166"/>
      <c r="BM354" s="166"/>
      <c r="BN354" s="166"/>
    </row>
    <row r="355" spans="2:66" ht="14.4" x14ac:dyDescent="0.25">
      <c r="B355" s="844" t="s">
        <v>437</v>
      </c>
      <c r="C355" s="178">
        <f>C342+C348</f>
        <v>-5332198.1684703697</v>
      </c>
      <c r="D355" s="178">
        <f t="shared" ref="D355:AI355" si="225">D342+D348</f>
        <v>-19669755.173127942</v>
      </c>
      <c r="E355" s="178">
        <f t="shared" si="225"/>
        <v>-49167777.727487408</v>
      </c>
      <c r="F355" s="178">
        <f t="shared" si="225"/>
        <v>-19836102.472292583</v>
      </c>
      <c r="G355" s="178">
        <f t="shared" si="225"/>
        <v>3140217.108516519</v>
      </c>
      <c r="H355" s="178">
        <f t="shared" si="225"/>
        <v>4207054.805200275</v>
      </c>
      <c r="I355" s="178">
        <f t="shared" si="225"/>
        <v>4600969.5118835028</v>
      </c>
      <c r="J355" s="178">
        <f t="shared" si="225"/>
        <v>4619078.8774462454</v>
      </c>
      <c r="K355" s="178">
        <f t="shared" si="225"/>
        <v>2275808.8469023183</v>
      </c>
      <c r="L355" s="178">
        <f t="shared" si="225"/>
        <v>4824571.3975160774</v>
      </c>
      <c r="M355" s="178">
        <f t="shared" si="225"/>
        <v>5074938.1840017922</v>
      </c>
      <c r="N355" s="178">
        <f t="shared" si="225"/>
        <v>5062037.8335315296</v>
      </c>
      <c r="O355" s="178">
        <f t="shared" si="225"/>
        <v>5292858.5316565111</v>
      </c>
      <c r="P355" s="178">
        <f t="shared" si="225"/>
        <v>1211693.5116650988</v>
      </c>
      <c r="Q355" s="178">
        <f t="shared" si="225"/>
        <v>3789577.4608674515</v>
      </c>
      <c r="R355" s="178">
        <f t="shared" si="225"/>
        <v>5529508.2856442109</v>
      </c>
      <c r="S355" s="178">
        <f t="shared" si="225"/>
        <v>5752752.9190330291</v>
      </c>
      <c r="T355" s="178">
        <f t="shared" si="225"/>
        <v>5705818.558677461</v>
      </c>
      <c r="U355" s="178">
        <f t="shared" si="225"/>
        <v>649279.88135378528</v>
      </c>
      <c r="V355" s="178">
        <f t="shared" si="225"/>
        <v>-1682530.1654744195</v>
      </c>
      <c r="W355" s="178">
        <f t="shared" si="225"/>
        <v>2496579.9277194357</v>
      </c>
      <c r="X355" s="178">
        <f t="shared" si="225"/>
        <v>6206685.8529965095</v>
      </c>
      <c r="Y355" s="178">
        <f t="shared" si="225"/>
        <v>6503918.5575428251</v>
      </c>
      <c r="Z355" s="178">
        <f t="shared" si="225"/>
        <v>3225994.7499431283</v>
      </c>
      <c r="AA355" s="178">
        <f t="shared" si="225"/>
        <v>5119094.6469587777</v>
      </c>
      <c r="AB355" s="178">
        <f t="shared" si="225"/>
        <v>4749459.6537037687</v>
      </c>
      <c r="AC355" s="178">
        <f t="shared" si="225"/>
        <v>7097796.8478379091</v>
      </c>
      <c r="AD355" s="178">
        <f t="shared" si="225"/>
        <v>7033639.4561124966</v>
      </c>
      <c r="AE355" s="178">
        <f t="shared" si="225"/>
        <v>3729395.016658661</v>
      </c>
      <c r="AF355" s="178">
        <f t="shared" si="225"/>
        <v>7252995.4291557027</v>
      </c>
      <c r="AG355" s="178">
        <f t="shared" si="225"/>
        <v>7550667.9128961349</v>
      </c>
      <c r="AH355" s="178">
        <f t="shared" si="225"/>
        <v>7479863.5506542856</v>
      </c>
      <c r="AI355" s="178">
        <f t="shared" si="225"/>
        <v>7788859.3400830152</v>
      </c>
      <c r="AJ355" s="178">
        <f>AJ342+AJ346</f>
        <v>3768859.8122465895</v>
      </c>
      <c r="AK355" s="178">
        <f t="shared" ref="AK355:AT355" si="226">AK342+AK348</f>
        <v>8035210.3216957385</v>
      </c>
      <c r="AL355" s="178">
        <f t="shared" si="226"/>
        <v>2664027.2276663845</v>
      </c>
      <c r="AM355" s="178">
        <f t="shared" si="226"/>
        <v>-4545036.8464066964</v>
      </c>
      <c r="AN355" s="178">
        <f t="shared" si="226"/>
        <v>3108706.4623064455</v>
      </c>
      <c r="AO355" s="178">
        <f t="shared" si="226"/>
        <v>4344404.0071444875</v>
      </c>
      <c r="AP355" s="178">
        <f t="shared" si="226"/>
        <v>8593370.7465936206</v>
      </c>
      <c r="AQ355" s="178">
        <f t="shared" si="226"/>
        <v>8951995.4456300177</v>
      </c>
      <c r="AR355" s="178">
        <f t="shared" si="226"/>
        <v>8861333.2397049181</v>
      </c>
      <c r="AS355" s="178">
        <f t="shared" si="226"/>
        <v>9233526.4357779548</v>
      </c>
      <c r="AT355" s="178">
        <f t="shared" si="226"/>
        <v>37840548.146843389</v>
      </c>
      <c r="AU355" s="166"/>
      <c r="AV355" s="166"/>
      <c r="AW355" s="166"/>
      <c r="AX355" s="166"/>
      <c r="AY355" s="166"/>
      <c r="AZ355" s="166"/>
      <c r="BA355" s="166"/>
      <c r="BB355" s="166"/>
      <c r="BC355" s="166"/>
      <c r="BD355" s="166"/>
      <c r="BE355" s="166"/>
      <c r="BF355" s="166"/>
      <c r="BG355" s="166"/>
      <c r="BH355" s="166"/>
      <c r="BI355" s="166"/>
      <c r="BJ355" s="166"/>
      <c r="BK355" s="166"/>
      <c r="BL355" s="166"/>
      <c r="BM355" s="166"/>
      <c r="BN355" s="166"/>
    </row>
    <row r="356" spans="2:66" ht="14.4" x14ac:dyDescent="0.25">
      <c r="B356" s="844" t="s">
        <v>439</v>
      </c>
      <c r="C356" s="178"/>
      <c r="D356" s="178"/>
      <c r="E356" s="178"/>
      <c r="F356" s="178"/>
      <c r="G356" s="178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849">
        <f>IRR(C355:AT355)</f>
        <v>3.8961143411395893E-2</v>
      </c>
      <c r="AU356" s="166"/>
      <c r="AV356" s="166"/>
      <c r="AW356" s="166"/>
      <c r="AX356" s="166"/>
      <c r="AY356" s="166"/>
      <c r="AZ356" s="166"/>
      <c r="BA356" s="166"/>
      <c r="BB356" s="166"/>
      <c r="BC356" s="166"/>
      <c r="BD356" s="166"/>
      <c r="BE356" s="166"/>
      <c r="BF356" s="166"/>
      <c r="BG356" s="166"/>
      <c r="BH356" s="166"/>
      <c r="BI356" s="166"/>
      <c r="BJ356" s="166"/>
      <c r="BK356" s="166"/>
      <c r="BL356" s="166"/>
      <c r="BM356" s="166"/>
      <c r="BN356" s="166"/>
    </row>
    <row r="357" spans="2:66" ht="14.4" x14ac:dyDescent="0.25">
      <c r="B357" s="844"/>
      <c r="C357" s="178"/>
      <c r="D357" s="178"/>
      <c r="E357" s="178"/>
      <c r="F357" s="178"/>
      <c r="G357" s="178"/>
      <c r="H357" s="178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8"/>
      <c r="V357" s="178"/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/>
      <c r="AS357" s="178"/>
      <c r="AT357" s="178"/>
      <c r="AU357" s="166"/>
      <c r="AV357" s="166"/>
      <c r="AW357" s="166"/>
      <c r="AX357" s="166"/>
      <c r="AY357" s="166"/>
      <c r="AZ357" s="166"/>
      <c r="BA357" s="166"/>
      <c r="BB357" s="166"/>
      <c r="BC357" s="166"/>
      <c r="BD357" s="166"/>
      <c r="BE357" s="166"/>
      <c r="BF357" s="166"/>
      <c r="BG357" s="166"/>
      <c r="BH357" s="166"/>
      <c r="BI357" s="166"/>
      <c r="BJ357" s="166"/>
      <c r="BK357" s="166"/>
      <c r="BL357" s="166"/>
      <c r="BM357" s="166"/>
      <c r="BN357" s="166"/>
    </row>
    <row r="358" spans="2:66" ht="14.4" x14ac:dyDescent="0.25">
      <c r="B358" s="844" t="s">
        <v>450</v>
      </c>
      <c r="C358" s="178">
        <f>C332</f>
        <v>0</v>
      </c>
      <c r="D358" s="178">
        <f t="shared" ref="D358:AT358" si="227">D332</f>
        <v>0</v>
      </c>
      <c r="E358" s="178">
        <f t="shared" si="227"/>
        <v>0</v>
      </c>
      <c r="F358" s="178">
        <f t="shared" si="227"/>
        <v>0</v>
      </c>
      <c r="G358" s="178">
        <f t="shared" si="227"/>
        <v>3427556.8322463315</v>
      </c>
      <c r="H358" s="178">
        <f t="shared" si="227"/>
        <v>5068845.5963751869</v>
      </c>
      <c r="I358" s="178">
        <f t="shared" si="227"/>
        <v>5674868.2220416907</v>
      </c>
      <c r="J358" s="178">
        <f t="shared" si="227"/>
        <v>5702728.7844459098</v>
      </c>
      <c r="K358" s="178">
        <f t="shared" si="227"/>
        <v>2275808.8469023183</v>
      </c>
      <c r="L358" s="178">
        <f t="shared" si="227"/>
        <v>6094794.4544949941</v>
      </c>
      <c r="M358" s="178">
        <f t="shared" si="227"/>
        <v>6479974.1260114787</v>
      </c>
      <c r="N358" s="178">
        <f t="shared" si="227"/>
        <v>6460127.4329803055</v>
      </c>
      <c r="O358" s="178">
        <f t="shared" si="227"/>
        <v>6815236.1993264295</v>
      </c>
      <c r="P358" s="178">
        <f t="shared" si="227"/>
        <v>2629038.1569361649</v>
      </c>
      <c r="Q358" s="178">
        <f t="shared" si="227"/>
        <v>7166663.0538548706</v>
      </c>
      <c r="R358" s="178">
        <f t="shared" si="227"/>
        <v>7143821.1164460033</v>
      </c>
      <c r="S358" s="178">
        <f t="shared" si="227"/>
        <v>7487274.3985826466</v>
      </c>
      <c r="T358" s="178">
        <f t="shared" si="227"/>
        <v>7415067.6903433101</v>
      </c>
      <c r="U358" s="178">
        <f t="shared" si="227"/>
        <v>3195873.2941957545</v>
      </c>
      <c r="V358" s="178">
        <f t="shared" si="227"/>
        <v>7696172.4483712483</v>
      </c>
      <c r="W358" s="178">
        <f t="shared" si="227"/>
        <v>8067222.7566544022</v>
      </c>
      <c r="X358" s="178">
        <f t="shared" si="227"/>
        <v>8053741.3459175769</v>
      </c>
      <c r="Y358" s="178">
        <f t="shared" si="227"/>
        <v>8511022.4298349861</v>
      </c>
      <c r="Z358" s="178">
        <f t="shared" si="227"/>
        <v>3468062.7258354519</v>
      </c>
      <c r="AA358" s="178">
        <f t="shared" si="227"/>
        <v>8977057.3578113541</v>
      </c>
      <c r="AB358" s="178">
        <f t="shared" si="227"/>
        <v>8960686.3921307921</v>
      </c>
      <c r="AC358" s="178">
        <f t="shared" si="227"/>
        <v>9385647.8310782742</v>
      </c>
      <c r="AD358" s="178">
        <f t="shared" si="227"/>
        <v>9286944.1515007168</v>
      </c>
      <c r="AE358" s="178">
        <f t="shared" si="227"/>
        <v>4203491.1677255854</v>
      </c>
      <c r="AF358" s="178">
        <f t="shared" si="227"/>
        <v>9624414.8792594951</v>
      </c>
      <c r="AG358" s="178">
        <f t="shared" si="227"/>
        <v>10082372.546552468</v>
      </c>
      <c r="AH358" s="178">
        <f t="shared" si="227"/>
        <v>9973442.7584880851</v>
      </c>
      <c r="AI358" s="178">
        <f t="shared" si="227"/>
        <v>10448820.896070745</v>
      </c>
      <c r="AJ358" s="178">
        <f t="shared" si="227"/>
        <v>4264206.2378608603</v>
      </c>
      <c r="AK358" s="178">
        <f t="shared" si="227"/>
        <v>10827822.406244166</v>
      </c>
      <c r="AL358" s="178">
        <f t="shared" si="227"/>
        <v>10707585.939480342</v>
      </c>
      <c r="AM358" s="178">
        <f t="shared" si="227"/>
        <v>11219759.628661904</v>
      </c>
      <c r="AN358" s="178">
        <f t="shared" si="227"/>
        <v>11093428.757788841</v>
      </c>
      <c r="AO358" s="178">
        <f t="shared" si="227"/>
        <v>4955411.7482996974</v>
      </c>
      <c r="AP358" s="178">
        <f t="shared" si="227"/>
        <v>11492283.655144516</v>
      </c>
      <c r="AQ358" s="178">
        <f t="shared" si="227"/>
        <v>12044013.961354356</v>
      </c>
      <c r="AR358" s="178">
        <f t="shared" si="227"/>
        <v>11904533.644546513</v>
      </c>
      <c r="AS358" s="178">
        <f t="shared" si="227"/>
        <v>12477138.561581954</v>
      </c>
      <c r="AT358" s="178">
        <f t="shared" si="227"/>
        <v>5002321.3567324094</v>
      </c>
      <c r="AU358" s="166"/>
      <c r="AV358" s="166"/>
      <c r="AW358" s="166"/>
      <c r="AX358" s="166"/>
      <c r="AY358" s="166"/>
      <c r="AZ358" s="166"/>
      <c r="BA358" s="166"/>
      <c r="BB358" s="166"/>
      <c r="BC358" s="166"/>
      <c r="BD358" s="166"/>
      <c r="BE358" s="166"/>
      <c r="BF358" s="166"/>
      <c r="BG358" s="166"/>
      <c r="BH358" s="166"/>
      <c r="BI358" s="166"/>
      <c r="BJ358" s="166"/>
      <c r="BK358" s="166"/>
      <c r="BL358" s="166"/>
      <c r="BM358" s="166"/>
      <c r="BN358" s="166"/>
    </row>
    <row r="359" spans="2:66" ht="14.4" x14ac:dyDescent="0.25">
      <c r="B359" s="844" t="s">
        <v>451</v>
      </c>
      <c r="C359" s="178">
        <f>C358+C319</f>
        <v>0</v>
      </c>
      <c r="D359" s="178">
        <f t="shared" ref="D359:AT359" si="228">D358+D319</f>
        <v>0</v>
      </c>
      <c r="E359" s="178">
        <f t="shared" si="228"/>
        <v>0</v>
      </c>
      <c r="F359" s="178">
        <f t="shared" si="228"/>
        <v>0</v>
      </c>
      <c r="G359" s="178">
        <f t="shared" si="228"/>
        <v>820970.63922803523</v>
      </c>
      <c r="H359" s="178">
        <f t="shared" si="228"/>
        <v>2462259.4033568907</v>
      </c>
      <c r="I359" s="178">
        <f t="shared" si="228"/>
        <v>3068282.0290233945</v>
      </c>
      <c r="J359" s="178">
        <f t="shared" si="228"/>
        <v>3096142.5914276135</v>
      </c>
      <c r="K359" s="178">
        <f t="shared" si="228"/>
        <v>-330777.34611597797</v>
      </c>
      <c r="L359" s="178">
        <f t="shared" si="228"/>
        <v>3629208.7342254762</v>
      </c>
      <c r="M359" s="178">
        <f t="shared" si="228"/>
        <v>4014388.4057419607</v>
      </c>
      <c r="N359" s="178">
        <f t="shared" si="228"/>
        <v>3994541.7127107875</v>
      </c>
      <c r="O359" s="178">
        <f t="shared" si="228"/>
        <v>4349650.4790569115</v>
      </c>
      <c r="P359" s="178">
        <f t="shared" si="228"/>
        <v>163452.43666664697</v>
      </c>
      <c r="Q359" s="178">
        <f t="shared" si="228"/>
        <v>4936122.2219041437</v>
      </c>
      <c r="R359" s="178">
        <f t="shared" si="228"/>
        <v>4612322.3737194054</v>
      </c>
      <c r="S359" s="178">
        <f t="shared" si="228"/>
        <v>4955775.6558560487</v>
      </c>
      <c r="T359" s="178">
        <f t="shared" si="228"/>
        <v>4883568.9476167131</v>
      </c>
      <c r="U359" s="178">
        <f t="shared" si="228"/>
        <v>664374.55146915698</v>
      </c>
      <c r="V359" s="178">
        <f t="shared" si="228"/>
        <v>5791689.6698536929</v>
      </c>
      <c r="W359" s="178">
        <f t="shared" si="228"/>
        <v>6162739.9781368468</v>
      </c>
      <c r="X359" s="178">
        <f t="shared" si="228"/>
        <v>5277301.408345907</v>
      </c>
      <c r="Y359" s="178">
        <f t="shared" si="228"/>
        <v>5734582.4922633162</v>
      </c>
      <c r="Z359" s="178">
        <f t="shared" si="228"/>
        <v>691622.78826378193</v>
      </c>
      <c r="AA359" s="178">
        <f t="shared" si="228"/>
        <v>6200617.4202396842</v>
      </c>
      <c r="AB359" s="178">
        <f t="shared" si="228"/>
        <v>6184246.4545591222</v>
      </c>
      <c r="AC359" s="178">
        <f t="shared" si="228"/>
        <v>6536717.0949724736</v>
      </c>
      <c r="AD359" s="178">
        <f t="shared" si="228"/>
        <v>6438013.4153949162</v>
      </c>
      <c r="AE359" s="178">
        <f t="shared" si="228"/>
        <v>1354560.4316197848</v>
      </c>
      <c r="AF359" s="178">
        <f t="shared" si="228"/>
        <v>6775484.1431536945</v>
      </c>
      <c r="AG359" s="178">
        <f t="shared" si="228"/>
        <v>7233441.8104466675</v>
      </c>
      <c r="AH359" s="178">
        <f t="shared" si="228"/>
        <v>7124512.0223822845</v>
      </c>
      <c r="AI359" s="178">
        <f t="shared" si="228"/>
        <v>7599890.1599649442</v>
      </c>
      <c r="AJ359" s="178">
        <f t="shared" si="228"/>
        <v>1415275.5017550597</v>
      </c>
      <c r="AK359" s="178">
        <f t="shared" si="228"/>
        <v>7978891.6701383656</v>
      </c>
      <c r="AL359" s="178">
        <f t="shared" si="228"/>
        <v>7858655.2033745414</v>
      </c>
      <c r="AM359" s="178">
        <f t="shared" si="228"/>
        <v>9242786.0516102184</v>
      </c>
      <c r="AN359" s="178">
        <f t="shared" si="228"/>
        <v>9489903.8900471553</v>
      </c>
      <c r="AO359" s="178">
        <f t="shared" si="228"/>
        <v>1745736.4033005992</v>
      </c>
      <c r="AP359" s="178">
        <f t="shared" si="228"/>
        <v>8282608.3101454182</v>
      </c>
      <c r="AQ359" s="178">
        <f t="shared" si="228"/>
        <v>8834338.616355259</v>
      </c>
      <c r="AR359" s="178">
        <f t="shared" si="228"/>
        <v>8694858.2995474152</v>
      </c>
      <c r="AS359" s="178">
        <f t="shared" si="228"/>
        <v>9267463.2165828571</v>
      </c>
      <c r="AT359" s="178">
        <f t="shared" si="228"/>
        <v>1792646.0117333112</v>
      </c>
      <c r="AU359" s="166"/>
      <c r="AV359" s="166"/>
      <c r="AW359" s="166"/>
      <c r="AX359" s="166"/>
      <c r="AY359" s="166"/>
      <c r="AZ359" s="166"/>
      <c r="BA359" s="166"/>
      <c r="BB359" s="166"/>
      <c r="BC359" s="166"/>
      <c r="BD359" s="166"/>
      <c r="BE359" s="166"/>
      <c r="BF359" s="166"/>
      <c r="BG359" s="166"/>
      <c r="BH359" s="166"/>
      <c r="BI359" s="166"/>
      <c r="BJ359" s="166"/>
      <c r="BK359" s="166"/>
      <c r="BL359" s="166"/>
      <c r="BM359" s="166"/>
      <c r="BN359" s="166"/>
    </row>
    <row r="360" spans="2:66" ht="14.4" x14ac:dyDescent="0.25">
      <c r="B360" s="844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178"/>
      <c r="P360" s="178"/>
      <c r="Q360" s="178"/>
      <c r="R360" s="178"/>
      <c r="S360" s="178"/>
      <c r="T360" s="178"/>
      <c r="U360" s="178"/>
      <c r="V360" s="178"/>
      <c r="W360" s="178"/>
      <c r="X360" s="178"/>
      <c r="Y360" s="178"/>
      <c r="Z360" s="178"/>
      <c r="AA360" s="178"/>
      <c r="AB360" s="178"/>
      <c r="AC360" s="178"/>
      <c r="AD360" s="178"/>
      <c r="AE360" s="178"/>
      <c r="AF360" s="178"/>
      <c r="AG360" s="178"/>
      <c r="AH360" s="178"/>
      <c r="AI360" s="178"/>
      <c r="AJ360" s="178"/>
      <c r="AK360" s="178"/>
      <c r="AL360" s="178"/>
      <c r="AM360" s="178"/>
      <c r="AN360" s="178"/>
      <c r="AO360" s="178"/>
      <c r="AP360" s="178"/>
      <c r="AQ360" s="178"/>
      <c r="AR360" s="178"/>
      <c r="AS360" s="178"/>
      <c r="AT360" s="178"/>
      <c r="AU360" s="166"/>
      <c r="AV360" s="166"/>
      <c r="AW360" s="166"/>
      <c r="AX360" s="166"/>
      <c r="AY360" s="166"/>
      <c r="AZ360" s="166"/>
      <c r="BA360" s="166"/>
      <c r="BB360" s="166"/>
      <c r="BC360" s="166"/>
      <c r="BD360" s="166"/>
      <c r="BE360" s="166"/>
      <c r="BF360" s="166"/>
      <c r="BG360" s="166"/>
      <c r="BH360" s="166"/>
      <c r="BI360" s="166"/>
      <c r="BJ360" s="166"/>
      <c r="BK360" s="166"/>
      <c r="BL360" s="166"/>
      <c r="BM360" s="166"/>
      <c r="BN360" s="166"/>
    </row>
    <row r="361" spans="2:66" ht="14.4" x14ac:dyDescent="0.25">
      <c r="B361" s="844" t="s">
        <v>489</v>
      </c>
      <c r="C361" s="908"/>
      <c r="D361" s="908"/>
      <c r="E361" s="908"/>
      <c r="F361" s="908"/>
      <c r="G361" s="909">
        <f>ABS(G330)/ABS(G325)</f>
        <v>2.2278342191931535</v>
      </c>
      <c r="H361" s="909">
        <f t="shared" ref="H361:AT361" si="229">ABS(H330)/ABS(H325)</f>
        <v>2.6395049650189559</v>
      </c>
      <c r="I361" s="909">
        <f t="shared" si="229"/>
        <v>2.9339346245377675</v>
      </c>
      <c r="J361" s="909">
        <f t="shared" si="229"/>
        <v>2.8986587513657005</v>
      </c>
      <c r="K361" s="909">
        <f t="shared" si="229"/>
        <v>1.3315089646357632</v>
      </c>
      <c r="L361" s="909">
        <f t="shared" si="229"/>
        <v>2.9367074043922772</v>
      </c>
      <c r="M361" s="909">
        <f t="shared" si="229"/>
        <v>3.0115960544256999</v>
      </c>
      <c r="N361" s="909">
        <f t="shared" si="229"/>
        <v>2.9591420374529886</v>
      </c>
      <c r="O361" s="909">
        <f t="shared" si="229"/>
        <v>3.0191001588600197</v>
      </c>
      <c r="P361" s="909">
        <f t="shared" si="229"/>
        <v>1.3450124911651207</v>
      </c>
      <c r="Q361" s="909">
        <f t="shared" si="229"/>
        <v>3.0262007941149491</v>
      </c>
      <c r="R361" s="909">
        <f t="shared" si="229"/>
        <v>2.9730245583458808</v>
      </c>
      <c r="S361" s="909">
        <f t="shared" si="229"/>
        <v>3.0200255317758296</v>
      </c>
      <c r="T361" s="909">
        <f t="shared" si="229"/>
        <v>2.9542232643130744</v>
      </c>
      <c r="U361" s="909">
        <f t="shared" si="229"/>
        <v>1.377738160559417</v>
      </c>
      <c r="V361" s="909">
        <f t="shared" si="229"/>
        <v>2.935396809737528</v>
      </c>
      <c r="W361" s="909">
        <f t="shared" si="229"/>
        <v>2.9816616034228964</v>
      </c>
      <c r="X361" s="909">
        <f t="shared" si="229"/>
        <v>2.9324492053245663</v>
      </c>
      <c r="Y361" s="909">
        <f t="shared" si="229"/>
        <v>2.994765529587974</v>
      </c>
      <c r="Z361" s="909">
        <f t="shared" si="229"/>
        <v>1.3690915080905273</v>
      </c>
      <c r="AA361" s="909">
        <f t="shared" si="229"/>
        <v>3.0073715624685633</v>
      </c>
      <c r="AB361" s="909">
        <f t="shared" si="229"/>
        <v>2.9571268599835134</v>
      </c>
      <c r="AC361" s="909">
        <f t="shared" si="229"/>
        <v>3.0022606895909294</v>
      </c>
      <c r="AD361" s="909">
        <f t="shared" si="229"/>
        <v>2.9350963777253369</v>
      </c>
      <c r="AE361" s="909">
        <f t="shared" si="229"/>
        <v>1.4027012091604358</v>
      </c>
      <c r="AF361" s="909">
        <f t="shared" si="229"/>
        <v>2.913088624289923</v>
      </c>
      <c r="AG361" s="909">
        <f t="shared" si="229"/>
        <v>2.9574067283740164</v>
      </c>
      <c r="AH361" s="909">
        <f t="shared" si="229"/>
        <v>2.8911054276220813</v>
      </c>
      <c r="AI361" s="909">
        <f t="shared" si="229"/>
        <v>2.9350177480784647</v>
      </c>
      <c r="AJ361" s="909">
        <f t="shared" si="229"/>
        <v>1.3676325988310962</v>
      </c>
      <c r="AK361" s="909">
        <f t="shared" si="229"/>
        <v>2.9126565709281174</v>
      </c>
      <c r="AL361" s="909">
        <f t="shared" si="229"/>
        <v>2.8472199748312015</v>
      </c>
      <c r="AM361" s="909">
        <f t="shared" si="229"/>
        <v>2.8903250378718126</v>
      </c>
      <c r="AN361" s="909">
        <f t="shared" si="229"/>
        <v>2.8253213316242292</v>
      </c>
      <c r="AO361" s="909">
        <f t="shared" si="229"/>
        <v>1.384355722950136</v>
      </c>
      <c r="AP361" s="909">
        <f t="shared" si="229"/>
        <v>2.803454470069493</v>
      </c>
      <c r="AQ361" s="909">
        <f t="shared" si="229"/>
        <v>2.8457582194429127</v>
      </c>
      <c r="AR361" s="909">
        <f t="shared" si="229"/>
        <v>2.7816211722963189</v>
      </c>
      <c r="AS361" s="909">
        <f t="shared" si="229"/>
        <v>2.8235265661448321</v>
      </c>
      <c r="AT361" s="909">
        <f t="shared" si="229"/>
        <v>1.3489596349904265</v>
      </c>
      <c r="AU361" s="166"/>
      <c r="AV361" s="166"/>
      <c r="AW361" s="166"/>
      <c r="AX361" s="166"/>
      <c r="AY361" s="166"/>
      <c r="AZ361" s="166"/>
      <c r="BA361" s="166"/>
      <c r="BB361" s="166"/>
      <c r="BC361" s="166"/>
      <c r="BD361" s="166"/>
      <c r="BE361" s="166"/>
      <c r="BF361" s="166"/>
      <c r="BG361" s="166"/>
      <c r="BH361" s="166"/>
      <c r="BI361" s="166"/>
      <c r="BJ361" s="166"/>
      <c r="BK361" s="166"/>
      <c r="BL361" s="166"/>
      <c r="BM361" s="166"/>
      <c r="BN361" s="166"/>
    </row>
    <row r="362" spans="2:66" ht="14.4" x14ac:dyDescent="0.25">
      <c r="B362" s="844" t="s">
        <v>490</v>
      </c>
      <c r="C362" s="908"/>
      <c r="D362" s="908"/>
      <c r="E362" s="908"/>
      <c r="F362" s="908"/>
      <c r="G362" s="909">
        <f>G361-1</f>
        <v>1.2278342191931535</v>
      </c>
      <c r="H362" s="909">
        <f t="shared" ref="H362" si="230">H361-1</f>
        <v>1.6395049650189559</v>
      </c>
      <c r="I362" s="909">
        <f t="shared" ref="I362" si="231">I361-1</f>
        <v>1.9339346245377675</v>
      </c>
      <c r="J362" s="909">
        <f t="shared" ref="J362" si="232">J361-1</f>
        <v>1.8986587513657005</v>
      </c>
      <c r="K362" s="909">
        <f t="shared" ref="K362" si="233">K361-1</f>
        <v>0.33150896463576318</v>
      </c>
      <c r="L362" s="909">
        <f t="shared" ref="L362" si="234">L361-1</f>
        <v>1.9367074043922772</v>
      </c>
      <c r="M362" s="909">
        <f t="shared" ref="M362" si="235">M361-1</f>
        <v>2.0115960544256999</v>
      </c>
      <c r="N362" s="909">
        <f t="shared" ref="N362" si="236">N361-1</f>
        <v>1.9591420374529886</v>
      </c>
      <c r="O362" s="909">
        <f t="shared" ref="O362" si="237">O361-1</f>
        <v>2.0191001588600197</v>
      </c>
      <c r="P362" s="909">
        <f t="shared" ref="P362" si="238">P361-1</f>
        <v>0.34501249116512067</v>
      </c>
      <c r="Q362" s="909">
        <f t="shared" ref="Q362" si="239">Q361-1</f>
        <v>2.0262007941149491</v>
      </c>
      <c r="R362" s="909">
        <f t="shared" ref="R362" si="240">R361-1</f>
        <v>1.9730245583458808</v>
      </c>
      <c r="S362" s="909">
        <f t="shared" ref="S362" si="241">S361-1</f>
        <v>2.0200255317758296</v>
      </c>
      <c r="T362" s="909">
        <f t="shared" ref="T362" si="242">T361-1</f>
        <v>1.9542232643130744</v>
      </c>
      <c r="U362" s="909">
        <f t="shared" ref="U362" si="243">U361-1</f>
        <v>0.377738160559417</v>
      </c>
      <c r="V362" s="909">
        <f t="shared" ref="V362" si="244">V361-1</f>
        <v>1.935396809737528</v>
      </c>
      <c r="W362" s="909">
        <f t="shared" ref="W362" si="245">W361-1</f>
        <v>1.9816616034228964</v>
      </c>
      <c r="X362" s="909">
        <f t="shared" ref="X362" si="246">X361-1</f>
        <v>1.9324492053245663</v>
      </c>
      <c r="Y362" s="909">
        <f t="shared" ref="Y362" si="247">Y361-1</f>
        <v>1.994765529587974</v>
      </c>
      <c r="Z362" s="909">
        <f t="shared" ref="Z362" si="248">Z361-1</f>
        <v>0.36909150809052726</v>
      </c>
      <c r="AA362" s="909">
        <f t="shared" ref="AA362" si="249">AA361-1</f>
        <v>2.0073715624685633</v>
      </c>
      <c r="AB362" s="909">
        <f t="shared" ref="AB362" si="250">AB361-1</f>
        <v>1.9571268599835134</v>
      </c>
      <c r="AC362" s="909">
        <f t="shared" ref="AC362" si="251">AC361-1</f>
        <v>2.0022606895909294</v>
      </c>
      <c r="AD362" s="909">
        <f t="shared" ref="AD362" si="252">AD361-1</f>
        <v>1.9350963777253369</v>
      </c>
      <c r="AE362" s="909">
        <f t="shared" ref="AE362" si="253">AE361-1</f>
        <v>0.40270120916043584</v>
      </c>
      <c r="AF362" s="909">
        <f t="shared" ref="AF362" si="254">AF361-1</f>
        <v>1.913088624289923</v>
      </c>
      <c r="AG362" s="909">
        <f t="shared" ref="AG362" si="255">AG361-1</f>
        <v>1.9574067283740164</v>
      </c>
      <c r="AH362" s="909">
        <f t="shared" ref="AH362" si="256">AH361-1</f>
        <v>1.8911054276220813</v>
      </c>
      <c r="AI362" s="909">
        <f t="shared" ref="AI362" si="257">AI361-1</f>
        <v>1.9350177480784647</v>
      </c>
      <c r="AJ362" s="909">
        <f t="shared" ref="AJ362" si="258">AJ361-1</f>
        <v>0.36763259883109622</v>
      </c>
      <c r="AK362" s="909">
        <f t="shared" ref="AK362" si="259">AK361-1</f>
        <v>1.9126565709281174</v>
      </c>
      <c r="AL362" s="909">
        <f t="shared" ref="AL362" si="260">AL361-1</f>
        <v>1.8472199748312015</v>
      </c>
      <c r="AM362" s="909">
        <f t="shared" ref="AM362" si="261">AM361-1</f>
        <v>1.8903250378718126</v>
      </c>
      <c r="AN362" s="909">
        <f t="shared" ref="AN362" si="262">AN361-1</f>
        <v>1.8253213316242292</v>
      </c>
      <c r="AO362" s="909">
        <f t="shared" ref="AO362" si="263">AO361-1</f>
        <v>0.38435572295013598</v>
      </c>
      <c r="AP362" s="909">
        <f t="shared" ref="AP362" si="264">AP361-1</f>
        <v>1.803454470069493</v>
      </c>
      <c r="AQ362" s="909">
        <f t="shared" ref="AQ362" si="265">AQ361-1</f>
        <v>1.8457582194429127</v>
      </c>
      <c r="AR362" s="909">
        <f t="shared" ref="AR362" si="266">AR361-1</f>
        <v>1.7816211722963189</v>
      </c>
      <c r="AS362" s="909">
        <f t="shared" ref="AS362" si="267">AS361-1</f>
        <v>1.8235265661448321</v>
      </c>
      <c r="AT362" s="909">
        <f t="shared" ref="AT362" si="268">AT361-1</f>
        <v>0.34895963499042648</v>
      </c>
      <c r="AU362" s="166"/>
      <c r="AV362" s="166"/>
      <c r="AW362" s="166"/>
      <c r="AX362" s="166"/>
      <c r="AY362" s="166"/>
      <c r="AZ362" s="166"/>
      <c r="BA362" s="166"/>
      <c r="BB362" s="166"/>
      <c r="BC362" s="166"/>
      <c r="BD362" s="166"/>
      <c r="BE362" s="166"/>
      <c r="BF362" s="166"/>
      <c r="BG362" s="166"/>
      <c r="BH362" s="166"/>
      <c r="BI362" s="166"/>
      <c r="BJ362" s="166"/>
      <c r="BK362" s="166"/>
      <c r="BL362" s="166"/>
      <c r="BM362" s="166"/>
      <c r="BN362" s="166"/>
    </row>
    <row r="363" spans="2:66" ht="14.4" x14ac:dyDescent="0.25">
      <c r="B363" s="844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  <c r="O363" s="178"/>
      <c r="P363" s="178"/>
      <c r="Q363" s="178"/>
      <c r="R363" s="178"/>
      <c r="S363" s="178"/>
      <c r="T363" s="178"/>
      <c r="U363" s="178"/>
      <c r="V363" s="178"/>
      <c r="W363" s="178"/>
      <c r="X363" s="178"/>
      <c r="Y363" s="178"/>
      <c r="Z363" s="178"/>
      <c r="AA363" s="178"/>
      <c r="AB363" s="178"/>
      <c r="AC363" s="178"/>
      <c r="AD363" s="178"/>
      <c r="AE363" s="178"/>
      <c r="AF363" s="178"/>
      <c r="AG363" s="178"/>
      <c r="AH363" s="178"/>
      <c r="AI363" s="178"/>
      <c r="AJ363" s="178"/>
      <c r="AK363" s="178"/>
      <c r="AL363" s="178"/>
      <c r="AM363" s="178"/>
      <c r="AN363" s="178"/>
      <c r="AO363" s="178"/>
      <c r="AP363" s="178"/>
      <c r="AQ363" s="178"/>
      <c r="AR363" s="178"/>
      <c r="AS363" s="178"/>
      <c r="AT363" s="178"/>
      <c r="AU363" s="166"/>
      <c r="AV363" s="166"/>
      <c r="AW363" s="166"/>
      <c r="AX363" s="166"/>
      <c r="AY363" s="166"/>
      <c r="AZ363" s="166"/>
      <c r="BA363" s="166"/>
      <c r="BB363" s="166"/>
      <c r="BC363" s="166"/>
      <c r="BD363" s="166"/>
      <c r="BE363" s="166"/>
      <c r="BF363" s="166"/>
      <c r="BG363" s="166"/>
      <c r="BH363" s="166"/>
      <c r="BI363" s="166"/>
      <c r="BJ363" s="166"/>
      <c r="BK363" s="166"/>
      <c r="BL363" s="166"/>
      <c r="BM363" s="166"/>
      <c r="BN363" s="166"/>
    </row>
    <row r="364" spans="2:66" ht="14.4" x14ac:dyDescent="0.25">
      <c r="B364" s="907" t="s">
        <v>404</v>
      </c>
      <c r="C364" s="268">
        <f>C355/((1+$C$26)^C296)</f>
        <v>-5332198.1684703697</v>
      </c>
      <c r="D364" s="268">
        <f>D355/((1+$C$26)^D296)</f>
        <v>-17406862.985068977</v>
      </c>
      <c r="E364" s="268">
        <f t="shared" ref="E364:AT364" si="269">E355/((1+$C$26)^E296)</f>
        <v>-38505582.056141764</v>
      </c>
      <c r="F364" s="268">
        <f t="shared" si="269"/>
        <v>-13747414.037379377</v>
      </c>
      <c r="G364" s="268">
        <f t="shared" si="269"/>
        <v>1925953.961632363</v>
      </c>
      <c r="H364" s="268">
        <f t="shared" si="269"/>
        <v>2283420.7968166741</v>
      </c>
      <c r="I364" s="268">
        <f t="shared" si="269"/>
        <v>2209930.9007126591</v>
      </c>
      <c r="J364" s="268">
        <f t="shared" si="269"/>
        <v>1963388.6411615082</v>
      </c>
      <c r="K364" s="268">
        <f t="shared" si="269"/>
        <v>856067.94115704834</v>
      </c>
      <c r="L364" s="268">
        <f t="shared" si="269"/>
        <v>1606026.6458042196</v>
      </c>
      <c r="M364" s="268">
        <f t="shared" si="269"/>
        <v>1495017.6564672871</v>
      </c>
      <c r="N364" s="268">
        <f t="shared" si="269"/>
        <v>1319661.3836566412</v>
      </c>
      <c r="O364" s="268">
        <f t="shared" si="269"/>
        <v>1221093.626522016</v>
      </c>
      <c r="P364" s="268">
        <f t="shared" si="269"/>
        <v>247384.80295999351</v>
      </c>
      <c r="Q364" s="268">
        <f t="shared" si="269"/>
        <v>684687.78485346981</v>
      </c>
      <c r="R364" s="268">
        <f t="shared" si="269"/>
        <v>884117.24337381322</v>
      </c>
      <c r="S364" s="268">
        <f t="shared" si="269"/>
        <v>813992.91672920866</v>
      </c>
      <c r="T364" s="268">
        <f t="shared" si="269"/>
        <v>714470.69127288635</v>
      </c>
      <c r="U364" s="268">
        <f t="shared" si="269"/>
        <v>71948.204980156443</v>
      </c>
      <c r="V364" s="268">
        <f t="shared" si="269"/>
        <v>-164995.62667626183</v>
      </c>
      <c r="W364" s="268">
        <f t="shared" si="269"/>
        <v>216658.93540813233</v>
      </c>
      <c r="X364" s="268">
        <f t="shared" si="269"/>
        <v>476664.10774025659</v>
      </c>
      <c r="Y364" s="268">
        <f t="shared" si="269"/>
        <v>442027.54949642922</v>
      </c>
      <c r="Z364" s="268">
        <f t="shared" si="269"/>
        <v>194025.78810513444</v>
      </c>
      <c r="AA364" s="268">
        <f t="shared" si="269"/>
        <v>272464.87051454338</v>
      </c>
      <c r="AB364" s="268">
        <f t="shared" si="269"/>
        <v>223708.8244322775</v>
      </c>
      <c r="AC364" s="268">
        <f t="shared" si="269"/>
        <v>295858.48859105166</v>
      </c>
      <c r="AD364" s="268">
        <f t="shared" si="269"/>
        <v>259455.05025537923</v>
      </c>
      <c r="AE364" s="268">
        <f t="shared" si="269"/>
        <v>121742.43071103163</v>
      </c>
      <c r="AF364" s="268">
        <f t="shared" si="269"/>
        <v>209528.22926074921</v>
      </c>
      <c r="AG364" s="268">
        <f t="shared" si="269"/>
        <v>193033.22452499045</v>
      </c>
      <c r="AH364" s="268">
        <f t="shared" si="269"/>
        <v>169223.98872535463</v>
      </c>
      <c r="AI364" s="268">
        <f t="shared" si="269"/>
        <v>155942.20452521049</v>
      </c>
      <c r="AJ364" s="268">
        <f t="shared" si="269"/>
        <v>66776.145784201304</v>
      </c>
      <c r="AK364" s="268">
        <f t="shared" si="269"/>
        <v>125988.2868217185</v>
      </c>
      <c r="AL364" s="268">
        <f t="shared" si="269"/>
        <v>36965.206555295546</v>
      </c>
      <c r="AM364" s="268">
        <f t="shared" si="269"/>
        <v>-55810.182539493326</v>
      </c>
      <c r="AN364" s="268">
        <f t="shared" si="269"/>
        <v>33781.373791465267</v>
      </c>
      <c r="AO364" s="268">
        <f t="shared" si="269"/>
        <v>41778.164274158997</v>
      </c>
      <c r="AP364" s="268">
        <f t="shared" si="269"/>
        <v>73131.461593793036</v>
      </c>
      <c r="AQ364" s="268">
        <f t="shared" si="269"/>
        <v>67418.969996207961</v>
      </c>
      <c r="AR364" s="268">
        <f t="shared" si="269"/>
        <v>59058.564433647218</v>
      </c>
      <c r="AS364" s="268">
        <f t="shared" si="269"/>
        <v>54459.414843880011</v>
      </c>
      <c r="AT364" s="268">
        <f t="shared" si="269"/>
        <v>197507.84435950898</v>
      </c>
      <c r="AU364" s="166"/>
      <c r="AV364" s="166"/>
      <c r="AW364" s="166"/>
      <c r="AX364" s="166"/>
      <c r="AY364" s="166"/>
      <c r="AZ364" s="166"/>
      <c r="BA364" s="166"/>
      <c r="BB364" s="166"/>
      <c r="BC364" s="166"/>
      <c r="BD364" s="166"/>
      <c r="BE364" s="166"/>
      <c r="BF364" s="166"/>
      <c r="BG364" s="166"/>
      <c r="BH364" s="166"/>
      <c r="BI364" s="166"/>
      <c r="BJ364" s="166"/>
      <c r="BK364" s="166"/>
      <c r="BL364" s="166"/>
      <c r="BM364" s="166"/>
      <c r="BN364" s="166"/>
    </row>
    <row r="365" spans="2:66" ht="14.4" x14ac:dyDescent="0.25">
      <c r="B365" s="907" t="s">
        <v>403</v>
      </c>
      <c r="C365" s="824">
        <f>SUM(C364)</f>
        <v>-5332198.1684703697</v>
      </c>
      <c r="D365" s="824">
        <f>SUM(C364:D364)</f>
        <v>-22739061.153539345</v>
      </c>
      <c r="E365" s="824">
        <f>SUM(C364:E364)</f>
        <v>-61244643.209681109</v>
      </c>
      <c r="F365" s="824">
        <f>SUM(C364:F364)</f>
        <v>-74992057.247060478</v>
      </c>
      <c r="G365" s="824">
        <f>SUM(C364:G364)</f>
        <v>-73066103.285428122</v>
      </c>
      <c r="H365" s="824">
        <f>SUM(C364:H364)</f>
        <v>-70782682.488611445</v>
      </c>
      <c r="I365" s="824">
        <f>SUM(C364:I364)</f>
        <v>-68572751.587898791</v>
      </c>
      <c r="J365" s="824">
        <f>SUM(C364:J364)</f>
        <v>-66609362.946737282</v>
      </c>
      <c r="K365" s="824">
        <f>SUM(C364:K364)</f>
        <v>-65753295.005580232</v>
      </c>
      <c r="L365" s="824">
        <f>SUM(C364:L364)</f>
        <v>-64147268.359776013</v>
      </c>
      <c r="M365" s="824">
        <f>SUM(C364:M364)</f>
        <v>-62652250.703308724</v>
      </c>
      <c r="N365" s="824">
        <f>SUM(C364:N364)</f>
        <v>-61332589.319652081</v>
      </c>
      <c r="O365" s="824">
        <f>SUM(C364:O364)</f>
        <v>-60111495.693130061</v>
      </c>
      <c r="P365" s="824">
        <f>SUM(C364:P364)</f>
        <v>-59864110.890170068</v>
      </c>
      <c r="Q365" s="824">
        <f>SUM(C364:Q364)</f>
        <v>-59179423.105316594</v>
      </c>
      <c r="R365" s="824">
        <f>SUM(C364:R364)</f>
        <v>-58295305.861942783</v>
      </c>
      <c r="S365" s="824">
        <f>SUM(C364:S364)</f>
        <v>-57481312.945213571</v>
      </c>
      <c r="T365" s="824">
        <f>SUM(C364:T364)</f>
        <v>-56766842.253940687</v>
      </c>
      <c r="U365" s="824">
        <f>SUM(C364:U364)</f>
        <v>-56694894.048960529</v>
      </c>
      <c r="V365" s="824">
        <f>SUM(C364:V364)</f>
        <v>-56859889.675636791</v>
      </c>
      <c r="W365" s="824">
        <f>SUM(C364:W364)</f>
        <v>-56643230.74022866</v>
      </c>
      <c r="X365" s="824">
        <f>SUM(C364:X364)</f>
        <v>-56166566.632488407</v>
      </c>
      <c r="Y365" s="824">
        <f>SUM(C364:Y364)</f>
        <v>-55724539.08299198</v>
      </c>
      <c r="Z365" s="824">
        <f>SUM(C364:Z364)</f>
        <v>-55530513.294886842</v>
      </c>
      <c r="AA365" s="824">
        <f>SUM(C364:AA364)</f>
        <v>-55258048.424372301</v>
      </c>
      <c r="AB365" s="824">
        <f>SUM(C364:AB364)</f>
        <v>-55034339.599940024</v>
      </c>
      <c r="AC365" s="824">
        <f>SUM(C364:AC364)</f>
        <v>-54738481.111348972</v>
      </c>
      <c r="AD365" s="824">
        <f>SUM(C364:AD364)</f>
        <v>-54479026.061093591</v>
      </c>
      <c r="AE365" s="824">
        <f>SUM(C364:AE364)</f>
        <v>-54357283.63038256</v>
      </c>
      <c r="AF365" s="824">
        <f>SUM(C364:AF364)</f>
        <v>-54147755.40112181</v>
      </c>
      <c r="AG365" s="824">
        <f>SUM(C364:AG364)</f>
        <v>-53954722.17659682</v>
      </c>
      <c r="AH365" s="824">
        <f>SUM(C364:AH364)</f>
        <v>-53785498.187871464</v>
      </c>
      <c r="AI365" s="824">
        <f>SUM(C364:AI364)</f>
        <v>-53629555.983346254</v>
      </c>
      <c r="AJ365" s="824">
        <f>SUM(C364:AJ364)</f>
        <v>-53562779.837562054</v>
      </c>
      <c r="AK365" s="824">
        <f>SUM(C364:AK364)</f>
        <v>-53436791.550740339</v>
      </c>
      <c r="AL365" s="824">
        <f>SUM(C364:AL364)</f>
        <v>-53399826.344185047</v>
      </c>
      <c r="AM365" s="824">
        <f>SUM(C364:AM364)</f>
        <v>-53455636.52672454</v>
      </c>
      <c r="AN365" s="824">
        <f>SUM(C364:AN364)</f>
        <v>-53421855.152933076</v>
      </c>
      <c r="AO365" s="824">
        <f>SUM(C364:AO364)</f>
        <v>-53380076.98865892</v>
      </c>
      <c r="AP365" s="824">
        <f>SUM(C364:AP364)</f>
        <v>-53306945.527065128</v>
      </c>
      <c r="AQ365" s="824">
        <f>SUM(C364:AQ364)</f>
        <v>-53239526.557068922</v>
      </c>
      <c r="AR365" s="824">
        <f>SUM(C364:AR364)</f>
        <v>-53180467.992635272</v>
      </c>
      <c r="AS365" s="824">
        <f>SUM(C364:AS364)</f>
        <v>-53126008.577791393</v>
      </c>
      <c r="AT365" s="824">
        <f>SUM(C364:AT364)</f>
        <v>-52928500.733431883</v>
      </c>
      <c r="AU365" s="166"/>
      <c r="AV365" s="166"/>
      <c r="AW365" s="166"/>
      <c r="AX365" s="166"/>
      <c r="AY365" s="166"/>
      <c r="AZ365" s="166"/>
      <c r="BA365" s="166"/>
      <c r="BB365" s="166"/>
      <c r="BC365" s="166"/>
      <c r="BD365" s="166"/>
      <c r="BE365" s="166"/>
      <c r="BF365" s="166"/>
      <c r="BG365" s="166"/>
      <c r="BH365" s="166"/>
      <c r="BI365" s="166"/>
      <c r="BJ365" s="166"/>
      <c r="BK365" s="166"/>
      <c r="BL365" s="166"/>
      <c r="BM365" s="166"/>
      <c r="BN365" s="166"/>
    </row>
    <row r="366" spans="2:66" x14ac:dyDescent="0.25">
      <c r="AU366" s="166"/>
      <c r="AV366" s="166"/>
      <c r="AW366" s="166"/>
      <c r="AX366" s="166"/>
      <c r="AY366" s="166"/>
      <c r="AZ366" s="166"/>
      <c r="BA366" s="166"/>
      <c r="BB366" s="166"/>
      <c r="BC366" s="166"/>
      <c r="BD366" s="166"/>
      <c r="BE366" s="166"/>
      <c r="BF366" s="166"/>
      <c r="BG366" s="166"/>
      <c r="BH366" s="166"/>
      <c r="BI366" s="166"/>
      <c r="BJ366" s="166"/>
      <c r="BK366" s="166"/>
      <c r="BL366" s="166"/>
      <c r="BM366" s="166"/>
      <c r="BN366" s="166"/>
    </row>
    <row r="367" spans="2:66" x14ac:dyDescent="0.25">
      <c r="AU367" s="166"/>
      <c r="AV367" s="166"/>
      <c r="AW367" s="166"/>
      <c r="AX367" s="166"/>
      <c r="AY367" s="166"/>
      <c r="AZ367" s="166"/>
      <c r="BA367" s="166"/>
      <c r="BB367" s="166"/>
      <c r="BC367" s="166"/>
      <c r="BD367" s="166"/>
      <c r="BE367" s="166"/>
      <c r="BF367" s="166"/>
      <c r="BG367" s="166"/>
      <c r="BH367" s="166"/>
      <c r="BI367" s="166"/>
      <c r="BJ367" s="166"/>
      <c r="BK367" s="166"/>
      <c r="BL367" s="166"/>
      <c r="BM367" s="166"/>
      <c r="BN367" s="166"/>
    </row>
    <row r="368" spans="2:66" s="306" customFormat="1" ht="14.4" x14ac:dyDescent="0.3">
      <c r="B368" s="759" t="s">
        <v>533</v>
      </c>
      <c r="C368" s="759"/>
      <c r="D368" s="759"/>
      <c r="E368" s="759"/>
      <c r="F368" s="759"/>
      <c r="G368" s="759"/>
      <c r="H368" s="759"/>
      <c r="I368" s="759"/>
      <c r="J368" s="759"/>
      <c r="K368" s="759"/>
      <c r="L368" s="759"/>
      <c r="M368" s="759"/>
      <c r="N368" s="759"/>
      <c r="O368" s="759"/>
      <c r="P368" s="759"/>
      <c r="Q368" s="759"/>
      <c r="R368" s="759"/>
      <c r="S368" s="759"/>
      <c r="T368" s="759"/>
      <c r="U368" s="759"/>
      <c r="V368" s="759"/>
      <c r="W368" s="759"/>
      <c r="X368" s="759"/>
      <c r="Y368" s="759"/>
      <c r="Z368" s="759"/>
      <c r="AA368" s="759"/>
      <c r="AB368" s="759"/>
      <c r="AC368" s="759"/>
      <c r="AD368" s="759"/>
      <c r="AE368" s="759"/>
      <c r="AF368" s="759"/>
      <c r="AG368" s="759"/>
      <c r="AH368" s="759"/>
      <c r="AI368" s="759"/>
      <c r="AJ368" s="759"/>
      <c r="AK368" s="759"/>
      <c r="AL368" s="759"/>
      <c r="AM368" s="759"/>
      <c r="AN368" s="759"/>
      <c r="AO368" s="759"/>
      <c r="AP368" s="759"/>
      <c r="AQ368" s="759"/>
      <c r="AR368" s="759"/>
      <c r="AS368" s="759"/>
      <c r="AT368" s="814"/>
    </row>
    <row r="369" spans="2:57" x14ac:dyDescent="0.25"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177"/>
      <c r="AE369" s="177"/>
      <c r="AF369" s="177"/>
      <c r="AG369" s="177"/>
      <c r="AH369" s="177"/>
      <c r="AI369" s="177"/>
      <c r="AJ369" s="13"/>
      <c r="AK369" s="38"/>
      <c r="AL369" s="38"/>
      <c r="AM369" s="38"/>
      <c r="AN369" s="38"/>
      <c r="AO369" s="38"/>
      <c r="AP369" s="38"/>
      <c r="AQ369" s="38"/>
      <c r="AR369" s="38"/>
      <c r="AS369" s="38"/>
      <c r="AT369" s="13"/>
      <c r="AU369" s="166"/>
      <c r="AV369" s="166"/>
      <c r="AW369" s="166"/>
      <c r="AX369" s="166"/>
      <c r="AY369" s="166"/>
      <c r="AZ369" s="166"/>
      <c r="BA369" s="166"/>
      <c r="BB369" s="166"/>
      <c r="BC369" s="166"/>
      <c r="BD369" s="166"/>
      <c r="BE369" s="166"/>
    </row>
    <row r="370" spans="2:57" ht="14.4" x14ac:dyDescent="0.3">
      <c r="B370" s="813" t="s">
        <v>378</v>
      </c>
      <c r="C370" s="179">
        <v>2015</v>
      </c>
      <c r="D370" s="179">
        <v>2016</v>
      </c>
      <c r="E370" s="179">
        <v>2017</v>
      </c>
      <c r="F370" s="179">
        <v>2018</v>
      </c>
      <c r="G370" s="179">
        <v>2019</v>
      </c>
      <c r="H370" s="179">
        <v>2020</v>
      </c>
      <c r="I370" s="179">
        <v>2021</v>
      </c>
      <c r="J370" s="179">
        <v>2022</v>
      </c>
      <c r="K370" s="179">
        <v>2023</v>
      </c>
      <c r="L370" s="179">
        <v>2024</v>
      </c>
      <c r="M370" s="179">
        <v>2025</v>
      </c>
      <c r="N370" s="179">
        <v>2026</v>
      </c>
      <c r="O370" s="179">
        <v>2027</v>
      </c>
      <c r="P370" s="179">
        <v>2028</v>
      </c>
      <c r="Q370" s="179">
        <v>2029</v>
      </c>
      <c r="R370" s="179">
        <v>2030</v>
      </c>
      <c r="S370" s="179">
        <v>2031</v>
      </c>
      <c r="T370" s="179">
        <v>2032</v>
      </c>
      <c r="U370" s="179">
        <v>2033</v>
      </c>
      <c r="V370" s="179">
        <v>2034</v>
      </c>
      <c r="W370" s="179">
        <v>2035</v>
      </c>
      <c r="X370" s="179">
        <v>2036</v>
      </c>
      <c r="Y370" s="179">
        <v>2037</v>
      </c>
      <c r="Z370" s="179">
        <v>2038</v>
      </c>
      <c r="AA370" s="179">
        <v>2039</v>
      </c>
      <c r="AB370" s="179">
        <v>2040</v>
      </c>
      <c r="AC370" s="179">
        <v>2041</v>
      </c>
      <c r="AD370" s="179">
        <v>2042</v>
      </c>
      <c r="AE370" s="179">
        <v>2043</v>
      </c>
      <c r="AF370" s="179">
        <v>2044</v>
      </c>
      <c r="AG370" s="179">
        <v>2045</v>
      </c>
      <c r="AH370" s="179">
        <v>2046</v>
      </c>
      <c r="AI370" s="179">
        <v>2047</v>
      </c>
      <c r="AJ370" s="179">
        <v>2048</v>
      </c>
      <c r="AK370" s="179">
        <v>2049</v>
      </c>
      <c r="AL370" s="179">
        <v>2050</v>
      </c>
      <c r="AM370" s="179">
        <v>2051</v>
      </c>
      <c r="AN370" s="179">
        <v>2052</v>
      </c>
      <c r="AO370" s="179">
        <v>2053</v>
      </c>
      <c r="AP370" s="179">
        <v>2054</v>
      </c>
      <c r="AQ370" s="179">
        <v>2055</v>
      </c>
      <c r="AR370" s="179">
        <v>2056</v>
      </c>
      <c r="AS370" s="179">
        <v>2057</v>
      </c>
      <c r="AT370" s="179">
        <v>2058</v>
      </c>
      <c r="AU370" s="166"/>
      <c r="AV370" s="166"/>
      <c r="AW370" s="166"/>
      <c r="AX370" s="166"/>
      <c r="AY370" s="166"/>
      <c r="AZ370" s="166"/>
      <c r="BA370" s="166"/>
      <c r="BB370" s="166"/>
      <c r="BC370" s="166"/>
      <c r="BD370" s="166"/>
      <c r="BE370" s="166"/>
    </row>
    <row r="371" spans="2:57" ht="14.4" x14ac:dyDescent="0.3">
      <c r="B371" s="813"/>
      <c r="C371" s="816" t="s">
        <v>134</v>
      </c>
      <c r="D371" s="816" t="s">
        <v>135</v>
      </c>
      <c r="E371" s="816" t="s">
        <v>136</v>
      </c>
      <c r="F371" s="816" t="s">
        <v>137</v>
      </c>
      <c r="G371" s="816" t="s">
        <v>138</v>
      </c>
      <c r="H371" s="816" t="s">
        <v>139</v>
      </c>
      <c r="I371" s="816" t="s">
        <v>140</v>
      </c>
      <c r="J371" s="816" t="s">
        <v>141</v>
      </c>
      <c r="K371" s="816" t="s">
        <v>142</v>
      </c>
      <c r="L371" s="816" t="s">
        <v>143</v>
      </c>
      <c r="M371" s="816" t="s">
        <v>144</v>
      </c>
      <c r="N371" s="816" t="s">
        <v>145</v>
      </c>
      <c r="O371" s="816" t="s">
        <v>146</v>
      </c>
      <c r="P371" s="816" t="s">
        <v>147</v>
      </c>
      <c r="Q371" s="816" t="s">
        <v>148</v>
      </c>
      <c r="R371" s="816" t="s">
        <v>149</v>
      </c>
      <c r="S371" s="816" t="s">
        <v>150</v>
      </c>
      <c r="T371" s="816" t="s">
        <v>151</v>
      </c>
      <c r="U371" s="816" t="s">
        <v>152</v>
      </c>
      <c r="V371" s="816" t="s">
        <v>153</v>
      </c>
      <c r="W371" s="816" t="s">
        <v>154</v>
      </c>
      <c r="X371" s="816" t="s">
        <v>155</v>
      </c>
      <c r="Y371" s="816" t="s">
        <v>156</v>
      </c>
      <c r="Z371" s="816" t="s">
        <v>157</v>
      </c>
      <c r="AA371" s="816" t="s">
        <v>158</v>
      </c>
      <c r="AB371" s="816" t="s">
        <v>159</v>
      </c>
      <c r="AC371" s="816" t="s">
        <v>160</v>
      </c>
      <c r="AD371" s="816" t="s">
        <v>161</v>
      </c>
      <c r="AE371" s="816" t="s">
        <v>162</v>
      </c>
      <c r="AF371" s="816" t="s">
        <v>163</v>
      </c>
      <c r="AG371" s="816" t="s">
        <v>164</v>
      </c>
      <c r="AH371" s="816" t="s">
        <v>165</v>
      </c>
      <c r="AI371" s="816" t="s">
        <v>166</v>
      </c>
      <c r="AJ371" s="816" t="s">
        <v>167</v>
      </c>
      <c r="AK371" s="816" t="s">
        <v>168</v>
      </c>
      <c r="AL371" s="816" t="s">
        <v>169</v>
      </c>
      <c r="AM371" s="816" t="s">
        <v>170</v>
      </c>
      <c r="AN371" s="816" t="s">
        <v>171</v>
      </c>
      <c r="AO371" s="816" t="s">
        <v>172</v>
      </c>
      <c r="AP371" s="816" t="s">
        <v>173</v>
      </c>
      <c r="AQ371" s="816" t="s">
        <v>174</v>
      </c>
      <c r="AR371" s="816" t="s">
        <v>224</v>
      </c>
      <c r="AS371" s="816" t="s">
        <v>225</v>
      </c>
      <c r="AT371" s="816" t="s">
        <v>226</v>
      </c>
      <c r="AU371" s="166"/>
      <c r="AV371" s="166"/>
      <c r="AW371" s="166"/>
      <c r="AX371" s="166"/>
      <c r="AY371" s="166"/>
      <c r="AZ371" s="166"/>
      <c r="BA371" s="166"/>
      <c r="BB371" s="166"/>
      <c r="BC371" s="166"/>
      <c r="BD371" s="166"/>
      <c r="BE371" s="166"/>
    </row>
    <row r="372" spans="2:57" ht="14.4" x14ac:dyDescent="0.3">
      <c r="B372" s="813"/>
      <c r="C372" s="816">
        <v>0</v>
      </c>
      <c r="D372" s="816">
        <v>1</v>
      </c>
      <c r="E372" s="816">
        <v>2</v>
      </c>
      <c r="F372" s="816">
        <v>3</v>
      </c>
      <c r="G372" s="816">
        <v>4</v>
      </c>
      <c r="H372" s="816">
        <v>5</v>
      </c>
      <c r="I372" s="816">
        <v>6</v>
      </c>
      <c r="J372" s="816">
        <v>7</v>
      </c>
      <c r="K372" s="816">
        <v>8</v>
      </c>
      <c r="L372" s="816">
        <v>9</v>
      </c>
      <c r="M372" s="816">
        <v>10</v>
      </c>
      <c r="N372" s="816">
        <v>11</v>
      </c>
      <c r="O372" s="816">
        <v>12</v>
      </c>
      <c r="P372" s="816">
        <v>13</v>
      </c>
      <c r="Q372" s="816">
        <v>14</v>
      </c>
      <c r="R372" s="816">
        <v>15</v>
      </c>
      <c r="S372" s="816">
        <v>16</v>
      </c>
      <c r="T372" s="816">
        <v>17</v>
      </c>
      <c r="U372" s="816">
        <v>18</v>
      </c>
      <c r="V372" s="816">
        <v>19</v>
      </c>
      <c r="W372" s="816">
        <v>20</v>
      </c>
      <c r="X372" s="816">
        <v>21</v>
      </c>
      <c r="Y372" s="816">
        <v>22</v>
      </c>
      <c r="Z372" s="816">
        <v>23</v>
      </c>
      <c r="AA372" s="816">
        <v>24</v>
      </c>
      <c r="AB372" s="816">
        <v>25</v>
      </c>
      <c r="AC372" s="816">
        <v>26</v>
      </c>
      <c r="AD372" s="816">
        <v>27</v>
      </c>
      <c r="AE372" s="816">
        <v>28</v>
      </c>
      <c r="AF372" s="816">
        <v>29</v>
      </c>
      <c r="AG372" s="816">
        <v>30</v>
      </c>
      <c r="AH372" s="816">
        <v>31</v>
      </c>
      <c r="AI372" s="816">
        <v>32</v>
      </c>
      <c r="AJ372" s="816">
        <v>33</v>
      </c>
      <c r="AK372" s="816">
        <v>34</v>
      </c>
      <c r="AL372" s="816">
        <v>35</v>
      </c>
      <c r="AM372" s="816">
        <v>36</v>
      </c>
      <c r="AN372" s="816">
        <v>37</v>
      </c>
      <c r="AO372" s="816">
        <v>38</v>
      </c>
      <c r="AP372" s="816">
        <v>39</v>
      </c>
      <c r="AQ372" s="816">
        <v>40</v>
      </c>
      <c r="AR372" s="816">
        <v>41</v>
      </c>
      <c r="AS372" s="816">
        <v>42</v>
      </c>
      <c r="AT372" s="816">
        <v>43</v>
      </c>
      <c r="AU372" s="166"/>
      <c r="AV372" s="166"/>
      <c r="AW372" s="166"/>
      <c r="AX372" s="166"/>
      <c r="AY372" s="166"/>
      <c r="AZ372" s="166"/>
      <c r="BA372" s="166"/>
      <c r="BB372" s="166"/>
      <c r="BC372" s="166"/>
      <c r="BD372" s="166"/>
      <c r="BE372" s="166"/>
    </row>
    <row r="373" spans="2:57" ht="14.4" x14ac:dyDescent="0.3">
      <c r="B373" s="813"/>
      <c r="C373" s="816">
        <v>0</v>
      </c>
      <c r="D373" s="816">
        <v>0</v>
      </c>
      <c r="E373" s="816">
        <v>0</v>
      </c>
      <c r="F373" s="816">
        <v>0</v>
      </c>
      <c r="G373" s="816">
        <v>1</v>
      </c>
      <c r="H373" s="816">
        <v>2</v>
      </c>
      <c r="I373" s="816">
        <v>3</v>
      </c>
      <c r="J373" s="816">
        <v>4</v>
      </c>
      <c r="K373" s="816">
        <v>5</v>
      </c>
      <c r="L373" s="816">
        <v>6</v>
      </c>
      <c r="M373" s="816">
        <v>7</v>
      </c>
      <c r="N373" s="816">
        <v>8</v>
      </c>
      <c r="O373" s="816">
        <v>9</v>
      </c>
      <c r="P373" s="816">
        <v>10</v>
      </c>
      <c r="Q373" s="816">
        <v>11</v>
      </c>
      <c r="R373" s="816">
        <v>12</v>
      </c>
      <c r="S373" s="816">
        <v>13</v>
      </c>
      <c r="T373" s="816">
        <v>14</v>
      </c>
      <c r="U373" s="816">
        <v>15</v>
      </c>
      <c r="V373" s="816">
        <v>16</v>
      </c>
      <c r="W373" s="816">
        <v>17</v>
      </c>
      <c r="X373" s="816">
        <v>18</v>
      </c>
      <c r="Y373" s="816">
        <v>19</v>
      </c>
      <c r="Z373" s="816">
        <v>20</v>
      </c>
      <c r="AA373" s="816">
        <v>21</v>
      </c>
      <c r="AB373" s="816">
        <v>22</v>
      </c>
      <c r="AC373" s="816">
        <v>23</v>
      </c>
      <c r="AD373" s="816">
        <v>24</v>
      </c>
      <c r="AE373" s="816">
        <v>25</v>
      </c>
      <c r="AF373" s="816">
        <v>26</v>
      </c>
      <c r="AG373" s="816">
        <v>27</v>
      </c>
      <c r="AH373" s="816">
        <v>28</v>
      </c>
      <c r="AI373" s="816">
        <v>29</v>
      </c>
      <c r="AJ373" s="816">
        <v>30</v>
      </c>
      <c r="AK373" s="816">
        <v>31</v>
      </c>
      <c r="AL373" s="816">
        <v>32</v>
      </c>
      <c r="AM373" s="816">
        <v>33</v>
      </c>
      <c r="AN373" s="816">
        <v>34</v>
      </c>
      <c r="AO373" s="816">
        <v>35</v>
      </c>
      <c r="AP373" s="816">
        <v>36</v>
      </c>
      <c r="AQ373" s="816">
        <v>37</v>
      </c>
      <c r="AR373" s="816">
        <v>38</v>
      </c>
      <c r="AS373" s="816">
        <v>39</v>
      </c>
      <c r="AT373" s="816">
        <v>40</v>
      </c>
      <c r="AU373" s="166"/>
      <c r="AV373" s="166"/>
      <c r="AW373" s="166"/>
      <c r="AX373" s="166"/>
      <c r="AY373" s="166"/>
      <c r="AZ373" s="166"/>
      <c r="BA373" s="166"/>
      <c r="BB373" s="166"/>
      <c r="BC373" s="166"/>
      <c r="BD373" s="166"/>
      <c r="BE373" s="166"/>
    </row>
    <row r="374" spans="2:57" ht="14.4" x14ac:dyDescent="0.3">
      <c r="B374" s="813"/>
      <c r="C374" s="798"/>
      <c r="D374" s="798"/>
      <c r="E374" s="798"/>
      <c r="F374" s="798"/>
      <c r="G374" s="798"/>
      <c r="H374" s="798"/>
      <c r="I374" s="798"/>
      <c r="J374" s="798"/>
      <c r="K374" s="798"/>
      <c r="L374" s="798"/>
      <c r="M374" s="798"/>
      <c r="N374" s="798"/>
      <c r="O374" s="798"/>
      <c r="P374" s="798"/>
      <c r="Q374" s="798"/>
      <c r="R374" s="798"/>
      <c r="S374" s="798"/>
      <c r="T374" s="798"/>
      <c r="U374" s="798"/>
      <c r="V374" s="798"/>
      <c r="W374" s="798"/>
      <c r="X374" s="798"/>
      <c r="Y374" s="798"/>
      <c r="Z374" s="798"/>
      <c r="AA374" s="798"/>
      <c r="AB374" s="798"/>
      <c r="AC374" s="798"/>
      <c r="AD374" s="798"/>
      <c r="AE374" s="798"/>
      <c r="AF374" s="798"/>
      <c r="AG374" s="798"/>
      <c r="AH374" s="798"/>
      <c r="AI374" s="798"/>
      <c r="AJ374" s="798"/>
      <c r="AK374" s="798"/>
      <c r="AL374" s="798"/>
      <c r="AM374" s="798"/>
      <c r="AN374" s="798"/>
      <c r="AO374" s="798"/>
      <c r="AP374" s="798"/>
      <c r="AQ374" s="798"/>
      <c r="AR374" s="798"/>
      <c r="AS374" s="798"/>
      <c r="AT374" s="798"/>
      <c r="AU374" s="166"/>
      <c r="AV374" s="166"/>
      <c r="AW374" s="166"/>
      <c r="AX374" s="166"/>
      <c r="AY374" s="166"/>
      <c r="AZ374" s="166"/>
      <c r="BA374" s="166"/>
      <c r="BB374" s="166"/>
      <c r="BC374" s="166"/>
      <c r="BD374" s="166"/>
      <c r="BE374" s="166"/>
    </row>
    <row r="375" spans="2:57" ht="14.4" x14ac:dyDescent="0.25">
      <c r="B375" s="830" t="s">
        <v>434</v>
      </c>
      <c r="C375" s="807"/>
      <c r="D375" s="807"/>
      <c r="E375" s="807"/>
      <c r="F375" s="807"/>
      <c r="G375" s="807"/>
      <c r="H375" s="807"/>
      <c r="I375" s="807"/>
      <c r="J375" s="807"/>
      <c r="K375" s="807"/>
      <c r="L375" s="807"/>
      <c r="M375" s="807"/>
      <c r="N375" s="807"/>
      <c r="O375" s="807"/>
      <c r="P375" s="807"/>
      <c r="Q375" s="807"/>
      <c r="R375" s="807"/>
      <c r="S375" s="807"/>
      <c r="T375" s="807"/>
      <c r="U375" s="807"/>
      <c r="V375" s="807"/>
      <c r="W375" s="807"/>
      <c r="X375" s="807"/>
      <c r="Y375" s="807"/>
      <c r="Z375" s="807"/>
      <c r="AA375" s="807"/>
      <c r="AB375" s="807"/>
      <c r="AC375" s="807"/>
      <c r="AD375" s="807"/>
      <c r="AE375" s="807"/>
      <c r="AF375" s="807"/>
      <c r="AG375" s="807"/>
      <c r="AH375" s="807"/>
      <c r="AI375" s="807"/>
      <c r="AJ375" s="807"/>
      <c r="AK375" s="807"/>
      <c r="AL375" s="807"/>
      <c r="AM375" s="807"/>
      <c r="AN375" s="807"/>
      <c r="AO375" s="807"/>
      <c r="AP375" s="807"/>
      <c r="AQ375" s="807"/>
      <c r="AR375" s="807"/>
      <c r="AS375" s="807"/>
      <c r="AT375" s="807"/>
    </row>
    <row r="376" spans="2:57" x14ac:dyDescent="0.25">
      <c r="B376" s="831" t="s">
        <v>449</v>
      </c>
      <c r="C376" s="178">
        <v>0</v>
      </c>
      <c r="D376" s="178">
        <v>0</v>
      </c>
      <c r="E376" s="178">
        <v>0</v>
      </c>
      <c r="F376" s="178">
        <v>0</v>
      </c>
      <c r="G376" s="268">
        <f>G300</f>
        <v>2791546.919500811</v>
      </c>
      <c r="H376" s="268">
        <f t="shared" ref="H376:AT376" si="270">H300</f>
        <v>3091692.739287667</v>
      </c>
      <c r="I376" s="268">
        <f t="shared" si="270"/>
        <v>2934364.0421133931</v>
      </c>
      <c r="J376" s="268">
        <f t="shared" si="270"/>
        <v>3003556.4739287407</v>
      </c>
      <c r="K376" s="268">
        <f t="shared" si="270"/>
        <v>6864999.4108087067</v>
      </c>
      <c r="L376" s="268">
        <f t="shared" si="270"/>
        <v>3146987.7384020691</v>
      </c>
      <c r="M376" s="268">
        <f t="shared" si="270"/>
        <v>3221309.8210025458</v>
      </c>
      <c r="N376" s="268">
        <f t="shared" si="270"/>
        <v>3297426.7865636172</v>
      </c>
      <c r="O376" s="268">
        <f t="shared" si="270"/>
        <v>3375382.9246263341</v>
      </c>
      <c r="P376" s="268">
        <f t="shared" si="270"/>
        <v>7620124.5585567057</v>
      </c>
      <c r="Q376" s="268">
        <f t="shared" si="270"/>
        <v>3536995.481726327</v>
      </c>
      <c r="R376" s="268">
        <f t="shared" si="270"/>
        <v>3620746.1717735282</v>
      </c>
      <c r="S376" s="268">
        <f t="shared" si="270"/>
        <v>3706524.6358547215</v>
      </c>
      <c r="T376" s="268">
        <f t="shared" si="270"/>
        <v>3794381.0340164835</v>
      </c>
      <c r="U376" s="268">
        <f t="shared" si="270"/>
        <v>8460551.8528040089</v>
      </c>
      <c r="V376" s="268">
        <f t="shared" si="270"/>
        <v>3976534.6360238022</v>
      </c>
      <c r="W376" s="268">
        <f t="shared" si="270"/>
        <v>4070938.621770741</v>
      </c>
      <c r="X376" s="268">
        <f t="shared" si="270"/>
        <v>4167634.1731139594</v>
      </c>
      <c r="Y376" s="268">
        <f t="shared" si="270"/>
        <v>4266678.1150930393</v>
      </c>
      <c r="Z376" s="268">
        <f t="shared" si="270"/>
        <v>9396213.810979465</v>
      </c>
      <c r="AA376" s="268">
        <f t="shared" si="270"/>
        <v>4472045.6967975702</v>
      </c>
      <c r="AB376" s="268">
        <f t="shared" si="270"/>
        <v>4578490.3244372597</v>
      </c>
      <c r="AC376" s="268">
        <f t="shared" si="270"/>
        <v>4687525.3956046067</v>
      </c>
      <c r="AD376" s="268">
        <f t="shared" si="270"/>
        <v>4799215.3044166798</v>
      </c>
      <c r="AE376" s="268">
        <f t="shared" si="270"/>
        <v>10438238.257315286</v>
      </c>
      <c r="AF376" s="268">
        <f t="shared" si="270"/>
        <v>5030825.4186769668</v>
      </c>
      <c r="AG376" s="268">
        <f t="shared" si="270"/>
        <v>5150882.7472600536</v>
      </c>
      <c r="AH376" s="268">
        <f t="shared" si="270"/>
        <v>5273869.24748501</v>
      </c>
      <c r="AI376" s="268">
        <f t="shared" si="270"/>
        <v>5399857.9116118001</v>
      </c>
      <c r="AJ376" s="268">
        <f t="shared" si="270"/>
        <v>11599097.173153548</v>
      </c>
      <c r="AK376" s="268">
        <f t="shared" si="270"/>
        <v>5661143.0252687559</v>
      </c>
      <c r="AL376" s="268">
        <f t="shared" si="270"/>
        <v>5796594.9293390466</v>
      </c>
      <c r="AM376" s="268">
        <f t="shared" si="270"/>
        <v>5935360.0062841373</v>
      </c>
      <c r="AN376" s="268">
        <f t="shared" si="270"/>
        <v>6077521.0181308491</v>
      </c>
      <c r="AO376" s="268">
        <f t="shared" si="270"/>
        <v>12892774.71989817</v>
      </c>
      <c r="AP376" s="268">
        <f t="shared" si="270"/>
        <v>6372372.4917223342</v>
      </c>
      <c r="AQ376" s="268">
        <f t="shared" si="270"/>
        <v>6525239.2401587041</v>
      </c>
      <c r="AR376" s="268">
        <f t="shared" si="270"/>
        <v>6681854.610653758</v>
      </c>
      <c r="AS376" s="268">
        <f t="shared" si="270"/>
        <v>6842312.4692722289</v>
      </c>
      <c r="AT376" s="268">
        <f t="shared" si="270"/>
        <v>14334956.983977951</v>
      </c>
    </row>
    <row r="377" spans="2:57" x14ac:dyDescent="0.25">
      <c r="B377" s="832" t="s">
        <v>379</v>
      </c>
      <c r="C377" s="178">
        <v>0</v>
      </c>
      <c r="D377" s="178">
        <v>0</v>
      </c>
      <c r="E377" s="178">
        <v>0</v>
      </c>
      <c r="F377" s="178">
        <v>0</v>
      </c>
      <c r="G377" s="758">
        <f>DEMANDA!C76*PARAMETROS!$C$67</f>
        <v>5644847.0775095308</v>
      </c>
      <c r="H377" s="758">
        <f>DEMANDA!D76*PARAMETROS!$C$67</f>
        <v>7526462.7700127084</v>
      </c>
      <c r="I377" s="758">
        <f>DEMANDA!E76*PARAMETROS!$C$67</f>
        <v>7594691.469716223</v>
      </c>
      <c r="J377" s="758">
        <f>DEMANDA!F76*PARAMETROS!$C$67</f>
        <v>7662920.1694197394</v>
      </c>
      <c r="K377" s="758">
        <f>DEMANDA!G76*PARAMETROS!$C$67</f>
        <v>7731148.8691232549</v>
      </c>
      <c r="L377" s="758">
        <f>DEMANDA!H76*PARAMETROS!$C$67</f>
        <v>7799377.5688267713</v>
      </c>
      <c r="M377" s="758">
        <f>DEMANDA!I76*PARAMETROS!$C$67</f>
        <v>7867606.2685302841</v>
      </c>
      <c r="N377" s="758">
        <f>DEMANDA!J76*PARAMETROS!$C$67</f>
        <v>7910766.6107354853</v>
      </c>
      <c r="O377" s="758">
        <f>DEMANDA!K76*PARAMETROS!$C$67</f>
        <v>7953926.9529406866</v>
      </c>
      <c r="P377" s="758">
        <f>DEMANDA!L76*PARAMETROS!$C$67</f>
        <v>7997087.295145886</v>
      </c>
      <c r="Q377" s="758">
        <f>DEMANDA!M76*PARAMETROS!$C$67</f>
        <v>8040247.6373510873</v>
      </c>
      <c r="R377" s="758">
        <f>DEMANDA!N76*PARAMETROS!$C$67</f>
        <v>8083407.9795562839</v>
      </c>
      <c r="S377" s="758">
        <f>DEMANDA!O76*PARAMETROS!$C$67</f>
        <v>8079519.2099652663</v>
      </c>
      <c r="T377" s="758">
        <f>DEMANDA!P76*PARAMETROS!$C$67</f>
        <v>8075630.4403742496</v>
      </c>
      <c r="U377" s="758">
        <f>DEMANDA!Q76*PARAMETROS!$C$67</f>
        <v>8071741.6707832329</v>
      </c>
      <c r="V377" s="758">
        <f>DEMANDA!R76*PARAMETROS!$C$67</f>
        <v>8067852.9011922153</v>
      </c>
      <c r="W377" s="758">
        <f>DEMANDA!S76*PARAMETROS!$C$67</f>
        <v>8063964.1316012032</v>
      </c>
      <c r="X377" s="758">
        <f>DEMANDA!T76*PARAMETROS!$C$67</f>
        <v>8118835.5835888982</v>
      </c>
      <c r="Y377" s="758">
        <f>DEMANDA!U76*PARAMETROS!$C$67</f>
        <v>8173707.0355765959</v>
      </c>
      <c r="Z377" s="758">
        <f>DEMANDA!V76*PARAMETROS!$C$67</f>
        <v>8228578.4875642927</v>
      </c>
      <c r="AA377" s="758">
        <f>DEMANDA!W76*PARAMETROS!$C$67</f>
        <v>8283449.9395519905</v>
      </c>
      <c r="AB377" s="758">
        <f>DEMANDA!X76*PARAMETROS!$C$67</f>
        <v>8338321.3915396873</v>
      </c>
      <c r="AC377" s="758">
        <f>DEMANDA!Y76*PARAMETROS!$C$67</f>
        <v>8338321.3915396873</v>
      </c>
      <c r="AD377" s="758">
        <f>DEMANDA!Z76*PARAMETROS!$C$67</f>
        <v>8338321.3915396873</v>
      </c>
      <c r="AE377" s="758">
        <f>DEMANDA!AA76*PARAMETROS!$C$67</f>
        <v>8338321.3915396873</v>
      </c>
      <c r="AF377" s="758">
        <f>DEMANDA!AB76*PARAMETROS!$C$67</f>
        <v>8338321.3915396873</v>
      </c>
      <c r="AG377" s="758">
        <f>DEMANDA!AC76*PARAMETROS!$C$67</f>
        <v>8338321.3915396873</v>
      </c>
      <c r="AH377" s="758">
        <f>DEMANDA!AD76*PARAMETROS!$C$67</f>
        <v>8338321.3915396873</v>
      </c>
      <c r="AI377" s="758">
        <f>DEMANDA!AE76*PARAMETROS!$C$67</f>
        <v>8338321.3915396873</v>
      </c>
      <c r="AJ377" s="758">
        <f>DEMANDA!AF76*PARAMETROS!$C$67</f>
        <v>8338321.3915396873</v>
      </c>
      <c r="AK377" s="758">
        <f>DEMANDA!AG76*PARAMETROS!$C$67</f>
        <v>8338321.3915396873</v>
      </c>
      <c r="AL377" s="758">
        <f>DEMANDA!AH76*PARAMETROS!$C$67</f>
        <v>8338321.3915396873</v>
      </c>
      <c r="AM377" s="758">
        <f>DEMANDA!AI76*PARAMETROS!$C$67</f>
        <v>8338321.3915396873</v>
      </c>
      <c r="AN377" s="758">
        <f>DEMANDA!AJ76*PARAMETROS!$C$67</f>
        <v>8338321.3915396873</v>
      </c>
      <c r="AO377" s="758">
        <f>DEMANDA!AK76*PARAMETROS!$C$67</f>
        <v>8338321.3915396873</v>
      </c>
      <c r="AP377" s="758">
        <f>DEMANDA!AL76*PARAMETROS!$C$67</f>
        <v>8338321.3915396873</v>
      </c>
      <c r="AQ377" s="758">
        <f>DEMANDA!AM76*PARAMETROS!$C$67</f>
        <v>8338321.3915396873</v>
      </c>
      <c r="AR377" s="758">
        <f>DEMANDA!AN76*PARAMETROS!$C$67</f>
        <v>8338321.3915396873</v>
      </c>
      <c r="AS377" s="758">
        <f>DEMANDA!AO76*PARAMETROS!$C$67</f>
        <v>8338321.3915396873</v>
      </c>
      <c r="AT377" s="758">
        <f>DEMANDA!AP76*PARAMETROS!$C$67</f>
        <v>8338321.3915396873</v>
      </c>
    </row>
    <row r="378" spans="2:57" x14ac:dyDescent="0.25">
      <c r="B378" s="832" t="s">
        <v>395</v>
      </c>
      <c r="C378" s="178">
        <v>0</v>
      </c>
      <c r="D378" s="178">
        <v>0</v>
      </c>
      <c r="E378" s="178">
        <v>0</v>
      </c>
      <c r="F378" s="178">
        <v>0</v>
      </c>
      <c r="G378" s="758">
        <f>'INGRESOS de pasajeros'!C90*PARAMETROS!$C$67</f>
        <v>6892358.2816391364</v>
      </c>
      <c r="H378" s="758">
        <f>'INGRESOS de pasajeros'!D90*PARAMETROS!$C$67</f>
        <v>9189811.0421855189</v>
      </c>
      <c r="I378" s="758">
        <f>'INGRESOS de pasajeros'!E90*PARAMETROS!$C$67</f>
        <v>9695045.1664693281</v>
      </c>
      <c r="J378" s="758">
        <f>'INGRESOS de pasajeros'!F90*PARAMETROS!$C$67</f>
        <v>9782142.8883336987</v>
      </c>
      <c r="K378" s="758">
        <f>'INGRESOS de pasajeros'!G90*PARAMETROS!$C$67</f>
        <v>10267957.930850072</v>
      </c>
      <c r="L378" s="758">
        <f>'INGRESOS de pasajeros'!H90*PARAMETROS!$C$67</f>
        <v>10358574.400677765</v>
      </c>
      <c r="M378" s="758">
        <f>'INGRESOS de pasajeros'!I90*PARAMETROS!$C$67</f>
        <v>10871338.181673873</v>
      </c>
      <c r="N378" s="758">
        <f>'INGRESOS de pasajeros'!J90*PARAMETROS!$C$67</f>
        <v>10930976.483354822</v>
      </c>
      <c r="O378" s="758">
        <f>'INGRESOS de pasajeros'!K90*PARAMETROS!$C$67</f>
        <v>11434635.622351212</v>
      </c>
      <c r="P378" s="758">
        <f>'INGRESOS de pasajeros'!L90*PARAMETROS!$C$67</f>
        <v>11496683.311420063</v>
      </c>
      <c r="Q378" s="758">
        <f>'INGRESOS de pasajeros'!M90*PARAMETROS!$C$67</f>
        <v>12025703.732908674</v>
      </c>
      <c r="R378" s="758">
        <f>'INGRESOS de pasajeros'!N90*PARAMETROS!$C$67</f>
        <v>12090258.148615906</v>
      </c>
      <c r="S378" s="758">
        <f>'INGRESOS de pasajeros'!O90*PARAMETROS!$C$67</f>
        <v>12572653.20889486</v>
      </c>
      <c r="T378" s="758">
        <f>'INGRESOS de pasajeros'!P90*PARAMETROS!$C$67</f>
        <v>12566601.83996973</v>
      </c>
      <c r="U378" s="758">
        <f>'INGRESOS de pasajeros'!Q90*PARAMETROS!$C$67</f>
        <v>13067996.710074805</v>
      </c>
      <c r="V378" s="758">
        <f>'INGRESOS de pasajeros'!R90*PARAMETROS!$C$67</f>
        <v>13061700.865845107</v>
      </c>
      <c r="W378" s="758">
        <f>'INGRESOS de pasajeros'!S90*PARAMETROS!$C$67</f>
        <v>13582843.38448867</v>
      </c>
      <c r="X378" s="758">
        <f>'INGRESOS de pasajeros'!T90*PARAMETROS!$C$67</f>
        <v>13675268.19274242</v>
      </c>
      <c r="Y378" s="758">
        <f>'INGRESOS de pasajeros'!U90*PARAMETROS!$C$67</f>
        <v>14323907.798236422</v>
      </c>
      <c r="Z378" s="758">
        <f>'INGRESOS de pasajeros'!V90*PARAMETROS!$C$67</f>
        <v>14420066.568743626</v>
      </c>
      <c r="AA378" s="758">
        <f>'INGRESOS de pasajeros'!W90*PARAMETROS!$C$67</f>
        <v>15102680.842956562</v>
      </c>
      <c r="AB378" s="758">
        <f>'INGRESOS de pasajeros'!X90*PARAMETROS!$C$67</f>
        <v>15202724.427792259</v>
      </c>
      <c r="AC378" s="758">
        <f>'INGRESOS de pasajeros'!Y90*PARAMETROS!$C$67</f>
        <v>15816914.494675064</v>
      </c>
      <c r="AD378" s="758">
        <f>'INGRESOS de pasajeros'!Z90*PARAMETROS!$C$67</f>
        <v>15816914.494675064</v>
      </c>
      <c r="AE378" s="758">
        <f>'INGRESOS de pasajeros'!AA90*PARAMETROS!$C$67</f>
        <v>16455917.840259938</v>
      </c>
      <c r="AF378" s="758">
        <f>'INGRESOS de pasajeros'!AB90*PARAMETROS!$C$67</f>
        <v>16455917.840259938</v>
      </c>
      <c r="AG378" s="758">
        <f>'INGRESOS de pasajeros'!AC90*PARAMETROS!$C$67</f>
        <v>17120736.921006437</v>
      </c>
      <c r="AH378" s="758">
        <f>'INGRESOS de pasajeros'!AD90*PARAMETROS!$C$67</f>
        <v>17120736.921006437</v>
      </c>
      <c r="AI378" s="758">
        <f>'INGRESOS de pasajeros'!AE90*PARAMETROS!$C$67</f>
        <v>17812414.692615096</v>
      </c>
      <c r="AJ378" s="758">
        <f>'INGRESOS de pasajeros'!AF90*PARAMETROS!$C$67</f>
        <v>17812414.692615096</v>
      </c>
      <c r="AK378" s="758">
        <f>'INGRESOS de pasajeros'!AG90*PARAMETROS!$C$67</f>
        <v>18532036.246196747</v>
      </c>
      <c r="AL378" s="758">
        <f>'INGRESOS de pasajeros'!AH90*PARAMETROS!$C$67</f>
        <v>18532036.246196747</v>
      </c>
      <c r="AM378" s="758">
        <f>'INGRESOS de pasajeros'!AI90*PARAMETROS!$C$67</f>
        <v>19280730.510543093</v>
      </c>
      <c r="AN378" s="758">
        <f>'INGRESOS de pasajeros'!AJ90*PARAMETROS!$C$67</f>
        <v>19280730.510543093</v>
      </c>
      <c r="AO378" s="758">
        <f>'INGRESOS de pasajeros'!AK90*PARAMETROS!$C$67</f>
        <v>20059672.023169041</v>
      </c>
      <c r="AP378" s="758">
        <f>'INGRESOS de pasajeros'!AL90*PARAMETROS!$C$67</f>
        <v>20059672.023169041</v>
      </c>
      <c r="AQ378" s="758">
        <f>'INGRESOS de pasajeros'!AM90*PARAMETROS!$C$67</f>
        <v>20870082.772905067</v>
      </c>
      <c r="AR378" s="758">
        <f>'INGRESOS de pasajeros'!AN90*PARAMETROS!$C$67</f>
        <v>20870082.772905067</v>
      </c>
      <c r="AS378" s="758">
        <f>'INGRESOS de pasajeros'!AO90*PARAMETROS!$C$67</f>
        <v>21713234.116930436</v>
      </c>
      <c r="AT378" s="758">
        <f>'INGRESOS de pasajeros'!AP90*PARAMETROS!$C$67</f>
        <v>21713234.116930436</v>
      </c>
    </row>
    <row r="379" spans="2:57" x14ac:dyDescent="0.25">
      <c r="B379" s="832" t="s">
        <v>396</v>
      </c>
      <c r="C379" s="178">
        <v>0</v>
      </c>
      <c r="D379" s="178">
        <v>0</v>
      </c>
      <c r="E379" s="178">
        <v>0</v>
      </c>
      <c r="F379" s="178">
        <v>0</v>
      </c>
      <c r="G379" s="178">
        <f>$C$14*$C$15*12</f>
        <v>420000</v>
      </c>
      <c r="H379" s="178">
        <f t="shared" ref="H379:AT379" si="271">$G$75*((1+$C$25)^G373)</f>
        <v>428400</v>
      </c>
      <c r="I379" s="178">
        <f t="shared" si="271"/>
        <v>436968</v>
      </c>
      <c r="J379" s="178">
        <f t="shared" si="271"/>
        <v>445707.36</v>
      </c>
      <c r="K379" s="178">
        <f t="shared" si="271"/>
        <v>454621.50719999999</v>
      </c>
      <c r="L379" s="178">
        <f t="shared" si="271"/>
        <v>463713.93734400003</v>
      </c>
      <c r="M379" s="178">
        <f t="shared" si="271"/>
        <v>472988.21609088004</v>
      </c>
      <c r="N379" s="178">
        <f t="shared" si="271"/>
        <v>482447.98041269754</v>
      </c>
      <c r="O379" s="178">
        <f t="shared" si="271"/>
        <v>492096.9400209515</v>
      </c>
      <c r="P379" s="178">
        <f t="shared" si="271"/>
        <v>501938.87882137054</v>
      </c>
      <c r="Q379" s="178">
        <f t="shared" si="271"/>
        <v>511977.65639779798</v>
      </c>
      <c r="R379" s="178">
        <f t="shared" si="271"/>
        <v>522217.20952575386</v>
      </c>
      <c r="S379" s="178">
        <f t="shared" si="271"/>
        <v>532661.55371626897</v>
      </c>
      <c r="T379" s="178">
        <f t="shared" si="271"/>
        <v>543314.78479059436</v>
      </c>
      <c r="U379" s="178">
        <f t="shared" si="271"/>
        <v>554181.08048640634</v>
      </c>
      <c r="V379" s="178">
        <f t="shared" si="271"/>
        <v>565264.70209613431</v>
      </c>
      <c r="W379" s="178">
        <f t="shared" si="271"/>
        <v>576569.99613805709</v>
      </c>
      <c r="X379" s="178">
        <f t="shared" si="271"/>
        <v>588101.39606081822</v>
      </c>
      <c r="Y379" s="178">
        <f t="shared" si="271"/>
        <v>599863.42398203455</v>
      </c>
      <c r="Z379" s="178">
        <f t="shared" si="271"/>
        <v>611860.69246167527</v>
      </c>
      <c r="AA379" s="178">
        <f t="shared" si="271"/>
        <v>624097.90631090873</v>
      </c>
      <c r="AB379" s="178">
        <f t="shared" si="271"/>
        <v>636579.8644371269</v>
      </c>
      <c r="AC379" s="178">
        <f t="shared" si="271"/>
        <v>649311.46172586945</v>
      </c>
      <c r="AD379" s="178">
        <f t="shared" si="271"/>
        <v>662297.69096038677</v>
      </c>
      <c r="AE379" s="178">
        <f t="shared" si="271"/>
        <v>675543.6447795945</v>
      </c>
      <c r="AF379" s="178">
        <f t="shared" si="271"/>
        <v>689054.51767518639</v>
      </c>
      <c r="AG379" s="178">
        <f t="shared" si="271"/>
        <v>702835.60802869021</v>
      </c>
      <c r="AH379" s="178">
        <f t="shared" si="271"/>
        <v>716892.3201892639</v>
      </c>
      <c r="AI379" s="178">
        <f t="shared" si="271"/>
        <v>731230.1665930493</v>
      </c>
      <c r="AJ379" s="178">
        <f t="shared" si="271"/>
        <v>745854.76992491016</v>
      </c>
      <c r="AK379" s="178">
        <f t="shared" si="271"/>
        <v>760771.86532340851</v>
      </c>
      <c r="AL379" s="178">
        <f t="shared" si="271"/>
        <v>775987.30262987642</v>
      </c>
      <c r="AM379" s="178">
        <f t="shared" si="271"/>
        <v>791507.04868247418</v>
      </c>
      <c r="AN379" s="178">
        <f t="shared" si="271"/>
        <v>807337.18965612364</v>
      </c>
      <c r="AO379" s="178">
        <f t="shared" si="271"/>
        <v>823483.93344924611</v>
      </c>
      <c r="AP379" s="178">
        <f t="shared" si="271"/>
        <v>839953.61211823102</v>
      </c>
      <c r="AQ379" s="178">
        <f t="shared" si="271"/>
        <v>856752.68436059554</v>
      </c>
      <c r="AR379" s="178">
        <f t="shared" si="271"/>
        <v>873887.73804780759</v>
      </c>
      <c r="AS379" s="178">
        <f t="shared" si="271"/>
        <v>891365.49280876387</v>
      </c>
      <c r="AT379" s="178">
        <f t="shared" si="271"/>
        <v>909192.80266493873</v>
      </c>
    </row>
    <row r="380" spans="2:57" x14ac:dyDescent="0.25">
      <c r="B380" s="832"/>
      <c r="C380" s="178"/>
      <c r="D380" s="178"/>
      <c r="E380" s="178"/>
      <c r="F380" s="178"/>
      <c r="G380" s="178"/>
      <c r="H380" s="178"/>
      <c r="I380" s="178"/>
      <c r="J380" s="178"/>
      <c r="K380" s="178"/>
      <c r="L380" s="178"/>
      <c r="M380" s="178"/>
      <c r="N380" s="178"/>
      <c r="O380" s="178"/>
      <c r="P380" s="178"/>
      <c r="Q380" s="178"/>
      <c r="R380" s="178"/>
      <c r="S380" s="178"/>
      <c r="T380" s="178"/>
      <c r="U380" s="178"/>
      <c r="V380" s="178"/>
      <c r="W380" s="178"/>
      <c r="X380" s="178"/>
      <c r="Y380" s="178"/>
      <c r="Z380" s="178"/>
      <c r="AA380" s="178"/>
      <c r="AB380" s="178"/>
      <c r="AC380" s="178"/>
      <c r="AD380" s="178"/>
      <c r="AE380" s="178"/>
      <c r="AF380" s="178"/>
      <c r="AG380" s="178"/>
      <c r="AH380" s="178"/>
      <c r="AI380" s="178"/>
      <c r="AJ380" s="178"/>
      <c r="AK380" s="178"/>
      <c r="AL380" s="178"/>
      <c r="AM380" s="178"/>
      <c r="AN380" s="178"/>
      <c r="AO380" s="178"/>
      <c r="AP380" s="178"/>
      <c r="AQ380" s="178"/>
      <c r="AR380" s="178"/>
      <c r="AS380" s="178"/>
      <c r="AT380" s="178"/>
    </row>
    <row r="381" spans="2:57" x14ac:dyDescent="0.25">
      <c r="B381" s="831" t="str">
        <f>B77</f>
        <v>Activos iniciales - Depreciacion 50 años</v>
      </c>
      <c r="C381" s="965">
        <f t="shared" ref="C381:AT381" si="272">C77</f>
        <v>0</v>
      </c>
      <c r="D381" s="965">
        <f t="shared" si="272"/>
        <v>0</v>
      </c>
      <c r="E381" s="965">
        <f t="shared" si="272"/>
        <v>0</v>
      </c>
      <c r="F381" s="965">
        <f t="shared" si="272"/>
        <v>0</v>
      </c>
      <c r="G381" s="965">
        <f t="shared" si="272"/>
        <v>-504404.99186940648</v>
      </c>
      <c r="H381" s="965">
        <f t="shared" si="272"/>
        <v>-504404.99186940648</v>
      </c>
      <c r="I381" s="965">
        <f t="shared" si="272"/>
        <v>-504404.99186940648</v>
      </c>
      <c r="J381" s="965">
        <f t="shared" si="272"/>
        <v>-504404.99186940648</v>
      </c>
      <c r="K381" s="965">
        <f t="shared" si="272"/>
        <v>-504404.99186940648</v>
      </c>
      <c r="L381" s="965">
        <f t="shared" si="272"/>
        <v>-504404.99186940648</v>
      </c>
      <c r="M381" s="965">
        <f t="shared" si="272"/>
        <v>-504404.99186940648</v>
      </c>
      <c r="N381" s="965">
        <f t="shared" si="272"/>
        <v>-504404.99186940648</v>
      </c>
      <c r="O381" s="965">
        <f t="shared" si="272"/>
        <v>-504404.99186940648</v>
      </c>
      <c r="P381" s="965">
        <f t="shared" si="272"/>
        <v>-504404.99186940648</v>
      </c>
      <c r="Q381" s="965">
        <f t="shared" si="272"/>
        <v>-504404.99186940648</v>
      </c>
      <c r="R381" s="965">
        <f t="shared" si="272"/>
        <v>-504404.99186940648</v>
      </c>
      <c r="S381" s="965">
        <f t="shared" si="272"/>
        <v>-504404.99186940648</v>
      </c>
      <c r="T381" s="965">
        <f t="shared" si="272"/>
        <v>-504404.99186940648</v>
      </c>
      <c r="U381" s="965">
        <f t="shared" si="272"/>
        <v>-504404.99186940648</v>
      </c>
      <c r="V381" s="965">
        <f t="shared" si="272"/>
        <v>-504404.99186940648</v>
      </c>
      <c r="W381" s="965">
        <f t="shared" si="272"/>
        <v>-504404.99186940648</v>
      </c>
      <c r="X381" s="965">
        <f t="shared" si="272"/>
        <v>-504404.99186940648</v>
      </c>
      <c r="Y381" s="965">
        <f t="shared" si="272"/>
        <v>-504404.99186940648</v>
      </c>
      <c r="Z381" s="965">
        <f t="shared" si="272"/>
        <v>-504404.99186940648</v>
      </c>
      <c r="AA381" s="965">
        <f t="shared" si="272"/>
        <v>-504404.99186940648</v>
      </c>
      <c r="AB381" s="965">
        <f t="shared" si="272"/>
        <v>-504404.99186940648</v>
      </c>
      <c r="AC381" s="965">
        <f t="shared" si="272"/>
        <v>-504404.99186940648</v>
      </c>
      <c r="AD381" s="965">
        <f t="shared" si="272"/>
        <v>-504404.99186940648</v>
      </c>
      <c r="AE381" s="965">
        <f t="shared" si="272"/>
        <v>-504404.99186940648</v>
      </c>
      <c r="AF381" s="965">
        <f t="shared" si="272"/>
        <v>-504404.99186940648</v>
      </c>
      <c r="AG381" s="965">
        <f t="shared" si="272"/>
        <v>-504404.99186940648</v>
      </c>
      <c r="AH381" s="965">
        <f t="shared" si="272"/>
        <v>-504404.99186940648</v>
      </c>
      <c r="AI381" s="965">
        <f t="shared" si="272"/>
        <v>-504404.99186940648</v>
      </c>
      <c r="AJ381" s="965">
        <f t="shared" si="272"/>
        <v>-504404.99186940648</v>
      </c>
      <c r="AK381" s="965">
        <f t="shared" si="272"/>
        <v>-504404.99186940648</v>
      </c>
      <c r="AL381" s="965">
        <f t="shared" si="272"/>
        <v>-504404.99186940648</v>
      </c>
      <c r="AM381" s="965">
        <f t="shared" si="272"/>
        <v>-504404.99186940648</v>
      </c>
      <c r="AN381" s="965">
        <f t="shared" si="272"/>
        <v>-504404.99186940648</v>
      </c>
      <c r="AO381" s="965">
        <f t="shared" si="272"/>
        <v>-504404.99186940648</v>
      </c>
      <c r="AP381" s="965">
        <f t="shared" si="272"/>
        <v>-504404.99186940648</v>
      </c>
      <c r="AQ381" s="965">
        <f t="shared" si="272"/>
        <v>-504404.99186940648</v>
      </c>
      <c r="AR381" s="965">
        <f t="shared" si="272"/>
        <v>-504404.99186940648</v>
      </c>
      <c r="AS381" s="965">
        <f t="shared" si="272"/>
        <v>-504404.99186940648</v>
      </c>
      <c r="AT381" s="965">
        <f t="shared" si="272"/>
        <v>-504404.99186940648</v>
      </c>
    </row>
    <row r="382" spans="2:57" x14ac:dyDescent="0.25">
      <c r="B382" s="831" t="str">
        <f t="shared" ref="B382:AT382" si="273">B78</f>
        <v>Activos iniciales - Depreciacion 40 años</v>
      </c>
      <c r="C382" s="965">
        <f t="shared" si="273"/>
        <v>0</v>
      </c>
      <c r="D382" s="965">
        <f t="shared" si="273"/>
        <v>0</v>
      </c>
      <c r="E382" s="965">
        <f t="shared" si="273"/>
        <v>0</v>
      </c>
      <c r="F382" s="965">
        <f t="shared" si="273"/>
        <v>0</v>
      </c>
      <c r="G382" s="965">
        <f t="shared" si="273"/>
        <v>-1099119.8758722784</v>
      </c>
      <c r="H382" s="965">
        <f t="shared" si="273"/>
        <v>-1099119.8758722784</v>
      </c>
      <c r="I382" s="965">
        <f t="shared" si="273"/>
        <v>-1099119.8758722784</v>
      </c>
      <c r="J382" s="965">
        <f t="shared" si="273"/>
        <v>-1099119.8758722784</v>
      </c>
      <c r="K382" s="965">
        <f t="shared" si="273"/>
        <v>-1099119.8758722784</v>
      </c>
      <c r="L382" s="965">
        <f t="shared" si="273"/>
        <v>-1099119.8758722784</v>
      </c>
      <c r="M382" s="965">
        <f t="shared" si="273"/>
        <v>-1099119.8758722784</v>
      </c>
      <c r="N382" s="965">
        <f t="shared" si="273"/>
        <v>-1099119.8758722784</v>
      </c>
      <c r="O382" s="965">
        <f t="shared" si="273"/>
        <v>-1099119.8758722784</v>
      </c>
      <c r="P382" s="965">
        <f t="shared" si="273"/>
        <v>-1099119.8758722784</v>
      </c>
      <c r="Q382" s="965">
        <f t="shared" si="273"/>
        <v>-1099119.8758722784</v>
      </c>
      <c r="R382" s="965">
        <f t="shared" si="273"/>
        <v>-1099119.8758722784</v>
      </c>
      <c r="S382" s="965">
        <f t="shared" si="273"/>
        <v>-1099119.8758722784</v>
      </c>
      <c r="T382" s="965">
        <f t="shared" si="273"/>
        <v>-1099119.8758722784</v>
      </c>
      <c r="U382" s="965">
        <f t="shared" si="273"/>
        <v>-1099119.8758722784</v>
      </c>
      <c r="V382" s="965">
        <f t="shared" si="273"/>
        <v>-1099119.8758722784</v>
      </c>
      <c r="W382" s="965">
        <f t="shared" si="273"/>
        <v>-1099119.8758722784</v>
      </c>
      <c r="X382" s="965">
        <f t="shared" si="273"/>
        <v>-1099119.8758722784</v>
      </c>
      <c r="Y382" s="965">
        <f t="shared" si="273"/>
        <v>-1099119.8758722784</v>
      </c>
      <c r="Z382" s="965">
        <f t="shared" si="273"/>
        <v>-1099119.8758722784</v>
      </c>
      <c r="AA382" s="965">
        <f t="shared" si="273"/>
        <v>-1099119.8758722784</v>
      </c>
      <c r="AB382" s="965">
        <f t="shared" si="273"/>
        <v>-1099119.8758722784</v>
      </c>
      <c r="AC382" s="965">
        <f t="shared" si="273"/>
        <v>-1099119.8758722784</v>
      </c>
      <c r="AD382" s="965">
        <f t="shared" si="273"/>
        <v>-1099119.8758722784</v>
      </c>
      <c r="AE382" s="965">
        <f t="shared" si="273"/>
        <v>-1099119.8758722784</v>
      </c>
      <c r="AF382" s="965">
        <f t="shared" si="273"/>
        <v>-1099119.8758722784</v>
      </c>
      <c r="AG382" s="965">
        <f t="shared" si="273"/>
        <v>-1099119.8758722784</v>
      </c>
      <c r="AH382" s="965">
        <f t="shared" si="273"/>
        <v>-1099119.8758722784</v>
      </c>
      <c r="AI382" s="965">
        <f t="shared" si="273"/>
        <v>-1099119.8758722784</v>
      </c>
      <c r="AJ382" s="965">
        <f t="shared" si="273"/>
        <v>-1099119.8758722784</v>
      </c>
      <c r="AK382" s="965">
        <f t="shared" si="273"/>
        <v>-1099119.8758722784</v>
      </c>
      <c r="AL382" s="965">
        <f t="shared" si="273"/>
        <v>-1099119.8758722784</v>
      </c>
      <c r="AM382" s="965">
        <f t="shared" si="273"/>
        <v>-1099119.8758722784</v>
      </c>
      <c r="AN382" s="965">
        <f t="shared" si="273"/>
        <v>-1099119.8758722784</v>
      </c>
      <c r="AO382" s="965">
        <f t="shared" si="273"/>
        <v>-1099119.8758722784</v>
      </c>
      <c r="AP382" s="965">
        <f t="shared" si="273"/>
        <v>-1099119.8758722784</v>
      </c>
      <c r="AQ382" s="965">
        <f t="shared" si="273"/>
        <v>-1099119.8758722784</v>
      </c>
      <c r="AR382" s="965">
        <f t="shared" si="273"/>
        <v>-1099119.8758722784</v>
      </c>
      <c r="AS382" s="965">
        <f t="shared" si="273"/>
        <v>-1099119.8758722784</v>
      </c>
      <c r="AT382" s="965">
        <f t="shared" si="273"/>
        <v>-1099119.8758722784</v>
      </c>
    </row>
    <row r="383" spans="2:57" x14ac:dyDescent="0.25">
      <c r="B383" s="831" t="str">
        <f t="shared" ref="B383:AT383" si="274">B79</f>
        <v>Activos iniciales - Depreciacion 15 años</v>
      </c>
      <c r="C383" s="965">
        <f t="shared" si="274"/>
        <v>0</v>
      </c>
      <c r="D383" s="965">
        <f t="shared" si="274"/>
        <v>0</v>
      </c>
      <c r="E383" s="965">
        <f t="shared" si="274"/>
        <v>0</v>
      </c>
      <c r="F383" s="965">
        <f t="shared" si="274"/>
        <v>0</v>
      </c>
      <c r="G383" s="965">
        <f t="shared" si="274"/>
        <v>-627015.96420904167</v>
      </c>
      <c r="H383" s="965">
        <f t="shared" si="274"/>
        <v>-627015.96420904167</v>
      </c>
      <c r="I383" s="965">
        <f t="shared" si="274"/>
        <v>-627015.96420904167</v>
      </c>
      <c r="J383" s="965">
        <f t="shared" si="274"/>
        <v>-627015.96420904167</v>
      </c>
      <c r="K383" s="965">
        <f t="shared" si="274"/>
        <v>-627015.96420904167</v>
      </c>
      <c r="L383" s="965">
        <f t="shared" si="274"/>
        <v>-627015.96420904167</v>
      </c>
      <c r="M383" s="965">
        <f t="shared" si="274"/>
        <v>-627015.96420904167</v>
      </c>
      <c r="N383" s="965">
        <f t="shared" si="274"/>
        <v>-627015.96420904167</v>
      </c>
      <c r="O383" s="965">
        <f t="shared" si="274"/>
        <v>-627015.96420904167</v>
      </c>
      <c r="P383" s="965">
        <f t="shared" si="274"/>
        <v>-627015.96420904167</v>
      </c>
      <c r="Q383" s="965">
        <f t="shared" si="274"/>
        <v>-627015.96420904167</v>
      </c>
      <c r="R383" s="965">
        <f t="shared" si="274"/>
        <v>-627015.96420904167</v>
      </c>
      <c r="S383" s="965">
        <f t="shared" si="274"/>
        <v>-627015.96420904167</v>
      </c>
      <c r="T383" s="965">
        <f t="shared" si="274"/>
        <v>-627015.96420904167</v>
      </c>
      <c r="U383" s="965">
        <f t="shared" si="274"/>
        <v>-627015.96420904167</v>
      </c>
      <c r="V383" s="965">
        <f t="shared" si="274"/>
        <v>0</v>
      </c>
      <c r="W383" s="965">
        <f t="shared" si="274"/>
        <v>0</v>
      </c>
      <c r="X383" s="965">
        <f t="shared" si="274"/>
        <v>0</v>
      </c>
      <c r="Y383" s="965">
        <f t="shared" si="274"/>
        <v>0</v>
      </c>
      <c r="Z383" s="965">
        <f t="shared" si="274"/>
        <v>0</v>
      </c>
      <c r="AA383" s="965">
        <f t="shared" si="274"/>
        <v>0</v>
      </c>
      <c r="AB383" s="965">
        <f t="shared" si="274"/>
        <v>0</v>
      </c>
      <c r="AC383" s="965">
        <f t="shared" si="274"/>
        <v>0</v>
      </c>
      <c r="AD383" s="965">
        <f t="shared" si="274"/>
        <v>0</v>
      </c>
      <c r="AE383" s="965">
        <f t="shared" si="274"/>
        <v>0</v>
      </c>
      <c r="AF383" s="965">
        <f t="shared" si="274"/>
        <v>0</v>
      </c>
      <c r="AG383" s="965">
        <f t="shared" si="274"/>
        <v>0</v>
      </c>
      <c r="AH383" s="965">
        <f t="shared" si="274"/>
        <v>0</v>
      </c>
      <c r="AI383" s="965">
        <f t="shared" si="274"/>
        <v>0</v>
      </c>
      <c r="AJ383" s="965">
        <f t="shared" si="274"/>
        <v>0</v>
      </c>
      <c r="AK383" s="965">
        <f t="shared" si="274"/>
        <v>0</v>
      </c>
      <c r="AL383" s="965">
        <f t="shared" si="274"/>
        <v>0</v>
      </c>
      <c r="AM383" s="965">
        <f t="shared" si="274"/>
        <v>0</v>
      </c>
      <c r="AN383" s="965">
        <f t="shared" si="274"/>
        <v>0</v>
      </c>
      <c r="AO383" s="965">
        <f t="shared" si="274"/>
        <v>0</v>
      </c>
      <c r="AP383" s="965">
        <f t="shared" si="274"/>
        <v>0</v>
      </c>
      <c r="AQ383" s="965">
        <f t="shared" si="274"/>
        <v>0</v>
      </c>
      <c r="AR383" s="965">
        <f t="shared" si="274"/>
        <v>0</v>
      </c>
      <c r="AS383" s="965">
        <f t="shared" si="274"/>
        <v>0</v>
      </c>
      <c r="AT383" s="965">
        <f t="shared" si="274"/>
        <v>0</v>
      </c>
    </row>
    <row r="384" spans="2:57" x14ac:dyDescent="0.25">
      <c r="B384" s="831" t="str">
        <f t="shared" ref="B384:AT384" si="275">B80</f>
        <v>Activos iniciales - Depreciacion 10 años</v>
      </c>
      <c r="C384" s="965">
        <f t="shared" si="275"/>
        <v>0</v>
      </c>
      <c r="D384" s="965">
        <f t="shared" si="275"/>
        <v>0</v>
      </c>
      <c r="E384" s="965">
        <f t="shared" si="275"/>
        <v>0</v>
      </c>
      <c r="F384" s="965">
        <f t="shared" si="275"/>
        <v>0</v>
      </c>
      <c r="G384" s="965">
        <f t="shared" si="275"/>
        <v>-235044.88831879152</v>
      </c>
      <c r="H384" s="965">
        <f t="shared" si="275"/>
        <v>-235044.88831879152</v>
      </c>
      <c r="I384" s="965">
        <f t="shared" si="275"/>
        <v>-235044.88831879152</v>
      </c>
      <c r="J384" s="965">
        <f t="shared" si="275"/>
        <v>-235044.88831879152</v>
      </c>
      <c r="K384" s="965">
        <f t="shared" si="275"/>
        <v>-235044.88831879152</v>
      </c>
      <c r="L384" s="965">
        <f t="shared" si="275"/>
        <v>-235044.88831879152</v>
      </c>
      <c r="M384" s="965">
        <f t="shared" si="275"/>
        <v>-235044.88831879152</v>
      </c>
      <c r="N384" s="965">
        <f t="shared" si="275"/>
        <v>-235044.88831879152</v>
      </c>
      <c r="O384" s="965">
        <f t="shared" si="275"/>
        <v>-235044.88831879152</v>
      </c>
      <c r="P384" s="965">
        <f t="shared" si="275"/>
        <v>-235044.88831879152</v>
      </c>
      <c r="Q384" s="965">
        <f t="shared" si="275"/>
        <v>0</v>
      </c>
      <c r="R384" s="965">
        <f t="shared" si="275"/>
        <v>0</v>
      </c>
      <c r="S384" s="965">
        <f t="shared" si="275"/>
        <v>0</v>
      </c>
      <c r="T384" s="965">
        <f t="shared" si="275"/>
        <v>0</v>
      </c>
      <c r="U384" s="965">
        <f t="shared" si="275"/>
        <v>0</v>
      </c>
      <c r="V384" s="965">
        <f t="shared" si="275"/>
        <v>0</v>
      </c>
      <c r="W384" s="965">
        <f t="shared" si="275"/>
        <v>0</v>
      </c>
      <c r="X384" s="965">
        <f t="shared" si="275"/>
        <v>0</v>
      </c>
      <c r="Y384" s="965">
        <f t="shared" si="275"/>
        <v>0</v>
      </c>
      <c r="Z384" s="965">
        <f t="shared" si="275"/>
        <v>0</v>
      </c>
      <c r="AA384" s="965">
        <f t="shared" si="275"/>
        <v>0</v>
      </c>
      <c r="AB384" s="965">
        <f t="shared" si="275"/>
        <v>0</v>
      </c>
      <c r="AC384" s="965">
        <f t="shared" si="275"/>
        <v>0</v>
      </c>
      <c r="AD384" s="965">
        <f t="shared" si="275"/>
        <v>0</v>
      </c>
      <c r="AE384" s="965">
        <f t="shared" si="275"/>
        <v>0</v>
      </c>
      <c r="AF384" s="965">
        <f t="shared" si="275"/>
        <v>0</v>
      </c>
      <c r="AG384" s="965">
        <f t="shared" si="275"/>
        <v>0</v>
      </c>
      <c r="AH384" s="965">
        <f t="shared" si="275"/>
        <v>0</v>
      </c>
      <c r="AI384" s="965">
        <f t="shared" si="275"/>
        <v>0</v>
      </c>
      <c r="AJ384" s="965">
        <f t="shared" si="275"/>
        <v>0</v>
      </c>
      <c r="AK384" s="965">
        <f t="shared" si="275"/>
        <v>0</v>
      </c>
      <c r="AL384" s="965">
        <f t="shared" si="275"/>
        <v>0</v>
      </c>
      <c r="AM384" s="965">
        <f t="shared" si="275"/>
        <v>0</v>
      </c>
      <c r="AN384" s="965">
        <f t="shared" si="275"/>
        <v>0</v>
      </c>
      <c r="AO384" s="965">
        <f t="shared" si="275"/>
        <v>0</v>
      </c>
      <c r="AP384" s="965">
        <f t="shared" si="275"/>
        <v>0</v>
      </c>
      <c r="AQ384" s="965">
        <f t="shared" si="275"/>
        <v>0</v>
      </c>
      <c r="AR384" s="965">
        <f t="shared" si="275"/>
        <v>0</v>
      </c>
      <c r="AS384" s="965">
        <f t="shared" si="275"/>
        <v>0</v>
      </c>
      <c r="AT384" s="965">
        <f t="shared" si="275"/>
        <v>0</v>
      </c>
    </row>
    <row r="385" spans="2:46" x14ac:dyDescent="0.25">
      <c r="B385" s="831" t="str">
        <f t="shared" ref="B385:AT385" si="276">B81</f>
        <v>Activos iniciales - Depreciacion 5 años</v>
      </c>
      <c r="C385" s="965">
        <f t="shared" si="276"/>
        <v>0</v>
      </c>
      <c r="D385" s="965">
        <f t="shared" si="276"/>
        <v>0</v>
      </c>
      <c r="E385" s="965">
        <f t="shared" si="276"/>
        <v>0</v>
      </c>
      <c r="F385" s="965">
        <f t="shared" si="276"/>
        <v>0</v>
      </c>
      <c r="G385" s="965">
        <f t="shared" si="276"/>
        <v>-141000.47274877818</v>
      </c>
      <c r="H385" s="965">
        <f t="shared" si="276"/>
        <v>-141000.47274877818</v>
      </c>
      <c r="I385" s="965">
        <f t="shared" si="276"/>
        <v>-141000.47274877818</v>
      </c>
      <c r="J385" s="965">
        <f t="shared" si="276"/>
        <v>-141000.47274877818</v>
      </c>
      <c r="K385" s="965">
        <f t="shared" si="276"/>
        <v>-141000.47274877818</v>
      </c>
      <c r="L385" s="965">
        <f t="shared" si="276"/>
        <v>0</v>
      </c>
      <c r="M385" s="965">
        <f t="shared" si="276"/>
        <v>0</v>
      </c>
      <c r="N385" s="965">
        <f t="shared" si="276"/>
        <v>0</v>
      </c>
      <c r="O385" s="965">
        <f t="shared" si="276"/>
        <v>0</v>
      </c>
      <c r="P385" s="965">
        <f t="shared" si="276"/>
        <v>0</v>
      </c>
      <c r="Q385" s="965">
        <f t="shared" si="276"/>
        <v>0</v>
      </c>
      <c r="R385" s="965">
        <f t="shared" si="276"/>
        <v>0</v>
      </c>
      <c r="S385" s="965">
        <f t="shared" si="276"/>
        <v>0</v>
      </c>
      <c r="T385" s="965">
        <f t="shared" si="276"/>
        <v>0</v>
      </c>
      <c r="U385" s="965">
        <f t="shared" si="276"/>
        <v>0</v>
      </c>
      <c r="V385" s="965">
        <f t="shared" si="276"/>
        <v>0</v>
      </c>
      <c r="W385" s="965">
        <f t="shared" si="276"/>
        <v>0</v>
      </c>
      <c r="X385" s="965">
        <f t="shared" si="276"/>
        <v>0</v>
      </c>
      <c r="Y385" s="965">
        <f t="shared" si="276"/>
        <v>0</v>
      </c>
      <c r="Z385" s="965">
        <f t="shared" si="276"/>
        <v>0</v>
      </c>
      <c r="AA385" s="965">
        <f t="shared" si="276"/>
        <v>0</v>
      </c>
      <c r="AB385" s="965">
        <f t="shared" si="276"/>
        <v>0</v>
      </c>
      <c r="AC385" s="965">
        <f t="shared" si="276"/>
        <v>0</v>
      </c>
      <c r="AD385" s="965">
        <f t="shared" si="276"/>
        <v>0</v>
      </c>
      <c r="AE385" s="965">
        <f t="shared" si="276"/>
        <v>0</v>
      </c>
      <c r="AF385" s="965">
        <f t="shared" si="276"/>
        <v>0</v>
      </c>
      <c r="AG385" s="965">
        <f t="shared" si="276"/>
        <v>0</v>
      </c>
      <c r="AH385" s="965">
        <f t="shared" si="276"/>
        <v>0</v>
      </c>
      <c r="AI385" s="965">
        <f t="shared" si="276"/>
        <v>0</v>
      </c>
      <c r="AJ385" s="965">
        <f t="shared" si="276"/>
        <v>0</v>
      </c>
      <c r="AK385" s="965">
        <f t="shared" si="276"/>
        <v>0</v>
      </c>
      <c r="AL385" s="965">
        <f t="shared" si="276"/>
        <v>0</v>
      </c>
      <c r="AM385" s="965">
        <f t="shared" si="276"/>
        <v>0</v>
      </c>
      <c r="AN385" s="965">
        <f t="shared" si="276"/>
        <v>0</v>
      </c>
      <c r="AO385" s="965">
        <f t="shared" si="276"/>
        <v>0</v>
      </c>
      <c r="AP385" s="965">
        <f t="shared" si="276"/>
        <v>0</v>
      </c>
      <c r="AQ385" s="965">
        <f t="shared" si="276"/>
        <v>0</v>
      </c>
      <c r="AR385" s="965">
        <f t="shared" si="276"/>
        <v>0</v>
      </c>
      <c r="AS385" s="965">
        <f t="shared" si="276"/>
        <v>0</v>
      </c>
      <c r="AT385" s="965">
        <f t="shared" si="276"/>
        <v>0</v>
      </c>
    </row>
    <row r="386" spans="2:46" x14ac:dyDescent="0.25">
      <c r="B386" s="831" t="str">
        <f t="shared" ref="B386:AT386" si="277">B82</f>
        <v>Activos iniciales - Valor residual</v>
      </c>
      <c r="C386" s="965">
        <f t="shared" si="277"/>
        <v>0</v>
      </c>
      <c r="D386" s="965">
        <f t="shared" si="277"/>
        <v>0</v>
      </c>
      <c r="E386" s="965">
        <f t="shared" si="277"/>
        <v>0</v>
      </c>
      <c r="F386" s="965">
        <f t="shared" si="277"/>
        <v>0</v>
      </c>
      <c r="G386" s="965">
        <f t="shared" si="277"/>
        <v>91399247.348360002</v>
      </c>
      <c r="H386" s="965">
        <f t="shared" si="277"/>
        <v>88792661.1553417</v>
      </c>
      <c r="I386" s="965">
        <f t="shared" si="277"/>
        <v>86186074.962323397</v>
      </c>
      <c r="J386" s="965">
        <f t="shared" si="277"/>
        <v>83579488.769305095</v>
      </c>
      <c r="K386" s="965">
        <f t="shared" si="277"/>
        <v>80972902.576286793</v>
      </c>
      <c r="L386" s="965">
        <f t="shared" si="277"/>
        <v>78507316.856017277</v>
      </c>
      <c r="M386" s="965">
        <f t="shared" si="277"/>
        <v>76041731.135747761</v>
      </c>
      <c r="N386" s="965">
        <f t="shared" si="277"/>
        <v>73576145.415478244</v>
      </c>
      <c r="O386" s="965">
        <f t="shared" si="277"/>
        <v>71110559.695208728</v>
      </c>
      <c r="P386" s="965">
        <f t="shared" si="277"/>
        <v>68644973.974939212</v>
      </c>
      <c r="Q386" s="965">
        <f t="shared" si="277"/>
        <v>66414433.142988488</v>
      </c>
      <c r="R386" s="965">
        <f t="shared" si="277"/>
        <v>64183892.311037764</v>
      </c>
      <c r="S386" s="965">
        <f t="shared" si="277"/>
        <v>61953351.47908704</v>
      </c>
      <c r="T386" s="965">
        <f t="shared" si="277"/>
        <v>59722810.647136316</v>
      </c>
      <c r="U386" s="965">
        <f t="shared" si="277"/>
        <v>57492269.815185592</v>
      </c>
      <c r="V386" s="965">
        <f t="shared" si="277"/>
        <v>55888744.94744391</v>
      </c>
      <c r="W386" s="965">
        <f t="shared" si="277"/>
        <v>54285220.079702228</v>
      </c>
      <c r="X386" s="965">
        <f t="shared" si="277"/>
        <v>52681695.211960547</v>
      </c>
      <c r="Y386" s="965">
        <f t="shared" si="277"/>
        <v>51078170.344218865</v>
      </c>
      <c r="Z386" s="965">
        <f t="shared" si="277"/>
        <v>49474645.476477183</v>
      </c>
      <c r="AA386" s="965">
        <f t="shared" si="277"/>
        <v>47871120.608735502</v>
      </c>
      <c r="AB386" s="965">
        <f t="shared" si="277"/>
        <v>46267595.74099382</v>
      </c>
      <c r="AC386" s="965">
        <f t="shared" si="277"/>
        <v>44664070.873252138</v>
      </c>
      <c r="AD386" s="965">
        <f t="shared" si="277"/>
        <v>43060546.005510457</v>
      </c>
      <c r="AE386" s="965">
        <f t="shared" si="277"/>
        <v>41457021.137768775</v>
      </c>
      <c r="AF386" s="965">
        <f t="shared" si="277"/>
        <v>39853496.270027094</v>
      </c>
      <c r="AG386" s="965">
        <f t="shared" si="277"/>
        <v>38249971.402285412</v>
      </c>
      <c r="AH386" s="965">
        <f t="shared" si="277"/>
        <v>36646446.53454373</v>
      </c>
      <c r="AI386" s="965">
        <f t="shared" si="277"/>
        <v>35042921.666802049</v>
      </c>
      <c r="AJ386" s="965">
        <f t="shared" si="277"/>
        <v>33439396.799060363</v>
      </c>
      <c r="AK386" s="965">
        <f t="shared" si="277"/>
        <v>31835871.931318678</v>
      </c>
      <c r="AL386" s="965">
        <f t="shared" si="277"/>
        <v>30232347.063576993</v>
      </c>
      <c r="AM386" s="965">
        <f t="shared" si="277"/>
        <v>28628822.195835307</v>
      </c>
      <c r="AN386" s="965">
        <f t="shared" si="277"/>
        <v>27025297.328093622</v>
      </c>
      <c r="AO386" s="965">
        <f t="shared" si="277"/>
        <v>25421772.460351937</v>
      </c>
      <c r="AP386" s="965">
        <f t="shared" si="277"/>
        <v>23818247.592610251</v>
      </c>
      <c r="AQ386" s="965">
        <f t="shared" si="277"/>
        <v>22214722.724868566</v>
      </c>
      <c r="AR386" s="965">
        <f t="shared" si="277"/>
        <v>20611197.85712688</v>
      </c>
      <c r="AS386" s="965">
        <f t="shared" si="277"/>
        <v>19007672.989385195</v>
      </c>
      <c r="AT386" s="965">
        <f t="shared" si="277"/>
        <v>17404148.12164351</v>
      </c>
    </row>
    <row r="387" spans="2:46" x14ac:dyDescent="0.25">
      <c r="B387" s="831" t="str">
        <f t="shared" ref="B387:AT387" si="278">B83</f>
        <v>Activos nuevos 1 - Depreciacion 10 años</v>
      </c>
      <c r="C387" s="965">
        <f t="shared" si="278"/>
        <v>0</v>
      </c>
      <c r="D387" s="965">
        <f t="shared" si="278"/>
        <v>0</v>
      </c>
      <c r="E387" s="965">
        <f t="shared" si="278"/>
        <v>0</v>
      </c>
      <c r="F387" s="965">
        <f t="shared" si="278"/>
        <v>0</v>
      </c>
      <c r="G387" s="965">
        <f t="shared" si="278"/>
        <v>0</v>
      </c>
      <c r="H387" s="965">
        <f t="shared" si="278"/>
        <v>0</v>
      </c>
      <c r="I387" s="965">
        <f t="shared" si="278"/>
        <v>0</v>
      </c>
      <c r="J387" s="965">
        <f t="shared" si="278"/>
        <v>0</v>
      </c>
      <c r="K387" s="965">
        <f t="shared" si="278"/>
        <v>0</v>
      </c>
      <c r="L387" s="965">
        <f t="shared" si="278"/>
        <v>0</v>
      </c>
      <c r="M387" s="965">
        <f t="shared" si="278"/>
        <v>0</v>
      </c>
      <c r="N387" s="965">
        <f t="shared" si="278"/>
        <v>0</v>
      </c>
      <c r="O387" s="965">
        <f t="shared" si="278"/>
        <v>0</v>
      </c>
      <c r="P387" s="965">
        <f t="shared" si="278"/>
        <v>0</v>
      </c>
      <c r="Q387" s="965">
        <f t="shared" si="278"/>
        <v>0</v>
      </c>
      <c r="R387" s="965">
        <f t="shared" si="278"/>
        <v>-300957.91077587084</v>
      </c>
      <c r="S387" s="965">
        <f t="shared" si="278"/>
        <v>-300957.91077587084</v>
      </c>
      <c r="T387" s="965">
        <f t="shared" si="278"/>
        <v>-300957.91077587084</v>
      </c>
      <c r="U387" s="965">
        <f t="shared" si="278"/>
        <v>-300957.91077587084</v>
      </c>
      <c r="V387" s="965">
        <f t="shared" si="278"/>
        <v>-300957.91077587084</v>
      </c>
      <c r="W387" s="965">
        <f t="shared" si="278"/>
        <v>-300957.91077587084</v>
      </c>
      <c r="X387" s="965">
        <f t="shared" si="278"/>
        <v>-300957.91077587084</v>
      </c>
      <c r="Y387" s="965">
        <f t="shared" si="278"/>
        <v>-300957.91077587084</v>
      </c>
      <c r="Z387" s="965">
        <f t="shared" si="278"/>
        <v>-300957.91077587084</v>
      </c>
      <c r="AA387" s="965">
        <f t="shared" si="278"/>
        <v>-300957.91077587084</v>
      </c>
      <c r="AB387" s="965">
        <f t="shared" si="278"/>
        <v>-300957.91077587084</v>
      </c>
      <c r="AC387" s="965">
        <f t="shared" si="278"/>
        <v>0</v>
      </c>
      <c r="AD387" s="965">
        <f t="shared" si="278"/>
        <v>0</v>
      </c>
      <c r="AE387" s="965">
        <f t="shared" si="278"/>
        <v>0</v>
      </c>
      <c r="AF387" s="965">
        <f t="shared" si="278"/>
        <v>0</v>
      </c>
      <c r="AG387" s="965">
        <f t="shared" si="278"/>
        <v>0</v>
      </c>
      <c r="AH387" s="965">
        <f t="shared" si="278"/>
        <v>0</v>
      </c>
      <c r="AI387" s="965">
        <f t="shared" si="278"/>
        <v>0</v>
      </c>
      <c r="AJ387" s="965">
        <f t="shared" si="278"/>
        <v>0</v>
      </c>
      <c r="AK387" s="965">
        <f t="shared" si="278"/>
        <v>0</v>
      </c>
      <c r="AL387" s="965">
        <f t="shared" si="278"/>
        <v>0</v>
      </c>
      <c r="AM387" s="965">
        <f t="shared" si="278"/>
        <v>0</v>
      </c>
      <c r="AN387" s="965">
        <f t="shared" si="278"/>
        <v>0</v>
      </c>
      <c r="AO387" s="965">
        <f t="shared" si="278"/>
        <v>0</v>
      </c>
      <c r="AP387" s="965">
        <f t="shared" si="278"/>
        <v>0</v>
      </c>
      <c r="AQ387" s="965">
        <f t="shared" si="278"/>
        <v>0</v>
      </c>
      <c r="AR387" s="965">
        <f t="shared" si="278"/>
        <v>0</v>
      </c>
      <c r="AS387" s="965">
        <f t="shared" si="278"/>
        <v>0</v>
      </c>
      <c r="AT387" s="965">
        <f t="shared" si="278"/>
        <v>0</v>
      </c>
    </row>
    <row r="388" spans="2:46" x14ac:dyDescent="0.25">
      <c r="B388" s="831" t="str">
        <f t="shared" ref="B388:AT388" si="279">B84</f>
        <v>Activos nuevos 1 - Valor residual</v>
      </c>
      <c r="C388" s="965">
        <f t="shared" si="279"/>
        <v>0</v>
      </c>
      <c r="D388" s="965">
        <f t="shared" si="279"/>
        <v>0</v>
      </c>
      <c r="E388" s="965">
        <f t="shared" si="279"/>
        <v>0</v>
      </c>
      <c r="F388" s="965">
        <f t="shared" si="279"/>
        <v>0</v>
      </c>
      <c r="G388" s="965">
        <f t="shared" si="279"/>
        <v>0</v>
      </c>
      <c r="H388" s="965">
        <f t="shared" si="279"/>
        <v>0</v>
      </c>
      <c r="I388" s="965">
        <f t="shared" si="279"/>
        <v>0</v>
      </c>
      <c r="J388" s="965">
        <f t="shared" si="279"/>
        <v>0</v>
      </c>
      <c r="K388" s="965">
        <f t="shared" si="279"/>
        <v>0</v>
      </c>
      <c r="L388" s="965">
        <f t="shared" si="279"/>
        <v>0</v>
      </c>
      <c r="M388" s="965">
        <f t="shared" si="279"/>
        <v>0</v>
      </c>
      <c r="N388" s="965">
        <f t="shared" si="279"/>
        <v>0</v>
      </c>
      <c r="O388" s="965">
        <f t="shared" si="279"/>
        <v>0</v>
      </c>
      <c r="P388" s="965">
        <f t="shared" si="279"/>
        <v>0</v>
      </c>
      <c r="Q388" s="965">
        <f t="shared" si="279"/>
        <v>0</v>
      </c>
      <c r="R388" s="965">
        <f t="shared" si="279"/>
        <v>3009579.1077587083</v>
      </c>
      <c r="S388" s="965">
        <f t="shared" si="279"/>
        <v>2708621.1969828373</v>
      </c>
      <c r="T388" s="965">
        <f t="shared" si="279"/>
        <v>2407663.2862069663</v>
      </c>
      <c r="U388" s="965">
        <f t="shared" si="279"/>
        <v>2106705.3754310952</v>
      </c>
      <c r="V388" s="965">
        <f t="shared" si="279"/>
        <v>1805747.4646552245</v>
      </c>
      <c r="W388" s="965">
        <f t="shared" si="279"/>
        <v>1504789.5538793537</v>
      </c>
      <c r="X388" s="965">
        <f t="shared" si="279"/>
        <v>1203831.6431034829</v>
      </c>
      <c r="Y388" s="965">
        <f t="shared" si="279"/>
        <v>902873.73232761212</v>
      </c>
      <c r="Z388" s="965">
        <f t="shared" si="279"/>
        <v>601915.82155174133</v>
      </c>
      <c r="AA388" s="965">
        <f t="shared" si="279"/>
        <v>300957.91077587049</v>
      </c>
      <c r="AB388" s="965">
        <f t="shared" si="279"/>
        <v>0</v>
      </c>
      <c r="AC388" s="965">
        <f t="shared" si="279"/>
        <v>0</v>
      </c>
      <c r="AD388" s="965">
        <f t="shared" si="279"/>
        <v>0</v>
      </c>
      <c r="AE388" s="965">
        <f t="shared" si="279"/>
        <v>0</v>
      </c>
      <c r="AF388" s="965">
        <f t="shared" si="279"/>
        <v>0</v>
      </c>
      <c r="AG388" s="965">
        <f t="shared" si="279"/>
        <v>0</v>
      </c>
      <c r="AH388" s="965">
        <f t="shared" si="279"/>
        <v>0</v>
      </c>
      <c r="AI388" s="965">
        <f t="shared" si="279"/>
        <v>0</v>
      </c>
      <c r="AJ388" s="965">
        <f t="shared" si="279"/>
        <v>0</v>
      </c>
      <c r="AK388" s="965">
        <f t="shared" si="279"/>
        <v>0</v>
      </c>
      <c r="AL388" s="965">
        <f t="shared" si="279"/>
        <v>0</v>
      </c>
      <c r="AM388" s="965">
        <f t="shared" si="279"/>
        <v>0</v>
      </c>
      <c r="AN388" s="965">
        <f t="shared" si="279"/>
        <v>0</v>
      </c>
      <c r="AO388" s="965">
        <f t="shared" si="279"/>
        <v>0</v>
      </c>
      <c r="AP388" s="965">
        <f t="shared" si="279"/>
        <v>0</v>
      </c>
      <c r="AQ388" s="965">
        <f t="shared" si="279"/>
        <v>0</v>
      </c>
      <c r="AR388" s="965">
        <f t="shared" si="279"/>
        <v>0</v>
      </c>
      <c r="AS388" s="965">
        <f t="shared" si="279"/>
        <v>0</v>
      </c>
      <c r="AT388" s="965">
        <f t="shared" si="279"/>
        <v>0</v>
      </c>
    </row>
    <row r="389" spans="2:46" x14ac:dyDescent="0.25">
      <c r="B389" s="831" t="str">
        <f t="shared" ref="B389:AT389" si="280">B85</f>
        <v>Activos nuevos 2 - Depreciacion 15 años</v>
      </c>
      <c r="C389" s="965">
        <f t="shared" si="280"/>
        <v>0</v>
      </c>
      <c r="D389" s="965">
        <f t="shared" si="280"/>
        <v>0</v>
      </c>
      <c r="E389" s="965">
        <f t="shared" si="280"/>
        <v>0</v>
      </c>
      <c r="F389" s="965">
        <f t="shared" si="280"/>
        <v>0</v>
      </c>
      <c r="G389" s="965">
        <f t="shared" si="280"/>
        <v>0</v>
      </c>
      <c r="H389" s="965">
        <f t="shared" si="280"/>
        <v>0</v>
      </c>
      <c r="I389" s="965">
        <f t="shared" si="280"/>
        <v>0</v>
      </c>
      <c r="J389" s="965">
        <f t="shared" si="280"/>
        <v>0</v>
      </c>
      <c r="K389" s="965">
        <f t="shared" si="280"/>
        <v>0</v>
      </c>
      <c r="L389" s="965">
        <f t="shared" si="280"/>
        <v>0</v>
      </c>
      <c r="M389" s="965">
        <f t="shared" si="280"/>
        <v>0</v>
      </c>
      <c r="N389" s="965">
        <f t="shared" si="280"/>
        <v>0</v>
      </c>
      <c r="O389" s="965">
        <f t="shared" si="280"/>
        <v>0</v>
      </c>
      <c r="P389" s="965">
        <f t="shared" si="280"/>
        <v>0</v>
      </c>
      <c r="Q389" s="965">
        <f t="shared" si="280"/>
        <v>0</v>
      </c>
      <c r="R389" s="965">
        <f t="shared" si="280"/>
        <v>0</v>
      </c>
      <c r="S389" s="965">
        <f t="shared" si="280"/>
        <v>0</v>
      </c>
      <c r="T389" s="965">
        <f t="shared" si="280"/>
        <v>0</v>
      </c>
      <c r="U389" s="965">
        <f t="shared" si="280"/>
        <v>0</v>
      </c>
      <c r="V389" s="965">
        <f t="shared" si="280"/>
        <v>0</v>
      </c>
      <c r="W389" s="965">
        <f t="shared" si="280"/>
        <v>0</v>
      </c>
      <c r="X389" s="965">
        <f t="shared" si="280"/>
        <v>-871957.15905411413</v>
      </c>
      <c r="Y389" s="965">
        <f t="shared" si="280"/>
        <v>-871957.15905411413</v>
      </c>
      <c r="Z389" s="965">
        <f t="shared" si="280"/>
        <v>-871957.15905411413</v>
      </c>
      <c r="AA389" s="965">
        <f t="shared" si="280"/>
        <v>-871957.15905411413</v>
      </c>
      <c r="AB389" s="965">
        <f t="shared" si="280"/>
        <v>-871957.15905411413</v>
      </c>
      <c r="AC389" s="965">
        <f t="shared" si="280"/>
        <v>-871957.15905411413</v>
      </c>
      <c r="AD389" s="965">
        <f t="shared" si="280"/>
        <v>-871957.15905411413</v>
      </c>
      <c r="AE389" s="965">
        <f t="shared" si="280"/>
        <v>-871957.15905411413</v>
      </c>
      <c r="AF389" s="965">
        <f t="shared" si="280"/>
        <v>-871957.15905411413</v>
      </c>
      <c r="AG389" s="965">
        <f t="shared" si="280"/>
        <v>-871957.15905411413</v>
      </c>
      <c r="AH389" s="965">
        <f t="shared" si="280"/>
        <v>-871957.15905411413</v>
      </c>
      <c r="AI389" s="965">
        <f t="shared" si="280"/>
        <v>-871957.15905411413</v>
      </c>
      <c r="AJ389" s="965">
        <f t="shared" si="280"/>
        <v>-871957.15905411413</v>
      </c>
      <c r="AK389" s="965">
        <f t="shared" si="280"/>
        <v>-871957.15905411413</v>
      </c>
      <c r="AL389" s="965">
        <f t="shared" si="280"/>
        <v>-871957.15905411413</v>
      </c>
      <c r="AM389" s="965">
        <f t="shared" si="280"/>
        <v>0</v>
      </c>
      <c r="AN389" s="965">
        <f t="shared" si="280"/>
        <v>0</v>
      </c>
      <c r="AO389" s="965">
        <f t="shared" si="280"/>
        <v>0</v>
      </c>
      <c r="AP389" s="965">
        <f t="shared" si="280"/>
        <v>0</v>
      </c>
      <c r="AQ389" s="965">
        <f t="shared" si="280"/>
        <v>0</v>
      </c>
      <c r="AR389" s="965">
        <f t="shared" si="280"/>
        <v>0</v>
      </c>
      <c r="AS389" s="965">
        <f t="shared" si="280"/>
        <v>0</v>
      </c>
      <c r="AT389" s="965">
        <f t="shared" si="280"/>
        <v>0</v>
      </c>
    </row>
    <row r="390" spans="2:46" x14ac:dyDescent="0.25">
      <c r="B390" s="831" t="str">
        <f t="shared" ref="B390:AT390" si="281">B86</f>
        <v>Activos nuevos 2 - Valor residual</v>
      </c>
      <c r="C390" s="965">
        <f t="shared" si="281"/>
        <v>0</v>
      </c>
      <c r="D390" s="965">
        <f t="shared" si="281"/>
        <v>0</v>
      </c>
      <c r="E390" s="965">
        <f t="shared" si="281"/>
        <v>0</v>
      </c>
      <c r="F390" s="965">
        <f t="shared" si="281"/>
        <v>0</v>
      </c>
      <c r="G390" s="965">
        <f t="shared" si="281"/>
        <v>0</v>
      </c>
      <c r="H390" s="965">
        <f t="shared" si="281"/>
        <v>0</v>
      </c>
      <c r="I390" s="965">
        <f t="shared" si="281"/>
        <v>0</v>
      </c>
      <c r="J390" s="965">
        <f t="shared" si="281"/>
        <v>0</v>
      </c>
      <c r="K390" s="965">
        <f t="shared" si="281"/>
        <v>0</v>
      </c>
      <c r="L390" s="965">
        <f t="shared" si="281"/>
        <v>0</v>
      </c>
      <c r="M390" s="965">
        <f t="shared" si="281"/>
        <v>0</v>
      </c>
      <c r="N390" s="965">
        <f t="shared" si="281"/>
        <v>0</v>
      </c>
      <c r="O390" s="965">
        <f t="shared" si="281"/>
        <v>0</v>
      </c>
      <c r="P390" s="965">
        <f t="shared" si="281"/>
        <v>0</v>
      </c>
      <c r="Q390" s="965">
        <f t="shared" si="281"/>
        <v>0</v>
      </c>
      <c r="R390" s="965">
        <f t="shared" si="281"/>
        <v>0</v>
      </c>
      <c r="S390" s="965">
        <f t="shared" si="281"/>
        <v>0</v>
      </c>
      <c r="T390" s="965">
        <f t="shared" si="281"/>
        <v>0</v>
      </c>
      <c r="U390" s="965">
        <f t="shared" si="281"/>
        <v>0</v>
      </c>
      <c r="V390" s="965">
        <f t="shared" si="281"/>
        <v>0</v>
      </c>
      <c r="W390" s="965">
        <f t="shared" si="281"/>
        <v>0</v>
      </c>
      <c r="X390" s="965">
        <f t="shared" si="281"/>
        <v>12207400.226757599</v>
      </c>
      <c r="Y390" s="965">
        <f t="shared" si="281"/>
        <v>11335443.067703485</v>
      </c>
      <c r="Z390" s="965">
        <f t="shared" si="281"/>
        <v>10463485.908649372</v>
      </c>
      <c r="AA390" s="965">
        <f t="shared" si="281"/>
        <v>9591528.7495952584</v>
      </c>
      <c r="AB390" s="965">
        <f t="shared" si="281"/>
        <v>8719571.5905411448</v>
      </c>
      <c r="AC390" s="965">
        <f t="shared" si="281"/>
        <v>7847614.4314870303</v>
      </c>
      <c r="AD390" s="965">
        <f t="shared" si="281"/>
        <v>6975657.2724329159</v>
      </c>
      <c r="AE390" s="965">
        <f t="shared" si="281"/>
        <v>6103700.1133788014</v>
      </c>
      <c r="AF390" s="965">
        <f t="shared" si="281"/>
        <v>5231742.9543246869</v>
      </c>
      <c r="AG390" s="965">
        <f t="shared" si="281"/>
        <v>4359785.7952705724</v>
      </c>
      <c r="AH390" s="965">
        <f t="shared" si="281"/>
        <v>3487828.6362164584</v>
      </c>
      <c r="AI390" s="965">
        <f t="shared" si="281"/>
        <v>2615871.4771623444</v>
      </c>
      <c r="AJ390" s="965">
        <f t="shared" si="281"/>
        <v>1743914.3181082304</v>
      </c>
      <c r="AK390" s="965">
        <f t="shared" si="281"/>
        <v>871957.15905411623</v>
      </c>
      <c r="AL390" s="965">
        <f t="shared" si="281"/>
        <v>2.0954757928848267E-9</v>
      </c>
      <c r="AM390" s="965">
        <f t="shared" si="281"/>
        <v>0</v>
      </c>
      <c r="AN390" s="965">
        <f t="shared" si="281"/>
        <v>0</v>
      </c>
      <c r="AO390" s="965">
        <f t="shared" si="281"/>
        <v>0</v>
      </c>
      <c r="AP390" s="965">
        <f t="shared" si="281"/>
        <v>0</v>
      </c>
      <c r="AQ390" s="965">
        <f t="shared" si="281"/>
        <v>0</v>
      </c>
      <c r="AR390" s="965">
        <f t="shared" si="281"/>
        <v>0</v>
      </c>
      <c r="AS390" s="965">
        <f t="shared" si="281"/>
        <v>0</v>
      </c>
      <c r="AT390" s="965">
        <f t="shared" si="281"/>
        <v>0</v>
      </c>
    </row>
    <row r="391" spans="2:46" x14ac:dyDescent="0.25">
      <c r="B391" s="831" t="str">
        <f t="shared" ref="B391:AT391" si="282">B87</f>
        <v>Activos nuevos 3 - Depreciacion 10 años</v>
      </c>
      <c r="C391" s="965">
        <f t="shared" si="282"/>
        <v>0</v>
      </c>
      <c r="D391" s="965">
        <f t="shared" si="282"/>
        <v>0</v>
      </c>
      <c r="E391" s="965">
        <f t="shared" si="282"/>
        <v>0</v>
      </c>
      <c r="F391" s="965">
        <f t="shared" si="282"/>
        <v>0</v>
      </c>
      <c r="G391" s="965">
        <f t="shared" si="282"/>
        <v>0</v>
      </c>
      <c r="H391" s="965">
        <f t="shared" si="282"/>
        <v>0</v>
      </c>
      <c r="I391" s="965">
        <f t="shared" si="282"/>
        <v>0</v>
      </c>
      <c r="J391" s="965">
        <f t="shared" si="282"/>
        <v>0</v>
      </c>
      <c r="K391" s="965">
        <f t="shared" si="282"/>
        <v>0</v>
      </c>
      <c r="L391" s="965">
        <f t="shared" si="282"/>
        <v>0</v>
      </c>
      <c r="M391" s="965">
        <f t="shared" si="282"/>
        <v>0</v>
      </c>
      <c r="N391" s="965">
        <f t="shared" si="282"/>
        <v>0</v>
      </c>
      <c r="O391" s="965">
        <f t="shared" si="282"/>
        <v>0</v>
      </c>
      <c r="P391" s="965">
        <f t="shared" si="282"/>
        <v>0</v>
      </c>
      <c r="Q391" s="965">
        <f t="shared" si="282"/>
        <v>0</v>
      </c>
      <c r="R391" s="965">
        <f t="shared" si="282"/>
        <v>0</v>
      </c>
      <c r="S391" s="965">
        <f t="shared" si="282"/>
        <v>0</v>
      </c>
      <c r="T391" s="965">
        <f t="shared" si="282"/>
        <v>0</v>
      </c>
      <c r="U391" s="965">
        <f t="shared" si="282"/>
        <v>0</v>
      </c>
      <c r="V391" s="965">
        <f t="shared" si="282"/>
        <v>0</v>
      </c>
      <c r="W391" s="965">
        <f t="shared" si="282"/>
        <v>0</v>
      </c>
      <c r="X391" s="965">
        <f t="shared" si="282"/>
        <v>0</v>
      </c>
      <c r="Y391" s="965">
        <f t="shared" si="282"/>
        <v>0</v>
      </c>
      <c r="Z391" s="965">
        <f t="shared" si="282"/>
        <v>0</v>
      </c>
      <c r="AA391" s="965">
        <f t="shared" si="282"/>
        <v>0</v>
      </c>
      <c r="AB391" s="965">
        <f t="shared" si="282"/>
        <v>0</v>
      </c>
      <c r="AC391" s="965">
        <f t="shared" si="282"/>
        <v>-373448.70931000181</v>
      </c>
      <c r="AD391" s="965">
        <f t="shared" si="282"/>
        <v>-373448.70931000181</v>
      </c>
      <c r="AE391" s="965">
        <f t="shared" si="282"/>
        <v>-373448.70931000181</v>
      </c>
      <c r="AF391" s="965">
        <f t="shared" si="282"/>
        <v>-373448.70931000181</v>
      </c>
      <c r="AG391" s="965">
        <f t="shared" si="282"/>
        <v>-373448.70931000181</v>
      </c>
      <c r="AH391" s="965">
        <f t="shared" si="282"/>
        <v>-373448.70931000181</v>
      </c>
      <c r="AI391" s="965">
        <f t="shared" si="282"/>
        <v>-373448.70931000181</v>
      </c>
      <c r="AJ391" s="965">
        <f t="shared" si="282"/>
        <v>-373448.70931000181</v>
      </c>
      <c r="AK391" s="965">
        <f t="shared" si="282"/>
        <v>-373448.70931000181</v>
      </c>
      <c r="AL391" s="965">
        <f t="shared" si="282"/>
        <v>-373448.70931000181</v>
      </c>
      <c r="AM391" s="965">
        <f t="shared" si="282"/>
        <v>-373448.70931000181</v>
      </c>
      <c r="AN391" s="965">
        <f t="shared" si="282"/>
        <v>0</v>
      </c>
      <c r="AO391" s="965">
        <f t="shared" si="282"/>
        <v>0</v>
      </c>
      <c r="AP391" s="965">
        <f t="shared" si="282"/>
        <v>0</v>
      </c>
      <c r="AQ391" s="965">
        <f t="shared" si="282"/>
        <v>0</v>
      </c>
      <c r="AR391" s="965">
        <f t="shared" si="282"/>
        <v>0</v>
      </c>
      <c r="AS391" s="965">
        <f t="shared" si="282"/>
        <v>0</v>
      </c>
      <c r="AT391" s="965">
        <f t="shared" si="282"/>
        <v>0</v>
      </c>
    </row>
    <row r="392" spans="2:46" x14ac:dyDescent="0.25">
      <c r="B392" s="831" t="str">
        <f t="shared" ref="B392:AT392" si="283">B88</f>
        <v>Activos nuevos 3 - Valor residual</v>
      </c>
      <c r="C392" s="965">
        <f t="shared" si="283"/>
        <v>0</v>
      </c>
      <c r="D392" s="965">
        <f t="shared" si="283"/>
        <v>0</v>
      </c>
      <c r="E392" s="965">
        <f t="shared" si="283"/>
        <v>0</v>
      </c>
      <c r="F392" s="965">
        <f t="shared" si="283"/>
        <v>0</v>
      </c>
      <c r="G392" s="965">
        <f t="shared" si="283"/>
        <v>0</v>
      </c>
      <c r="H392" s="965">
        <f t="shared" si="283"/>
        <v>0</v>
      </c>
      <c r="I392" s="965">
        <f t="shared" si="283"/>
        <v>0</v>
      </c>
      <c r="J392" s="965">
        <f t="shared" si="283"/>
        <v>0</v>
      </c>
      <c r="K392" s="965">
        <f t="shared" si="283"/>
        <v>0</v>
      </c>
      <c r="L392" s="965">
        <f t="shared" si="283"/>
        <v>0</v>
      </c>
      <c r="M392" s="965">
        <f t="shared" si="283"/>
        <v>0</v>
      </c>
      <c r="N392" s="965">
        <f t="shared" si="283"/>
        <v>0</v>
      </c>
      <c r="O392" s="965">
        <f t="shared" si="283"/>
        <v>0</v>
      </c>
      <c r="P392" s="965">
        <f t="shared" si="283"/>
        <v>0</v>
      </c>
      <c r="Q392" s="965">
        <f t="shared" si="283"/>
        <v>0</v>
      </c>
      <c r="R392" s="965">
        <f t="shared" si="283"/>
        <v>0</v>
      </c>
      <c r="S392" s="965">
        <f t="shared" si="283"/>
        <v>0</v>
      </c>
      <c r="T392" s="965">
        <f t="shared" si="283"/>
        <v>0</v>
      </c>
      <c r="U392" s="965">
        <f t="shared" si="283"/>
        <v>0</v>
      </c>
      <c r="V392" s="965">
        <f t="shared" si="283"/>
        <v>0</v>
      </c>
      <c r="W392" s="965">
        <f t="shared" si="283"/>
        <v>0</v>
      </c>
      <c r="X392" s="965">
        <f t="shared" si="283"/>
        <v>0</v>
      </c>
      <c r="Y392" s="965">
        <f t="shared" si="283"/>
        <v>0</v>
      </c>
      <c r="Z392" s="965">
        <f t="shared" si="283"/>
        <v>0</v>
      </c>
      <c r="AA392" s="965">
        <f t="shared" si="283"/>
        <v>0</v>
      </c>
      <c r="AB392" s="965">
        <f t="shared" si="283"/>
        <v>0</v>
      </c>
      <c r="AC392" s="965">
        <f t="shared" si="283"/>
        <v>3734487.0931000183</v>
      </c>
      <c r="AD392" s="965">
        <f t="shared" si="283"/>
        <v>3361038.3837900166</v>
      </c>
      <c r="AE392" s="965">
        <f t="shared" si="283"/>
        <v>2987589.6744800149</v>
      </c>
      <c r="AF392" s="965">
        <f t="shared" si="283"/>
        <v>2614140.9651700133</v>
      </c>
      <c r="AG392" s="965">
        <f t="shared" si="283"/>
        <v>2240692.2558600116</v>
      </c>
      <c r="AH392" s="965">
        <f t="shared" si="283"/>
        <v>1867243.5465500099</v>
      </c>
      <c r="AI392" s="965">
        <f t="shared" si="283"/>
        <v>1493794.8372400082</v>
      </c>
      <c r="AJ392" s="965">
        <f t="shared" si="283"/>
        <v>1120346.1279300065</v>
      </c>
      <c r="AK392" s="965">
        <f t="shared" si="283"/>
        <v>746897.41862000467</v>
      </c>
      <c r="AL392" s="965">
        <f t="shared" si="283"/>
        <v>373448.70931000286</v>
      </c>
      <c r="AM392" s="965">
        <f t="shared" si="283"/>
        <v>1.0477378964424133E-9</v>
      </c>
      <c r="AN392" s="965">
        <f t="shared" si="283"/>
        <v>0</v>
      </c>
      <c r="AO392" s="965">
        <f t="shared" si="283"/>
        <v>0</v>
      </c>
      <c r="AP392" s="965">
        <f t="shared" si="283"/>
        <v>0</v>
      </c>
      <c r="AQ392" s="965">
        <f t="shared" si="283"/>
        <v>0</v>
      </c>
      <c r="AR392" s="965">
        <f t="shared" si="283"/>
        <v>0</v>
      </c>
      <c r="AS392" s="965">
        <f t="shared" si="283"/>
        <v>0</v>
      </c>
      <c r="AT392" s="965">
        <f t="shared" si="283"/>
        <v>0</v>
      </c>
    </row>
    <row r="393" spans="2:46" x14ac:dyDescent="0.25">
      <c r="B393" s="831" t="str">
        <f t="shared" ref="B393:AT393" si="284">B89</f>
        <v>Activos nuevos 4 - Depreciacion 15 años</v>
      </c>
      <c r="C393" s="965">
        <f t="shared" si="284"/>
        <v>0</v>
      </c>
      <c r="D393" s="965">
        <f t="shared" si="284"/>
        <v>0</v>
      </c>
      <c r="E393" s="965">
        <f t="shared" si="284"/>
        <v>0</v>
      </c>
      <c r="F393" s="965">
        <f t="shared" si="284"/>
        <v>0</v>
      </c>
      <c r="G393" s="965">
        <f t="shared" si="284"/>
        <v>0</v>
      </c>
      <c r="H393" s="965">
        <f t="shared" si="284"/>
        <v>0</v>
      </c>
      <c r="I393" s="965">
        <f t="shared" si="284"/>
        <v>0</v>
      </c>
      <c r="J393" s="965">
        <f t="shared" si="284"/>
        <v>0</v>
      </c>
      <c r="K393" s="965">
        <f t="shared" si="284"/>
        <v>0</v>
      </c>
      <c r="L393" s="965">
        <f t="shared" si="284"/>
        <v>0</v>
      </c>
      <c r="M393" s="965">
        <f t="shared" si="284"/>
        <v>0</v>
      </c>
      <c r="N393" s="965">
        <f t="shared" si="284"/>
        <v>0</v>
      </c>
      <c r="O393" s="965">
        <f t="shared" si="284"/>
        <v>0</v>
      </c>
      <c r="P393" s="965">
        <f t="shared" si="284"/>
        <v>0</v>
      </c>
      <c r="Q393" s="965">
        <f t="shared" si="284"/>
        <v>0</v>
      </c>
      <c r="R393" s="965">
        <f t="shared" si="284"/>
        <v>0</v>
      </c>
      <c r="S393" s="965">
        <f t="shared" si="284"/>
        <v>0</v>
      </c>
      <c r="T393" s="965">
        <f t="shared" si="284"/>
        <v>0</v>
      </c>
      <c r="U393" s="965">
        <f t="shared" si="284"/>
        <v>0</v>
      </c>
      <c r="V393" s="965">
        <f t="shared" si="284"/>
        <v>0</v>
      </c>
      <c r="W393" s="965">
        <f t="shared" si="284"/>
        <v>0</v>
      </c>
      <c r="X393" s="965">
        <f t="shared" si="284"/>
        <v>0</v>
      </c>
      <c r="Y393" s="965">
        <f t="shared" si="284"/>
        <v>0</v>
      </c>
      <c r="Z393" s="965">
        <f t="shared" si="284"/>
        <v>0</v>
      </c>
      <c r="AA393" s="965">
        <f t="shared" si="284"/>
        <v>0</v>
      </c>
      <c r="AB393" s="965">
        <f t="shared" si="284"/>
        <v>0</v>
      </c>
      <c r="AC393" s="965">
        <f t="shared" si="284"/>
        <v>0</v>
      </c>
      <c r="AD393" s="965">
        <f t="shared" si="284"/>
        <v>0</v>
      </c>
      <c r="AE393" s="965">
        <f t="shared" si="284"/>
        <v>0</v>
      </c>
      <c r="AF393" s="965">
        <f t="shared" si="284"/>
        <v>0</v>
      </c>
      <c r="AG393" s="965">
        <f t="shared" si="284"/>
        <v>0</v>
      </c>
      <c r="AH393" s="965">
        <f t="shared" si="284"/>
        <v>0</v>
      </c>
      <c r="AI393" s="965">
        <f t="shared" si="284"/>
        <v>0</v>
      </c>
      <c r="AJ393" s="965">
        <f t="shared" si="284"/>
        <v>0</v>
      </c>
      <c r="AK393" s="965">
        <f t="shared" si="284"/>
        <v>0</v>
      </c>
      <c r="AL393" s="965">
        <f t="shared" si="284"/>
        <v>0</v>
      </c>
      <c r="AM393" s="965">
        <f t="shared" si="284"/>
        <v>0</v>
      </c>
      <c r="AN393" s="965">
        <f t="shared" si="284"/>
        <v>0</v>
      </c>
      <c r="AO393" s="965">
        <f t="shared" si="284"/>
        <v>-1606150.4772574131</v>
      </c>
      <c r="AP393" s="965">
        <f t="shared" si="284"/>
        <v>-1606150.4772574131</v>
      </c>
      <c r="AQ393" s="965">
        <f t="shared" si="284"/>
        <v>-1606150.4772574131</v>
      </c>
      <c r="AR393" s="965">
        <f t="shared" si="284"/>
        <v>-1606150.4772574131</v>
      </c>
      <c r="AS393" s="965">
        <f t="shared" si="284"/>
        <v>-1606150.4772574131</v>
      </c>
      <c r="AT393" s="965">
        <f t="shared" si="284"/>
        <v>-1606150.4772574131</v>
      </c>
    </row>
    <row r="394" spans="2:46" x14ac:dyDescent="0.25">
      <c r="B394" s="846" t="str">
        <f t="shared" ref="B394:AT394" si="285">B90</f>
        <v>Activos nuevos 4 - Valor residual</v>
      </c>
      <c r="C394" s="968">
        <f t="shared" si="285"/>
        <v>0</v>
      </c>
      <c r="D394" s="968">
        <f t="shared" si="285"/>
        <v>0</v>
      </c>
      <c r="E394" s="968">
        <f t="shared" si="285"/>
        <v>0</v>
      </c>
      <c r="F394" s="968">
        <f t="shared" si="285"/>
        <v>0</v>
      </c>
      <c r="G394" s="968">
        <f t="shared" si="285"/>
        <v>0</v>
      </c>
      <c r="H394" s="968">
        <f t="shared" si="285"/>
        <v>0</v>
      </c>
      <c r="I394" s="968">
        <f t="shared" si="285"/>
        <v>0</v>
      </c>
      <c r="J394" s="968">
        <f t="shared" si="285"/>
        <v>0</v>
      </c>
      <c r="K394" s="968">
        <f t="shared" si="285"/>
        <v>0</v>
      </c>
      <c r="L394" s="968">
        <f t="shared" si="285"/>
        <v>0</v>
      </c>
      <c r="M394" s="968">
        <f t="shared" si="285"/>
        <v>0</v>
      </c>
      <c r="N394" s="968">
        <f t="shared" si="285"/>
        <v>0</v>
      </c>
      <c r="O394" s="968">
        <f t="shared" si="285"/>
        <v>0</v>
      </c>
      <c r="P394" s="968">
        <f t="shared" si="285"/>
        <v>0</v>
      </c>
      <c r="Q394" s="968">
        <f t="shared" si="285"/>
        <v>0</v>
      </c>
      <c r="R394" s="968">
        <f t="shared" si="285"/>
        <v>0</v>
      </c>
      <c r="S394" s="968">
        <f t="shared" si="285"/>
        <v>0</v>
      </c>
      <c r="T394" s="968">
        <f t="shared" si="285"/>
        <v>0</v>
      </c>
      <c r="U394" s="968">
        <f t="shared" si="285"/>
        <v>0</v>
      </c>
      <c r="V394" s="968">
        <f t="shared" si="285"/>
        <v>0</v>
      </c>
      <c r="W394" s="968">
        <f t="shared" si="285"/>
        <v>0</v>
      </c>
      <c r="X394" s="968">
        <f t="shared" si="285"/>
        <v>0</v>
      </c>
      <c r="Y394" s="968">
        <f t="shared" si="285"/>
        <v>0</v>
      </c>
      <c r="Z394" s="968">
        <f t="shared" si="285"/>
        <v>0</v>
      </c>
      <c r="AA394" s="968">
        <f t="shared" si="285"/>
        <v>0</v>
      </c>
      <c r="AB394" s="968">
        <f t="shared" si="285"/>
        <v>0</v>
      </c>
      <c r="AC394" s="968">
        <f t="shared" si="285"/>
        <v>0</v>
      </c>
      <c r="AD394" s="968">
        <f t="shared" si="285"/>
        <v>0</v>
      </c>
      <c r="AE394" s="968">
        <f t="shared" si="285"/>
        <v>0</v>
      </c>
      <c r="AF394" s="968">
        <f t="shared" si="285"/>
        <v>0</v>
      </c>
      <c r="AG394" s="968">
        <f t="shared" si="285"/>
        <v>0</v>
      </c>
      <c r="AH394" s="968">
        <f t="shared" si="285"/>
        <v>0</v>
      </c>
      <c r="AI394" s="968">
        <f t="shared" si="285"/>
        <v>0</v>
      </c>
      <c r="AJ394" s="968">
        <f t="shared" si="285"/>
        <v>0</v>
      </c>
      <c r="AK394" s="968">
        <f t="shared" si="285"/>
        <v>0</v>
      </c>
      <c r="AL394" s="968">
        <f t="shared" si="285"/>
        <v>0</v>
      </c>
      <c r="AM394" s="968">
        <f t="shared" si="285"/>
        <v>0</v>
      </c>
      <c r="AN394" s="968">
        <f t="shared" si="285"/>
        <v>0</v>
      </c>
      <c r="AO394" s="968">
        <f t="shared" si="285"/>
        <v>24092257.158861194</v>
      </c>
      <c r="AP394" s="968">
        <f t="shared" si="285"/>
        <v>22486106.681603782</v>
      </c>
      <c r="AQ394" s="968">
        <f t="shared" si="285"/>
        <v>20879956.20434637</v>
      </c>
      <c r="AR394" s="968">
        <f t="shared" si="285"/>
        <v>19273805.727088958</v>
      </c>
      <c r="AS394" s="968">
        <f t="shared" si="285"/>
        <v>17667655.249831546</v>
      </c>
      <c r="AT394" s="968">
        <f t="shared" si="285"/>
        <v>16061504.772574132</v>
      </c>
    </row>
    <row r="395" spans="2:46" x14ac:dyDescent="0.25">
      <c r="B395" s="845" t="s">
        <v>441</v>
      </c>
      <c r="C395" s="824">
        <v>0</v>
      </c>
      <c r="D395" s="824">
        <v>0</v>
      </c>
      <c r="E395" s="824">
        <v>0</v>
      </c>
      <c r="F395" s="824">
        <v>0</v>
      </c>
      <c r="G395" s="824">
        <f>SUM(G381:G385)+G387+G389+G391+G393</f>
        <v>-2606586.1930182963</v>
      </c>
      <c r="H395" s="824">
        <f t="shared" ref="H395:AT395" si="286">SUM(H381:H385)+H387+H389+H391+H393</f>
        <v>-2606586.1930182963</v>
      </c>
      <c r="I395" s="824">
        <f t="shared" si="286"/>
        <v>-2606586.1930182963</v>
      </c>
      <c r="J395" s="824">
        <f t="shared" si="286"/>
        <v>-2606586.1930182963</v>
      </c>
      <c r="K395" s="824">
        <f t="shared" si="286"/>
        <v>-2606586.1930182963</v>
      </c>
      <c r="L395" s="824">
        <f t="shared" si="286"/>
        <v>-2465585.720269518</v>
      </c>
      <c r="M395" s="824">
        <f t="shared" si="286"/>
        <v>-2465585.720269518</v>
      </c>
      <c r="N395" s="824">
        <f t="shared" si="286"/>
        <v>-2465585.720269518</v>
      </c>
      <c r="O395" s="824">
        <f t="shared" si="286"/>
        <v>-2465585.720269518</v>
      </c>
      <c r="P395" s="824">
        <f t="shared" si="286"/>
        <v>-2465585.720269518</v>
      </c>
      <c r="Q395" s="824">
        <f t="shared" si="286"/>
        <v>-2230540.8319507265</v>
      </c>
      <c r="R395" s="824">
        <f t="shared" si="286"/>
        <v>-2531498.7427265975</v>
      </c>
      <c r="S395" s="824">
        <f t="shared" si="286"/>
        <v>-2531498.7427265975</v>
      </c>
      <c r="T395" s="824">
        <f t="shared" si="286"/>
        <v>-2531498.7427265975</v>
      </c>
      <c r="U395" s="824">
        <f t="shared" si="286"/>
        <v>-2531498.7427265975</v>
      </c>
      <c r="V395" s="824">
        <f t="shared" si="286"/>
        <v>-1904482.7785175557</v>
      </c>
      <c r="W395" s="824">
        <f t="shared" si="286"/>
        <v>-1904482.7785175557</v>
      </c>
      <c r="X395" s="824">
        <f t="shared" si="286"/>
        <v>-2776439.9375716699</v>
      </c>
      <c r="Y395" s="824">
        <f t="shared" si="286"/>
        <v>-2776439.9375716699</v>
      </c>
      <c r="Z395" s="824">
        <f t="shared" si="286"/>
        <v>-2776439.9375716699</v>
      </c>
      <c r="AA395" s="824">
        <f t="shared" si="286"/>
        <v>-2776439.9375716699</v>
      </c>
      <c r="AB395" s="824">
        <f t="shared" si="286"/>
        <v>-2776439.9375716699</v>
      </c>
      <c r="AC395" s="824">
        <f t="shared" si="286"/>
        <v>-2848930.7361058006</v>
      </c>
      <c r="AD395" s="824">
        <f t="shared" si="286"/>
        <v>-2848930.7361058006</v>
      </c>
      <c r="AE395" s="824">
        <f t="shared" si="286"/>
        <v>-2848930.7361058006</v>
      </c>
      <c r="AF395" s="824">
        <f t="shared" si="286"/>
        <v>-2848930.7361058006</v>
      </c>
      <c r="AG395" s="824">
        <f t="shared" si="286"/>
        <v>-2848930.7361058006</v>
      </c>
      <c r="AH395" s="824">
        <f t="shared" si="286"/>
        <v>-2848930.7361058006</v>
      </c>
      <c r="AI395" s="824">
        <f t="shared" si="286"/>
        <v>-2848930.7361058006</v>
      </c>
      <c r="AJ395" s="824">
        <f t="shared" si="286"/>
        <v>-2848930.7361058006</v>
      </c>
      <c r="AK395" s="824">
        <f t="shared" si="286"/>
        <v>-2848930.7361058006</v>
      </c>
      <c r="AL395" s="824">
        <f t="shared" si="286"/>
        <v>-2848930.7361058006</v>
      </c>
      <c r="AM395" s="824">
        <f t="shared" si="286"/>
        <v>-1976973.5770516866</v>
      </c>
      <c r="AN395" s="824">
        <f t="shared" si="286"/>
        <v>-1603524.8677416849</v>
      </c>
      <c r="AO395" s="824">
        <f t="shared" si="286"/>
        <v>-3209675.3449990982</v>
      </c>
      <c r="AP395" s="824">
        <f t="shared" si="286"/>
        <v>-3209675.3449990982</v>
      </c>
      <c r="AQ395" s="824">
        <f t="shared" si="286"/>
        <v>-3209675.3449990982</v>
      </c>
      <c r="AR395" s="824">
        <f t="shared" si="286"/>
        <v>-3209675.3449990982</v>
      </c>
      <c r="AS395" s="824">
        <f t="shared" si="286"/>
        <v>-3209675.3449990982</v>
      </c>
      <c r="AT395" s="824">
        <f t="shared" si="286"/>
        <v>-3209675.3449990982</v>
      </c>
    </row>
    <row r="396" spans="2:46" x14ac:dyDescent="0.25">
      <c r="B396" s="833" t="s">
        <v>435</v>
      </c>
      <c r="C396" s="824">
        <f>C386+C390+C394</f>
        <v>0</v>
      </c>
      <c r="D396" s="824">
        <f t="shared" ref="D396:F396" si="287">D386+D390+D394</f>
        <v>0</v>
      </c>
      <c r="E396" s="824">
        <f t="shared" si="287"/>
        <v>0</v>
      </c>
      <c r="F396" s="824">
        <f t="shared" si="287"/>
        <v>0</v>
      </c>
      <c r="G396" s="824">
        <f>G386+G388+G390+G392+G394</f>
        <v>91399247.348360002</v>
      </c>
      <c r="H396" s="824">
        <f t="shared" ref="H396:AT396" si="288">H386+H388+H390+H392+H394</f>
        <v>88792661.1553417</v>
      </c>
      <c r="I396" s="824">
        <f t="shared" si="288"/>
        <v>86186074.962323397</v>
      </c>
      <c r="J396" s="824">
        <f t="shared" si="288"/>
        <v>83579488.769305095</v>
      </c>
      <c r="K396" s="824">
        <f t="shared" si="288"/>
        <v>80972902.576286793</v>
      </c>
      <c r="L396" s="824">
        <f t="shared" si="288"/>
        <v>78507316.856017277</v>
      </c>
      <c r="M396" s="824">
        <f t="shared" si="288"/>
        <v>76041731.135747761</v>
      </c>
      <c r="N396" s="824">
        <f t="shared" si="288"/>
        <v>73576145.415478244</v>
      </c>
      <c r="O396" s="824">
        <f t="shared" si="288"/>
        <v>71110559.695208728</v>
      </c>
      <c r="P396" s="824">
        <f t="shared" si="288"/>
        <v>68644973.974939212</v>
      </c>
      <c r="Q396" s="824">
        <f t="shared" si="288"/>
        <v>66414433.142988488</v>
      </c>
      <c r="R396" s="824">
        <f t="shared" si="288"/>
        <v>67193471.41879648</v>
      </c>
      <c r="S396" s="824">
        <f t="shared" si="288"/>
        <v>64661972.676069878</v>
      </c>
      <c r="T396" s="824">
        <f t="shared" si="288"/>
        <v>62130473.933343284</v>
      </c>
      <c r="U396" s="824">
        <f t="shared" si="288"/>
        <v>59598975.19061669</v>
      </c>
      <c r="V396" s="824">
        <f t="shared" si="288"/>
        <v>57694492.412099138</v>
      </c>
      <c r="W396" s="824">
        <f t="shared" si="288"/>
        <v>55790009.633581579</v>
      </c>
      <c r="X396" s="824">
        <f t="shared" si="288"/>
        <v>66092927.081821628</v>
      </c>
      <c r="Y396" s="824">
        <f t="shared" si="288"/>
        <v>63316487.144249961</v>
      </c>
      <c r="Z396" s="824">
        <f t="shared" si="288"/>
        <v>60540047.206678294</v>
      </c>
      <c r="AA396" s="824">
        <f t="shared" si="288"/>
        <v>57763607.269106627</v>
      </c>
      <c r="AB396" s="824">
        <f t="shared" si="288"/>
        <v>54987167.331534967</v>
      </c>
      <c r="AC396" s="824">
        <f t="shared" si="288"/>
        <v>56246172.397839189</v>
      </c>
      <c r="AD396" s="824">
        <f t="shared" si="288"/>
        <v>53397241.661733389</v>
      </c>
      <c r="AE396" s="824">
        <f t="shared" si="288"/>
        <v>50548310.925627589</v>
      </c>
      <c r="AF396" s="824">
        <f t="shared" si="288"/>
        <v>47699380.18952179</v>
      </c>
      <c r="AG396" s="824">
        <f t="shared" si="288"/>
        <v>44850449.45341599</v>
      </c>
      <c r="AH396" s="824">
        <f t="shared" si="288"/>
        <v>42001518.717310205</v>
      </c>
      <c r="AI396" s="824">
        <f t="shared" si="288"/>
        <v>39152587.981204405</v>
      </c>
      <c r="AJ396" s="824">
        <f t="shared" si="288"/>
        <v>36303657.245098598</v>
      </c>
      <c r="AK396" s="824">
        <f t="shared" si="288"/>
        <v>33454726.508992799</v>
      </c>
      <c r="AL396" s="824">
        <f t="shared" si="288"/>
        <v>30605795.772886999</v>
      </c>
      <c r="AM396" s="824">
        <f t="shared" si="288"/>
        <v>28628822.195835307</v>
      </c>
      <c r="AN396" s="824">
        <f t="shared" si="288"/>
        <v>27025297.328093622</v>
      </c>
      <c r="AO396" s="824">
        <f t="shared" si="288"/>
        <v>49514029.619213134</v>
      </c>
      <c r="AP396" s="824">
        <f t="shared" si="288"/>
        <v>46304354.274214029</v>
      </c>
      <c r="AQ396" s="824">
        <f t="shared" si="288"/>
        <v>43094678.929214939</v>
      </c>
      <c r="AR396" s="824">
        <f t="shared" si="288"/>
        <v>39885003.584215835</v>
      </c>
      <c r="AS396" s="824">
        <f t="shared" si="288"/>
        <v>36675328.239216745</v>
      </c>
      <c r="AT396" s="824">
        <f t="shared" si="288"/>
        <v>33465652.89421764</v>
      </c>
    </row>
    <row r="397" spans="2:46" x14ac:dyDescent="0.25">
      <c r="B397" s="481"/>
      <c r="C397" s="382"/>
      <c r="D397" s="382"/>
      <c r="E397" s="382"/>
      <c r="F397" s="382"/>
      <c r="G397" s="382"/>
      <c r="H397" s="382"/>
      <c r="I397" s="382"/>
      <c r="J397" s="382"/>
      <c r="K397" s="382"/>
      <c r="L397" s="382"/>
      <c r="M397" s="382"/>
      <c r="N397" s="382"/>
      <c r="O397" s="382"/>
      <c r="P397" s="382"/>
      <c r="Q397" s="382"/>
      <c r="R397" s="382"/>
      <c r="S397" s="382"/>
      <c r="T397" s="382"/>
      <c r="U397" s="382"/>
      <c r="V397" s="382"/>
      <c r="W397" s="382"/>
      <c r="X397" s="382"/>
      <c r="Y397" s="382"/>
      <c r="Z397" s="382"/>
      <c r="AA397" s="382"/>
      <c r="AB397" s="382"/>
      <c r="AC397" s="382"/>
      <c r="AD397" s="382"/>
      <c r="AE397" s="382"/>
      <c r="AF397" s="382"/>
      <c r="AG397" s="382"/>
      <c r="AH397" s="382"/>
      <c r="AI397" s="382"/>
      <c r="AJ397" s="382"/>
      <c r="AK397" s="382"/>
      <c r="AL397" s="382"/>
      <c r="AM397" s="382"/>
      <c r="AN397" s="382"/>
      <c r="AO397" s="382"/>
      <c r="AP397" s="382"/>
      <c r="AQ397" s="382"/>
      <c r="AR397" s="382"/>
      <c r="AS397" s="382"/>
      <c r="AT397" s="382"/>
    </row>
    <row r="398" spans="2:46" ht="13.8" thickBot="1" x14ac:dyDescent="0.3">
      <c r="B398" s="834"/>
      <c r="C398" s="178"/>
      <c r="D398" s="178"/>
      <c r="E398" s="178"/>
      <c r="F398" s="178"/>
      <c r="G398" s="178"/>
      <c r="H398" s="178"/>
      <c r="I398" s="178"/>
      <c r="J398" s="178"/>
      <c r="K398" s="178"/>
      <c r="L398" s="178"/>
      <c r="M398" s="178"/>
      <c r="N398" s="178"/>
      <c r="O398" s="178"/>
      <c r="P398" s="178"/>
      <c r="Q398" s="178"/>
      <c r="R398" s="178"/>
      <c r="S398" s="178"/>
      <c r="T398" s="178"/>
      <c r="U398" s="178"/>
      <c r="V398" s="178"/>
      <c r="W398" s="178"/>
      <c r="X398" s="178"/>
      <c r="Y398" s="178"/>
      <c r="Z398" s="178"/>
      <c r="AA398" s="178"/>
      <c r="AB398" s="178"/>
      <c r="AC398" s="178"/>
      <c r="AD398" s="178"/>
      <c r="AE398" s="178"/>
      <c r="AF398" s="178"/>
      <c r="AG398" s="178"/>
      <c r="AH398" s="178"/>
      <c r="AI398" s="178"/>
      <c r="AJ398" s="178"/>
      <c r="AK398" s="178"/>
      <c r="AL398" s="178"/>
      <c r="AM398" s="178"/>
      <c r="AN398" s="178"/>
      <c r="AO398" s="178"/>
      <c r="AP398" s="178"/>
      <c r="AQ398" s="178"/>
      <c r="AR398" s="178"/>
      <c r="AS398" s="178"/>
      <c r="AT398" s="178"/>
    </row>
    <row r="399" spans="2:46" ht="14.4" x14ac:dyDescent="0.25">
      <c r="B399" s="835" t="s">
        <v>390</v>
      </c>
      <c r="C399" s="818"/>
      <c r="D399" s="818"/>
      <c r="E399" s="818"/>
      <c r="F399" s="818"/>
      <c r="G399" s="818"/>
      <c r="H399" s="818"/>
      <c r="I399" s="818"/>
      <c r="J399" s="818"/>
      <c r="K399" s="818"/>
      <c r="L399" s="818"/>
      <c r="M399" s="818"/>
      <c r="N399" s="818"/>
      <c r="O399" s="818"/>
      <c r="P399" s="818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  <c r="AA399" s="818"/>
      <c r="AB399" s="818"/>
      <c r="AC399" s="818"/>
      <c r="AD399" s="818"/>
      <c r="AE399" s="818"/>
      <c r="AF399" s="818"/>
      <c r="AG399" s="818"/>
      <c r="AH399" s="818"/>
      <c r="AI399" s="818"/>
      <c r="AJ399" s="818"/>
      <c r="AK399" s="818"/>
      <c r="AL399" s="818"/>
      <c r="AM399" s="818"/>
      <c r="AN399" s="818"/>
      <c r="AO399" s="818"/>
      <c r="AP399" s="818"/>
      <c r="AQ399" s="818"/>
      <c r="AR399" s="818"/>
      <c r="AS399" s="818"/>
      <c r="AT399" s="819"/>
    </row>
    <row r="400" spans="2:46" x14ac:dyDescent="0.25">
      <c r="B400" s="836" t="s">
        <v>391</v>
      </c>
      <c r="C400" s="268">
        <v>0</v>
      </c>
      <c r="D400" s="268">
        <v>0</v>
      </c>
      <c r="E400" s="268">
        <v>0</v>
      </c>
      <c r="F400" s="268">
        <v>0</v>
      </c>
      <c r="G400" s="268">
        <f>-G376</f>
        <v>-2791546.919500811</v>
      </c>
      <c r="H400" s="268">
        <f t="shared" ref="H400:AT400" si="289">-H376</f>
        <v>-3091692.739287667</v>
      </c>
      <c r="I400" s="268">
        <f t="shared" si="289"/>
        <v>-2934364.0421133931</v>
      </c>
      <c r="J400" s="268">
        <f t="shared" si="289"/>
        <v>-3003556.4739287407</v>
      </c>
      <c r="K400" s="268">
        <f t="shared" si="289"/>
        <v>-6864999.4108087067</v>
      </c>
      <c r="L400" s="268">
        <f t="shared" si="289"/>
        <v>-3146987.7384020691</v>
      </c>
      <c r="M400" s="268">
        <f t="shared" si="289"/>
        <v>-3221309.8210025458</v>
      </c>
      <c r="N400" s="268">
        <f t="shared" si="289"/>
        <v>-3297426.7865636172</v>
      </c>
      <c r="O400" s="268">
        <f t="shared" si="289"/>
        <v>-3375382.9246263341</v>
      </c>
      <c r="P400" s="268">
        <f t="shared" si="289"/>
        <v>-7620124.5585567057</v>
      </c>
      <c r="Q400" s="268">
        <f t="shared" si="289"/>
        <v>-3536995.481726327</v>
      </c>
      <c r="R400" s="268">
        <f t="shared" si="289"/>
        <v>-3620746.1717735282</v>
      </c>
      <c r="S400" s="268">
        <f t="shared" si="289"/>
        <v>-3706524.6358547215</v>
      </c>
      <c r="T400" s="268">
        <f t="shared" si="289"/>
        <v>-3794381.0340164835</v>
      </c>
      <c r="U400" s="268">
        <f t="shared" si="289"/>
        <v>-8460551.8528040089</v>
      </c>
      <c r="V400" s="268">
        <f t="shared" si="289"/>
        <v>-3976534.6360238022</v>
      </c>
      <c r="W400" s="268">
        <f t="shared" si="289"/>
        <v>-4070938.621770741</v>
      </c>
      <c r="X400" s="268">
        <f t="shared" si="289"/>
        <v>-4167634.1731139594</v>
      </c>
      <c r="Y400" s="268">
        <f t="shared" si="289"/>
        <v>-4266678.1150930393</v>
      </c>
      <c r="Z400" s="268">
        <f t="shared" si="289"/>
        <v>-9396213.810979465</v>
      </c>
      <c r="AA400" s="268">
        <f t="shared" si="289"/>
        <v>-4472045.6967975702</v>
      </c>
      <c r="AB400" s="268">
        <f t="shared" si="289"/>
        <v>-4578490.3244372597</v>
      </c>
      <c r="AC400" s="268">
        <f t="shared" si="289"/>
        <v>-4687525.3956046067</v>
      </c>
      <c r="AD400" s="268">
        <f t="shared" si="289"/>
        <v>-4799215.3044166798</v>
      </c>
      <c r="AE400" s="268">
        <f t="shared" si="289"/>
        <v>-10438238.257315286</v>
      </c>
      <c r="AF400" s="268">
        <f t="shared" si="289"/>
        <v>-5030825.4186769668</v>
      </c>
      <c r="AG400" s="268">
        <f t="shared" si="289"/>
        <v>-5150882.7472600536</v>
      </c>
      <c r="AH400" s="268">
        <f t="shared" si="289"/>
        <v>-5273869.24748501</v>
      </c>
      <c r="AI400" s="268">
        <f t="shared" si="289"/>
        <v>-5399857.9116118001</v>
      </c>
      <c r="AJ400" s="268">
        <f t="shared" si="289"/>
        <v>-11599097.173153548</v>
      </c>
      <c r="AK400" s="268">
        <f t="shared" si="289"/>
        <v>-5661143.0252687559</v>
      </c>
      <c r="AL400" s="268">
        <f t="shared" si="289"/>
        <v>-5796594.9293390466</v>
      </c>
      <c r="AM400" s="268">
        <f t="shared" si="289"/>
        <v>-5935360.0062841373</v>
      </c>
      <c r="AN400" s="268">
        <f t="shared" si="289"/>
        <v>-6077521.0181308491</v>
      </c>
      <c r="AO400" s="268">
        <f t="shared" si="289"/>
        <v>-12892774.71989817</v>
      </c>
      <c r="AP400" s="268">
        <f t="shared" si="289"/>
        <v>-6372372.4917223342</v>
      </c>
      <c r="AQ400" s="268">
        <f t="shared" si="289"/>
        <v>-6525239.2401587041</v>
      </c>
      <c r="AR400" s="268">
        <f t="shared" si="289"/>
        <v>-6681854.610653758</v>
      </c>
      <c r="AS400" s="268">
        <f t="shared" si="289"/>
        <v>-6842312.4692722289</v>
      </c>
      <c r="AT400" s="799">
        <f t="shared" si="289"/>
        <v>-14334956.983977951</v>
      </c>
    </row>
    <row r="401" spans="2:46" ht="15" thickBot="1" x14ac:dyDescent="0.3">
      <c r="B401" s="842" t="s">
        <v>389</v>
      </c>
      <c r="C401" s="820"/>
      <c r="D401" s="820"/>
      <c r="E401" s="820"/>
      <c r="F401" s="820"/>
      <c r="G401" s="820">
        <f>G400</f>
        <v>-2791546.919500811</v>
      </c>
      <c r="H401" s="820">
        <f t="shared" ref="H401:AT401" si="290">H400</f>
        <v>-3091692.739287667</v>
      </c>
      <c r="I401" s="820">
        <f t="shared" si="290"/>
        <v>-2934364.0421133931</v>
      </c>
      <c r="J401" s="820">
        <f t="shared" si="290"/>
        <v>-3003556.4739287407</v>
      </c>
      <c r="K401" s="820">
        <f t="shared" si="290"/>
        <v>-6864999.4108087067</v>
      </c>
      <c r="L401" s="820">
        <f t="shared" si="290"/>
        <v>-3146987.7384020691</v>
      </c>
      <c r="M401" s="820">
        <f t="shared" si="290"/>
        <v>-3221309.8210025458</v>
      </c>
      <c r="N401" s="820">
        <f t="shared" si="290"/>
        <v>-3297426.7865636172</v>
      </c>
      <c r="O401" s="820">
        <f t="shared" si="290"/>
        <v>-3375382.9246263341</v>
      </c>
      <c r="P401" s="820">
        <f t="shared" si="290"/>
        <v>-7620124.5585567057</v>
      </c>
      <c r="Q401" s="820">
        <f t="shared" si="290"/>
        <v>-3536995.481726327</v>
      </c>
      <c r="R401" s="820">
        <f t="shared" si="290"/>
        <v>-3620746.1717735282</v>
      </c>
      <c r="S401" s="820">
        <f t="shared" si="290"/>
        <v>-3706524.6358547215</v>
      </c>
      <c r="T401" s="820">
        <f t="shared" si="290"/>
        <v>-3794381.0340164835</v>
      </c>
      <c r="U401" s="820">
        <f t="shared" si="290"/>
        <v>-8460551.8528040089</v>
      </c>
      <c r="V401" s="820">
        <f t="shared" si="290"/>
        <v>-3976534.6360238022</v>
      </c>
      <c r="W401" s="820">
        <f t="shared" si="290"/>
        <v>-4070938.621770741</v>
      </c>
      <c r="X401" s="820">
        <f t="shared" si="290"/>
        <v>-4167634.1731139594</v>
      </c>
      <c r="Y401" s="820">
        <f t="shared" si="290"/>
        <v>-4266678.1150930393</v>
      </c>
      <c r="Z401" s="820">
        <f t="shared" si="290"/>
        <v>-9396213.810979465</v>
      </c>
      <c r="AA401" s="820">
        <f t="shared" si="290"/>
        <v>-4472045.6967975702</v>
      </c>
      <c r="AB401" s="820">
        <f t="shared" si="290"/>
        <v>-4578490.3244372597</v>
      </c>
      <c r="AC401" s="820">
        <f t="shared" si="290"/>
        <v>-4687525.3956046067</v>
      </c>
      <c r="AD401" s="820">
        <f t="shared" si="290"/>
        <v>-4799215.3044166798</v>
      </c>
      <c r="AE401" s="820">
        <f t="shared" si="290"/>
        <v>-10438238.257315286</v>
      </c>
      <c r="AF401" s="820">
        <f t="shared" si="290"/>
        <v>-5030825.4186769668</v>
      </c>
      <c r="AG401" s="820">
        <f t="shared" si="290"/>
        <v>-5150882.7472600536</v>
      </c>
      <c r="AH401" s="820">
        <f t="shared" si="290"/>
        <v>-5273869.24748501</v>
      </c>
      <c r="AI401" s="820">
        <f t="shared" si="290"/>
        <v>-5399857.9116118001</v>
      </c>
      <c r="AJ401" s="820">
        <f t="shared" si="290"/>
        <v>-11599097.173153548</v>
      </c>
      <c r="AK401" s="820">
        <f t="shared" si="290"/>
        <v>-5661143.0252687559</v>
      </c>
      <c r="AL401" s="820">
        <f t="shared" si="290"/>
        <v>-5796594.9293390466</v>
      </c>
      <c r="AM401" s="820">
        <f t="shared" si="290"/>
        <v>-5935360.0062841373</v>
      </c>
      <c r="AN401" s="820">
        <f t="shared" si="290"/>
        <v>-6077521.0181308491</v>
      </c>
      <c r="AO401" s="820">
        <f t="shared" si="290"/>
        <v>-12892774.71989817</v>
      </c>
      <c r="AP401" s="820">
        <f t="shared" si="290"/>
        <v>-6372372.4917223342</v>
      </c>
      <c r="AQ401" s="820">
        <f t="shared" si="290"/>
        <v>-6525239.2401587041</v>
      </c>
      <c r="AR401" s="820">
        <f t="shared" si="290"/>
        <v>-6681854.610653758</v>
      </c>
      <c r="AS401" s="820">
        <f t="shared" si="290"/>
        <v>-6842312.4692722289</v>
      </c>
      <c r="AT401" s="821">
        <f t="shared" si="290"/>
        <v>-14334956.983977951</v>
      </c>
    </row>
    <row r="402" spans="2:46" ht="15" thickBot="1" x14ac:dyDescent="0.3">
      <c r="B402" s="837"/>
      <c r="C402" s="824"/>
      <c r="D402" s="824"/>
      <c r="E402" s="824"/>
      <c r="F402" s="824"/>
      <c r="G402" s="824"/>
      <c r="H402" s="824"/>
      <c r="I402" s="824"/>
      <c r="J402" s="824"/>
      <c r="K402" s="824"/>
      <c r="L402" s="824"/>
      <c r="M402" s="824"/>
      <c r="N402" s="824"/>
      <c r="O402" s="824"/>
      <c r="P402" s="824"/>
      <c r="Q402" s="824"/>
      <c r="R402" s="824"/>
      <c r="S402" s="824"/>
      <c r="T402" s="824"/>
      <c r="U402" s="824"/>
      <c r="V402" s="824"/>
      <c r="W402" s="824"/>
      <c r="X402" s="824"/>
      <c r="Y402" s="824"/>
      <c r="Z402" s="824"/>
      <c r="AA402" s="824"/>
      <c r="AB402" s="824"/>
      <c r="AC402" s="824"/>
      <c r="AD402" s="824"/>
      <c r="AE402" s="824"/>
      <c r="AF402" s="824"/>
      <c r="AG402" s="824"/>
      <c r="AH402" s="824"/>
      <c r="AI402" s="824"/>
      <c r="AJ402" s="824"/>
      <c r="AK402" s="824"/>
      <c r="AL402" s="824"/>
      <c r="AM402" s="824"/>
      <c r="AN402" s="824"/>
      <c r="AO402" s="824"/>
      <c r="AP402" s="824"/>
      <c r="AQ402" s="824"/>
      <c r="AR402" s="824"/>
      <c r="AS402" s="824"/>
      <c r="AT402" s="824"/>
    </row>
    <row r="403" spans="2:46" ht="14.4" x14ac:dyDescent="0.25">
      <c r="B403" s="835" t="s">
        <v>392</v>
      </c>
      <c r="C403" s="818"/>
      <c r="D403" s="818"/>
      <c r="E403" s="818"/>
      <c r="F403" s="818"/>
      <c r="G403" s="818"/>
      <c r="H403" s="818"/>
      <c r="I403" s="818"/>
      <c r="J403" s="818"/>
      <c r="K403" s="818"/>
      <c r="L403" s="818"/>
      <c r="M403" s="818"/>
      <c r="N403" s="818"/>
      <c r="O403" s="818"/>
      <c r="P403" s="818"/>
      <c r="Q403" s="818"/>
      <c r="R403" s="818"/>
      <c r="S403" s="818"/>
      <c r="T403" s="818"/>
      <c r="U403" s="818"/>
      <c r="V403" s="818"/>
      <c r="W403" s="818"/>
      <c r="X403" s="818"/>
      <c r="Y403" s="818"/>
      <c r="Z403" s="818"/>
      <c r="AA403" s="818"/>
      <c r="AB403" s="818"/>
      <c r="AC403" s="818"/>
      <c r="AD403" s="818"/>
      <c r="AE403" s="818"/>
      <c r="AF403" s="818"/>
      <c r="AG403" s="818"/>
      <c r="AH403" s="818"/>
      <c r="AI403" s="818"/>
      <c r="AJ403" s="818"/>
      <c r="AK403" s="818"/>
      <c r="AL403" s="818"/>
      <c r="AM403" s="818"/>
      <c r="AN403" s="818"/>
      <c r="AO403" s="818"/>
      <c r="AP403" s="818"/>
      <c r="AQ403" s="818"/>
      <c r="AR403" s="818"/>
      <c r="AS403" s="818"/>
      <c r="AT403" s="819"/>
    </row>
    <row r="404" spans="2:46" x14ac:dyDescent="0.25">
      <c r="B404" s="836" t="s">
        <v>393</v>
      </c>
      <c r="C404" s="268">
        <v>0</v>
      </c>
      <c r="D404" s="268">
        <v>0</v>
      </c>
      <c r="E404" s="268">
        <v>0</v>
      </c>
      <c r="F404" s="268">
        <v>0</v>
      </c>
      <c r="G404" s="178">
        <f t="shared" ref="G404:AT404" si="291">G378</f>
        <v>6892358.2816391364</v>
      </c>
      <c r="H404" s="178">
        <f t="shared" si="291"/>
        <v>9189811.0421855189</v>
      </c>
      <c r="I404" s="178">
        <f t="shared" si="291"/>
        <v>9695045.1664693281</v>
      </c>
      <c r="J404" s="178">
        <f t="shared" si="291"/>
        <v>9782142.8883336987</v>
      </c>
      <c r="K404" s="178">
        <f t="shared" si="291"/>
        <v>10267957.930850072</v>
      </c>
      <c r="L404" s="178">
        <f t="shared" si="291"/>
        <v>10358574.400677765</v>
      </c>
      <c r="M404" s="178">
        <f t="shared" si="291"/>
        <v>10871338.181673873</v>
      </c>
      <c r="N404" s="178">
        <f t="shared" si="291"/>
        <v>10930976.483354822</v>
      </c>
      <c r="O404" s="178">
        <f t="shared" si="291"/>
        <v>11434635.622351212</v>
      </c>
      <c r="P404" s="178">
        <f t="shared" si="291"/>
        <v>11496683.311420063</v>
      </c>
      <c r="Q404" s="178">
        <f t="shared" si="291"/>
        <v>12025703.732908674</v>
      </c>
      <c r="R404" s="178">
        <f t="shared" si="291"/>
        <v>12090258.148615906</v>
      </c>
      <c r="S404" s="178">
        <f t="shared" si="291"/>
        <v>12572653.20889486</v>
      </c>
      <c r="T404" s="178">
        <f t="shared" si="291"/>
        <v>12566601.83996973</v>
      </c>
      <c r="U404" s="178">
        <f t="shared" si="291"/>
        <v>13067996.710074805</v>
      </c>
      <c r="V404" s="178">
        <f t="shared" si="291"/>
        <v>13061700.865845107</v>
      </c>
      <c r="W404" s="178">
        <f t="shared" si="291"/>
        <v>13582843.38448867</v>
      </c>
      <c r="X404" s="178">
        <f t="shared" si="291"/>
        <v>13675268.19274242</v>
      </c>
      <c r="Y404" s="178">
        <f t="shared" si="291"/>
        <v>14323907.798236422</v>
      </c>
      <c r="Z404" s="178">
        <f t="shared" si="291"/>
        <v>14420066.568743626</v>
      </c>
      <c r="AA404" s="178">
        <f t="shared" si="291"/>
        <v>15102680.842956562</v>
      </c>
      <c r="AB404" s="178">
        <f t="shared" si="291"/>
        <v>15202724.427792259</v>
      </c>
      <c r="AC404" s="178">
        <f t="shared" si="291"/>
        <v>15816914.494675064</v>
      </c>
      <c r="AD404" s="178">
        <f t="shared" si="291"/>
        <v>15816914.494675064</v>
      </c>
      <c r="AE404" s="178">
        <f t="shared" si="291"/>
        <v>16455917.840259938</v>
      </c>
      <c r="AF404" s="178">
        <f t="shared" si="291"/>
        <v>16455917.840259938</v>
      </c>
      <c r="AG404" s="178">
        <f t="shared" si="291"/>
        <v>17120736.921006437</v>
      </c>
      <c r="AH404" s="178">
        <f t="shared" si="291"/>
        <v>17120736.921006437</v>
      </c>
      <c r="AI404" s="178">
        <f t="shared" si="291"/>
        <v>17812414.692615096</v>
      </c>
      <c r="AJ404" s="178">
        <f t="shared" si="291"/>
        <v>17812414.692615096</v>
      </c>
      <c r="AK404" s="178">
        <f t="shared" si="291"/>
        <v>18532036.246196747</v>
      </c>
      <c r="AL404" s="178">
        <f t="shared" si="291"/>
        <v>18532036.246196747</v>
      </c>
      <c r="AM404" s="178">
        <f t="shared" si="291"/>
        <v>19280730.510543093</v>
      </c>
      <c r="AN404" s="178">
        <f t="shared" si="291"/>
        <v>19280730.510543093</v>
      </c>
      <c r="AO404" s="178">
        <f t="shared" si="291"/>
        <v>20059672.023169041</v>
      </c>
      <c r="AP404" s="178">
        <f t="shared" si="291"/>
        <v>20059672.023169041</v>
      </c>
      <c r="AQ404" s="178">
        <f t="shared" si="291"/>
        <v>20870082.772905067</v>
      </c>
      <c r="AR404" s="178">
        <f t="shared" si="291"/>
        <v>20870082.772905067</v>
      </c>
      <c r="AS404" s="178">
        <f t="shared" si="291"/>
        <v>21713234.116930436</v>
      </c>
      <c r="AT404" s="265">
        <f t="shared" si="291"/>
        <v>21713234.116930436</v>
      </c>
    </row>
    <row r="405" spans="2:46" x14ac:dyDescent="0.25">
      <c r="B405" s="836" t="s">
        <v>394</v>
      </c>
      <c r="C405" s="268">
        <v>0</v>
      </c>
      <c r="D405" s="268">
        <v>0</v>
      </c>
      <c r="E405" s="268">
        <v>0</v>
      </c>
      <c r="F405" s="268">
        <v>0</v>
      </c>
      <c r="G405" s="178">
        <f t="shared" ref="G405:AT405" si="292">G379</f>
        <v>420000</v>
      </c>
      <c r="H405" s="178">
        <f t="shared" si="292"/>
        <v>428400</v>
      </c>
      <c r="I405" s="178">
        <f t="shared" si="292"/>
        <v>436968</v>
      </c>
      <c r="J405" s="178">
        <f t="shared" si="292"/>
        <v>445707.36</v>
      </c>
      <c r="K405" s="178">
        <f t="shared" si="292"/>
        <v>454621.50719999999</v>
      </c>
      <c r="L405" s="178">
        <f t="shared" si="292"/>
        <v>463713.93734400003</v>
      </c>
      <c r="M405" s="178">
        <f t="shared" si="292"/>
        <v>472988.21609088004</v>
      </c>
      <c r="N405" s="178">
        <f t="shared" si="292"/>
        <v>482447.98041269754</v>
      </c>
      <c r="O405" s="178">
        <f t="shared" si="292"/>
        <v>492096.9400209515</v>
      </c>
      <c r="P405" s="178">
        <f t="shared" si="292"/>
        <v>501938.87882137054</v>
      </c>
      <c r="Q405" s="178">
        <f t="shared" si="292"/>
        <v>511977.65639779798</v>
      </c>
      <c r="R405" s="178">
        <f t="shared" si="292"/>
        <v>522217.20952575386</v>
      </c>
      <c r="S405" s="178">
        <f t="shared" si="292"/>
        <v>532661.55371626897</v>
      </c>
      <c r="T405" s="178">
        <f t="shared" si="292"/>
        <v>543314.78479059436</v>
      </c>
      <c r="U405" s="178">
        <f t="shared" si="292"/>
        <v>554181.08048640634</v>
      </c>
      <c r="V405" s="178">
        <f t="shared" si="292"/>
        <v>565264.70209613431</v>
      </c>
      <c r="W405" s="178">
        <f t="shared" si="292"/>
        <v>576569.99613805709</v>
      </c>
      <c r="X405" s="178">
        <f t="shared" si="292"/>
        <v>588101.39606081822</v>
      </c>
      <c r="Y405" s="178">
        <f t="shared" si="292"/>
        <v>599863.42398203455</v>
      </c>
      <c r="Z405" s="178">
        <f t="shared" si="292"/>
        <v>611860.69246167527</v>
      </c>
      <c r="AA405" s="178">
        <f t="shared" si="292"/>
        <v>624097.90631090873</v>
      </c>
      <c r="AB405" s="178">
        <f t="shared" si="292"/>
        <v>636579.8644371269</v>
      </c>
      <c r="AC405" s="178">
        <f t="shared" si="292"/>
        <v>649311.46172586945</v>
      </c>
      <c r="AD405" s="178">
        <f t="shared" si="292"/>
        <v>662297.69096038677</v>
      </c>
      <c r="AE405" s="178">
        <f t="shared" si="292"/>
        <v>675543.6447795945</v>
      </c>
      <c r="AF405" s="178">
        <f t="shared" si="292"/>
        <v>689054.51767518639</v>
      </c>
      <c r="AG405" s="178">
        <f t="shared" si="292"/>
        <v>702835.60802869021</v>
      </c>
      <c r="AH405" s="178">
        <f t="shared" si="292"/>
        <v>716892.3201892639</v>
      </c>
      <c r="AI405" s="178">
        <f t="shared" si="292"/>
        <v>731230.1665930493</v>
      </c>
      <c r="AJ405" s="178">
        <f t="shared" si="292"/>
        <v>745854.76992491016</v>
      </c>
      <c r="AK405" s="178">
        <f t="shared" si="292"/>
        <v>760771.86532340851</v>
      </c>
      <c r="AL405" s="178">
        <f t="shared" si="292"/>
        <v>775987.30262987642</v>
      </c>
      <c r="AM405" s="178">
        <f t="shared" si="292"/>
        <v>791507.04868247418</v>
      </c>
      <c r="AN405" s="178">
        <f t="shared" si="292"/>
        <v>807337.18965612364</v>
      </c>
      <c r="AO405" s="178">
        <f t="shared" si="292"/>
        <v>823483.93344924611</v>
      </c>
      <c r="AP405" s="178">
        <f t="shared" si="292"/>
        <v>839953.61211823102</v>
      </c>
      <c r="AQ405" s="178">
        <f t="shared" si="292"/>
        <v>856752.68436059554</v>
      </c>
      <c r="AR405" s="178">
        <f t="shared" si="292"/>
        <v>873887.73804780759</v>
      </c>
      <c r="AS405" s="178">
        <f t="shared" si="292"/>
        <v>891365.49280876387</v>
      </c>
      <c r="AT405" s="265">
        <f t="shared" si="292"/>
        <v>909192.80266493873</v>
      </c>
    </row>
    <row r="406" spans="2:46" ht="15" thickBot="1" x14ac:dyDescent="0.3">
      <c r="B406" s="842" t="s">
        <v>388</v>
      </c>
      <c r="C406" s="822">
        <v>0</v>
      </c>
      <c r="D406" s="822">
        <v>0</v>
      </c>
      <c r="E406" s="822">
        <v>0</v>
      </c>
      <c r="F406" s="822">
        <v>0</v>
      </c>
      <c r="G406" s="822">
        <f>G404+G405</f>
        <v>7312358.2816391364</v>
      </c>
      <c r="H406" s="822">
        <f t="shared" ref="H406:AT406" si="293">H404+H405</f>
        <v>9618211.0421855189</v>
      </c>
      <c r="I406" s="822">
        <f t="shared" si="293"/>
        <v>10132013.166469328</v>
      </c>
      <c r="J406" s="822">
        <f t="shared" si="293"/>
        <v>10227850.248333698</v>
      </c>
      <c r="K406" s="822">
        <f t="shared" si="293"/>
        <v>10722579.438050073</v>
      </c>
      <c r="L406" s="822">
        <f t="shared" si="293"/>
        <v>10822288.338021765</v>
      </c>
      <c r="M406" s="822">
        <f t="shared" si="293"/>
        <v>11344326.397764754</v>
      </c>
      <c r="N406" s="822">
        <f t="shared" si="293"/>
        <v>11413424.463767519</v>
      </c>
      <c r="O406" s="822">
        <f t="shared" si="293"/>
        <v>11926732.562372165</v>
      </c>
      <c r="P406" s="822">
        <f t="shared" si="293"/>
        <v>11998622.190241434</v>
      </c>
      <c r="Q406" s="822">
        <f t="shared" si="293"/>
        <v>12537681.389306471</v>
      </c>
      <c r="R406" s="822">
        <f t="shared" si="293"/>
        <v>12612475.358141661</v>
      </c>
      <c r="S406" s="822">
        <f t="shared" si="293"/>
        <v>13105314.762611128</v>
      </c>
      <c r="T406" s="822">
        <f t="shared" si="293"/>
        <v>13109916.624760324</v>
      </c>
      <c r="U406" s="822">
        <f t="shared" si="293"/>
        <v>13622177.79056121</v>
      </c>
      <c r="V406" s="822">
        <f t="shared" si="293"/>
        <v>13626965.567941241</v>
      </c>
      <c r="W406" s="822">
        <f t="shared" si="293"/>
        <v>14159413.380626727</v>
      </c>
      <c r="X406" s="822">
        <f t="shared" si="293"/>
        <v>14263369.588803239</v>
      </c>
      <c r="Y406" s="822">
        <f t="shared" si="293"/>
        <v>14923771.222218458</v>
      </c>
      <c r="Z406" s="822">
        <f t="shared" si="293"/>
        <v>15031927.261205301</v>
      </c>
      <c r="AA406" s="822">
        <f t="shared" si="293"/>
        <v>15726778.74926747</v>
      </c>
      <c r="AB406" s="822">
        <f t="shared" si="293"/>
        <v>15839304.292229386</v>
      </c>
      <c r="AC406" s="822">
        <f t="shared" si="293"/>
        <v>16466225.956400935</v>
      </c>
      <c r="AD406" s="822">
        <f t="shared" si="293"/>
        <v>16479212.185635451</v>
      </c>
      <c r="AE406" s="822">
        <f t="shared" si="293"/>
        <v>17131461.485039532</v>
      </c>
      <c r="AF406" s="822">
        <f t="shared" si="293"/>
        <v>17144972.357935123</v>
      </c>
      <c r="AG406" s="822">
        <f t="shared" si="293"/>
        <v>17823572.529035129</v>
      </c>
      <c r="AH406" s="822">
        <f t="shared" si="293"/>
        <v>17837629.241195701</v>
      </c>
      <c r="AI406" s="822">
        <f t="shared" si="293"/>
        <v>18543644.859208144</v>
      </c>
      <c r="AJ406" s="822">
        <f t="shared" si="293"/>
        <v>18558269.462540004</v>
      </c>
      <c r="AK406" s="822">
        <f t="shared" si="293"/>
        <v>19292808.111520156</v>
      </c>
      <c r="AL406" s="822">
        <f t="shared" si="293"/>
        <v>19308023.548826624</v>
      </c>
      <c r="AM406" s="822">
        <f t="shared" si="293"/>
        <v>20072237.559225567</v>
      </c>
      <c r="AN406" s="822">
        <f t="shared" si="293"/>
        <v>20088067.700199217</v>
      </c>
      <c r="AO406" s="822">
        <f t="shared" si="293"/>
        <v>20883155.956618287</v>
      </c>
      <c r="AP406" s="822">
        <f t="shared" si="293"/>
        <v>20899625.63528727</v>
      </c>
      <c r="AQ406" s="822">
        <f t="shared" si="293"/>
        <v>21726835.457265664</v>
      </c>
      <c r="AR406" s="822">
        <f t="shared" si="293"/>
        <v>21743970.510952875</v>
      </c>
      <c r="AS406" s="822">
        <f t="shared" si="293"/>
        <v>22604599.609739199</v>
      </c>
      <c r="AT406" s="823">
        <f t="shared" si="293"/>
        <v>22622426.919595376</v>
      </c>
    </row>
    <row r="407" spans="2:46" ht="15" thickBot="1" x14ac:dyDescent="0.3">
      <c r="B407" s="838"/>
      <c r="C407" s="178"/>
      <c r="D407" s="178"/>
      <c r="E407" s="178"/>
      <c r="F407" s="178"/>
      <c r="G407" s="178"/>
      <c r="H407" s="178"/>
      <c r="I407" s="178"/>
      <c r="J407" s="178"/>
      <c r="K407" s="178"/>
      <c r="L407" s="178"/>
      <c r="M407" s="178"/>
      <c r="N407" s="178"/>
      <c r="O407" s="178"/>
      <c r="P407" s="178"/>
      <c r="Q407" s="178"/>
      <c r="R407" s="178"/>
      <c r="S407" s="178"/>
      <c r="T407" s="178"/>
      <c r="U407" s="178"/>
      <c r="V407" s="178"/>
      <c r="W407" s="178"/>
      <c r="X407" s="178"/>
      <c r="Y407" s="178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/>
      <c r="AS407" s="178"/>
      <c r="AT407" s="178"/>
    </row>
    <row r="408" spans="2:46" ht="15" thickBot="1" x14ac:dyDescent="0.3">
      <c r="B408" s="843" t="s">
        <v>387</v>
      </c>
      <c r="C408" s="825"/>
      <c r="D408" s="825"/>
      <c r="E408" s="825"/>
      <c r="F408" s="825"/>
      <c r="G408" s="826">
        <f>G406+G401</f>
        <v>4520811.3621383253</v>
      </c>
      <c r="H408" s="826">
        <f t="shared" ref="H408:AT408" si="294">H406+H401</f>
        <v>6526518.3028978519</v>
      </c>
      <c r="I408" s="826">
        <f t="shared" si="294"/>
        <v>7197649.1243559346</v>
      </c>
      <c r="J408" s="826">
        <f t="shared" si="294"/>
        <v>7224293.7744049579</v>
      </c>
      <c r="K408" s="826">
        <f t="shared" si="294"/>
        <v>3857580.027241366</v>
      </c>
      <c r="L408" s="826">
        <f t="shared" si="294"/>
        <v>7675300.5996196959</v>
      </c>
      <c r="M408" s="826">
        <f t="shared" si="294"/>
        <v>8123016.5767622078</v>
      </c>
      <c r="N408" s="826">
        <f t="shared" si="294"/>
        <v>8115997.677203902</v>
      </c>
      <c r="O408" s="826">
        <f t="shared" si="294"/>
        <v>8551349.6377458312</v>
      </c>
      <c r="P408" s="826">
        <f t="shared" si="294"/>
        <v>4378497.631684728</v>
      </c>
      <c r="Q408" s="826">
        <f t="shared" si="294"/>
        <v>9000685.9075801447</v>
      </c>
      <c r="R408" s="826">
        <f t="shared" si="294"/>
        <v>8991729.186368132</v>
      </c>
      <c r="S408" s="826">
        <f t="shared" si="294"/>
        <v>9398790.1267564073</v>
      </c>
      <c r="T408" s="826">
        <f t="shared" si="294"/>
        <v>9315535.5907438397</v>
      </c>
      <c r="U408" s="826">
        <f t="shared" si="294"/>
        <v>5161625.9377572015</v>
      </c>
      <c r="V408" s="826">
        <f t="shared" si="294"/>
        <v>9650430.9319174383</v>
      </c>
      <c r="W408" s="826">
        <f t="shared" si="294"/>
        <v>10088474.758855985</v>
      </c>
      <c r="X408" s="826">
        <f t="shared" si="294"/>
        <v>10095735.41568928</v>
      </c>
      <c r="Y408" s="826">
        <f t="shared" si="294"/>
        <v>10657093.107125418</v>
      </c>
      <c r="Z408" s="826">
        <f t="shared" si="294"/>
        <v>5635713.4502258357</v>
      </c>
      <c r="AA408" s="826">
        <f t="shared" si="294"/>
        <v>11254733.0524699</v>
      </c>
      <c r="AB408" s="826">
        <f t="shared" si="294"/>
        <v>11260813.967792127</v>
      </c>
      <c r="AC408" s="826">
        <f t="shared" si="294"/>
        <v>11778700.560796328</v>
      </c>
      <c r="AD408" s="826">
        <f t="shared" si="294"/>
        <v>11679996.881218772</v>
      </c>
      <c r="AE408" s="826">
        <f t="shared" si="294"/>
        <v>6693223.2277242467</v>
      </c>
      <c r="AF408" s="826">
        <f t="shared" si="294"/>
        <v>12114146.939258156</v>
      </c>
      <c r="AG408" s="826">
        <f t="shared" si="294"/>
        <v>12672689.781775076</v>
      </c>
      <c r="AH408" s="826">
        <f t="shared" si="294"/>
        <v>12563759.993710691</v>
      </c>
      <c r="AI408" s="826">
        <f t="shared" si="294"/>
        <v>13143786.947596345</v>
      </c>
      <c r="AJ408" s="826">
        <f t="shared" si="294"/>
        <v>6959172.2893864568</v>
      </c>
      <c r="AK408" s="826">
        <f t="shared" si="294"/>
        <v>13631665.0862514</v>
      </c>
      <c r="AL408" s="826">
        <f t="shared" si="294"/>
        <v>13511428.619487576</v>
      </c>
      <c r="AM408" s="826">
        <f t="shared" si="294"/>
        <v>14136877.55294143</v>
      </c>
      <c r="AN408" s="826">
        <f t="shared" si="294"/>
        <v>14010546.682068367</v>
      </c>
      <c r="AO408" s="826">
        <f t="shared" si="294"/>
        <v>7990381.2367201168</v>
      </c>
      <c r="AP408" s="826">
        <f t="shared" si="294"/>
        <v>14527253.143564936</v>
      </c>
      <c r="AQ408" s="826">
        <f t="shared" si="294"/>
        <v>15201596.217106961</v>
      </c>
      <c r="AR408" s="826">
        <f t="shared" si="294"/>
        <v>15062115.900299117</v>
      </c>
      <c r="AS408" s="826">
        <f t="shared" si="294"/>
        <v>15762287.140466969</v>
      </c>
      <c r="AT408" s="827">
        <f t="shared" si="294"/>
        <v>8287469.9356174245</v>
      </c>
    </row>
    <row r="409" spans="2:46" ht="15" thickBot="1" x14ac:dyDescent="0.3">
      <c r="B409" s="839"/>
      <c r="C409" s="801"/>
      <c r="D409" s="801"/>
      <c r="E409" s="801"/>
      <c r="F409" s="801"/>
      <c r="G409" s="824"/>
      <c r="H409" s="824"/>
      <c r="I409" s="824"/>
      <c r="J409" s="824"/>
      <c r="K409" s="824"/>
      <c r="L409" s="824"/>
      <c r="M409" s="824"/>
      <c r="N409" s="824"/>
      <c r="O409" s="824"/>
      <c r="P409" s="824"/>
      <c r="Q409" s="824"/>
      <c r="R409" s="824"/>
      <c r="S409" s="824"/>
      <c r="T409" s="824"/>
      <c r="U409" s="824"/>
      <c r="V409" s="824"/>
      <c r="W409" s="824"/>
      <c r="X409" s="824"/>
      <c r="Y409" s="824"/>
      <c r="Z409" s="824"/>
      <c r="AA409" s="824"/>
      <c r="AB409" s="824"/>
      <c r="AC409" s="824"/>
      <c r="AD409" s="824"/>
      <c r="AE409" s="824"/>
      <c r="AF409" s="824"/>
      <c r="AG409" s="824"/>
      <c r="AH409" s="824"/>
      <c r="AI409" s="824"/>
      <c r="AJ409" s="824"/>
      <c r="AK409" s="824"/>
      <c r="AL409" s="824"/>
      <c r="AM409" s="824"/>
      <c r="AN409" s="824"/>
      <c r="AO409" s="824"/>
      <c r="AP409" s="824"/>
      <c r="AQ409" s="824"/>
      <c r="AR409" s="824"/>
      <c r="AS409" s="824"/>
      <c r="AT409" s="824"/>
    </row>
    <row r="410" spans="2:46" ht="14.4" x14ac:dyDescent="0.25">
      <c r="B410" s="835" t="s">
        <v>397</v>
      </c>
      <c r="C410" s="818"/>
      <c r="D410" s="818"/>
      <c r="E410" s="818"/>
      <c r="F410" s="818"/>
      <c r="G410" s="818"/>
      <c r="H410" s="818"/>
      <c r="I410" s="818"/>
      <c r="J410" s="818"/>
      <c r="K410" s="818"/>
      <c r="L410" s="818"/>
      <c r="M410" s="818"/>
      <c r="N410" s="818"/>
      <c r="O410" s="818"/>
      <c r="P410" s="818"/>
      <c r="Q410" s="818"/>
      <c r="R410" s="818"/>
      <c r="S410" s="818"/>
      <c r="T410" s="818"/>
      <c r="U410" s="818"/>
      <c r="V410" s="818"/>
      <c r="W410" s="818"/>
      <c r="X410" s="818"/>
      <c r="Y410" s="818"/>
      <c r="Z410" s="818"/>
      <c r="AA410" s="818"/>
      <c r="AB410" s="818"/>
      <c r="AC410" s="818"/>
      <c r="AD410" s="818"/>
      <c r="AE410" s="818"/>
      <c r="AF410" s="818"/>
      <c r="AG410" s="818"/>
      <c r="AH410" s="818"/>
      <c r="AI410" s="818"/>
      <c r="AJ410" s="818"/>
      <c r="AK410" s="818"/>
      <c r="AL410" s="818"/>
      <c r="AM410" s="818"/>
      <c r="AN410" s="818"/>
      <c r="AO410" s="818"/>
      <c r="AP410" s="818"/>
      <c r="AQ410" s="818"/>
      <c r="AR410" s="818"/>
      <c r="AS410" s="818"/>
      <c r="AT410" s="819"/>
    </row>
    <row r="411" spans="2:46" x14ac:dyDescent="0.25">
      <c r="B411" s="836" t="s">
        <v>442</v>
      </c>
      <c r="C411" s="268">
        <v>0</v>
      </c>
      <c r="D411" s="268">
        <v>0</v>
      </c>
      <c r="E411" s="268">
        <v>0</v>
      </c>
      <c r="F411" s="268">
        <v>0</v>
      </c>
      <c r="G411" s="178">
        <f>G408</f>
        <v>4520811.3621383253</v>
      </c>
      <c r="H411" s="178">
        <f t="shared" ref="H411:AT411" si="295">H408</f>
        <v>6526518.3028978519</v>
      </c>
      <c r="I411" s="178">
        <f t="shared" si="295"/>
        <v>7197649.1243559346</v>
      </c>
      <c r="J411" s="178">
        <f t="shared" si="295"/>
        <v>7224293.7744049579</v>
      </c>
      <c r="K411" s="178">
        <f t="shared" si="295"/>
        <v>3857580.027241366</v>
      </c>
      <c r="L411" s="178">
        <f t="shared" si="295"/>
        <v>7675300.5996196959</v>
      </c>
      <c r="M411" s="178">
        <f t="shared" si="295"/>
        <v>8123016.5767622078</v>
      </c>
      <c r="N411" s="178">
        <f t="shared" si="295"/>
        <v>8115997.677203902</v>
      </c>
      <c r="O411" s="178">
        <f t="shared" si="295"/>
        <v>8551349.6377458312</v>
      </c>
      <c r="P411" s="178">
        <f t="shared" si="295"/>
        <v>4378497.631684728</v>
      </c>
      <c r="Q411" s="178">
        <f t="shared" si="295"/>
        <v>9000685.9075801447</v>
      </c>
      <c r="R411" s="178">
        <f t="shared" si="295"/>
        <v>8991729.186368132</v>
      </c>
      <c r="S411" s="178">
        <f t="shared" si="295"/>
        <v>9398790.1267564073</v>
      </c>
      <c r="T411" s="178">
        <f t="shared" si="295"/>
        <v>9315535.5907438397</v>
      </c>
      <c r="U411" s="178">
        <f t="shared" si="295"/>
        <v>5161625.9377572015</v>
      </c>
      <c r="V411" s="178">
        <f t="shared" si="295"/>
        <v>9650430.9319174383</v>
      </c>
      <c r="W411" s="178">
        <f t="shared" si="295"/>
        <v>10088474.758855985</v>
      </c>
      <c r="X411" s="178">
        <f t="shared" si="295"/>
        <v>10095735.41568928</v>
      </c>
      <c r="Y411" s="178">
        <f t="shared" si="295"/>
        <v>10657093.107125418</v>
      </c>
      <c r="Z411" s="178">
        <f t="shared" si="295"/>
        <v>5635713.4502258357</v>
      </c>
      <c r="AA411" s="178">
        <f t="shared" si="295"/>
        <v>11254733.0524699</v>
      </c>
      <c r="AB411" s="178">
        <f t="shared" si="295"/>
        <v>11260813.967792127</v>
      </c>
      <c r="AC411" s="178">
        <f t="shared" si="295"/>
        <v>11778700.560796328</v>
      </c>
      <c r="AD411" s="178">
        <f t="shared" si="295"/>
        <v>11679996.881218772</v>
      </c>
      <c r="AE411" s="178">
        <f t="shared" si="295"/>
        <v>6693223.2277242467</v>
      </c>
      <c r="AF411" s="178">
        <f t="shared" si="295"/>
        <v>12114146.939258156</v>
      </c>
      <c r="AG411" s="178">
        <f t="shared" si="295"/>
        <v>12672689.781775076</v>
      </c>
      <c r="AH411" s="178">
        <f t="shared" si="295"/>
        <v>12563759.993710691</v>
      </c>
      <c r="AI411" s="178">
        <f t="shared" si="295"/>
        <v>13143786.947596345</v>
      </c>
      <c r="AJ411" s="178">
        <f t="shared" si="295"/>
        <v>6959172.2893864568</v>
      </c>
      <c r="AK411" s="178">
        <f t="shared" si="295"/>
        <v>13631665.0862514</v>
      </c>
      <c r="AL411" s="178">
        <f t="shared" si="295"/>
        <v>13511428.619487576</v>
      </c>
      <c r="AM411" s="178">
        <f t="shared" si="295"/>
        <v>14136877.55294143</v>
      </c>
      <c r="AN411" s="178">
        <f t="shared" si="295"/>
        <v>14010546.682068367</v>
      </c>
      <c r="AO411" s="178">
        <f t="shared" si="295"/>
        <v>7990381.2367201168</v>
      </c>
      <c r="AP411" s="178">
        <f t="shared" si="295"/>
        <v>14527253.143564936</v>
      </c>
      <c r="AQ411" s="178">
        <f t="shared" si="295"/>
        <v>15201596.217106961</v>
      </c>
      <c r="AR411" s="178">
        <f t="shared" si="295"/>
        <v>15062115.900299117</v>
      </c>
      <c r="AS411" s="178">
        <f t="shared" si="295"/>
        <v>15762287.140466969</v>
      </c>
      <c r="AT411" s="265">
        <f t="shared" si="295"/>
        <v>8287469.9356174245</v>
      </c>
    </row>
    <row r="412" spans="2:46" x14ac:dyDescent="0.25">
      <c r="B412" s="836" t="s">
        <v>440</v>
      </c>
      <c r="C412" s="268">
        <v>0</v>
      </c>
      <c r="D412" s="268">
        <v>0</v>
      </c>
      <c r="E412" s="268">
        <v>0</v>
      </c>
      <c r="F412" s="268">
        <v>0</v>
      </c>
      <c r="G412" s="178">
        <f>IF(G411&gt;0,-$C$23*G411,0)</f>
        <v>0</v>
      </c>
      <c r="H412" s="178">
        <f t="shared" ref="H412:AT412" si="296">IF(H411&gt;0,-$C$23*H411,0)</f>
        <v>0</v>
      </c>
      <c r="I412" s="178">
        <f t="shared" si="296"/>
        <v>0</v>
      </c>
      <c r="J412" s="178">
        <f t="shared" si="296"/>
        <v>0</v>
      </c>
      <c r="K412" s="178">
        <f t="shared" si="296"/>
        <v>0</v>
      </c>
      <c r="L412" s="178">
        <f t="shared" si="296"/>
        <v>0</v>
      </c>
      <c r="M412" s="178">
        <f t="shared" si="296"/>
        <v>0</v>
      </c>
      <c r="N412" s="178">
        <f t="shared" si="296"/>
        <v>0</v>
      </c>
      <c r="O412" s="178">
        <f t="shared" si="296"/>
        <v>0</v>
      </c>
      <c r="P412" s="178">
        <f t="shared" si="296"/>
        <v>0</v>
      </c>
      <c r="Q412" s="178">
        <f t="shared" si="296"/>
        <v>0</v>
      </c>
      <c r="R412" s="178">
        <f t="shared" si="296"/>
        <v>0</v>
      </c>
      <c r="S412" s="178">
        <f t="shared" si="296"/>
        <v>0</v>
      </c>
      <c r="T412" s="178">
        <f t="shared" si="296"/>
        <v>0</v>
      </c>
      <c r="U412" s="178">
        <f t="shared" si="296"/>
        <v>0</v>
      </c>
      <c r="V412" s="178">
        <f t="shared" si="296"/>
        <v>0</v>
      </c>
      <c r="W412" s="178">
        <f t="shared" si="296"/>
        <v>0</v>
      </c>
      <c r="X412" s="178">
        <f t="shared" si="296"/>
        <v>0</v>
      </c>
      <c r="Y412" s="178">
        <f t="shared" si="296"/>
        <v>0</v>
      </c>
      <c r="Z412" s="178">
        <f t="shared" si="296"/>
        <v>0</v>
      </c>
      <c r="AA412" s="178">
        <f t="shared" si="296"/>
        <v>0</v>
      </c>
      <c r="AB412" s="178">
        <f t="shared" si="296"/>
        <v>0</v>
      </c>
      <c r="AC412" s="178">
        <f t="shared" si="296"/>
        <v>0</v>
      </c>
      <c r="AD412" s="178">
        <f t="shared" si="296"/>
        <v>0</v>
      </c>
      <c r="AE412" s="178">
        <f t="shared" si="296"/>
        <v>0</v>
      </c>
      <c r="AF412" s="178">
        <f t="shared" si="296"/>
        <v>0</v>
      </c>
      <c r="AG412" s="178">
        <f t="shared" si="296"/>
        <v>0</v>
      </c>
      <c r="AH412" s="178">
        <f t="shared" si="296"/>
        <v>0</v>
      </c>
      <c r="AI412" s="178">
        <f t="shared" si="296"/>
        <v>0</v>
      </c>
      <c r="AJ412" s="178">
        <f t="shared" si="296"/>
        <v>0</v>
      </c>
      <c r="AK412" s="178">
        <f t="shared" si="296"/>
        <v>0</v>
      </c>
      <c r="AL412" s="178">
        <f t="shared" si="296"/>
        <v>0</v>
      </c>
      <c r="AM412" s="178">
        <f t="shared" si="296"/>
        <v>0</v>
      </c>
      <c r="AN412" s="178">
        <f t="shared" si="296"/>
        <v>0</v>
      </c>
      <c r="AO412" s="178">
        <f t="shared" si="296"/>
        <v>0</v>
      </c>
      <c r="AP412" s="178">
        <f t="shared" si="296"/>
        <v>0</v>
      </c>
      <c r="AQ412" s="178">
        <f t="shared" si="296"/>
        <v>0</v>
      </c>
      <c r="AR412" s="178">
        <f t="shared" si="296"/>
        <v>0</v>
      </c>
      <c r="AS412" s="178">
        <f t="shared" si="296"/>
        <v>0</v>
      </c>
      <c r="AT412" s="265">
        <f t="shared" si="296"/>
        <v>0</v>
      </c>
    </row>
    <row r="413" spans="2:46" ht="14.4" x14ac:dyDescent="0.25">
      <c r="B413" s="840" t="s">
        <v>175</v>
      </c>
      <c r="C413" s="800">
        <v>0</v>
      </c>
      <c r="D413" s="800">
        <v>0</v>
      </c>
      <c r="E413" s="800">
        <v>0</v>
      </c>
      <c r="F413" s="800">
        <v>0</v>
      </c>
      <c r="G413" s="261">
        <f>G395</f>
        <v>-2606586.1930182963</v>
      </c>
      <c r="H413" s="261">
        <f t="shared" ref="H413:AT413" si="297">H395</f>
        <v>-2606586.1930182963</v>
      </c>
      <c r="I413" s="261">
        <f t="shared" si="297"/>
        <v>-2606586.1930182963</v>
      </c>
      <c r="J413" s="261">
        <f t="shared" si="297"/>
        <v>-2606586.1930182963</v>
      </c>
      <c r="K413" s="261">
        <f t="shared" si="297"/>
        <v>-2606586.1930182963</v>
      </c>
      <c r="L413" s="261">
        <f t="shared" si="297"/>
        <v>-2465585.720269518</v>
      </c>
      <c r="M413" s="261">
        <f t="shared" si="297"/>
        <v>-2465585.720269518</v>
      </c>
      <c r="N413" s="261">
        <f t="shared" si="297"/>
        <v>-2465585.720269518</v>
      </c>
      <c r="O413" s="261">
        <f t="shared" si="297"/>
        <v>-2465585.720269518</v>
      </c>
      <c r="P413" s="261">
        <f t="shared" si="297"/>
        <v>-2465585.720269518</v>
      </c>
      <c r="Q413" s="261">
        <f t="shared" si="297"/>
        <v>-2230540.8319507265</v>
      </c>
      <c r="R413" s="261">
        <f t="shared" si="297"/>
        <v>-2531498.7427265975</v>
      </c>
      <c r="S413" s="261">
        <f t="shared" si="297"/>
        <v>-2531498.7427265975</v>
      </c>
      <c r="T413" s="261">
        <f t="shared" si="297"/>
        <v>-2531498.7427265975</v>
      </c>
      <c r="U413" s="261">
        <f t="shared" si="297"/>
        <v>-2531498.7427265975</v>
      </c>
      <c r="V413" s="261">
        <f t="shared" si="297"/>
        <v>-1904482.7785175557</v>
      </c>
      <c r="W413" s="261">
        <f t="shared" si="297"/>
        <v>-1904482.7785175557</v>
      </c>
      <c r="X413" s="261">
        <f t="shared" si="297"/>
        <v>-2776439.9375716699</v>
      </c>
      <c r="Y413" s="261">
        <f t="shared" si="297"/>
        <v>-2776439.9375716699</v>
      </c>
      <c r="Z413" s="261">
        <f t="shared" si="297"/>
        <v>-2776439.9375716699</v>
      </c>
      <c r="AA413" s="261">
        <f t="shared" si="297"/>
        <v>-2776439.9375716699</v>
      </c>
      <c r="AB413" s="261">
        <f t="shared" si="297"/>
        <v>-2776439.9375716699</v>
      </c>
      <c r="AC413" s="261">
        <f t="shared" si="297"/>
        <v>-2848930.7361058006</v>
      </c>
      <c r="AD413" s="261">
        <f t="shared" si="297"/>
        <v>-2848930.7361058006</v>
      </c>
      <c r="AE413" s="261">
        <f t="shared" si="297"/>
        <v>-2848930.7361058006</v>
      </c>
      <c r="AF413" s="261">
        <f t="shared" si="297"/>
        <v>-2848930.7361058006</v>
      </c>
      <c r="AG413" s="261">
        <f t="shared" si="297"/>
        <v>-2848930.7361058006</v>
      </c>
      <c r="AH413" s="261">
        <f t="shared" si="297"/>
        <v>-2848930.7361058006</v>
      </c>
      <c r="AI413" s="261">
        <f t="shared" si="297"/>
        <v>-2848930.7361058006</v>
      </c>
      <c r="AJ413" s="261">
        <f t="shared" si="297"/>
        <v>-2848930.7361058006</v>
      </c>
      <c r="AK413" s="261">
        <f t="shared" si="297"/>
        <v>-2848930.7361058006</v>
      </c>
      <c r="AL413" s="261">
        <f t="shared" si="297"/>
        <v>-2848930.7361058006</v>
      </c>
      <c r="AM413" s="261">
        <f t="shared" si="297"/>
        <v>-1976973.5770516866</v>
      </c>
      <c r="AN413" s="261">
        <f t="shared" si="297"/>
        <v>-1603524.8677416849</v>
      </c>
      <c r="AO413" s="261">
        <f t="shared" si="297"/>
        <v>-3209675.3449990982</v>
      </c>
      <c r="AP413" s="261">
        <f t="shared" si="297"/>
        <v>-3209675.3449990982</v>
      </c>
      <c r="AQ413" s="261">
        <f t="shared" si="297"/>
        <v>-3209675.3449990982</v>
      </c>
      <c r="AR413" s="261">
        <f t="shared" si="297"/>
        <v>-3209675.3449990982</v>
      </c>
      <c r="AS413" s="261">
        <f t="shared" si="297"/>
        <v>-3209675.3449990982</v>
      </c>
      <c r="AT413" s="266">
        <f t="shared" si="297"/>
        <v>-3209675.3449990982</v>
      </c>
    </row>
    <row r="414" spans="2:46" x14ac:dyDescent="0.25">
      <c r="B414" s="836" t="s">
        <v>444</v>
      </c>
      <c r="C414" s="268">
        <v>0</v>
      </c>
      <c r="D414" s="268">
        <v>0</v>
      </c>
      <c r="E414" s="268">
        <v>0</v>
      </c>
      <c r="F414" s="268">
        <v>0</v>
      </c>
      <c r="G414" s="178">
        <f t="shared" ref="G414:AT414" si="298">G411+G412+G413</f>
        <v>1914225.1691200291</v>
      </c>
      <c r="H414" s="178">
        <f t="shared" si="298"/>
        <v>3919932.1098795556</v>
      </c>
      <c r="I414" s="178">
        <f t="shared" si="298"/>
        <v>4591062.9313376378</v>
      </c>
      <c r="J414" s="178">
        <f t="shared" si="298"/>
        <v>4617707.5813866612</v>
      </c>
      <c r="K414" s="178">
        <f t="shared" si="298"/>
        <v>1250993.8342230697</v>
      </c>
      <c r="L414" s="178">
        <f t="shared" si="298"/>
        <v>5209714.8793501779</v>
      </c>
      <c r="M414" s="178">
        <f t="shared" si="298"/>
        <v>5657430.8564926898</v>
      </c>
      <c r="N414" s="178">
        <f t="shared" si="298"/>
        <v>5650411.9569343841</v>
      </c>
      <c r="O414" s="178">
        <f t="shared" si="298"/>
        <v>6085763.9174763132</v>
      </c>
      <c r="P414" s="178">
        <f t="shared" si="298"/>
        <v>1912911.91141521</v>
      </c>
      <c r="Q414" s="178">
        <f t="shared" si="298"/>
        <v>6770145.0756294187</v>
      </c>
      <c r="R414" s="178">
        <f t="shared" si="298"/>
        <v>6460230.4436415341</v>
      </c>
      <c r="S414" s="178">
        <f t="shared" si="298"/>
        <v>6867291.3840298094</v>
      </c>
      <c r="T414" s="178">
        <f t="shared" si="298"/>
        <v>6784036.8480172418</v>
      </c>
      <c r="U414" s="178">
        <f t="shared" si="298"/>
        <v>2630127.195030604</v>
      </c>
      <c r="V414" s="178">
        <f t="shared" si="298"/>
        <v>7745948.1533998828</v>
      </c>
      <c r="W414" s="178">
        <f t="shared" si="298"/>
        <v>8183991.98033843</v>
      </c>
      <c r="X414" s="178">
        <f t="shared" si="298"/>
        <v>7319295.4781176103</v>
      </c>
      <c r="Y414" s="178">
        <f t="shared" si="298"/>
        <v>7880653.1695537483</v>
      </c>
      <c r="Z414" s="178">
        <f t="shared" si="298"/>
        <v>2859273.5126541657</v>
      </c>
      <c r="AA414" s="178">
        <f t="shared" si="298"/>
        <v>8478293.1148982309</v>
      </c>
      <c r="AB414" s="178">
        <f t="shared" si="298"/>
        <v>8484374.0302204564</v>
      </c>
      <c r="AC414" s="178">
        <f t="shared" si="298"/>
        <v>8929769.8246905282</v>
      </c>
      <c r="AD414" s="178">
        <f t="shared" si="298"/>
        <v>8831066.1451129727</v>
      </c>
      <c r="AE414" s="178">
        <f t="shared" si="298"/>
        <v>3844292.4916184461</v>
      </c>
      <c r="AF414" s="178">
        <f t="shared" si="298"/>
        <v>9265216.2031523548</v>
      </c>
      <c r="AG414" s="178">
        <f t="shared" si="298"/>
        <v>9823759.0456692763</v>
      </c>
      <c r="AH414" s="178">
        <f t="shared" si="298"/>
        <v>9714829.2576048896</v>
      </c>
      <c r="AI414" s="178">
        <f t="shared" si="298"/>
        <v>10294856.211490545</v>
      </c>
      <c r="AJ414" s="178">
        <f t="shared" si="298"/>
        <v>4110241.5532806562</v>
      </c>
      <c r="AK414" s="178">
        <f t="shared" si="298"/>
        <v>10782734.350145601</v>
      </c>
      <c r="AL414" s="178">
        <f t="shared" si="298"/>
        <v>10662497.883381777</v>
      </c>
      <c r="AM414" s="178">
        <f t="shared" si="298"/>
        <v>12159903.975889744</v>
      </c>
      <c r="AN414" s="178">
        <f t="shared" si="298"/>
        <v>12407021.814326681</v>
      </c>
      <c r="AO414" s="178">
        <f t="shared" si="298"/>
        <v>4780705.8917210186</v>
      </c>
      <c r="AP414" s="178">
        <f t="shared" si="298"/>
        <v>11317577.798565838</v>
      </c>
      <c r="AQ414" s="178">
        <f t="shared" si="298"/>
        <v>11991920.872107863</v>
      </c>
      <c r="AR414" s="178">
        <f t="shared" si="298"/>
        <v>11852440.55530002</v>
      </c>
      <c r="AS414" s="178">
        <f t="shared" si="298"/>
        <v>12552611.795467872</v>
      </c>
      <c r="AT414" s="265">
        <f t="shared" si="298"/>
        <v>5077794.5906183263</v>
      </c>
    </row>
    <row r="415" spans="2:46" x14ac:dyDescent="0.25">
      <c r="B415" s="836" t="s">
        <v>443</v>
      </c>
      <c r="C415" s="268">
        <v>0</v>
      </c>
      <c r="D415" s="268">
        <v>0</v>
      </c>
      <c r="E415" s="268">
        <v>0</v>
      </c>
      <c r="F415" s="268">
        <v>0</v>
      </c>
      <c r="G415" s="178">
        <f>IF(G414&gt;0,-$C$24*G414,0)</f>
        <v>-669978.80919201009</v>
      </c>
      <c r="H415" s="178">
        <f t="shared" ref="H415:AT415" si="299">IF(H414&gt;0,-$C$24*H414,0)</f>
        <v>-1371976.2384578444</v>
      </c>
      <c r="I415" s="178">
        <f t="shared" si="299"/>
        <v>-1606872.0259681731</v>
      </c>
      <c r="J415" s="178">
        <f t="shared" si="299"/>
        <v>-1616197.6534853312</v>
      </c>
      <c r="K415" s="178">
        <f t="shared" si="299"/>
        <v>-437847.8419780744</v>
      </c>
      <c r="L415" s="178">
        <f t="shared" si="299"/>
        <v>-1823400.2077725623</v>
      </c>
      <c r="M415" s="178">
        <f t="shared" si="299"/>
        <v>-1980100.7997724414</v>
      </c>
      <c r="N415" s="178">
        <f t="shared" si="299"/>
        <v>-1977644.1849270342</v>
      </c>
      <c r="O415" s="178">
        <f t="shared" si="299"/>
        <v>-2130017.3711167094</v>
      </c>
      <c r="P415" s="178">
        <f t="shared" si="299"/>
        <v>-669519.16899532347</v>
      </c>
      <c r="Q415" s="178">
        <f t="shared" si="299"/>
        <v>-2369550.7764702966</v>
      </c>
      <c r="R415" s="178">
        <f t="shared" si="299"/>
        <v>-2261080.6552745369</v>
      </c>
      <c r="S415" s="178">
        <f t="shared" si="299"/>
        <v>-2403551.9844104331</v>
      </c>
      <c r="T415" s="178">
        <f t="shared" si="299"/>
        <v>-2374412.8968060343</v>
      </c>
      <c r="U415" s="178">
        <f t="shared" si="299"/>
        <v>-920544.51826071134</v>
      </c>
      <c r="V415" s="178">
        <f t="shared" si="299"/>
        <v>-2711081.8536899588</v>
      </c>
      <c r="W415" s="178">
        <f t="shared" si="299"/>
        <v>-2864397.1931184502</v>
      </c>
      <c r="X415" s="178">
        <f t="shared" si="299"/>
        <v>-2561753.4173411634</v>
      </c>
      <c r="Y415" s="178">
        <f t="shared" si="299"/>
        <v>-2758228.6093438119</v>
      </c>
      <c r="Z415" s="178">
        <f t="shared" si="299"/>
        <v>-1000745.7294289579</v>
      </c>
      <c r="AA415" s="178">
        <f t="shared" si="299"/>
        <v>-2967402.5902143805</v>
      </c>
      <c r="AB415" s="178">
        <f t="shared" si="299"/>
        <v>-2969530.9105771594</v>
      </c>
      <c r="AC415" s="178">
        <f t="shared" si="299"/>
        <v>-3125419.4386416846</v>
      </c>
      <c r="AD415" s="178">
        <f t="shared" si="299"/>
        <v>-3090873.1507895403</v>
      </c>
      <c r="AE415" s="178">
        <f t="shared" si="299"/>
        <v>-1345502.3720664561</v>
      </c>
      <c r="AF415" s="178">
        <f t="shared" si="299"/>
        <v>-3242825.6711033238</v>
      </c>
      <c r="AG415" s="178">
        <f t="shared" si="299"/>
        <v>-3438315.6659842464</v>
      </c>
      <c r="AH415" s="178">
        <f t="shared" si="299"/>
        <v>-3400190.2401617114</v>
      </c>
      <c r="AI415" s="178">
        <f t="shared" si="299"/>
        <v>-3603199.6740216906</v>
      </c>
      <c r="AJ415" s="178">
        <f t="shared" si="299"/>
        <v>-1438584.5436482297</v>
      </c>
      <c r="AK415" s="178">
        <f t="shared" si="299"/>
        <v>-3773957.0225509601</v>
      </c>
      <c r="AL415" s="178">
        <f t="shared" si="299"/>
        <v>-3731874.2591836215</v>
      </c>
      <c r="AM415" s="178">
        <f t="shared" si="299"/>
        <v>-4255966.3915614104</v>
      </c>
      <c r="AN415" s="178">
        <f t="shared" si="299"/>
        <v>-4342457.6350143384</v>
      </c>
      <c r="AO415" s="178">
        <f t="shared" si="299"/>
        <v>-1673247.0621023565</v>
      </c>
      <c r="AP415" s="178">
        <f t="shared" si="299"/>
        <v>-3961152.2294980432</v>
      </c>
      <c r="AQ415" s="178">
        <f t="shared" si="299"/>
        <v>-4197172.3052377524</v>
      </c>
      <c r="AR415" s="178">
        <f t="shared" si="299"/>
        <v>-4148354.1943550068</v>
      </c>
      <c r="AS415" s="178">
        <f t="shared" si="299"/>
        <v>-4393414.1284137554</v>
      </c>
      <c r="AT415" s="265">
        <f t="shared" si="299"/>
        <v>-1777228.1067164142</v>
      </c>
    </row>
    <row r="416" spans="2:46" ht="14.4" x14ac:dyDescent="0.25">
      <c r="B416" s="841" t="s">
        <v>445</v>
      </c>
      <c r="C416" s="801">
        <v>0</v>
      </c>
      <c r="D416" s="801">
        <v>0</v>
      </c>
      <c r="E416" s="801">
        <v>0</v>
      </c>
      <c r="F416" s="801">
        <v>0</v>
      </c>
      <c r="G416" s="262">
        <f>G414+G415</f>
        <v>1244246.3599280189</v>
      </c>
      <c r="H416" s="262">
        <f t="shared" ref="H416:AT416" si="300">H414+H415</f>
        <v>2547955.8714217115</v>
      </c>
      <c r="I416" s="262">
        <f t="shared" si="300"/>
        <v>2984190.9053694648</v>
      </c>
      <c r="J416" s="262">
        <f t="shared" si="300"/>
        <v>3001509.9279013299</v>
      </c>
      <c r="K416" s="262">
        <f t="shared" si="300"/>
        <v>813145.99224499532</v>
      </c>
      <c r="L416" s="262">
        <f t="shared" si="300"/>
        <v>3386314.6715776157</v>
      </c>
      <c r="M416" s="262">
        <f t="shared" si="300"/>
        <v>3677330.0567202484</v>
      </c>
      <c r="N416" s="262">
        <f t="shared" si="300"/>
        <v>3672767.7720073499</v>
      </c>
      <c r="O416" s="262">
        <f t="shared" si="300"/>
        <v>3955746.5463596038</v>
      </c>
      <c r="P416" s="262">
        <f t="shared" si="300"/>
        <v>1243392.7424198864</v>
      </c>
      <c r="Q416" s="262">
        <f t="shared" si="300"/>
        <v>4400594.2991591226</v>
      </c>
      <c r="R416" s="262">
        <f t="shared" si="300"/>
        <v>4199149.7883669976</v>
      </c>
      <c r="S416" s="262">
        <f t="shared" si="300"/>
        <v>4463739.3996193763</v>
      </c>
      <c r="T416" s="262">
        <f t="shared" si="300"/>
        <v>4409623.9512112075</v>
      </c>
      <c r="U416" s="262">
        <f t="shared" si="300"/>
        <v>1709582.6767698927</v>
      </c>
      <c r="V416" s="262">
        <f t="shared" si="300"/>
        <v>5034866.2997099236</v>
      </c>
      <c r="W416" s="262">
        <f t="shared" si="300"/>
        <v>5319594.7872199798</v>
      </c>
      <c r="X416" s="262">
        <f t="shared" si="300"/>
        <v>4757542.0607764469</v>
      </c>
      <c r="Y416" s="262">
        <f t="shared" si="300"/>
        <v>5122424.5602099365</v>
      </c>
      <c r="Z416" s="262">
        <f t="shared" si="300"/>
        <v>1858527.7832252078</v>
      </c>
      <c r="AA416" s="262">
        <f t="shared" si="300"/>
        <v>5510890.5246838499</v>
      </c>
      <c r="AB416" s="262">
        <f t="shared" si="300"/>
        <v>5514843.119643297</v>
      </c>
      <c r="AC416" s="262">
        <f t="shared" si="300"/>
        <v>5804350.3860488441</v>
      </c>
      <c r="AD416" s="262">
        <f t="shared" si="300"/>
        <v>5740192.9943234324</v>
      </c>
      <c r="AE416" s="262">
        <f t="shared" si="300"/>
        <v>2498790.1195519902</v>
      </c>
      <c r="AF416" s="262">
        <f t="shared" si="300"/>
        <v>6022390.532049031</v>
      </c>
      <c r="AG416" s="262">
        <f t="shared" si="300"/>
        <v>6385443.3796850294</v>
      </c>
      <c r="AH416" s="262">
        <f t="shared" si="300"/>
        <v>6314639.0174431782</v>
      </c>
      <c r="AI416" s="262">
        <f t="shared" si="300"/>
        <v>6691656.5374688543</v>
      </c>
      <c r="AJ416" s="262">
        <f t="shared" si="300"/>
        <v>2671657.0096324263</v>
      </c>
      <c r="AK416" s="262">
        <f t="shared" si="300"/>
        <v>7008777.3275946407</v>
      </c>
      <c r="AL416" s="262">
        <f t="shared" si="300"/>
        <v>6930623.6241981555</v>
      </c>
      <c r="AM416" s="262">
        <f t="shared" si="300"/>
        <v>7903937.5843283338</v>
      </c>
      <c r="AN416" s="262">
        <f t="shared" si="300"/>
        <v>8064564.1793123428</v>
      </c>
      <c r="AO416" s="262">
        <f t="shared" si="300"/>
        <v>3107458.8296186621</v>
      </c>
      <c r="AP416" s="262">
        <f t="shared" si="300"/>
        <v>7356425.5690677948</v>
      </c>
      <c r="AQ416" s="262">
        <f t="shared" si="300"/>
        <v>7794748.566870111</v>
      </c>
      <c r="AR416" s="262">
        <f t="shared" si="300"/>
        <v>7704086.3609450124</v>
      </c>
      <c r="AS416" s="262">
        <f t="shared" si="300"/>
        <v>8159197.6670541167</v>
      </c>
      <c r="AT416" s="267">
        <f t="shared" si="300"/>
        <v>3300566.4839019123</v>
      </c>
    </row>
    <row r="417" spans="2:46" x14ac:dyDescent="0.25">
      <c r="B417" s="836" t="s">
        <v>446</v>
      </c>
      <c r="C417" s="268">
        <v>0</v>
      </c>
      <c r="D417" s="268">
        <v>0</v>
      </c>
      <c r="E417" s="268">
        <v>0</v>
      </c>
      <c r="F417" s="268">
        <v>0</v>
      </c>
      <c r="G417" s="178">
        <f>-G413</f>
        <v>2606586.1930182963</v>
      </c>
      <c r="H417" s="178">
        <f t="shared" ref="H417:AT417" si="301">-H413</f>
        <v>2606586.1930182963</v>
      </c>
      <c r="I417" s="178">
        <f t="shared" si="301"/>
        <v>2606586.1930182963</v>
      </c>
      <c r="J417" s="178">
        <f t="shared" si="301"/>
        <v>2606586.1930182963</v>
      </c>
      <c r="K417" s="178">
        <f t="shared" si="301"/>
        <v>2606586.1930182963</v>
      </c>
      <c r="L417" s="178">
        <f t="shared" si="301"/>
        <v>2465585.720269518</v>
      </c>
      <c r="M417" s="178">
        <f t="shared" si="301"/>
        <v>2465585.720269518</v>
      </c>
      <c r="N417" s="178">
        <f t="shared" si="301"/>
        <v>2465585.720269518</v>
      </c>
      <c r="O417" s="178">
        <f t="shared" si="301"/>
        <v>2465585.720269518</v>
      </c>
      <c r="P417" s="178">
        <f t="shared" si="301"/>
        <v>2465585.720269518</v>
      </c>
      <c r="Q417" s="178">
        <f t="shared" si="301"/>
        <v>2230540.8319507265</v>
      </c>
      <c r="R417" s="178">
        <f t="shared" si="301"/>
        <v>2531498.7427265975</v>
      </c>
      <c r="S417" s="178">
        <f t="shared" si="301"/>
        <v>2531498.7427265975</v>
      </c>
      <c r="T417" s="178">
        <f t="shared" si="301"/>
        <v>2531498.7427265975</v>
      </c>
      <c r="U417" s="178">
        <f t="shared" si="301"/>
        <v>2531498.7427265975</v>
      </c>
      <c r="V417" s="178">
        <f t="shared" si="301"/>
        <v>1904482.7785175557</v>
      </c>
      <c r="W417" s="178">
        <f t="shared" si="301"/>
        <v>1904482.7785175557</v>
      </c>
      <c r="X417" s="178">
        <f t="shared" si="301"/>
        <v>2776439.9375716699</v>
      </c>
      <c r="Y417" s="178">
        <f t="shared" si="301"/>
        <v>2776439.9375716699</v>
      </c>
      <c r="Z417" s="178">
        <f t="shared" si="301"/>
        <v>2776439.9375716699</v>
      </c>
      <c r="AA417" s="178">
        <f t="shared" si="301"/>
        <v>2776439.9375716699</v>
      </c>
      <c r="AB417" s="178">
        <f t="shared" si="301"/>
        <v>2776439.9375716699</v>
      </c>
      <c r="AC417" s="178">
        <f t="shared" si="301"/>
        <v>2848930.7361058006</v>
      </c>
      <c r="AD417" s="178">
        <f t="shared" si="301"/>
        <v>2848930.7361058006</v>
      </c>
      <c r="AE417" s="178">
        <f t="shared" si="301"/>
        <v>2848930.7361058006</v>
      </c>
      <c r="AF417" s="178">
        <f t="shared" si="301"/>
        <v>2848930.7361058006</v>
      </c>
      <c r="AG417" s="178">
        <f t="shared" si="301"/>
        <v>2848930.7361058006</v>
      </c>
      <c r="AH417" s="178">
        <f t="shared" si="301"/>
        <v>2848930.7361058006</v>
      </c>
      <c r="AI417" s="178">
        <f t="shared" si="301"/>
        <v>2848930.7361058006</v>
      </c>
      <c r="AJ417" s="178">
        <f t="shared" si="301"/>
        <v>2848930.7361058006</v>
      </c>
      <c r="AK417" s="178">
        <f t="shared" si="301"/>
        <v>2848930.7361058006</v>
      </c>
      <c r="AL417" s="178">
        <f t="shared" si="301"/>
        <v>2848930.7361058006</v>
      </c>
      <c r="AM417" s="178">
        <f t="shared" si="301"/>
        <v>1976973.5770516866</v>
      </c>
      <c r="AN417" s="178">
        <f t="shared" si="301"/>
        <v>1603524.8677416849</v>
      </c>
      <c r="AO417" s="178">
        <f t="shared" si="301"/>
        <v>3209675.3449990982</v>
      </c>
      <c r="AP417" s="178">
        <f t="shared" si="301"/>
        <v>3209675.3449990982</v>
      </c>
      <c r="AQ417" s="178">
        <f t="shared" si="301"/>
        <v>3209675.3449990982</v>
      </c>
      <c r="AR417" s="178">
        <f t="shared" si="301"/>
        <v>3209675.3449990982</v>
      </c>
      <c r="AS417" s="178">
        <f t="shared" si="301"/>
        <v>3209675.3449990982</v>
      </c>
      <c r="AT417" s="265">
        <f t="shared" si="301"/>
        <v>3209675.3449990982</v>
      </c>
    </row>
    <row r="418" spans="2:46" ht="15" thickBot="1" x14ac:dyDescent="0.3">
      <c r="B418" s="842" t="s">
        <v>386</v>
      </c>
      <c r="C418" s="828"/>
      <c r="D418" s="828"/>
      <c r="E418" s="828"/>
      <c r="F418" s="828"/>
      <c r="G418" s="828">
        <f>G416+G417</f>
        <v>3850832.5529463151</v>
      </c>
      <c r="H418" s="828">
        <f t="shared" ref="H418:AT418" si="302">H416+H417</f>
        <v>5154542.0644400083</v>
      </c>
      <c r="I418" s="828">
        <f t="shared" si="302"/>
        <v>5590777.098387761</v>
      </c>
      <c r="J418" s="828">
        <f t="shared" si="302"/>
        <v>5608096.1209196262</v>
      </c>
      <c r="K418" s="828">
        <f t="shared" si="302"/>
        <v>3419732.1852632915</v>
      </c>
      <c r="L418" s="828">
        <f t="shared" si="302"/>
        <v>5851900.3918471336</v>
      </c>
      <c r="M418" s="828">
        <f t="shared" si="302"/>
        <v>6142915.7769897664</v>
      </c>
      <c r="N418" s="828">
        <f t="shared" si="302"/>
        <v>6138353.4922768679</v>
      </c>
      <c r="O418" s="828">
        <f t="shared" si="302"/>
        <v>6421332.2666291222</v>
      </c>
      <c r="P418" s="828">
        <f t="shared" si="302"/>
        <v>3708978.4626894044</v>
      </c>
      <c r="Q418" s="828">
        <f t="shared" si="302"/>
        <v>6631135.1311098486</v>
      </c>
      <c r="R418" s="828">
        <f t="shared" si="302"/>
        <v>6730648.5310935955</v>
      </c>
      <c r="S418" s="828">
        <f t="shared" si="302"/>
        <v>6995238.1423459742</v>
      </c>
      <c r="T418" s="828">
        <f t="shared" si="302"/>
        <v>6941122.6939378045</v>
      </c>
      <c r="U418" s="828">
        <f t="shared" si="302"/>
        <v>4241081.4194964897</v>
      </c>
      <c r="V418" s="828">
        <f t="shared" si="302"/>
        <v>6939349.078227479</v>
      </c>
      <c r="W418" s="828">
        <f t="shared" si="302"/>
        <v>7224077.5657375352</v>
      </c>
      <c r="X418" s="828">
        <f t="shared" si="302"/>
        <v>7533981.9983481169</v>
      </c>
      <c r="Y418" s="828">
        <f t="shared" si="302"/>
        <v>7898864.4977816064</v>
      </c>
      <c r="Z418" s="828">
        <f t="shared" si="302"/>
        <v>4634967.7207968775</v>
      </c>
      <c r="AA418" s="828">
        <f t="shared" si="302"/>
        <v>8287330.4622555198</v>
      </c>
      <c r="AB418" s="828">
        <f t="shared" si="302"/>
        <v>8291283.057214967</v>
      </c>
      <c r="AC418" s="828">
        <f t="shared" si="302"/>
        <v>8653281.1221546456</v>
      </c>
      <c r="AD418" s="828">
        <f t="shared" si="302"/>
        <v>8589123.7304292321</v>
      </c>
      <c r="AE418" s="828">
        <f t="shared" si="302"/>
        <v>5347720.8556577908</v>
      </c>
      <c r="AF418" s="828">
        <f t="shared" si="302"/>
        <v>8871321.2681548316</v>
      </c>
      <c r="AG418" s="828">
        <f t="shared" si="302"/>
        <v>9234374.1157908291</v>
      </c>
      <c r="AH418" s="828">
        <f t="shared" si="302"/>
        <v>9163569.7535489798</v>
      </c>
      <c r="AI418" s="828">
        <f t="shared" si="302"/>
        <v>9540587.273574654</v>
      </c>
      <c r="AJ418" s="828">
        <f t="shared" si="302"/>
        <v>5520587.7457382269</v>
      </c>
      <c r="AK418" s="828">
        <f t="shared" si="302"/>
        <v>9857708.0637004413</v>
      </c>
      <c r="AL418" s="828">
        <f t="shared" si="302"/>
        <v>9779554.360303957</v>
      </c>
      <c r="AM418" s="828">
        <f t="shared" si="302"/>
        <v>9880911.1613800209</v>
      </c>
      <c r="AN418" s="828">
        <f t="shared" si="302"/>
        <v>9668089.0470540281</v>
      </c>
      <c r="AO418" s="828">
        <f t="shared" si="302"/>
        <v>6317134.1746177599</v>
      </c>
      <c r="AP418" s="828">
        <f t="shared" si="302"/>
        <v>10566100.914066892</v>
      </c>
      <c r="AQ418" s="828">
        <f t="shared" si="302"/>
        <v>11004423.911869209</v>
      </c>
      <c r="AR418" s="828">
        <f t="shared" si="302"/>
        <v>10913761.70594411</v>
      </c>
      <c r="AS418" s="828">
        <f t="shared" si="302"/>
        <v>11368873.012053214</v>
      </c>
      <c r="AT418" s="829">
        <f t="shared" si="302"/>
        <v>6510241.8289010106</v>
      </c>
    </row>
    <row r="419" spans="2:46" ht="15" thickBot="1" x14ac:dyDescent="0.3">
      <c r="B419" s="839"/>
      <c r="C419" s="811"/>
      <c r="D419" s="811"/>
      <c r="E419" s="811"/>
      <c r="F419" s="811"/>
      <c r="G419" s="811"/>
      <c r="H419" s="811"/>
      <c r="I419" s="811"/>
      <c r="J419" s="811"/>
      <c r="K419" s="811"/>
      <c r="L419" s="811"/>
      <c r="M419" s="811"/>
      <c r="N419" s="811"/>
      <c r="O419" s="811"/>
      <c r="P419" s="811"/>
      <c r="Q419" s="811"/>
      <c r="R419" s="811"/>
      <c r="S419" s="811"/>
      <c r="T419" s="811"/>
      <c r="U419" s="811"/>
      <c r="V419" s="811"/>
      <c r="W419" s="811"/>
      <c r="X419" s="811"/>
      <c r="Y419" s="811"/>
      <c r="Z419" s="811"/>
      <c r="AA419" s="811"/>
      <c r="AB419" s="811"/>
      <c r="AC419" s="811"/>
      <c r="AD419" s="811"/>
      <c r="AE419" s="811"/>
      <c r="AF419" s="811"/>
      <c r="AG419" s="811"/>
      <c r="AH419" s="811"/>
      <c r="AI419" s="811"/>
      <c r="AJ419" s="811"/>
      <c r="AK419" s="811"/>
      <c r="AL419" s="811"/>
      <c r="AM419" s="811"/>
      <c r="AN419" s="811"/>
      <c r="AO419" s="811"/>
      <c r="AP419" s="811"/>
      <c r="AQ419" s="811"/>
      <c r="AR419" s="811"/>
      <c r="AS419" s="811"/>
      <c r="AT419" s="811"/>
    </row>
    <row r="420" spans="2:46" ht="14.4" x14ac:dyDescent="0.25">
      <c r="B420" s="835" t="s">
        <v>447</v>
      </c>
      <c r="C420" s="818"/>
      <c r="D420" s="818"/>
      <c r="E420" s="818"/>
      <c r="F420" s="818"/>
      <c r="G420" s="818"/>
      <c r="H420" s="818"/>
      <c r="I420" s="818"/>
      <c r="J420" s="818"/>
      <c r="K420" s="818"/>
      <c r="L420" s="818"/>
      <c r="M420" s="818"/>
      <c r="N420" s="818"/>
      <c r="O420" s="818"/>
      <c r="P420" s="818"/>
      <c r="Q420" s="818"/>
      <c r="R420" s="818"/>
      <c r="S420" s="818"/>
      <c r="T420" s="818"/>
      <c r="U420" s="818"/>
      <c r="V420" s="818"/>
      <c r="W420" s="818"/>
      <c r="X420" s="818"/>
      <c r="Y420" s="818"/>
      <c r="Z420" s="818"/>
      <c r="AA420" s="818"/>
      <c r="AB420" s="818"/>
      <c r="AC420" s="818"/>
      <c r="AD420" s="818"/>
      <c r="AE420" s="818"/>
      <c r="AF420" s="818"/>
      <c r="AG420" s="818"/>
      <c r="AH420" s="818"/>
      <c r="AI420" s="818"/>
      <c r="AJ420" s="818"/>
      <c r="AK420" s="818"/>
      <c r="AL420" s="818"/>
      <c r="AM420" s="818"/>
      <c r="AN420" s="818"/>
      <c r="AO420" s="818"/>
      <c r="AP420" s="818"/>
      <c r="AQ420" s="818"/>
      <c r="AR420" s="818"/>
      <c r="AS420" s="818"/>
      <c r="AT420" s="819"/>
    </row>
    <row r="421" spans="2:46" x14ac:dyDescent="0.25">
      <c r="B421" s="836" t="s">
        <v>448</v>
      </c>
      <c r="C421" s="268">
        <f>C345</f>
        <v>-5332198.1684703697</v>
      </c>
      <c r="D421" s="268">
        <f t="shared" ref="D421:F421" si="303">D345</f>
        <v>-19669755.173127942</v>
      </c>
      <c r="E421" s="268">
        <f t="shared" si="303"/>
        <v>-49167777.727487408</v>
      </c>
      <c r="F421" s="268">
        <f t="shared" si="303"/>
        <v>-19836102.472292583</v>
      </c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8"/>
      <c r="Z421" s="178"/>
      <c r="AA421" s="178"/>
      <c r="AB421" s="178"/>
      <c r="AC421" s="178"/>
      <c r="AD421" s="178"/>
      <c r="AE421" s="178"/>
      <c r="AF421" s="178"/>
      <c r="AG421" s="178"/>
      <c r="AH421" s="178"/>
      <c r="AI421" s="178"/>
      <c r="AJ421" s="178"/>
      <c r="AK421" s="178"/>
      <c r="AL421" s="178"/>
      <c r="AM421" s="178"/>
      <c r="AN421" s="178"/>
      <c r="AO421" s="178"/>
      <c r="AP421" s="178"/>
      <c r="AQ421" s="178"/>
      <c r="AR421" s="178"/>
      <c r="AS421" s="178"/>
      <c r="AT421" s="265"/>
    </row>
    <row r="422" spans="2:46" x14ac:dyDescent="0.25">
      <c r="B422" s="836" t="s">
        <v>383</v>
      </c>
      <c r="C422" s="178"/>
      <c r="D422" s="178"/>
      <c r="E422" s="178"/>
      <c r="F422" s="178"/>
      <c r="G422" s="268">
        <f t="shared" ref="G422:AT422" si="304">G346</f>
        <v>0</v>
      </c>
      <c r="H422" s="268">
        <f t="shared" si="304"/>
        <v>0</v>
      </c>
      <c r="I422" s="268">
        <f t="shared" si="304"/>
        <v>0</v>
      </c>
      <c r="J422" s="268">
        <f t="shared" si="304"/>
        <v>0</v>
      </c>
      <c r="K422" s="268">
        <f t="shared" si="304"/>
        <v>0</v>
      </c>
      <c r="L422" s="268">
        <f t="shared" si="304"/>
        <v>0</v>
      </c>
      <c r="M422" s="268">
        <f t="shared" si="304"/>
        <v>0</v>
      </c>
      <c r="N422" s="268">
        <f t="shared" si="304"/>
        <v>0</v>
      </c>
      <c r="O422" s="268">
        <f t="shared" si="304"/>
        <v>0</v>
      </c>
      <c r="P422" s="268">
        <f t="shared" si="304"/>
        <v>-1360136.2924377397</v>
      </c>
      <c r="Q422" s="268">
        <f t="shared" si="304"/>
        <v>-1649442.8153209686</v>
      </c>
      <c r="R422" s="268">
        <f t="shared" si="304"/>
        <v>0</v>
      </c>
      <c r="S422" s="268">
        <f t="shared" si="304"/>
        <v>0</v>
      </c>
      <c r="T422" s="268">
        <f t="shared" si="304"/>
        <v>0</v>
      </c>
      <c r="U422" s="268">
        <f t="shared" si="304"/>
        <v>-2314062.3198277643</v>
      </c>
      <c r="V422" s="268">
        <f t="shared" si="304"/>
        <v>-7351611.2293968759</v>
      </c>
      <c r="W422" s="268">
        <f t="shared" si="304"/>
        <v>-3413683.8365870705</v>
      </c>
      <c r="X422" s="268">
        <f t="shared" si="304"/>
        <v>0</v>
      </c>
      <c r="Y422" s="268">
        <f t="shared" si="304"/>
        <v>0</v>
      </c>
      <c r="Z422" s="268">
        <f t="shared" si="304"/>
        <v>0</v>
      </c>
      <c r="AA422" s="268">
        <f t="shared" si="304"/>
        <v>-1687746.6137686879</v>
      </c>
      <c r="AB422" s="268">
        <f t="shared" si="304"/>
        <v>-2046740.4793313304</v>
      </c>
      <c r="AC422" s="268">
        <f t="shared" si="304"/>
        <v>0</v>
      </c>
      <c r="AD422" s="268">
        <f t="shared" si="304"/>
        <v>0</v>
      </c>
      <c r="AE422" s="268">
        <f t="shared" si="304"/>
        <v>0</v>
      </c>
      <c r="AF422" s="268">
        <f t="shared" si="304"/>
        <v>0</v>
      </c>
      <c r="AG422" s="268">
        <f t="shared" si="304"/>
        <v>0</v>
      </c>
      <c r="AH422" s="268">
        <f t="shared" si="304"/>
        <v>0</v>
      </c>
      <c r="AI422" s="268">
        <f t="shared" si="304"/>
        <v>0</v>
      </c>
      <c r="AJ422" s="268">
        <f t="shared" si="304"/>
        <v>0</v>
      </c>
      <c r="AK422" s="268">
        <f t="shared" si="304"/>
        <v>0</v>
      </c>
      <c r="AL422" s="268">
        <f t="shared" si="304"/>
        <v>-5293029.3906328678</v>
      </c>
      <c r="AM422" s="268">
        <f t="shared" si="304"/>
        <v>-12529821.357005024</v>
      </c>
      <c r="AN422" s="268">
        <f t="shared" si="304"/>
        <v>-4663255.9339658916</v>
      </c>
      <c r="AO422" s="268">
        <f t="shared" si="304"/>
        <v>0</v>
      </c>
      <c r="AP422" s="268">
        <f t="shared" si="304"/>
        <v>0</v>
      </c>
      <c r="AQ422" s="268">
        <f t="shared" si="304"/>
        <v>0</v>
      </c>
      <c r="AR422" s="268">
        <f t="shared" si="304"/>
        <v>0</v>
      </c>
      <c r="AS422" s="268">
        <f t="shared" si="304"/>
        <v>0</v>
      </c>
      <c r="AT422" s="799">
        <f t="shared" si="304"/>
        <v>0</v>
      </c>
    </row>
    <row r="423" spans="2:46" x14ac:dyDescent="0.25">
      <c r="B423" s="836" t="s">
        <v>384</v>
      </c>
      <c r="C423" s="178"/>
      <c r="D423" s="178"/>
      <c r="E423" s="178"/>
      <c r="F423" s="178"/>
      <c r="G423" s="178"/>
      <c r="H423" s="178"/>
      <c r="I423" s="178"/>
      <c r="J423" s="178"/>
      <c r="K423" s="178"/>
      <c r="L423" s="178"/>
      <c r="M423" s="178"/>
      <c r="N423" s="178"/>
      <c r="O423" s="178"/>
      <c r="P423" s="178"/>
      <c r="Q423" s="178"/>
      <c r="R423" s="178"/>
      <c r="S423" s="178"/>
      <c r="T423" s="178"/>
      <c r="U423" s="178"/>
      <c r="V423" s="178"/>
      <c r="W423" s="178"/>
      <c r="X423" s="178"/>
      <c r="Y423" s="178"/>
      <c r="Z423" s="178"/>
      <c r="AA423" s="178"/>
      <c r="AB423" s="178"/>
      <c r="AC423" s="178"/>
      <c r="AD423" s="178"/>
      <c r="AE423" s="178"/>
      <c r="AF423" s="178"/>
      <c r="AG423" s="178"/>
      <c r="AH423" s="178"/>
      <c r="AI423" s="178"/>
      <c r="AJ423" s="758">
        <f>AJ396</f>
        <v>36303657.245098598</v>
      </c>
      <c r="AK423" s="178"/>
      <c r="AL423" s="178"/>
      <c r="AM423" s="178"/>
      <c r="AN423" s="178"/>
      <c r="AO423" s="178"/>
      <c r="AP423" s="178"/>
      <c r="AQ423" s="178"/>
      <c r="AR423" s="178"/>
      <c r="AS423" s="178"/>
      <c r="AT423" s="847">
        <f>AT396</f>
        <v>33465652.89421764</v>
      </c>
    </row>
    <row r="424" spans="2:46" ht="15" thickBot="1" x14ac:dyDescent="0.3">
      <c r="B424" s="842" t="s">
        <v>385</v>
      </c>
      <c r="C424" s="822">
        <f t="shared" ref="C424:AT424" si="305">C421+C422+C423</f>
        <v>-5332198.1684703697</v>
      </c>
      <c r="D424" s="822">
        <f t="shared" si="305"/>
        <v>-19669755.173127942</v>
      </c>
      <c r="E424" s="822">
        <f t="shared" si="305"/>
        <v>-49167777.727487408</v>
      </c>
      <c r="F424" s="822">
        <f t="shared" si="305"/>
        <v>-19836102.472292583</v>
      </c>
      <c r="G424" s="822">
        <f t="shared" si="305"/>
        <v>0</v>
      </c>
      <c r="H424" s="822">
        <f t="shared" si="305"/>
        <v>0</v>
      </c>
      <c r="I424" s="822">
        <f t="shared" si="305"/>
        <v>0</v>
      </c>
      <c r="J424" s="822">
        <f t="shared" si="305"/>
        <v>0</v>
      </c>
      <c r="K424" s="822">
        <f t="shared" si="305"/>
        <v>0</v>
      </c>
      <c r="L424" s="822">
        <f t="shared" si="305"/>
        <v>0</v>
      </c>
      <c r="M424" s="822">
        <f t="shared" si="305"/>
        <v>0</v>
      </c>
      <c r="N424" s="822">
        <f t="shared" si="305"/>
        <v>0</v>
      </c>
      <c r="O424" s="822">
        <f t="shared" si="305"/>
        <v>0</v>
      </c>
      <c r="P424" s="822">
        <f t="shared" si="305"/>
        <v>-1360136.2924377397</v>
      </c>
      <c r="Q424" s="822">
        <f t="shared" si="305"/>
        <v>-1649442.8153209686</v>
      </c>
      <c r="R424" s="822">
        <f t="shared" si="305"/>
        <v>0</v>
      </c>
      <c r="S424" s="822">
        <f t="shared" si="305"/>
        <v>0</v>
      </c>
      <c r="T424" s="822">
        <f t="shared" si="305"/>
        <v>0</v>
      </c>
      <c r="U424" s="822">
        <f t="shared" si="305"/>
        <v>-2314062.3198277643</v>
      </c>
      <c r="V424" s="822">
        <f t="shared" si="305"/>
        <v>-7351611.2293968759</v>
      </c>
      <c r="W424" s="822">
        <f t="shared" si="305"/>
        <v>-3413683.8365870705</v>
      </c>
      <c r="X424" s="822">
        <f t="shared" si="305"/>
        <v>0</v>
      </c>
      <c r="Y424" s="822">
        <f t="shared" si="305"/>
        <v>0</v>
      </c>
      <c r="Z424" s="822">
        <f t="shared" si="305"/>
        <v>0</v>
      </c>
      <c r="AA424" s="822">
        <f t="shared" si="305"/>
        <v>-1687746.6137686879</v>
      </c>
      <c r="AB424" s="822">
        <f t="shared" si="305"/>
        <v>-2046740.4793313304</v>
      </c>
      <c r="AC424" s="822">
        <f t="shared" si="305"/>
        <v>0</v>
      </c>
      <c r="AD424" s="822">
        <f t="shared" si="305"/>
        <v>0</v>
      </c>
      <c r="AE424" s="822">
        <f t="shared" si="305"/>
        <v>0</v>
      </c>
      <c r="AF424" s="822">
        <f t="shared" si="305"/>
        <v>0</v>
      </c>
      <c r="AG424" s="822">
        <f t="shared" si="305"/>
        <v>0</v>
      </c>
      <c r="AH424" s="822">
        <f t="shared" si="305"/>
        <v>0</v>
      </c>
      <c r="AI424" s="822">
        <f t="shared" si="305"/>
        <v>0</v>
      </c>
      <c r="AJ424" s="822">
        <f t="shared" si="305"/>
        <v>36303657.245098598</v>
      </c>
      <c r="AK424" s="822">
        <f t="shared" si="305"/>
        <v>0</v>
      </c>
      <c r="AL424" s="822">
        <f t="shared" si="305"/>
        <v>-5293029.3906328678</v>
      </c>
      <c r="AM424" s="822">
        <f t="shared" si="305"/>
        <v>-12529821.357005024</v>
      </c>
      <c r="AN424" s="822">
        <f t="shared" si="305"/>
        <v>-4663255.9339658916</v>
      </c>
      <c r="AO424" s="822">
        <f t="shared" si="305"/>
        <v>0</v>
      </c>
      <c r="AP424" s="822">
        <f t="shared" si="305"/>
        <v>0</v>
      </c>
      <c r="AQ424" s="822">
        <f t="shared" si="305"/>
        <v>0</v>
      </c>
      <c r="AR424" s="822">
        <f t="shared" si="305"/>
        <v>0</v>
      </c>
      <c r="AS424" s="822">
        <f t="shared" si="305"/>
        <v>0</v>
      </c>
      <c r="AT424" s="823">
        <f t="shared" si="305"/>
        <v>33465652.89421764</v>
      </c>
    </row>
    <row r="425" spans="2:46" ht="14.4" x14ac:dyDescent="0.25">
      <c r="B425" s="838"/>
      <c r="C425" s="178"/>
      <c r="D425" s="178"/>
      <c r="E425" s="178"/>
      <c r="F425" s="178"/>
      <c r="G425" s="178"/>
      <c r="H425" s="178"/>
      <c r="I425" s="178"/>
      <c r="J425" s="178"/>
      <c r="K425" s="178"/>
      <c r="L425" s="178"/>
      <c r="M425" s="178"/>
      <c r="N425" s="178"/>
      <c r="O425" s="178"/>
      <c r="P425" s="178"/>
      <c r="Q425" s="178"/>
      <c r="R425" s="178"/>
      <c r="S425" s="178"/>
      <c r="T425" s="178"/>
      <c r="U425" s="178"/>
      <c r="V425" s="178"/>
      <c r="W425" s="178"/>
      <c r="X425" s="178"/>
      <c r="Y425" s="178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/>
      <c r="AS425" s="178"/>
      <c r="AT425" s="178"/>
    </row>
    <row r="426" spans="2:46" ht="14.4" x14ac:dyDescent="0.25">
      <c r="B426" s="838"/>
      <c r="C426" s="178"/>
      <c r="D426" s="178"/>
      <c r="E426" s="884" t="s">
        <v>473</v>
      </c>
      <c r="F426" s="178">
        <f>C424+D424+E424+F424</f>
        <v>-94005833.541378304</v>
      </c>
      <c r="G426" s="178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  <c r="R426" s="178"/>
      <c r="S426" s="178"/>
      <c r="T426" s="178"/>
      <c r="U426" s="178"/>
      <c r="V426" s="178"/>
      <c r="W426" s="178"/>
      <c r="X426" s="178"/>
      <c r="Y426" s="178"/>
      <c r="Z426" s="178"/>
      <c r="AA426" s="178"/>
      <c r="AB426" s="178"/>
      <c r="AC426" s="178"/>
      <c r="AD426" s="178"/>
      <c r="AE426" s="178"/>
      <c r="AF426" s="178"/>
      <c r="AG426" s="178"/>
      <c r="AH426" s="178"/>
      <c r="AI426" s="178"/>
      <c r="AJ426" s="178"/>
      <c r="AK426" s="178"/>
      <c r="AL426" s="178"/>
      <c r="AM426" s="178"/>
      <c r="AN426" s="178"/>
      <c r="AO426" s="178"/>
      <c r="AP426" s="178"/>
      <c r="AQ426" s="178"/>
      <c r="AR426" s="178"/>
      <c r="AS426" s="178"/>
      <c r="AT426" s="178"/>
    </row>
    <row r="427" spans="2:46" ht="14.4" x14ac:dyDescent="0.25">
      <c r="B427" s="838"/>
      <c r="C427" s="178"/>
      <c r="D427" s="178"/>
      <c r="E427" s="178"/>
      <c r="F427" s="178"/>
      <c r="G427" s="178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78"/>
      <c r="S427" s="178"/>
      <c r="T427" s="178"/>
      <c r="U427" s="178"/>
      <c r="V427" s="178"/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</row>
    <row r="428" spans="2:46" ht="14.4" x14ac:dyDescent="0.25">
      <c r="B428" s="844" t="s">
        <v>436</v>
      </c>
      <c r="C428" s="178">
        <f t="shared" ref="C428:AJ428" si="306">C418+C424</f>
        <v>-5332198.1684703697</v>
      </c>
      <c r="D428" s="178">
        <f t="shared" si="306"/>
        <v>-19669755.173127942</v>
      </c>
      <c r="E428" s="178">
        <f t="shared" si="306"/>
        <v>-49167777.727487408</v>
      </c>
      <c r="F428" s="178">
        <f t="shared" si="306"/>
        <v>-19836102.472292583</v>
      </c>
      <c r="G428" s="178">
        <f t="shared" si="306"/>
        <v>3850832.5529463151</v>
      </c>
      <c r="H428" s="178">
        <f t="shared" si="306"/>
        <v>5154542.0644400083</v>
      </c>
      <c r="I428" s="178">
        <f t="shared" si="306"/>
        <v>5590777.098387761</v>
      </c>
      <c r="J428" s="178">
        <f t="shared" si="306"/>
        <v>5608096.1209196262</v>
      </c>
      <c r="K428" s="178">
        <f t="shared" si="306"/>
        <v>3419732.1852632915</v>
      </c>
      <c r="L428" s="178">
        <f t="shared" si="306"/>
        <v>5851900.3918471336</v>
      </c>
      <c r="M428" s="178">
        <f t="shared" si="306"/>
        <v>6142915.7769897664</v>
      </c>
      <c r="N428" s="178">
        <f t="shared" si="306"/>
        <v>6138353.4922768679</v>
      </c>
      <c r="O428" s="178">
        <f t="shared" si="306"/>
        <v>6421332.2666291222</v>
      </c>
      <c r="P428" s="178">
        <f t="shared" si="306"/>
        <v>2348842.1702516647</v>
      </c>
      <c r="Q428" s="178">
        <f t="shared" si="306"/>
        <v>4981692.31578888</v>
      </c>
      <c r="R428" s="178">
        <f t="shared" si="306"/>
        <v>6730648.5310935955</v>
      </c>
      <c r="S428" s="178">
        <f t="shared" si="306"/>
        <v>6995238.1423459742</v>
      </c>
      <c r="T428" s="178">
        <f t="shared" si="306"/>
        <v>6941122.6939378045</v>
      </c>
      <c r="U428" s="178">
        <f t="shared" si="306"/>
        <v>1927019.0996687254</v>
      </c>
      <c r="V428" s="178">
        <f t="shared" si="306"/>
        <v>-412262.15116939694</v>
      </c>
      <c r="W428" s="178">
        <f t="shared" si="306"/>
        <v>3810393.7291504648</v>
      </c>
      <c r="X428" s="178">
        <f t="shared" si="306"/>
        <v>7533981.9983481169</v>
      </c>
      <c r="Y428" s="178">
        <f t="shared" si="306"/>
        <v>7898864.4977816064</v>
      </c>
      <c r="Z428" s="178">
        <f t="shared" si="306"/>
        <v>4634967.7207968775</v>
      </c>
      <c r="AA428" s="178">
        <f t="shared" si="306"/>
        <v>6599583.8484868314</v>
      </c>
      <c r="AB428" s="178">
        <f t="shared" si="306"/>
        <v>6244542.5778836366</v>
      </c>
      <c r="AC428" s="178">
        <f t="shared" si="306"/>
        <v>8653281.1221546456</v>
      </c>
      <c r="AD428" s="178">
        <f t="shared" si="306"/>
        <v>8589123.7304292321</v>
      </c>
      <c r="AE428" s="178">
        <f t="shared" si="306"/>
        <v>5347720.8556577908</v>
      </c>
      <c r="AF428" s="178">
        <f t="shared" si="306"/>
        <v>8871321.2681548316</v>
      </c>
      <c r="AG428" s="178">
        <f t="shared" si="306"/>
        <v>9234374.1157908291</v>
      </c>
      <c r="AH428" s="178">
        <f t="shared" si="306"/>
        <v>9163569.7535489798</v>
      </c>
      <c r="AI428" s="178">
        <f t="shared" si="306"/>
        <v>9540587.273574654</v>
      </c>
      <c r="AJ428" s="178">
        <f t="shared" si="306"/>
        <v>41824244.990836829</v>
      </c>
      <c r="AK428" s="178"/>
      <c r="AL428" s="178"/>
      <c r="AM428" s="178"/>
      <c r="AN428" s="178"/>
      <c r="AO428" s="178"/>
      <c r="AP428" s="178"/>
      <c r="AQ428" s="178"/>
      <c r="AR428" s="178"/>
      <c r="AS428" s="178"/>
      <c r="AT428" s="178"/>
    </row>
    <row r="429" spans="2:46" ht="14.4" x14ac:dyDescent="0.25">
      <c r="B429" s="844" t="s">
        <v>438</v>
      </c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848">
        <f>IRR(C428:AJ428)</f>
        <v>4.6450931218659397E-2</v>
      </c>
      <c r="AK429" s="178"/>
      <c r="AL429" s="178"/>
      <c r="AM429" s="178"/>
      <c r="AN429" s="178"/>
      <c r="AO429" s="178"/>
      <c r="AP429" s="178"/>
      <c r="AQ429" s="178"/>
      <c r="AR429" s="178"/>
      <c r="AS429" s="178"/>
      <c r="AT429" s="178"/>
    </row>
    <row r="430" spans="2:46" ht="14.4" x14ac:dyDescent="0.25">
      <c r="B430" s="844"/>
      <c r="C430" s="178"/>
      <c r="D430" s="178"/>
      <c r="E430" s="178"/>
      <c r="F430" s="178"/>
      <c r="G430" s="17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78"/>
      <c r="T430" s="178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178"/>
    </row>
    <row r="431" spans="2:46" ht="14.4" x14ac:dyDescent="0.25">
      <c r="B431" s="844" t="s">
        <v>437</v>
      </c>
      <c r="C431" s="178">
        <f>C418+C424</f>
        <v>-5332198.1684703697</v>
      </c>
      <c r="D431" s="178">
        <f t="shared" ref="D431:AI431" si="307">D418+D424</f>
        <v>-19669755.173127942</v>
      </c>
      <c r="E431" s="178">
        <f t="shared" si="307"/>
        <v>-49167777.727487408</v>
      </c>
      <c r="F431" s="178">
        <f t="shared" si="307"/>
        <v>-19836102.472292583</v>
      </c>
      <c r="G431" s="178">
        <f t="shared" si="307"/>
        <v>3850832.5529463151</v>
      </c>
      <c r="H431" s="178">
        <f t="shared" si="307"/>
        <v>5154542.0644400083</v>
      </c>
      <c r="I431" s="178">
        <f t="shared" si="307"/>
        <v>5590777.098387761</v>
      </c>
      <c r="J431" s="178">
        <f t="shared" si="307"/>
        <v>5608096.1209196262</v>
      </c>
      <c r="K431" s="178">
        <f t="shared" si="307"/>
        <v>3419732.1852632915</v>
      </c>
      <c r="L431" s="178">
        <f t="shared" si="307"/>
        <v>5851900.3918471336</v>
      </c>
      <c r="M431" s="178">
        <f t="shared" si="307"/>
        <v>6142915.7769897664</v>
      </c>
      <c r="N431" s="178">
        <f t="shared" si="307"/>
        <v>6138353.4922768679</v>
      </c>
      <c r="O431" s="178">
        <f t="shared" si="307"/>
        <v>6421332.2666291222</v>
      </c>
      <c r="P431" s="178">
        <f t="shared" si="307"/>
        <v>2348842.1702516647</v>
      </c>
      <c r="Q431" s="178">
        <f t="shared" si="307"/>
        <v>4981692.31578888</v>
      </c>
      <c r="R431" s="178">
        <f t="shared" si="307"/>
        <v>6730648.5310935955</v>
      </c>
      <c r="S431" s="178">
        <f t="shared" si="307"/>
        <v>6995238.1423459742</v>
      </c>
      <c r="T431" s="178">
        <f t="shared" si="307"/>
        <v>6941122.6939378045</v>
      </c>
      <c r="U431" s="178">
        <f t="shared" si="307"/>
        <v>1927019.0996687254</v>
      </c>
      <c r="V431" s="178">
        <f t="shared" si="307"/>
        <v>-412262.15116939694</v>
      </c>
      <c r="W431" s="178">
        <f t="shared" si="307"/>
        <v>3810393.7291504648</v>
      </c>
      <c r="X431" s="178">
        <f t="shared" si="307"/>
        <v>7533981.9983481169</v>
      </c>
      <c r="Y431" s="178">
        <f t="shared" si="307"/>
        <v>7898864.4977816064</v>
      </c>
      <c r="Z431" s="178">
        <f t="shared" si="307"/>
        <v>4634967.7207968775</v>
      </c>
      <c r="AA431" s="178">
        <f t="shared" si="307"/>
        <v>6599583.8484868314</v>
      </c>
      <c r="AB431" s="178">
        <f t="shared" si="307"/>
        <v>6244542.5778836366</v>
      </c>
      <c r="AC431" s="178">
        <f t="shared" si="307"/>
        <v>8653281.1221546456</v>
      </c>
      <c r="AD431" s="178">
        <f t="shared" si="307"/>
        <v>8589123.7304292321</v>
      </c>
      <c r="AE431" s="178">
        <f t="shared" si="307"/>
        <v>5347720.8556577908</v>
      </c>
      <c r="AF431" s="178">
        <f t="shared" si="307"/>
        <v>8871321.2681548316</v>
      </c>
      <c r="AG431" s="178">
        <f t="shared" si="307"/>
        <v>9234374.1157908291</v>
      </c>
      <c r="AH431" s="178">
        <f t="shared" si="307"/>
        <v>9163569.7535489798</v>
      </c>
      <c r="AI431" s="178">
        <f t="shared" si="307"/>
        <v>9540587.273574654</v>
      </c>
      <c r="AJ431" s="178">
        <f>AJ418+AJ422</f>
        <v>5520587.7457382269</v>
      </c>
      <c r="AK431" s="178">
        <f t="shared" ref="AK431:AT431" si="308">AK418+AK424</f>
        <v>9857708.0637004413</v>
      </c>
      <c r="AL431" s="178">
        <f t="shared" si="308"/>
        <v>4486524.9696710892</v>
      </c>
      <c r="AM431" s="178">
        <f t="shared" si="308"/>
        <v>-2648910.1956250034</v>
      </c>
      <c r="AN431" s="178">
        <f t="shared" si="308"/>
        <v>5004833.1130881365</v>
      </c>
      <c r="AO431" s="178">
        <f t="shared" si="308"/>
        <v>6317134.1746177599</v>
      </c>
      <c r="AP431" s="178">
        <f t="shared" si="308"/>
        <v>10566100.914066892</v>
      </c>
      <c r="AQ431" s="178">
        <f t="shared" si="308"/>
        <v>11004423.911869209</v>
      </c>
      <c r="AR431" s="178">
        <f t="shared" si="308"/>
        <v>10913761.70594411</v>
      </c>
      <c r="AS431" s="178">
        <f t="shared" si="308"/>
        <v>11368873.012053214</v>
      </c>
      <c r="AT431" s="178">
        <f t="shared" si="308"/>
        <v>39975894.723118648</v>
      </c>
    </row>
    <row r="432" spans="2:46" ht="14.4" x14ac:dyDescent="0.25">
      <c r="B432" s="844" t="s">
        <v>439</v>
      </c>
      <c r="C432" s="178"/>
      <c r="D432" s="178"/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78"/>
      <c r="S432" s="178"/>
      <c r="T432" s="178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849">
        <f>IRR(C431:AT431)</f>
        <v>5.214078582342152E-2</v>
      </c>
    </row>
    <row r="433" spans="2:46" ht="14.4" x14ac:dyDescent="0.25">
      <c r="B433" s="844"/>
      <c r="C433" s="178"/>
      <c r="D433" s="178"/>
      <c r="E433" s="178"/>
      <c r="F433" s="178"/>
      <c r="G433" s="178"/>
      <c r="H433" s="178"/>
      <c r="I433" s="178"/>
      <c r="J433" s="178"/>
      <c r="K433" s="178"/>
      <c r="L433" s="178"/>
      <c r="M433" s="178"/>
      <c r="N433" s="178"/>
      <c r="O433" s="178"/>
      <c r="P433" s="178"/>
      <c r="Q433" s="178"/>
      <c r="R433" s="178"/>
      <c r="S433" s="178"/>
      <c r="T433" s="178"/>
      <c r="U433" s="178"/>
      <c r="V433" s="178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/>
      <c r="AS433" s="178"/>
      <c r="AT433" s="178"/>
    </row>
    <row r="434" spans="2:46" ht="14.4" x14ac:dyDescent="0.25">
      <c r="B434" s="844" t="s">
        <v>450</v>
      </c>
      <c r="C434" s="178">
        <f>C408</f>
        <v>0</v>
      </c>
      <c r="D434" s="178">
        <f t="shared" ref="D434:AT434" si="309">D408</f>
        <v>0</v>
      </c>
      <c r="E434" s="178">
        <f t="shared" si="309"/>
        <v>0</v>
      </c>
      <c r="F434" s="178">
        <f t="shared" si="309"/>
        <v>0</v>
      </c>
      <c r="G434" s="178">
        <f t="shared" si="309"/>
        <v>4520811.3621383253</v>
      </c>
      <c r="H434" s="178">
        <f t="shared" si="309"/>
        <v>6526518.3028978519</v>
      </c>
      <c r="I434" s="178">
        <f t="shared" si="309"/>
        <v>7197649.1243559346</v>
      </c>
      <c r="J434" s="178">
        <f t="shared" si="309"/>
        <v>7224293.7744049579</v>
      </c>
      <c r="K434" s="178">
        <f t="shared" si="309"/>
        <v>3857580.027241366</v>
      </c>
      <c r="L434" s="178">
        <f t="shared" si="309"/>
        <v>7675300.5996196959</v>
      </c>
      <c r="M434" s="178">
        <f t="shared" si="309"/>
        <v>8123016.5767622078</v>
      </c>
      <c r="N434" s="178">
        <f t="shared" si="309"/>
        <v>8115997.677203902</v>
      </c>
      <c r="O434" s="178">
        <f t="shared" si="309"/>
        <v>8551349.6377458312</v>
      </c>
      <c r="P434" s="178">
        <f t="shared" si="309"/>
        <v>4378497.631684728</v>
      </c>
      <c r="Q434" s="178">
        <f t="shared" si="309"/>
        <v>9000685.9075801447</v>
      </c>
      <c r="R434" s="178">
        <f t="shared" si="309"/>
        <v>8991729.186368132</v>
      </c>
      <c r="S434" s="178">
        <f t="shared" si="309"/>
        <v>9398790.1267564073</v>
      </c>
      <c r="T434" s="178">
        <f t="shared" si="309"/>
        <v>9315535.5907438397</v>
      </c>
      <c r="U434" s="178">
        <f t="shared" si="309"/>
        <v>5161625.9377572015</v>
      </c>
      <c r="V434" s="178">
        <f t="shared" si="309"/>
        <v>9650430.9319174383</v>
      </c>
      <c r="W434" s="178">
        <f t="shared" si="309"/>
        <v>10088474.758855985</v>
      </c>
      <c r="X434" s="178">
        <f t="shared" si="309"/>
        <v>10095735.41568928</v>
      </c>
      <c r="Y434" s="178">
        <f t="shared" si="309"/>
        <v>10657093.107125418</v>
      </c>
      <c r="Z434" s="178">
        <f t="shared" si="309"/>
        <v>5635713.4502258357</v>
      </c>
      <c r="AA434" s="178">
        <f t="shared" si="309"/>
        <v>11254733.0524699</v>
      </c>
      <c r="AB434" s="178">
        <f t="shared" si="309"/>
        <v>11260813.967792127</v>
      </c>
      <c r="AC434" s="178">
        <f t="shared" si="309"/>
        <v>11778700.560796328</v>
      </c>
      <c r="AD434" s="178">
        <f t="shared" si="309"/>
        <v>11679996.881218772</v>
      </c>
      <c r="AE434" s="178">
        <f t="shared" si="309"/>
        <v>6693223.2277242467</v>
      </c>
      <c r="AF434" s="178">
        <f t="shared" si="309"/>
        <v>12114146.939258156</v>
      </c>
      <c r="AG434" s="178">
        <f t="shared" si="309"/>
        <v>12672689.781775076</v>
      </c>
      <c r="AH434" s="178">
        <f t="shared" si="309"/>
        <v>12563759.993710691</v>
      </c>
      <c r="AI434" s="178">
        <f t="shared" si="309"/>
        <v>13143786.947596345</v>
      </c>
      <c r="AJ434" s="178">
        <f t="shared" si="309"/>
        <v>6959172.2893864568</v>
      </c>
      <c r="AK434" s="178">
        <f t="shared" si="309"/>
        <v>13631665.0862514</v>
      </c>
      <c r="AL434" s="178">
        <f t="shared" si="309"/>
        <v>13511428.619487576</v>
      </c>
      <c r="AM434" s="178">
        <f t="shared" si="309"/>
        <v>14136877.55294143</v>
      </c>
      <c r="AN434" s="178">
        <f t="shared" si="309"/>
        <v>14010546.682068367</v>
      </c>
      <c r="AO434" s="178">
        <f t="shared" si="309"/>
        <v>7990381.2367201168</v>
      </c>
      <c r="AP434" s="178">
        <f t="shared" si="309"/>
        <v>14527253.143564936</v>
      </c>
      <c r="AQ434" s="178">
        <f t="shared" si="309"/>
        <v>15201596.217106961</v>
      </c>
      <c r="AR434" s="178">
        <f t="shared" si="309"/>
        <v>15062115.900299117</v>
      </c>
      <c r="AS434" s="178">
        <f t="shared" si="309"/>
        <v>15762287.140466969</v>
      </c>
      <c r="AT434" s="178">
        <f t="shared" si="309"/>
        <v>8287469.9356174245</v>
      </c>
    </row>
    <row r="435" spans="2:46" ht="14.4" x14ac:dyDescent="0.25">
      <c r="B435" s="844" t="s">
        <v>451</v>
      </c>
      <c r="C435" s="178">
        <f>C434+C395</f>
        <v>0</v>
      </c>
      <c r="D435" s="178">
        <f t="shared" ref="D435:AT435" si="310">D434+D395</f>
        <v>0</v>
      </c>
      <c r="E435" s="178">
        <f t="shared" si="310"/>
        <v>0</v>
      </c>
      <c r="F435" s="178">
        <f t="shared" si="310"/>
        <v>0</v>
      </c>
      <c r="G435" s="178">
        <f t="shared" si="310"/>
        <v>1914225.1691200291</v>
      </c>
      <c r="H435" s="178">
        <f t="shared" si="310"/>
        <v>3919932.1098795556</v>
      </c>
      <c r="I435" s="178">
        <f t="shared" si="310"/>
        <v>4591062.9313376378</v>
      </c>
      <c r="J435" s="178">
        <f t="shared" si="310"/>
        <v>4617707.5813866612</v>
      </c>
      <c r="K435" s="178">
        <f t="shared" si="310"/>
        <v>1250993.8342230697</v>
      </c>
      <c r="L435" s="178">
        <f t="shared" si="310"/>
        <v>5209714.8793501779</v>
      </c>
      <c r="M435" s="178">
        <f t="shared" si="310"/>
        <v>5657430.8564926898</v>
      </c>
      <c r="N435" s="178">
        <f t="shared" si="310"/>
        <v>5650411.9569343841</v>
      </c>
      <c r="O435" s="178">
        <f t="shared" si="310"/>
        <v>6085763.9174763132</v>
      </c>
      <c r="P435" s="178">
        <f t="shared" si="310"/>
        <v>1912911.91141521</v>
      </c>
      <c r="Q435" s="178">
        <f t="shared" si="310"/>
        <v>6770145.0756294187</v>
      </c>
      <c r="R435" s="178">
        <f t="shared" si="310"/>
        <v>6460230.4436415341</v>
      </c>
      <c r="S435" s="178">
        <f t="shared" si="310"/>
        <v>6867291.3840298094</v>
      </c>
      <c r="T435" s="178">
        <f t="shared" si="310"/>
        <v>6784036.8480172418</v>
      </c>
      <c r="U435" s="178">
        <f t="shared" si="310"/>
        <v>2630127.195030604</v>
      </c>
      <c r="V435" s="178">
        <f t="shared" si="310"/>
        <v>7745948.1533998828</v>
      </c>
      <c r="W435" s="178">
        <f t="shared" si="310"/>
        <v>8183991.98033843</v>
      </c>
      <c r="X435" s="178">
        <f t="shared" si="310"/>
        <v>7319295.4781176103</v>
      </c>
      <c r="Y435" s="178">
        <f t="shared" si="310"/>
        <v>7880653.1695537483</v>
      </c>
      <c r="Z435" s="178">
        <f t="shared" si="310"/>
        <v>2859273.5126541657</v>
      </c>
      <c r="AA435" s="178">
        <f t="shared" si="310"/>
        <v>8478293.1148982309</v>
      </c>
      <c r="AB435" s="178">
        <f t="shared" si="310"/>
        <v>8484374.0302204564</v>
      </c>
      <c r="AC435" s="178">
        <f t="shared" si="310"/>
        <v>8929769.8246905282</v>
      </c>
      <c r="AD435" s="178">
        <f t="shared" si="310"/>
        <v>8831066.1451129727</v>
      </c>
      <c r="AE435" s="178">
        <f t="shared" si="310"/>
        <v>3844292.4916184461</v>
      </c>
      <c r="AF435" s="178">
        <f t="shared" si="310"/>
        <v>9265216.2031523548</v>
      </c>
      <c r="AG435" s="178">
        <f t="shared" si="310"/>
        <v>9823759.0456692763</v>
      </c>
      <c r="AH435" s="178">
        <f t="shared" si="310"/>
        <v>9714829.2576048896</v>
      </c>
      <c r="AI435" s="178">
        <f t="shared" si="310"/>
        <v>10294856.211490545</v>
      </c>
      <c r="AJ435" s="178">
        <f t="shared" si="310"/>
        <v>4110241.5532806562</v>
      </c>
      <c r="AK435" s="178">
        <f t="shared" si="310"/>
        <v>10782734.350145601</v>
      </c>
      <c r="AL435" s="178">
        <f t="shared" si="310"/>
        <v>10662497.883381777</v>
      </c>
      <c r="AM435" s="178">
        <f t="shared" si="310"/>
        <v>12159903.975889744</v>
      </c>
      <c r="AN435" s="178">
        <f t="shared" si="310"/>
        <v>12407021.814326681</v>
      </c>
      <c r="AO435" s="178">
        <f t="shared" si="310"/>
        <v>4780705.8917210186</v>
      </c>
      <c r="AP435" s="178">
        <f t="shared" si="310"/>
        <v>11317577.798565838</v>
      </c>
      <c r="AQ435" s="178">
        <f t="shared" si="310"/>
        <v>11991920.872107863</v>
      </c>
      <c r="AR435" s="178">
        <f t="shared" si="310"/>
        <v>11852440.55530002</v>
      </c>
      <c r="AS435" s="178">
        <f t="shared" si="310"/>
        <v>12552611.795467872</v>
      </c>
      <c r="AT435" s="178">
        <f t="shared" si="310"/>
        <v>5077794.5906183263</v>
      </c>
    </row>
    <row r="436" spans="2:46" ht="14.4" x14ac:dyDescent="0.25">
      <c r="B436" s="844"/>
      <c r="C436" s="178"/>
      <c r="D436" s="178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78"/>
      <c r="S436" s="178"/>
      <c r="T436" s="178"/>
      <c r="U436" s="178"/>
      <c r="V436" s="178"/>
      <c r="W436" s="178"/>
      <c r="X436" s="178"/>
      <c r="Y436" s="178"/>
      <c r="Z436" s="178"/>
      <c r="AA436" s="178"/>
      <c r="AB436" s="178"/>
      <c r="AC436" s="178"/>
      <c r="AD436" s="178"/>
      <c r="AE436" s="178"/>
      <c r="AF436" s="178"/>
      <c r="AG436" s="178"/>
      <c r="AH436" s="178"/>
      <c r="AI436" s="178"/>
      <c r="AJ436" s="178"/>
      <c r="AK436" s="178"/>
      <c r="AL436" s="178"/>
      <c r="AM436" s="178"/>
      <c r="AN436" s="178"/>
      <c r="AO436" s="178"/>
      <c r="AP436" s="178"/>
      <c r="AQ436" s="178"/>
      <c r="AR436" s="178"/>
      <c r="AS436" s="178"/>
      <c r="AT436" s="178"/>
    </row>
    <row r="437" spans="2:46" ht="14.4" x14ac:dyDescent="0.25">
      <c r="B437" s="844" t="s">
        <v>489</v>
      </c>
      <c r="C437" s="908"/>
      <c r="D437" s="908"/>
      <c r="E437" s="908"/>
      <c r="F437" s="908"/>
      <c r="G437" s="909">
        <f>ABS(G406)/ABS(G401)</f>
        <v>2.6194645809309001</v>
      </c>
      <c r="H437" s="909">
        <f t="shared" ref="H437:AT437" si="311">ABS(H406)/ABS(H401)</f>
        <v>3.1109854223099727</v>
      </c>
      <c r="I437" s="909">
        <f t="shared" si="311"/>
        <v>3.4528821308660906</v>
      </c>
      <c r="J437" s="909">
        <f t="shared" si="311"/>
        <v>3.4052465259477436</v>
      </c>
      <c r="K437" s="909">
        <f t="shared" si="311"/>
        <v>1.5619199356620102</v>
      </c>
      <c r="L437" s="909">
        <f t="shared" si="311"/>
        <v>3.4389356545497525</v>
      </c>
      <c r="M437" s="909">
        <f t="shared" si="311"/>
        <v>3.5216502069441238</v>
      </c>
      <c r="N437" s="909">
        <f t="shared" si="311"/>
        <v>3.4613124725846949</v>
      </c>
      <c r="O437" s="909">
        <f t="shared" si="311"/>
        <v>3.5334457833972994</v>
      </c>
      <c r="P437" s="909">
        <f t="shared" si="311"/>
        <v>1.5745965959005321</v>
      </c>
      <c r="Q437" s="909">
        <f t="shared" si="311"/>
        <v>3.544726436344531</v>
      </c>
      <c r="R437" s="909">
        <f t="shared" si="311"/>
        <v>3.4833912016438777</v>
      </c>
      <c r="S437" s="909">
        <f t="shared" si="311"/>
        <v>3.5357419820815661</v>
      </c>
      <c r="T437" s="909">
        <f t="shared" si="311"/>
        <v>3.4550870108274352</v>
      </c>
      <c r="U437" s="909">
        <f t="shared" si="311"/>
        <v>1.6100814731188637</v>
      </c>
      <c r="V437" s="909">
        <f t="shared" si="311"/>
        <v>3.4268444299449263</v>
      </c>
      <c r="W437" s="909">
        <f t="shared" si="311"/>
        <v>3.4781692125998673</v>
      </c>
      <c r="X437" s="909">
        <f t="shared" si="311"/>
        <v>3.4224140114836379</v>
      </c>
      <c r="Y437" s="909">
        <f t="shared" si="311"/>
        <v>3.4977494949588035</v>
      </c>
      <c r="Z437" s="909">
        <f t="shared" si="311"/>
        <v>1.5997855693365035</v>
      </c>
      <c r="AA437" s="909">
        <f t="shared" si="311"/>
        <v>3.516685610017225</v>
      </c>
      <c r="AB437" s="909">
        <f t="shared" si="311"/>
        <v>3.459503716255246</v>
      </c>
      <c r="AC437" s="909">
        <f t="shared" si="311"/>
        <v>3.5127758394313906</v>
      </c>
      <c r="AD437" s="909">
        <f t="shared" si="311"/>
        <v>3.4337305455893516</v>
      </c>
      <c r="AE437" s="909">
        <f t="shared" si="311"/>
        <v>1.6412215416747675</v>
      </c>
      <c r="AF437" s="909">
        <f t="shared" si="311"/>
        <v>3.4079839650734689</v>
      </c>
      <c r="AG437" s="909">
        <f t="shared" si="311"/>
        <v>3.4602947501602808</v>
      </c>
      <c r="AH437" s="909">
        <f t="shared" si="311"/>
        <v>3.3822661131961258</v>
      </c>
      <c r="AI437" s="909">
        <f t="shared" si="311"/>
        <v>3.4340986675468028</v>
      </c>
      <c r="AJ437" s="909">
        <f t="shared" si="311"/>
        <v>1.599975341657941</v>
      </c>
      <c r="AK437" s="909">
        <f t="shared" si="311"/>
        <v>3.407935115824821</v>
      </c>
      <c r="AL437" s="909">
        <f t="shared" si="311"/>
        <v>3.3309251007173981</v>
      </c>
      <c r="AM437" s="909">
        <f t="shared" si="311"/>
        <v>3.3818062489847005</v>
      </c>
      <c r="AN437" s="909">
        <f t="shared" si="311"/>
        <v>3.3053061668188737</v>
      </c>
      <c r="AO437" s="909">
        <f t="shared" si="311"/>
        <v>1.6197565233485463</v>
      </c>
      <c r="AP437" s="909">
        <f t="shared" si="311"/>
        <v>3.279724413856179</v>
      </c>
      <c r="AQ437" s="909">
        <f t="shared" si="311"/>
        <v>3.329661129288684</v>
      </c>
      <c r="AR437" s="909">
        <f t="shared" si="311"/>
        <v>3.2541819267189096</v>
      </c>
      <c r="AS437" s="909">
        <f t="shared" si="311"/>
        <v>3.3036491261182492</v>
      </c>
      <c r="AT437" s="909">
        <f t="shared" si="311"/>
        <v>1.5781300875112672</v>
      </c>
    </row>
    <row r="438" spans="2:46" ht="14.4" x14ac:dyDescent="0.25">
      <c r="B438" s="844" t="s">
        <v>490</v>
      </c>
      <c r="C438" s="908"/>
      <c r="D438" s="908"/>
      <c r="E438" s="908"/>
      <c r="F438" s="908"/>
      <c r="G438" s="909">
        <f>G437-1</f>
        <v>1.6194645809309001</v>
      </c>
      <c r="H438" s="909">
        <f t="shared" ref="H438" si="312">H437-1</f>
        <v>2.1109854223099727</v>
      </c>
      <c r="I438" s="909">
        <f t="shared" ref="I438" si="313">I437-1</f>
        <v>2.4528821308660906</v>
      </c>
      <c r="J438" s="909">
        <f t="shared" ref="J438" si="314">J437-1</f>
        <v>2.4052465259477436</v>
      </c>
      <c r="K438" s="909">
        <f t="shared" ref="K438" si="315">K437-1</f>
        <v>0.56191993566201015</v>
      </c>
      <c r="L438" s="909">
        <f t="shared" ref="L438" si="316">L437-1</f>
        <v>2.4389356545497525</v>
      </c>
      <c r="M438" s="909">
        <f t="shared" ref="M438" si="317">M437-1</f>
        <v>2.5216502069441238</v>
      </c>
      <c r="N438" s="909">
        <f t="shared" ref="N438" si="318">N437-1</f>
        <v>2.4613124725846949</v>
      </c>
      <c r="O438" s="909">
        <f t="shared" ref="O438" si="319">O437-1</f>
        <v>2.5334457833972994</v>
      </c>
      <c r="P438" s="909">
        <f t="shared" ref="P438" si="320">P437-1</f>
        <v>0.57459659590053214</v>
      </c>
      <c r="Q438" s="909">
        <f t="shared" ref="Q438" si="321">Q437-1</f>
        <v>2.544726436344531</v>
      </c>
      <c r="R438" s="909">
        <f t="shared" ref="R438" si="322">R437-1</f>
        <v>2.4833912016438777</v>
      </c>
      <c r="S438" s="909">
        <f t="shared" ref="S438" si="323">S437-1</f>
        <v>2.5357419820815661</v>
      </c>
      <c r="T438" s="909">
        <f t="shared" ref="T438" si="324">T437-1</f>
        <v>2.4550870108274352</v>
      </c>
      <c r="U438" s="909">
        <f t="shared" ref="U438" si="325">U437-1</f>
        <v>0.61008147311886374</v>
      </c>
      <c r="V438" s="909">
        <f t="shared" ref="V438" si="326">V437-1</f>
        <v>2.4268444299449263</v>
      </c>
      <c r="W438" s="909">
        <f t="shared" ref="W438" si="327">W437-1</f>
        <v>2.4781692125998673</v>
      </c>
      <c r="X438" s="909">
        <f t="shared" ref="X438" si="328">X437-1</f>
        <v>2.4224140114836379</v>
      </c>
      <c r="Y438" s="909">
        <f t="shared" ref="Y438" si="329">Y437-1</f>
        <v>2.4977494949588035</v>
      </c>
      <c r="Z438" s="909">
        <f t="shared" ref="Z438" si="330">Z437-1</f>
        <v>0.59978556933650351</v>
      </c>
      <c r="AA438" s="909">
        <f t="shared" ref="AA438" si="331">AA437-1</f>
        <v>2.516685610017225</v>
      </c>
      <c r="AB438" s="909">
        <f t="shared" ref="AB438" si="332">AB437-1</f>
        <v>2.459503716255246</v>
      </c>
      <c r="AC438" s="909">
        <f t="shared" ref="AC438" si="333">AC437-1</f>
        <v>2.5127758394313906</v>
      </c>
      <c r="AD438" s="909">
        <f t="shared" ref="AD438" si="334">AD437-1</f>
        <v>2.4337305455893516</v>
      </c>
      <c r="AE438" s="909">
        <f t="shared" ref="AE438" si="335">AE437-1</f>
        <v>0.64122154167476753</v>
      </c>
      <c r="AF438" s="909">
        <f t="shared" ref="AF438" si="336">AF437-1</f>
        <v>2.4079839650734689</v>
      </c>
      <c r="AG438" s="909">
        <f t="shared" ref="AG438" si="337">AG437-1</f>
        <v>2.4602947501602808</v>
      </c>
      <c r="AH438" s="909">
        <f t="shared" ref="AH438" si="338">AH437-1</f>
        <v>2.3822661131961258</v>
      </c>
      <c r="AI438" s="909">
        <f t="shared" ref="AI438" si="339">AI437-1</f>
        <v>2.4340986675468028</v>
      </c>
      <c r="AJ438" s="909">
        <f t="shared" ref="AJ438" si="340">AJ437-1</f>
        <v>0.59997534165794097</v>
      </c>
      <c r="AK438" s="909">
        <f t="shared" ref="AK438" si="341">AK437-1</f>
        <v>2.407935115824821</v>
      </c>
      <c r="AL438" s="909">
        <f t="shared" ref="AL438" si="342">AL437-1</f>
        <v>2.3309251007173981</v>
      </c>
      <c r="AM438" s="909">
        <f t="shared" ref="AM438" si="343">AM437-1</f>
        <v>2.3818062489847005</v>
      </c>
      <c r="AN438" s="909">
        <f t="shared" ref="AN438" si="344">AN437-1</f>
        <v>2.3053061668188737</v>
      </c>
      <c r="AO438" s="909">
        <f t="shared" ref="AO438" si="345">AO437-1</f>
        <v>0.61975652334854625</v>
      </c>
      <c r="AP438" s="909">
        <f t="shared" ref="AP438" si="346">AP437-1</f>
        <v>2.279724413856179</v>
      </c>
      <c r="AQ438" s="909">
        <f t="shared" ref="AQ438" si="347">AQ437-1</f>
        <v>2.329661129288684</v>
      </c>
      <c r="AR438" s="909">
        <f t="shared" ref="AR438" si="348">AR437-1</f>
        <v>2.2541819267189096</v>
      </c>
      <c r="AS438" s="909">
        <f t="shared" ref="AS438" si="349">AS437-1</f>
        <v>2.3036491261182492</v>
      </c>
      <c r="AT438" s="909">
        <f t="shared" ref="AT438" si="350">AT437-1</f>
        <v>0.57813008751126715</v>
      </c>
    </row>
    <row r="439" spans="2:46" ht="14.4" x14ac:dyDescent="0.25">
      <c r="B439" s="844"/>
      <c r="C439" s="178"/>
      <c r="D439" s="178"/>
      <c r="E439" s="178"/>
      <c r="F439" s="178"/>
      <c r="G439" s="178"/>
      <c r="H439" s="178"/>
      <c r="I439" s="178"/>
      <c r="J439" s="178"/>
      <c r="K439" s="178"/>
      <c r="L439" s="178"/>
      <c r="M439" s="178"/>
      <c r="N439" s="178"/>
      <c r="O439" s="178"/>
      <c r="P439" s="178"/>
      <c r="Q439" s="178"/>
      <c r="R439" s="178"/>
      <c r="S439" s="178"/>
      <c r="T439" s="178"/>
      <c r="U439" s="178"/>
      <c r="V439" s="178"/>
      <c r="W439" s="178"/>
      <c r="X439" s="178"/>
      <c r="Y439" s="178"/>
      <c r="Z439" s="178"/>
      <c r="AA439" s="178"/>
      <c r="AB439" s="178"/>
      <c r="AC439" s="178"/>
      <c r="AD439" s="178"/>
      <c r="AE439" s="178"/>
      <c r="AF439" s="178"/>
      <c r="AG439" s="178"/>
      <c r="AH439" s="178"/>
      <c r="AI439" s="178"/>
      <c r="AJ439" s="178"/>
      <c r="AK439" s="178"/>
      <c r="AL439" s="178"/>
      <c r="AM439" s="178"/>
      <c r="AN439" s="178"/>
      <c r="AO439" s="178"/>
      <c r="AP439" s="178"/>
      <c r="AQ439" s="178"/>
      <c r="AR439" s="178"/>
      <c r="AS439" s="178"/>
      <c r="AT439" s="178"/>
    </row>
    <row r="440" spans="2:46" ht="14.4" x14ac:dyDescent="0.25">
      <c r="B440" s="907" t="s">
        <v>404</v>
      </c>
      <c r="C440" s="268">
        <f>C431/((1+$C$26)^C372)</f>
        <v>-5332198.1684703697</v>
      </c>
      <c r="D440" s="268">
        <f>D431/((1+$C$26)^D372)</f>
        <v>-17406862.985068977</v>
      </c>
      <c r="E440" s="268">
        <f t="shared" ref="E440:AT440" si="351">E431/((1+$C$26)^E372)</f>
        <v>-38505582.056141764</v>
      </c>
      <c r="F440" s="268">
        <f t="shared" si="351"/>
        <v>-13747414.037379377</v>
      </c>
      <c r="G440" s="268">
        <f t="shared" si="351"/>
        <v>2361787.7218793607</v>
      </c>
      <c r="H440" s="268">
        <f t="shared" si="351"/>
        <v>2797678.9210019247</v>
      </c>
      <c r="I440" s="268">
        <f t="shared" si="351"/>
        <v>2685353.8231045352</v>
      </c>
      <c r="J440" s="268">
        <f t="shared" si="351"/>
        <v>2383780.9473483381</v>
      </c>
      <c r="K440" s="268">
        <f t="shared" si="351"/>
        <v>1286365.985935766</v>
      </c>
      <c r="L440" s="268">
        <f t="shared" si="351"/>
        <v>1948008.886911147</v>
      </c>
      <c r="M440" s="268">
        <f t="shared" si="351"/>
        <v>1809631.4114213302</v>
      </c>
      <c r="N440" s="268">
        <f t="shared" si="351"/>
        <v>1600254.3500036076</v>
      </c>
      <c r="O440" s="268">
        <f t="shared" si="351"/>
        <v>1481439.1614028218</v>
      </c>
      <c r="P440" s="268">
        <f t="shared" si="351"/>
        <v>479550.19307921617</v>
      </c>
      <c r="Q440" s="268">
        <f t="shared" si="351"/>
        <v>900074.98507188947</v>
      </c>
      <c r="R440" s="268">
        <f t="shared" si="351"/>
        <v>1076168.4616474349</v>
      </c>
      <c r="S440" s="268">
        <f t="shared" si="351"/>
        <v>989799.90603537322</v>
      </c>
      <c r="T440" s="268">
        <f t="shared" si="351"/>
        <v>869152.8968802595</v>
      </c>
      <c r="U440" s="268">
        <f t="shared" si="351"/>
        <v>213537.44227305817</v>
      </c>
      <c r="V440" s="268">
        <f t="shared" si="351"/>
        <v>-40428.072781636321</v>
      </c>
      <c r="W440" s="268">
        <f t="shared" si="351"/>
        <v>330674.71210412553</v>
      </c>
      <c r="X440" s="268">
        <f t="shared" si="351"/>
        <v>578598.44883884117</v>
      </c>
      <c r="Y440" s="268">
        <f t="shared" si="351"/>
        <v>536832.63203065668</v>
      </c>
      <c r="Z440" s="268">
        <f t="shared" si="351"/>
        <v>278767.73974456306</v>
      </c>
      <c r="AA440" s="268">
        <f t="shared" si="351"/>
        <v>351264.21422899631</v>
      </c>
      <c r="AB440" s="268">
        <f t="shared" si="351"/>
        <v>294130.14975845977</v>
      </c>
      <c r="AC440" s="268">
        <f t="shared" si="351"/>
        <v>360695.96369668009</v>
      </c>
      <c r="AD440" s="268">
        <f t="shared" si="351"/>
        <v>316833.34680903272</v>
      </c>
      <c r="AE440" s="268">
        <f t="shared" si="351"/>
        <v>174571.08534326262</v>
      </c>
      <c r="AF440" s="268">
        <f t="shared" si="351"/>
        <v>256279.25105918368</v>
      </c>
      <c r="AG440" s="268">
        <f t="shared" si="351"/>
        <v>236077.26264808004</v>
      </c>
      <c r="AH440" s="268">
        <f t="shared" si="351"/>
        <v>207316.05786083217</v>
      </c>
      <c r="AI440" s="268">
        <f t="shared" si="351"/>
        <v>191013.87596640587</v>
      </c>
      <c r="AJ440" s="268">
        <f t="shared" si="351"/>
        <v>97813.023165790131</v>
      </c>
      <c r="AK440" s="268">
        <f t="shared" si="351"/>
        <v>154564.18702331593</v>
      </c>
      <c r="AL440" s="268">
        <f t="shared" si="351"/>
        <v>62253.613813346376</v>
      </c>
      <c r="AM440" s="268">
        <f t="shared" si="351"/>
        <v>-32526.944564912734</v>
      </c>
      <c r="AN440" s="268">
        <f t="shared" si="351"/>
        <v>54386.009167200282</v>
      </c>
      <c r="AO440" s="268">
        <f t="shared" si="351"/>
        <v>60749.016172313619</v>
      </c>
      <c r="AP440" s="268">
        <f t="shared" si="351"/>
        <v>89919.826105434287</v>
      </c>
      <c r="AQ440" s="268">
        <f t="shared" si="351"/>
        <v>82876.150914713769</v>
      </c>
      <c r="AR440" s="268">
        <f t="shared" si="351"/>
        <v>72737.48560046652</v>
      </c>
      <c r="AS440" s="268">
        <f t="shared" si="351"/>
        <v>67053.70650933031</v>
      </c>
      <c r="AT440" s="268">
        <f t="shared" si="351"/>
        <v>208653.23521388974</v>
      </c>
    </row>
    <row r="441" spans="2:46" ht="14.4" x14ac:dyDescent="0.25">
      <c r="B441" s="907" t="s">
        <v>403</v>
      </c>
      <c r="C441" s="824">
        <f>SUM(C440)</f>
        <v>-5332198.1684703697</v>
      </c>
      <c r="D441" s="824">
        <f>SUM(C440:D440)</f>
        <v>-22739061.153539345</v>
      </c>
      <c r="E441" s="824">
        <f>SUM(C440:E440)</f>
        <v>-61244643.209681109</v>
      </c>
      <c r="F441" s="824">
        <f>SUM(C440:F440)</f>
        <v>-74992057.247060478</v>
      </c>
      <c r="G441" s="824">
        <f>SUM(C440:G440)</f>
        <v>-72630269.525181115</v>
      </c>
      <c r="H441" s="824">
        <f>SUM(C440:H440)</f>
        <v>-69832590.604179189</v>
      </c>
      <c r="I441" s="824">
        <f>SUM(C440:I440)</f>
        <v>-67147236.781074658</v>
      </c>
      <c r="J441" s="824">
        <f>SUM(C440:J440)</f>
        <v>-64763455.833726317</v>
      </c>
      <c r="K441" s="824">
        <f>SUM(C440:K440)</f>
        <v>-63477089.847790554</v>
      </c>
      <c r="L441" s="824">
        <f>SUM(C440:L440)</f>
        <v>-61529080.960879408</v>
      </c>
      <c r="M441" s="824">
        <f>SUM(C440:M440)</f>
        <v>-59719449.549458079</v>
      </c>
      <c r="N441" s="824">
        <f>SUM(C440:N440)</f>
        <v>-58119195.199454471</v>
      </c>
      <c r="O441" s="824">
        <f>SUM(C440:O440)</f>
        <v>-56637756.03805165</v>
      </c>
      <c r="P441" s="824">
        <f>SUM(C440:P440)</f>
        <v>-56158205.844972432</v>
      </c>
      <c r="Q441" s="824">
        <f>SUM(C440:Q440)</f>
        <v>-55258130.859900542</v>
      </c>
      <c r="R441" s="824">
        <f>SUM(C440:R440)</f>
        <v>-54181962.398253106</v>
      </c>
      <c r="S441" s="824">
        <f>SUM(C440:S440)</f>
        <v>-53192162.492217734</v>
      </c>
      <c r="T441" s="824">
        <f>SUM(C440:T440)</f>
        <v>-52323009.595337473</v>
      </c>
      <c r="U441" s="824">
        <f>SUM(C440:U440)</f>
        <v>-52109472.153064415</v>
      </c>
      <c r="V441" s="824">
        <f>SUM(C440:V440)</f>
        <v>-52149900.225846052</v>
      </c>
      <c r="W441" s="824">
        <f>SUM(C440:W440)</f>
        <v>-51819225.513741925</v>
      </c>
      <c r="X441" s="824">
        <f>SUM(C440:X440)</f>
        <v>-51240627.06490308</v>
      </c>
      <c r="Y441" s="824">
        <f>SUM(C440:Y440)</f>
        <v>-50703794.432872422</v>
      </c>
      <c r="Z441" s="824">
        <f>SUM(C440:Z440)</f>
        <v>-50425026.693127856</v>
      </c>
      <c r="AA441" s="824">
        <f>SUM(C440:AA440)</f>
        <v>-50073762.478898861</v>
      </c>
      <c r="AB441" s="824">
        <f>SUM(C440:AB440)</f>
        <v>-49779632.329140402</v>
      </c>
      <c r="AC441" s="824">
        <f>SUM(C440:AC440)</f>
        <v>-49418936.365443721</v>
      </c>
      <c r="AD441" s="824">
        <f>SUM(C440:AD440)</f>
        <v>-49102103.018634692</v>
      </c>
      <c r="AE441" s="824">
        <f>SUM(C440:AE440)</f>
        <v>-48927531.933291428</v>
      </c>
      <c r="AF441" s="824">
        <f>SUM(C440:AF440)</f>
        <v>-48671252.682232246</v>
      </c>
      <c r="AG441" s="824">
        <f>SUM(C440:AG440)</f>
        <v>-48435175.419584163</v>
      </c>
      <c r="AH441" s="824">
        <f>SUM(C440:AH440)</f>
        <v>-48227859.361723334</v>
      </c>
      <c r="AI441" s="824">
        <f>SUM(C440:AI440)</f>
        <v>-48036845.485756926</v>
      </c>
      <c r="AJ441" s="824">
        <f>SUM(C440:AJ440)</f>
        <v>-47939032.462591134</v>
      </c>
      <c r="AK441" s="824">
        <f>SUM(C440:AK440)</f>
        <v>-47784468.275567815</v>
      </c>
      <c r="AL441" s="824">
        <f>SUM(C440:AL440)</f>
        <v>-47722214.661754467</v>
      </c>
      <c r="AM441" s="824">
        <f>SUM(C440:AM440)</f>
        <v>-47754741.606319383</v>
      </c>
      <c r="AN441" s="824">
        <f>SUM(C440:AN440)</f>
        <v>-47700355.597152181</v>
      </c>
      <c r="AO441" s="824">
        <f>SUM(C440:AO440)</f>
        <v>-47639606.580979869</v>
      </c>
      <c r="AP441" s="824">
        <f>SUM(C440:AP440)</f>
        <v>-47549686.754874438</v>
      </c>
      <c r="AQ441" s="824">
        <f>SUM(C440:AQ440)</f>
        <v>-47466810.603959724</v>
      </c>
      <c r="AR441" s="824">
        <f>SUM(C440:AR440)</f>
        <v>-47394073.11835926</v>
      </c>
      <c r="AS441" s="824">
        <f>SUM(C440:AS440)</f>
        <v>-47327019.411849931</v>
      </c>
      <c r="AT441" s="824">
        <f>SUM(C440:AT440)</f>
        <v>-47118366.17663604</v>
      </c>
    </row>
  </sheetData>
  <sheetProtection algorithmName="SHA-512" hashValue="S7B3jotTyzoUIUE9x0R01mnwsf/wDSxNZSWkPMD8AbJKo2y6mC2QyF1sCjl8x/amvDcOZxCT7hy2oX9NGuhxxg==" saltValue="Zn9i7+4uTwB7zg2ioLb1wQ==" spinCount="100000" sheet="1" objects="1" scenarios="1"/>
  <mergeCells count="7">
    <mergeCell ref="C47:I47"/>
    <mergeCell ref="C52:I52"/>
    <mergeCell ref="C57:I57"/>
    <mergeCell ref="C29:G29"/>
    <mergeCell ref="B4:B7"/>
    <mergeCell ref="C37:I37"/>
    <mergeCell ref="C42:I42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tabColor theme="3" tint="-0.249977111117893"/>
  </sheetPr>
  <dimension ref="A1:BN441"/>
  <sheetViews>
    <sheetView zoomScale="98" zoomScaleNormal="98" workbookViewId="0">
      <selection activeCell="B120" sqref="B120"/>
    </sheetView>
  </sheetViews>
  <sheetFormatPr baseColWidth="10" defaultRowHeight="13.2" x14ac:dyDescent="0.25"/>
  <cols>
    <col min="2" max="2" width="56.88671875" bestFit="1" customWidth="1"/>
    <col min="3" max="3" width="20.44140625" bestFit="1" customWidth="1"/>
    <col min="4" max="7" width="16" bestFit="1" customWidth="1"/>
    <col min="8" max="46" width="12.6640625" bestFit="1" customWidth="1"/>
  </cols>
  <sheetData>
    <row r="1" spans="1:43" s="898" customFormat="1" ht="13.8" thickBot="1" x14ac:dyDescent="0.3"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899"/>
      <c r="U1" s="899"/>
      <c r="V1" s="899"/>
      <c r="W1" s="899"/>
      <c r="X1" s="899"/>
      <c r="Y1" s="899"/>
      <c r="Z1" s="899"/>
      <c r="AA1" s="899"/>
      <c r="AB1" s="899"/>
      <c r="AC1" s="899"/>
      <c r="AD1" s="899"/>
      <c r="AE1" s="899"/>
      <c r="AF1" s="899"/>
      <c r="AG1" s="899"/>
      <c r="AH1" s="899"/>
      <c r="AI1" s="899"/>
      <c r="AJ1" s="899"/>
      <c r="AK1" s="899"/>
      <c r="AL1" s="899"/>
      <c r="AM1" s="899"/>
      <c r="AN1" s="899"/>
      <c r="AO1" s="899"/>
      <c r="AP1" s="899"/>
      <c r="AQ1" s="900"/>
    </row>
    <row r="2" spans="1:43" s="808" customFormat="1" ht="21" x14ac:dyDescent="0.4">
      <c r="A2" s="885"/>
      <c r="B2" s="897" t="s">
        <v>563</v>
      </c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5"/>
      <c r="Y2" s="895"/>
      <c r="Z2" s="895"/>
      <c r="AA2" s="895"/>
      <c r="AB2" s="895"/>
      <c r="AC2" s="895"/>
      <c r="AD2" s="895"/>
      <c r="AE2" s="895"/>
      <c r="AF2" s="895"/>
      <c r="AG2" s="895"/>
      <c r="AH2" s="895"/>
      <c r="AI2" s="895"/>
      <c r="AJ2" s="895"/>
      <c r="AK2" s="895"/>
      <c r="AL2" s="895"/>
      <c r="AM2" s="895"/>
      <c r="AN2" s="895"/>
      <c r="AO2" s="895"/>
      <c r="AP2" s="895"/>
      <c r="AQ2" s="896"/>
    </row>
    <row r="3" spans="1:43" x14ac:dyDescent="0.25">
      <c r="A3" s="13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6"/>
    </row>
    <row r="4" spans="1:43" ht="14.4" x14ac:dyDescent="0.25">
      <c r="A4" s="13"/>
      <c r="B4" s="1078" t="s">
        <v>260</v>
      </c>
      <c r="C4" s="366" t="s">
        <v>312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6"/>
    </row>
    <row r="5" spans="1:43" ht="14.4" x14ac:dyDescent="0.25">
      <c r="A5" s="13"/>
      <c r="B5" s="1079"/>
      <c r="C5" s="498" t="s">
        <v>325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6"/>
    </row>
    <row r="6" spans="1:43" ht="14.4" x14ac:dyDescent="0.25">
      <c r="A6" s="13"/>
      <c r="B6" s="1079"/>
      <c r="C6" s="499" t="s">
        <v>324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6"/>
    </row>
    <row r="7" spans="1:43" ht="14.4" x14ac:dyDescent="0.25">
      <c r="A7" s="13"/>
      <c r="B7" s="1080"/>
      <c r="C7" s="367" t="s">
        <v>261</v>
      </c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6"/>
    </row>
    <row r="8" spans="1:43" x14ac:dyDescent="0.25">
      <c r="A8" s="13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6"/>
    </row>
    <row r="9" spans="1:43" ht="13.8" thickBot="1" x14ac:dyDescent="0.3">
      <c r="A9" s="13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6"/>
    </row>
    <row r="10" spans="1:43" ht="15" thickBot="1" x14ac:dyDescent="0.35">
      <c r="A10" s="13"/>
      <c r="B10" s="805" t="s">
        <v>402</v>
      </c>
      <c r="C10" s="806"/>
      <c r="D10" s="179"/>
      <c r="E10" s="177"/>
      <c r="F10" s="177"/>
      <c r="G10" s="177"/>
      <c r="H10" s="177"/>
      <c r="I10" s="177"/>
      <c r="J10" s="177"/>
      <c r="K10" s="177"/>
      <c r="L10" s="177"/>
      <c r="M10" s="177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6"/>
    </row>
    <row r="11" spans="1:43" x14ac:dyDescent="0.25">
      <c r="A11" s="13"/>
      <c r="B11" s="905" t="s">
        <v>484</v>
      </c>
      <c r="C11" s="969">
        <f>CHIFFRAGE_TC!M206</f>
        <v>111159515.10640152</v>
      </c>
      <c r="D11" s="906"/>
      <c r="E11" s="177"/>
      <c r="F11" s="177"/>
      <c r="H11" s="177"/>
      <c r="I11" s="178"/>
      <c r="J11" s="271"/>
      <c r="K11" s="177"/>
      <c r="L11" s="177"/>
      <c r="M11" s="177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6"/>
    </row>
    <row r="12" spans="1:43" x14ac:dyDescent="0.25">
      <c r="A12" s="13"/>
      <c r="B12" s="901" t="s">
        <v>485</v>
      </c>
      <c r="C12" s="902">
        <f>-F122</f>
        <v>115068009.72977532</v>
      </c>
      <c r="D12" s="804"/>
      <c r="E12" s="177"/>
      <c r="F12" s="177"/>
      <c r="H12" s="177"/>
      <c r="I12" s="178"/>
      <c r="J12" s="271"/>
      <c r="K12" s="177"/>
      <c r="L12" s="177"/>
      <c r="M12" s="177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6"/>
    </row>
    <row r="13" spans="1:43" x14ac:dyDescent="0.25">
      <c r="A13" s="13"/>
      <c r="B13" s="901" t="s">
        <v>486</v>
      </c>
      <c r="C13" s="902">
        <f>C12-C11</f>
        <v>3908494.6233738065</v>
      </c>
      <c r="D13" s="804"/>
      <c r="E13" s="177"/>
      <c r="F13" s="177"/>
      <c r="H13" s="177"/>
      <c r="I13" s="178"/>
      <c r="J13" s="271"/>
      <c r="K13" s="177"/>
      <c r="L13" s="177"/>
      <c r="M13" s="177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6"/>
    </row>
    <row r="14" spans="1:43" x14ac:dyDescent="0.25">
      <c r="A14" s="13"/>
      <c r="B14" s="213" t="s">
        <v>380</v>
      </c>
      <c r="C14" s="802">
        <f>CHIFFRAGE_TC!G202</f>
        <v>1750</v>
      </c>
      <c r="D14" s="177"/>
      <c r="E14" s="177"/>
      <c r="F14" s="177"/>
      <c r="H14" s="177"/>
      <c r="I14" s="268"/>
      <c r="J14" s="260"/>
      <c r="K14" s="260"/>
      <c r="L14" s="177"/>
      <c r="M14" s="177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6"/>
    </row>
    <row r="15" spans="1:43" x14ac:dyDescent="0.25">
      <c r="A15" s="13"/>
      <c r="B15" s="938" t="s">
        <v>381</v>
      </c>
      <c r="C15" s="939">
        <v>20</v>
      </c>
      <c r="D15" s="177"/>
      <c r="E15" s="177"/>
      <c r="F15" s="177"/>
      <c r="H15" s="177"/>
      <c r="I15" s="268"/>
      <c r="J15" s="260"/>
      <c r="K15" s="260"/>
      <c r="L15" s="177"/>
      <c r="M15" s="177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6"/>
    </row>
    <row r="16" spans="1:43" x14ac:dyDescent="0.25">
      <c r="A16" s="13"/>
      <c r="B16" s="943" t="s">
        <v>382</v>
      </c>
      <c r="C16" s="944"/>
      <c r="D16" s="177"/>
      <c r="E16" s="177"/>
      <c r="F16" s="177"/>
      <c r="H16" s="177"/>
      <c r="I16" s="260"/>
      <c r="J16" s="260"/>
      <c r="K16" s="260"/>
      <c r="L16" s="177"/>
      <c r="M16" s="177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6"/>
    </row>
    <row r="17" spans="1:45" s="91" customFormat="1" x14ac:dyDescent="0.25">
      <c r="A17" s="94"/>
      <c r="B17" s="935" t="s">
        <v>507</v>
      </c>
      <c r="C17" s="946">
        <f>CHIFFRAGE_TC!M218</f>
        <v>0.23013699343294833</v>
      </c>
      <c r="D17" s="941" t="s">
        <v>513</v>
      </c>
      <c r="E17" s="910"/>
      <c r="F17" s="910"/>
      <c r="H17" s="910"/>
      <c r="I17" s="936"/>
      <c r="J17" s="936"/>
      <c r="K17" s="936"/>
      <c r="L17" s="910"/>
      <c r="M17" s="910"/>
      <c r="N17" s="937"/>
      <c r="O17" s="937"/>
      <c r="P17" s="937"/>
      <c r="Q17" s="937"/>
      <c r="R17" s="937"/>
      <c r="S17" s="937"/>
      <c r="T17" s="937"/>
      <c r="U17" s="937"/>
      <c r="V17" s="937"/>
      <c r="W17" s="937"/>
      <c r="X17" s="937"/>
      <c r="Y17" s="937"/>
      <c r="Z17" s="937"/>
      <c r="AA17" s="937"/>
      <c r="AB17" s="937"/>
      <c r="AC17" s="937"/>
      <c r="AD17" s="937"/>
      <c r="AE17" s="937"/>
      <c r="AF17" s="937"/>
      <c r="AG17" s="937"/>
      <c r="AH17" s="937"/>
      <c r="AI17" s="937"/>
      <c r="AJ17" s="937"/>
      <c r="AK17" s="937"/>
      <c r="AL17" s="937"/>
      <c r="AM17" s="937"/>
      <c r="AN17" s="937"/>
      <c r="AO17" s="937"/>
      <c r="AP17" s="937"/>
    </row>
    <row r="18" spans="1:45" x14ac:dyDescent="0.25">
      <c r="A18" s="13"/>
      <c r="B18" s="935" t="s">
        <v>508</v>
      </c>
      <c r="C18" s="946">
        <f>CHIFFRAGE_TC!M219</f>
        <v>0.26828387817410493</v>
      </c>
      <c r="D18" s="941" t="s">
        <v>513</v>
      </c>
      <c r="E18" s="177"/>
      <c r="F18" s="177"/>
      <c r="H18" s="177"/>
      <c r="I18" s="260"/>
      <c r="J18" s="260"/>
      <c r="K18" s="260"/>
      <c r="L18" s="177"/>
      <c r="M18" s="177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6"/>
    </row>
    <row r="19" spans="1:45" x14ac:dyDescent="0.25">
      <c r="A19" s="13"/>
      <c r="B19" s="935" t="s">
        <v>509</v>
      </c>
      <c r="C19" s="946">
        <f>CHIFFRAGE_TC!M220</f>
        <v>0.46768156165052532</v>
      </c>
      <c r="D19" s="941" t="s">
        <v>513</v>
      </c>
      <c r="E19" s="177"/>
      <c r="F19" s="177"/>
      <c r="H19" s="177"/>
      <c r="I19" s="260"/>
      <c r="J19" s="260"/>
      <c r="K19" s="260"/>
      <c r="L19" s="177"/>
      <c r="M19" s="177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6"/>
    </row>
    <row r="20" spans="1:45" x14ac:dyDescent="0.25">
      <c r="A20" s="13"/>
      <c r="B20" s="935" t="s">
        <v>510</v>
      </c>
      <c r="C20" s="946">
        <f>CHIFFRAGE_TC!M221</f>
        <v>0.10004953000066474</v>
      </c>
      <c r="D20" s="941" t="s">
        <v>513</v>
      </c>
      <c r="E20" s="177"/>
      <c r="F20" s="177"/>
      <c r="H20" s="177"/>
      <c r="I20" s="260"/>
      <c r="J20" s="260"/>
      <c r="K20" s="260"/>
      <c r="L20" s="177"/>
      <c r="M20" s="177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6"/>
    </row>
    <row r="21" spans="1:45" x14ac:dyDescent="0.25">
      <c r="A21" s="13"/>
      <c r="B21" s="935" t="s">
        <v>511</v>
      </c>
      <c r="C21" s="946">
        <f>CHIFFRAGE_TC!M222</f>
        <v>2.5003223679233952E-2</v>
      </c>
      <c r="D21" s="941" t="s">
        <v>513</v>
      </c>
      <c r="E21" s="177"/>
      <c r="F21" s="177"/>
      <c r="H21" s="177"/>
      <c r="I21" s="260"/>
      <c r="J21" s="260"/>
      <c r="K21" s="260"/>
      <c r="L21" s="177"/>
      <c r="M21" s="177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6"/>
    </row>
    <row r="22" spans="1:45" x14ac:dyDescent="0.25">
      <c r="A22" s="13"/>
      <c r="B22" s="945" t="s">
        <v>512</v>
      </c>
      <c r="C22" s="947">
        <f>CHIFFRAGE_TC!M223</f>
        <v>7.4995597314029654E-3</v>
      </c>
      <c r="D22" s="941" t="s">
        <v>513</v>
      </c>
      <c r="E22" s="177"/>
      <c r="F22" s="177"/>
      <c r="H22" s="177"/>
      <c r="I22" s="260"/>
      <c r="J22" s="260"/>
      <c r="K22" s="260"/>
      <c r="L22" s="177"/>
      <c r="M22" s="177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6"/>
    </row>
    <row r="23" spans="1:45" x14ac:dyDescent="0.25">
      <c r="A23" s="13"/>
      <c r="B23" s="213" t="s">
        <v>432</v>
      </c>
      <c r="C23" s="803">
        <v>0</v>
      </c>
      <c r="D23" s="804" t="s">
        <v>433</v>
      </c>
      <c r="E23" s="177"/>
      <c r="F23" s="177"/>
      <c r="H23" s="177"/>
      <c r="I23" s="260"/>
      <c r="J23" s="260"/>
      <c r="K23" s="269"/>
      <c r="L23" s="175"/>
      <c r="M23" s="177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6"/>
    </row>
    <row r="24" spans="1:45" x14ac:dyDescent="0.25">
      <c r="A24" s="13"/>
      <c r="B24" s="213" t="s">
        <v>399</v>
      </c>
      <c r="C24" s="803">
        <v>0.35</v>
      </c>
      <c r="D24" s="177" t="s">
        <v>227</v>
      </c>
      <c r="E24" s="177"/>
      <c r="F24" s="177"/>
      <c r="H24" s="177"/>
      <c r="I24" s="260"/>
      <c r="J24" s="260"/>
      <c r="K24" s="269"/>
      <c r="L24" s="175"/>
      <c r="M24" s="177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6"/>
    </row>
    <row r="25" spans="1:45" x14ac:dyDescent="0.25">
      <c r="A25" s="13"/>
      <c r="B25" s="213" t="s">
        <v>452</v>
      </c>
      <c r="C25" s="803">
        <v>0.02</v>
      </c>
      <c r="D25" s="177"/>
      <c r="E25" s="177"/>
      <c r="F25" s="177"/>
      <c r="H25" s="177"/>
      <c r="I25" s="177"/>
      <c r="J25" s="177"/>
      <c r="K25" s="175"/>
      <c r="L25" s="175"/>
      <c r="M25" s="177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6"/>
    </row>
    <row r="26" spans="1:45" ht="13.8" thickBot="1" x14ac:dyDescent="0.3">
      <c r="A26" s="13"/>
      <c r="B26" s="903" t="s">
        <v>398</v>
      </c>
      <c r="C26" s="904">
        <v>0.13</v>
      </c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6"/>
    </row>
    <row r="27" spans="1:45" x14ac:dyDescent="0.25">
      <c r="A27" s="13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K27" s="1"/>
      <c r="AL27" s="1"/>
      <c r="AM27" s="1"/>
      <c r="AN27" s="1"/>
      <c r="AO27" s="1"/>
      <c r="AP27" s="1"/>
      <c r="AQ27" s="1"/>
      <c r="AR27" s="1"/>
      <c r="AS27" s="1"/>
    </row>
    <row r="28" spans="1:45" ht="13.8" thickBot="1" x14ac:dyDescent="0.3">
      <c r="A28" s="13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K28" s="1"/>
      <c r="AL28" s="1"/>
      <c r="AM28" s="1"/>
      <c r="AN28" s="1"/>
      <c r="AO28" s="1"/>
      <c r="AP28" s="1"/>
      <c r="AQ28" s="1"/>
      <c r="AR28" s="1"/>
      <c r="AS28" s="1"/>
    </row>
    <row r="29" spans="1:45" x14ac:dyDescent="0.25">
      <c r="A29" s="13"/>
      <c r="B29" s="804"/>
      <c r="C29" s="1118" t="s">
        <v>453</v>
      </c>
      <c r="D29" s="1119"/>
      <c r="E29" s="1119"/>
      <c r="F29" s="1119"/>
      <c r="G29" s="1120"/>
      <c r="H29" s="177"/>
      <c r="I29" s="177"/>
      <c r="J29" s="177"/>
      <c r="K29" s="177"/>
      <c r="L29" s="177"/>
      <c r="M29" s="177"/>
      <c r="N29" s="177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K29" s="1"/>
      <c r="AL29" s="1"/>
      <c r="AM29" s="1"/>
      <c r="AN29" s="1"/>
      <c r="AO29" s="1"/>
      <c r="AP29" s="1"/>
      <c r="AQ29" s="1"/>
      <c r="AR29" s="1"/>
      <c r="AS29" s="1"/>
    </row>
    <row r="30" spans="1:45" ht="13.8" thickBot="1" x14ac:dyDescent="0.3">
      <c r="A30" s="13"/>
      <c r="B30" s="804"/>
      <c r="C30" s="914" t="s">
        <v>568</v>
      </c>
      <c r="D30" s="915">
        <v>0.75</v>
      </c>
      <c r="E30" s="915">
        <v>1</v>
      </c>
      <c r="F30" s="915">
        <v>1.25</v>
      </c>
      <c r="G30" s="916">
        <v>1.45</v>
      </c>
      <c r="H30" s="177"/>
      <c r="I30" s="177"/>
      <c r="J30" s="177"/>
      <c r="K30" s="177"/>
      <c r="L30" s="177"/>
      <c r="M30" s="177"/>
      <c r="N30" s="177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K30" s="1"/>
      <c r="AL30" s="1"/>
      <c r="AM30" s="1"/>
      <c r="AN30" s="1"/>
      <c r="AO30" s="1"/>
      <c r="AP30" s="1"/>
      <c r="AQ30" s="1"/>
      <c r="AR30" s="1"/>
      <c r="AS30" s="1"/>
    </row>
    <row r="31" spans="1:45" x14ac:dyDescent="0.25">
      <c r="A31" s="13"/>
      <c r="B31" s="917" t="s">
        <v>400</v>
      </c>
      <c r="C31" s="918">
        <f>AJ125</f>
        <v>-5.5241076023900049E-2</v>
      </c>
      <c r="D31" s="918">
        <f>AJ201</f>
        <v>-3.5511503606610817E-2</v>
      </c>
      <c r="E31" s="918">
        <f>AJ277</f>
        <v>-1.1831939644249667E-2</v>
      </c>
      <c r="F31" s="918">
        <f>AJ353</f>
        <v>4.2443816330182127E-3</v>
      </c>
      <c r="G31" s="919">
        <f>AJ429</f>
        <v>1.7551561335583443E-2</v>
      </c>
      <c r="H31" s="177"/>
      <c r="I31" s="177"/>
      <c r="J31" s="177"/>
      <c r="K31" s="177"/>
      <c r="L31" s="177"/>
      <c r="M31" s="177"/>
      <c r="N31" s="177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K31" s="1"/>
      <c r="AL31" s="1"/>
      <c r="AM31" s="1"/>
      <c r="AN31" s="1"/>
      <c r="AO31" s="1"/>
      <c r="AP31" s="1"/>
      <c r="AQ31" s="1"/>
      <c r="AR31" s="1"/>
      <c r="AS31" s="1"/>
    </row>
    <row r="32" spans="1:45" ht="13.8" thickBot="1" x14ac:dyDescent="0.3">
      <c r="A32" s="13"/>
      <c r="B32" s="920" t="s">
        <v>487</v>
      </c>
      <c r="C32" s="921">
        <f>AJ137</f>
        <v>-96905899.635855183</v>
      </c>
      <c r="D32" s="921">
        <f>AJ213</f>
        <v>-91896121.360124797</v>
      </c>
      <c r="E32" s="921">
        <f>AJ289</f>
        <v>-84203612.879349113</v>
      </c>
      <c r="F32" s="921">
        <f>AJ365</f>
        <v>-78036954.189091757</v>
      </c>
      <c r="G32" s="922">
        <f>AJ441</f>
        <v>-72511181.30319941</v>
      </c>
      <c r="H32" s="177"/>
      <c r="I32" s="177"/>
      <c r="J32" s="177"/>
      <c r="K32" s="177"/>
      <c r="L32" s="177"/>
      <c r="M32" s="177"/>
      <c r="N32" s="177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K32" s="1"/>
      <c r="AL32" s="1"/>
      <c r="AM32" s="1"/>
      <c r="AN32" s="1"/>
      <c r="AO32" s="1"/>
      <c r="AP32" s="1"/>
      <c r="AQ32" s="1"/>
      <c r="AR32" s="1"/>
      <c r="AS32" s="1"/>
    </row>
    <row r="33" spans="1:45" x14ac:dyDescent="0.25">
      <c r="A33" s="13"/>
      <c r="B33" s="917" t="s">
        <v>401</v>
      </c>
      <c r="C33" s="918">
        <f>AT128</f>
        <v>-7.546965570684705E-2</v>
      </c>
      <c r="D33" s="923">
        <f>AT204</f>
        <v>-4.2232566942975391E-2</v>
      </c>
      <c r="E33" s="918">
        <f>AT280</f>
        <v>-1.0458029057677787E-2</v>
      </c>
      <c r="F33" s="918">
        <f>AT356</f>
        <v>8.4613302833238535E-3</v>
      </c>
      <c r="G33" s="919">
        <f>AT432</f>
        <v>2.2945059828651138E-2</v>
      </c>
      <c r="H33" s="177"/>
      <c r="I33" s="177"/>
      <c r="J33" s="177"/>
      <c r="K33" s="177"/>
      <c r="L33" s="177"/>
      <c r="M33" s="177"/>
      <c r="N33" s="177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K33" s="1"/>
      <c r="AL33" s="1"/>
      <c r="AM33" s="1"/>
      <c r="AN33" s="1"/>
      <c r="AO33" s="1"/>
      <c r="AP33" s="1"/>
      <c r="AQ33" s="1"/>
      <c r="AR33" s="1"/>
      <c r="AS33" s="1"/>
    </row>
    <row r="34" spans="1:45" ht="13.8" thickBot="1" x14ac:dyDescent="0.3">
      <c r="A34" s="13"/>
      <c r="B34" s="920" t="s">
        <v>488</v>
      </c>
      <c r="C34" s="921">
        <f>AT137</f>
        <v>-97109746.391995788</v>
      </c>
      <c r="D34" s="921">
        <f>AT213</f>
        <v>-91932471.409915522</v>
      </c>
      <c r="E34" s="921">
        <f>AT289</f>
        <v>-84023206.54528977</v>
      </c>
      <c r="F34" s="921">
        <f>AT365</f>
        <v>-77672675.949515969</v>
      </c>
      <c r="G34" s="922">
        <f>AT441</f>
        <v>-71969624.895922258</v>
      </c>
      <c r="H34" s="177"/>
      <c r="I34" s="177"/>
      <c r="J34" s="177"/>
      <c r="K34" s="177"/>
      <c r="L34" s="177"/>
      <c r="M34" s="177"/>
      <c r="N34" s="177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K34" s="1"/>
      <c r="AL34" s="1"/>
      <c r="AM34" s="1"/>
      <c r="AN34" s="1"/>
      <c r="AO34" s="1"/>
      <c r="AP34" s="1"/>
      <c r="AQ34" s="1"/>
      <c r="AR34" s="1"/>
      <c r="AS34" s="1"/>
    </row>
    <row r="35" spans="1:45" x14ac:dyDescent="0.25">
      <c r="A35" s="13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K35" s="1"/>
      <c r="AL35" s="1"/>
      <c r="AM35" s="1"/>
      <c r="AN35" s="1"/>
      <c r="AO35" s="1"/>
      <c r="AP35" s="1"/>
      <c r="AQ35" s="1"/>
      <c r="AR35" s="1"/>
      <c r="AS35" s="1"/>
    </row>
    <row r="36" spans="1:45" x14ac:dyDescent="0.25">
      <c r="A36" s="13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K36" s="1"/>
      <c r="AL36" s="1"/>
      <c r="AM36" s="1"/>
      <c r="AN36" s="1"/>
      <c r="AO36" s="1"/>
      <c r="AP36" s="1"/>
      <c r="AQ36" s="1"/>
      <c r="AR36" s="1"/>
      <c r="AS36" s="1"/>
    </row>
    <row r="37" spans="1:45" x14ac:dyDescent="0.25">
      <c r="A37" s="13"/>
      <c r="B37" s="804"/>
      <c r="C37" s="1117" t="s">
        <v>570</v>
      </c>
      <c r="D37" s="1117"/>
      <c r="E37" s="1117"/>
      <c r="F37" s="1117"/>
      <c r="G37" s="1117"/>
      <c r="H37" s="1117"/>
      <c r="I37" s="1117"/>
      <c r="J37" s="177"/>
      <c r="K37" s="177"/>
      <c r="L37" s="177"/>
      <c r="M37" s="177"/>
      <c r="N37" s="177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K37" s="1"/>
      <c r="AL37" s="1"/>
      <c r="AM37" s="1"/>
      <c r="AN37" s="1"/>
      <c r="AO37" s="1"/>
      <c r="AP37" s="1"/>
      <c r="AQ37" s="1"/>
      <c r="AR37" s="1"/>
      <c r="AS37" s="1"/>
    </row>
    <row r="38" spans="1:45" x14ac:dyDescent="0.25">
      <c r="A38" s="13"/>
      <c r="B38" s="804"/>
      <c r="C38" s="911">
        <v>2020</v>
      </c>
      <c r="D38" s="911">
        <v>2025</v>
      </c>
      <c r="E38" s="911">
        <v>2030</v>
      </c>
      <c r="F38" s="911">
        <v>2035</v>
      </c>
      <c r="G38" s="911">
        <v>2040</v>
      </c>
      <c r="H38" s="911">
        <v>2045</v>
      </c>
      <c r="I38" s="911">
        <v>2050</v>
      </c>
      <c r="J38" s="177"/>
      <c r="K38" s="177"/>
      <c r="L38" s="177"/>
      <c r="M38" s="177"/>
      <c r="N38" s="177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K38" s="1"/>
      <c r="AL38" s="1"/>
      <c r="AM38" s="1"/>
      <c r="AN38" s="1"/>
      <c r="AO38" s="1"/>
      <c r="AP38" s="1"/>
      <c r="AQ38" s="1"/>
      <c r="AR38" s="1"/>
      <c r="AS38" s="1"/>
    </row>
    <row r="39" spans="1:45" x14ac:dyDescent="0.25">
      <c r="A39" s="13"/>
      <c r="B39" s="913" t="s">
        <v>491</v>
      </c>
      <c r="C39" s="912">
        <f>H133</f>
        <v>0.9832370839128185</v>
      </c>
      <c r="D39" s="912">
        <f>M133</f>
        <v>1.1164233389700353</v>
      </c>
      <c r="E39" s="912">
        <f>R133</f>
        <v>1.0921483852607461</v>
      </c>
      <c r="F39" s="912">
        <f>W133</f>
        <v>1.1112481157718475</v>
      </c>
      <c r="G39" s="912">
        <f>AB133</f>
        <v>1.1115690380845427</v>
      </c>
      <c r="H39" s="912">
        <f>AG133</f>
        <v>1.1105168603604023</v>
      </c>
      <c r="I39" s="912">
        <f>AL133</f>
        <v>1.0702555955465027</v>
      </c>
      <c r="J39" s="177"/>
      <c r="K39" s="177"/>
      <c r="L39" s="177"/>
      <c r="M39" s="177"/>
      <c r="N39" s="177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K39" s="1"/>
      <c r="AL39" s="1"/>
      <c r="AM39" s="1"/>
      <c r="AN39" s="1"/>
      <c r="AO39" s="1"/>
      <c r="AP39" s="1"/>
      <c r="AQ39" s="1"/>
      <c r="AR39" s="1"/>
      <c r="AS39" s="1"/>
    </row>
    <row r="40" spans="1:45" x14ac:dyDescent="0.25">
      <c r="A40" s="13"/>
      <c r="B40" s="913" t="s">
        <v>490</v>
      </c>
      <c r="C40" s="912">
        <f>H134</f>
        <v>-1.6762916087181501E-2</v>
      </c>
      <c r="D40" s="912">
        <f>M134</f>
        <v>0.11642333897003532</v>
      </c>
      <c r="E40" s="912">
        <f>R134</f>
        <v>9.2148385260746091E-2</v>
      </c>
      <c r="F40" s="912">
        <f>W134</f>
        <v>0.11124811577184746</v>
      </c>
      <c r="G40" s="912">
        <f>AB134</f>
        <v>0.11156903808454266</v>
      </c>
      <c r="H40" s="912">
        <f>AG134</f>
        <v>0.11051686036040231</v>
      </c>
      <c r="I40" s="912">
        <f>AL134</f>
        <v>7.0255595546502736E-2</v>
      </c>
      <c r="J40" s="177"/>
      <c r="K40" s="177"/>
      <c r="L40" s="177"/>
      <c r="M40" s="177"/>
      <c r="N40" s="177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K40" s="1"/>
      <c r="AL40" s="1"/>
      <c r="AM40" s="1"/>
      <c r="AN40" s="1"/>
      <c r="AO40" s="1"/>
      <c r="AP40" s="1"/>
      <c r="AQ40" s="1"/>
      <c r="AR40" s="1"/>
      <c r="AS40" s="1"/>
    </row>
    <row r="41" spans="1:45" x14ac:dyDescent="0.25">
      <c r="A41" s="13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K41" s="1"/>
      <c r="AL41" s="1"/>
      <c r="AM41" s="1"/>
      <c r="AN41" s="1"/>
      <c r="AO41" s="1"/>
      <c r="AP41" s="1"/>
      <c r="AQ41" s="1"/>
      <c r="AR41" s="1"/>
      <c r="AS41" s="1"/>
    </row>
    <row r="42" spans="1:45" x14ac:dyDescent="0.25">
      <c r="A42" s="13"/>
      <c r="B42" s="804"/>
      <c r="C42" s="1117" t="s">
        <v>492</v>
      </c>
      <c r="D42" s="1117"/>
      <c r="E42" s="1117"/>
      <c r="F42" s="1117"/>
      <c r="G42" s="1117"/>
      <c r="H42" s="1117"/>
      <c r="I42" s="1117"/>
      <c r="J42" s="177"/>
      <c r="K42" s="177"/>
      <c r="L42" s="177"/>
      <c r="M42" s="177"/>
      <c r="N42" s="177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K42" s="1"/>
      <c r="AL42" s="1"/>
      <c r="AM42" s="1"/>
      <c r="AN42" s="1"/>
      <c r="AO42" s="1"/>
      <c r="AP42" s="1"/>
      <c r="AQ42" s="1"/>
      <c r="AR42" s="1"/>
      <c r="AS42" s="1"/>
    </row>
    <row r="43" spans="1:45" x14ac:dyDescent="0.25">
      <c r="A43" s="13"/>
      <c r="B43" s="804"/>
      <c r="C43" s="911">
        <v>2020</v>
      </c>
      <c r="D43" s="911">
        <v>2025</v>
      </c>
      <c r="E43" s="911">
        <v>2030</v>
      </c>
      <c r="F43" s="911">
        <v>2035</v>
      </c>
      <c r="G43" s="911">
        <v>2040</v>
      </c>
      <c r="H43" s="911">
        <v>2045</v>
      </c>
      <c r="I43" s="911">
        <v>2050</v>
      </c>
      <c r="J43" s="177"/>
      <c r="K43" s="177"/>
      <c r="L43" s="177"/>
      <c r="M43" s="177"/>
      <c r="N43" s="177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K43" s="1"/>
      <c r="AL43" s="1"/>
      <c r="AM43" s="1"/>
      <c r="AN43" s="1"/>
      <c r="AO43" s="1"/>
      <c r="AP43" s="1"/>
      <c r="AQ43" s="1"/>
      <c r="AR43" s="1"/>
      <c r="AS43" s="1"/>
    </row>
    <row r="44" spans="1:45" x14ac:dyDescent="0.25">
      <c r="A44" s="13"/>
      <c r="B44" s="913" t="s">
        <v>491</v>
      </c>
      <c r="C44" s="912">
        <f>H209</f>
        <v>1.1919093814304687</v>
      </c>
      <c r="D44" s="912">
        <f>M209</f>
        <v>1.3572818660169292</v>
      </c>
      <c r="E44" s="912">
        <f>R209</f>
        <v>1.3431802207147665</v>
      </c>
      <c r="F44" s="912">
        <f>W209</f>
        <v>1.3506019724522516</v>
      </c>
      <c r="G44" s="912">
        <f>AB209</f>
        <v>1.3475060555265419</v>
      </c>
      <c r="H44" s="912">
        <f>AG209</f>
        <v>1.3466939423384408</v>
      </c>
      <c r="I44" s="912">
        <f>AL209</f>
        <v>1.2974235936305292</v>
      </c>
      <c r="J44" s="177"/>
      <c r="K44" s="177"/>
      <c r="L44" s="177"/>
      <c r="M44" s="177"/>
      <c r="N44" s="177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K44" s="1"/>
      <c r="AL44" s="1"/>
      <c r="AM44" s="1"/>
      <c r="AN44" s="1"/>
      <c r="AO44" s="1"/>
      <c r="AP44" s="1"/>
      <c r="AQ44" s="1"/>
      <c r="AR44" s="1"/>
      <c r="AS44" s="1"/>
    </row>
    <row r="45" spans="1:45" x14ac:dyDescent="0.25">
      <c r="A45" s="13"/>
      <c r="B45" s="913" t="s">
        <v>490</v>
      </c>
      <c r="C45" s="912">
        <f>H210</f>
        <v>0.19190938143046865</v>
      </c>
      <c r="D45" s="912">
        <f>M210</f>
        <v>0.35728186601692924</v>
      </c>
      <c r="E45" s="912">
        <f>R210</f>
        <v>0.3431802207147665</v>
      </c>
      <c r="F45" s="912">
        <f>W210</f>
        <v>0.35060197245225155</v>
      </c>
      <c r="G45" s="912">
        <f>AB210</f>
        <v>0.3475060555265419</v>
      </c>
      <c r="H45" s="912">
        <f>AG210</f>
        <v>0.34669394233844075</v>
      </c>
      <c r="I45" s="912">
        <f>AL210</f>
        <v>0.29742359363052917</v>
      </c>
      <c r="J45" s="177"/>
      <c r="K45" s="177"/>
      <c r="L45" s="177"/>
      <c r="M45" s="177"/>
      <c r="N45" s="177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K45" s="1"/>
      <c r="AL45" s="1"/>
      <c r="AM45" s="1"/>
      <c r="AN45" s="1"/>
      <c r="AO45" s="1"/>
      <c r="AP45" s="1"/>
      <c r="AQ45" s="1"/>
      <c r="AR45" s="1"/>
      <c r="AS45" s="1"/>
    </row>
    <row r="46" spans="1:45" x14ac:dyDescent="0.25">
      <c r="A46" s="13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K46" s="1"/>
      <c r="AL46" s="1"/>
      <c r="AM46" s="1"/>
      <c r="AN46" s="1"/>
      <c r="AO46" s="1"/>
      <c r="AP46" s="1"/>
      <c r="AQ46" s="1"/>
      <c r="AR46" s="1"/>
      <c r="AS46" s="1"/>
    </row>
    <row r="47" spans="1:45" x14ac:dyDescent="0.25">
      <c r="A47" s="13"/>
      <c r="B47" s="804"/>
      <c r="C47" s="1117" t="s">
        <v>493</v>
      </c>
      <c r="D47" s="1117"/>
      <c r="E47" s="1117"/>
      <c r="F47" s="1117"/>
      <c r="G47" s="1117"/>
      <c r="H47" s="1117"/>
      <c r="I47" s="1117"/>
      <c r="J47" s="177"/>
      <c r="K47" s="177"/>
      <c r="L47" s="177"/>
      <c r="M47" s="177"/>
      <c r="N47" s="177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K47" s="1"/>
      <c r="AL47" s="1"/>
      <c r="AM47" s="1"/>
      <c r="AN47" s="1"/>
      <c r="AO47" s="1"/>
      <c r="AP47" s="1"/>
      <c r="AQ47" s="1"/>
      <c r="AR47" s="1"/>
      <c r="AS47" s="1"/>
    </row>
    <row r="48" spans="1:45" x14ac:dyDescent="0.25">
      <c r="A48" s="13"/>
      <c r="B48" s="804"/>
      <c r="C48" s="911">
        <v>2020</v>
      </c>
      <c r="D48" s="911">
        <v>2025</v>
      </c>
      <c r="E48" s="911">
        <v>2030</v>
      </c>
      <c r="F48" s="911">
        <v>2035</v>
      </c>
      <c r="G48" s="911">
        <v>2040</v>
      </c>
      <c r="H48" s="911">
        <v>2045</v>
      </c>
      <c r="I48" s="911">
        <v>2050</v>
      </c>
      <c r="J48" s="177"/>
      <c r="K48" s="177"/>
      <c r="L48" s="177"/>
      <c r="M48" s="177"/>
      <c r="N48" s="177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K48" s="1"/>
      <c r="AL48" s="1"/>
      <c r="AM48" s="1"/>
      <c r="AN48" s="1"/>
      <c r="AO48" s="1"/>
      <c r="AP48" s="1"/>
      <c r="AQ48" s="1"/>
      <c r="AR48" s="1"/>
      <c r="AS48" s="1"/>
    </row>
    <row r="49" spans="1:47" x14ac:dyDescent="0.25">
      <c r="A49" s="13"/>
      <c r="B49" s="913" t="s">
        <v>491</v>
      </c>
      <c r="C49" s="912">
        <f>H285</f>
        <v>1.5337834461576978</v>
      </c>
      <c r="D49" s="912">
        <f>M285</f>
        <v>1.7448140689306393</v>
      </c>
      <c r="E49" s="912">
        <f>R285</f>
        <v>1.7216002512831541</v>
      </c>
      <c r="F49" s="912">
        <f>W285</f>
        <v>1.7242218040136092</v>
      </c>
      <c r="G49" s="912">
        <f>AB285</f>
        <v>1.7191488194937756</v>
      </c>
      <c r="H49" s="912">
        <f>AG285</f>
        <v>1.7187148506455137</v>
      </c>
      <c r="I49" s="912">
        <f>AL285</f>
        <v>1.6552535925352376</v>
      </c>
      <c r="J49" s="177"/>
      <c r="K49" s="177"/>
      <c r="L49" s="177"/>
      <c r="M49" s="177"/>
      <c r="N49" s="177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K49" s="1"/>
      <c r="AL49" s="1"/>
      <c r="AM49" s="1"/>
      <c r="AN49" s="1"/>
      <c r="AO49" s="1"/>
      <c r="AP49" s="1"/>
      <c r="AQ49" s="1"/>
      <c r="AR49" s="1"/>
      <c r="AS49" s="1"/>
    </row>
    <row r="50" spans="1:47" x14ac:dyDescent="0.25">
      <c r="A50" s="13"/>
      <c r="B50" s="913" t="s">
        <v>490</v>
      </c>
      <c r="C50" s="912">
        <f>H286</f>
        <v>0.53378344615769779</v>
      </c>
      <c r="D50" s="912">
        <f>M286</f>
        <v>0.74481406893063928</v>
      </c>
      <c r="E50" s="912">
        <f>R286</f>
        <v>0.72160025128315408</v>
      </c>
      <c r="F50" s="912">
        <f>W286</f>
        <v>0.72422180401360925</v>
      </c>
      <c r="G50" s="912">
        <f>AB286</f>
        <v>0.71914881949377563</v>
      </c>
      <c r="H50" s="912">
        <f>AG286</f>
        <v>0.71871485064551366</v>
      </c>
      <c r="I50" s="912">
        <f>AL286</f>
        <v>0.65525359253523763</v>
      </c>
      <c r="J50" s="177"/>
      <c r="K50" s="177"/>
      <c r="L50" s="177"/>
      <c r="M50" s="177"/>
      <c r="N50" s="177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K50" s="1"/>
      <c r="AL50" s="1"/>
      <c r="AM50" s="1"/>
      <c r="AN50" s="1"/>
      <c r="AO50" s="1"/>
      <c r="AP50" s="1"/>
      <c r="AQ50" s="1"/>
      <c r="AR50" s="1"/>
      <c r="AS50" s="1"/>
    </row>
    <row r="51" spans="1:47" x14ac:dyDescent="0.25">
      <c r="A51" s="13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K51" s="1"/>
      <c r="AL51" s="1"/>
      <c r="AM51" s="1"/>
      <c r="AN51" s="1"/>
      <c r="AO51" s="1"/>
      <c r="AP51" s="1"/>
      <c r="AQ51" s="1"/>
      <c r="AR51" s="1"/>
      <c r="AS51" s="1"/>
    </row>
    <row r="52" spans="1:47" x14ac:dyDescent="0.25">
      <c r="A52" s="13"/>
      <c r="B52" s="804"/>
      <c r="C52" s="1117" t="s">
        <v>494</v>
      </c>
      <c r="D52" s="1117"/>
      <c r="E52" s="1117"/>
      <c r="F52" s="1117"/>
      <c r="G52" s="1117"/>
      <c r="H52" s="1117"/>
      <c r="I52" s="1117"/>
      <c r="J52" s="177"/>
      <c r="K52" s="177"/>
      <c r="L52" s="177"/>
      <c r="M52" s="177"/>
      <c r="N52" s="177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K52" s="1"/>
      <c r="AL52" s="1"/>
      <c r="AM52" s="1"/>
      <c r="AN52" s="1"/>
      <c r="AO52" s="1"/>
      <c r="AP52" s="1"/>
      <c r="AQ52" s="1"/>
      <c r="AR52" s="1"/>
      <c r="AS52" s="1"/>
    </row>
    <row r="53" spans="1:47" x14ac:dyDescent="0.25">
      <c r="A53" s="13"/>
      <c r="B53" s="804"/>
      <c r="C53" s="911">
        <v>2020</v>
      </c>
      <c r="D53" s="911">
        <v>2025</v>
      </c>
      <c r="E53" s="911">
        <v>2030</v>
      </c>
      <c r="F53" s="911">
        <v>2035</v>
      </c>
      <c r="G53" s="911">
        <v>2040</v>
      </c>
      <c r="H53" s="911">
        <v>2045</v>
      </c>
      <c r="I53" s="911">
        <v>2050</v>
      </c>
      <c r="J53" s="177"/>
      <c r="K53" s="177"/>
      <c r="L53" s="177"/>
      <c r="M53" s="177"/>
      <c r="N53" s="177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K53" s="1"/>
      <c r="AL53" s="1"/>
      <c r="AM53" s="1"/>
      <c r="AN53" s="1"/>
      <c r="AO53" s="1"/>
      <c r="AP53" s="1"/>
      <c r="AQ53" s="1"/>
      <c r="AR53" s="1"/>
      <c r="AS53" s="1"/>
    </row>
    <row r="54" spans="1:47" x14ac:dyDescent="0.25">
      <c r="A54" s="13"/>
      <c r="B54" s="913" t="s">
        <v>491</v>
      </c>
      <c r="C54" s="912">
        <f>H361</f>
        <v>1.8615099624324287</v>
      </c>
      <c r="D54" s="912">
        <f>M361</f>
        <v>2.1228003403878426</v>
      </c>
      <c r="E54" s="912">
        <f>R361</f>
        <v>2.0955401076871807</v>
      </c>
      <c r="F54" s="912">
        <f>W361</f>
        <v>2.1013261950853241</v>
      </c>
      <c r="G54" s="912">
        <f>AB361</f>
        <v>2.0838925086543756</v>
      </c>
      <c r="H54" s="912">
        <f>AG361</f>
        <v>2.0838296643776668</v>
      </c>
      <c r="I54" s="912">
        <f>AL361</f>
        <v>2.0064409330328563</v>
      </c>
      <c r="J54" s="177"/>
      <c r="K54" s="177"/>
      <c r="L54" s="177"/>
      <c r="M54" s="177"/>
      <c r="N54" s="177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K54" s="1"/>
      <c r="AL54" s="1"/>
      <c r="AM54" s="1"/>
      <c r="AN54" s="1"/>
      <c r="AO54" s="1"/>
      <c r="AP54" s="1"/>
      <c r="AQ54" s="1"/>
      <c r="AR54" s="1"/>
      <c r="AS54" s="1"/>
    </row>
    <row r="55" spans="1:47" x14ac:dyDescent="0.25">
      <c r="A55" s="13"/>
      <c r="B55" s="913" t="s">
        <v>490</v>
      </c>
      <c r="C55" s="912">
        <f>H362</f>
        <v>0.86150996243242872</v>
      </c>
      <c r="D55" s="912">
        <f>M362</f>
        <v>1.1228003403878426</v>
      </c>
      <c r="E55" s="912">
        <f>R362</f>
        <v>1.0955401076871807</v>
      </c>
      <c r="F55" s="912">
        <f>W362</f>
        <v>1.1013261950853241</v>
      </c>
      <c r="G55" s="912">
        <f>AB362</f>
        <v>1.0838925086543756</v>
      </c>
      <c r="H55" s="912">
        <f>AG362</f>
        <v>1.0838296643776668</v>
      </c>
      <c r="I55" s="912">
        <f>AL362</f>
        <v>1.0064409330328563</v>
      </c>
      <c r="J55" s="177"/>
      <c r="K55" s="177"/>
      <c r="L55" s="177"/>
      <c r="M55" s="177"/>
      <c r="N55" s="177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K55" s="1"/>
      <c r="AL55" s="1"/>
      <c r="AM55" s="1"/>
      <c r="AN55" s="1"/>
      <c r="AO55" s="1"/>
      <c r="AP55" s="1"/>
      <c r="AQ55" s="1"/>
      <c r="AR55" s="1"/>
      <c r="AS55" s="1"/>
    </row>
    <row r="56" spans="1:47" x14ac:dyDescent="0.25">
      <c r="A56" s="13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K56" s="1"/>
      <c r="AL56" s="1"/>
      <c r="AM56" s="1"/>
      <c r="AN56" s="1"/>
      <c r="AO56" s="1"/>
      <c r="AP56" s="1"/>
      <c r="AQ56" s="1"/>
      <c r="AR56" s="1"/>
      <c r="AS56" s="1"/>
    </row>
    <row r="57" spans="1:47" x14ac:dyDescent="0.25">
      <c r="A57" s="13"/>
      <c r="B57" s="804"/>
      <c r="C57" s="1117" t="s">
        <v>495</v>
      </c>
      <c r="D57" s="1117"/>
      <c r="E57" s="1117"/>
      <c r="F57" s="1117"/>
      <c r="G57" s="1117"/>
      <c r="H57" s="1117"/>
      <c r="I57" s="1117"/>
      <c r="J57" s="177"/>
      <c r="K57" s="177"/>
      <c r="L57" s="177"/>
      <c r="M57" s="177"/>
      <c r="N57" s="177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K57" s="1"/>
      <c r="AL57" s="1"/>
      <c r="AM57" s="1"/>
      <c r="AN57" s="1"/>
      <c r="AO57" s="1"/>
      <c r="AP57" s="1"/>
      <c r="AQ57" s="1"/>
      <c r="AR57" s="1"/>
      <c r="AS57" s="1"/>
    </row>
    <row r="58" spans="1:47" x14ac:dyDescent="0.25">
      <c r="A58" s="13"/>
      <c r="B58" s="804"/>
      <c r="C58" s="911">
        <v>2020</v>
      </c>
      <c r="D58" s="911">
        <v>2025</v>
      </c>
      <c r="E58" s="911">
        <v>2030</v>
      </c>
      <c r="F58" s="911">
        <v>2035</v>
      </c>
      <c r="G58" s="911">
        <v>2040</v>
      </c>
      <c r="H58" s="911">
        <v>2045</v>
      </c>
      <c r="I58" s="911">
        <v>2050</v>
      </c>
      <c r="J58" s="177"/>
      <c r="K58" s="177"/>
      <c r="L58" s="177"/>
      <c r="M58" s="177"/>
      <c r="N58" s="177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K58" s="1"/>
      <c r="AL58" s="1"/>
      <c r="AM58" s="1"/>
      <c r="AN58" s="1"/>
      <c r="AO58" s="1"/>
      <c r="AP58" s="1"/>
      <c r="AQ58" s="1"/>
      <c r="AR58" s="1"/>
      <c r="AS58" s="1"/>
    </row>
    <row r="59" spans="1:47" x14ac:dyDescent="0.25">
      <c r="A59" s="13"/>
      <c r="B59" s="913" t="s">
        <v>491</v>
      </c>
      <c r="C59" s="912">
        <f>H437</f>
        <v>2.19154628253614</v>
      </c>
      <c r="D59" s="912">
        <f>M437</f>
        <v>2.479838247150739</v>
      </c>
      <c r="E59" s="912">
        <f>R437</f>
        <v>2.4527967579957788</v>
      </c>
      <c r="F59" s="912">
        <f>W437</f>
        <v>2.4488815215092035</v>
      </c>
      <c r="G59" s="912">
        <f>AB437</f>
        <v>2.4355563080445881</v>
      </c>
      <c r="H59" s="912">
        <f>AG437</f>
        <v>2.4358512796280518</v>
      </c>
      <c r="I59" s="912">
        <f>AL437</f>
        <v>2.3450345211531936</v>
      </c>
      <c r="J59" s="177"/>
      <c r="K59" s="177"/>
      <c r="L59" s="177"/>
      <c r="M59" s="177"/>
      <c r="N59" s="177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K59" s="1"/>
      <c r="AL59" s="1"/>
      <c r="AM59" s="1"/>
      <c r="AN59" s="1"/>
      <c r="AO59" s="1"/>
      <c r="AP59" s="1"/>
      <c r="AQ59" s="1"/>
      <c r="AR59" s="1"/>
      <c r="AS59" s="1"/>
    </row>
    <row r="60" spans="1:47" x14ac:dyDescent="0.25">
      <c r="A60" s="13"/>
      <c r="B60" s="913" t="s">
        <v>490</v>
      </c>
      <c r="C60" s="912">
        <f>H438</f>
        <v>1.19154628253614</v>
      </c>
      <c r="D60" s="912">
        <f>M438</f>
        <v>1.479838247150739</v>
      </c>
      <c r="E60" s="912">
        <f>R438</f>
        <v>1.4527967579957788</v>
      </c>
      <c r="F60" s="912">
        <f>W438</f>
        <v>1.4488815215092035</v>
      </c>
      <c r="G60" s="912">
        <f>AB438</f>
        <v>1.4355563080445881</v>
      </c>
      <c r="H60" s="912">
        <f>AG438</f>
        <v>1.4358512796280518</v>
      </c>
      <c r="I60" s="912">
        <f>AL438</f>
        <v>1.3450345211531936</v>
      </c>
      <c r="J60" s="177"/>
      <c r="K60" s="177"/>
      <c r="L60" s="177"/>
      <c r="M60" s="177"/>
      <c r="N60" s="177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K60" s="1"/>
      <c r="AL60" s="1"/>
      <c r="AM60" s="1"/>
      <c r="AN60" s="1"/>
      <c r="AO60" s="1"/>
      <c r="AP60" s="1"/>
      <c r="AQ60" s="1"/>
      <c r="AR60" s="1"/>
      <c r="AS60" s="1"/>
    </row>
    <row r="61" spans="1:47" x14ac:dyDescent="0.25">
      <c r="A61" s="13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K61" s="1"/>
      <c r="AL61" s="1"/>
      <c r="AM61" s="1"/>
      <c r="AN61" s="1"/>
      <c r="AO61" s="1"/>
      <c r="AP61" s="1"/>
      <c r="AQ61" s="1"/>
      <c r="AR61" s="1"/>
      <c r="AS61" s="1"/>
    </row>
    <row r="62" spans="1:47" x14ac:dyDescent="0.25">
      <c r="A62" s="13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K62" s="1"/>
      <c r="AL62" s="1"/>
      <c r="AM62" s="1"/>
      <c r="AN62" s="1"/>
      <c r="AO62" s="1"/>
      <c r="AP62" s="1"/>
      <c r="AQ62" s="1"/>
      <c r="AR62" s="1"/>
      <c r="AS62" s="1"/>
    </row>
    <row r="63" spans="1:47" x14ac:dyDescent="0.25">
      <c r="A63" s="13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K63" s="1"/>
      <c r="AL63" s="1"/>
      <c r="AM63" s="1"/>
      <c r="AN63" s="1"/>
      <c r="AO63" s="1"/>
      <c r="AP63" s="1"/>
      <c r="AQ63" s="1"/>
      <c r="AR63" s="1"/>
      <c r="AS63" s="1"/>
    </row>
    <row r="64" spans="1:47" s="304" customFormat="1" ht="14.4" x14ac:dyDescent="0.3">
      <c r="A64" s="306"/>
      <c r="B64" s="759" t="s">
        <v>569</v>
      </c>
      <c r="C64" s="759"/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59"/>
      <c r="AE64" s="759"/>
      <c r="AF64" s="759"/>
      <c r="AG64" s="759"/>
      <c r="AH64" s="759"/>
      <c r="AI64" s="759"/>
      <c r="AJ64" s="759"/>
      <c r="AK64" s="759"/>
      <c r="AL64" s="759"/>
      <c r="AM64" s="759"/>
      <c r="AN64" s="759"/>
      <c r="AO64" s="759"/>
      <c r="AP64" s="759"/>
      <c r="AQ64" s="759"/>
      <c r="AR64" s="759"/>
      <c r="AS64" s="759"/>
      <c r="AT64" s="814"/>
      <c r="AU64" s="306"/>
    </row>
    <row r="65" spans="1:47" x14ac:dyDescent="0.25">
      <c r="A65" s="13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3"/>
      <c r="AK65" s="38"/>
      <c r="AL65" s="38"/>
      <c r="AM65" s="38"/>
      <c r="AN65" s="38"/>
      <c r="AO65" s="38"/>
      <c r="AP65" s="38"/>
      <c r="AQ65" s="38"/>
      <c r="AR65" s="38"/>
      <c r="AS65" s="38"/>
      <c r="AT65" s="13"/>
      <c r="AU65" s="13"/>
    </row>
    <row r="66" spans="1:47" ht="14.4" x14ac:dyDescent="0.3">
      <c r="B66" s="813" t="s">
        <v>378</v>
      </c>
      <c r="C66" s="179">
        <v>2015</v>
      </c>
      <c r="D66" s="179">
        <v>2016</v>
      </c>
      <c r="E66" s="179">
        <v>2017</v>
      </c>
      <c r="F66" s="179">
        <v>2018</v>
      </c>
      <c r="G66" s="179">
        <v>2019</v>
      </c>
      <c r="H66" s="179">
        <v>2020</v>
      </c>
      <c r="I66" s="179">
        <v>2021</v>
      </c>
      <c r="J66" s="179">
        <v>2022</v>
      </c>
      <c r="K66" s="179">
        <v>2023</v>
      </c>
      <c r="L66" s="179">
        <v>2024</v>
      </c>
      <c r="M66" s="179">
        <v>2025</v>
      </c>
      <c r="N66" s="179">
        <v>2026</v>
      </c>
      <c r="O66" s="179">
        <v>2027</v>
      </c>
      <c r="P66" s="179">
        <v>2028</v>
      </c>
      <c r="Q66" s="179">
        <v>2029</v>
      </c>
      <c r="R66" s="179">
        <v>2030</v>
      </c>
      <c r="S66" s="179">
        <v>2031</v>
      </c>
      <c r="T66" s="179">
        <v>2032</v>
      </c>
      <c r="U66" s="179">
        <v>2033</v>
      </c>
      <c r="V66" s="179">
        <v>2034</v>
      </c>
      <c r="W66" s="179">
        <v>2035</v>
      </c>
      <c r="X66" s="179">
        <v>2036</v>
      </c>
      <c r="Y66" s="179">
        <v>2037</v>
      </c>
      <c r="Z66" s="179">
        <v>2038</v>
      </c>
      <c r="AA66" s="179">
        <v>2039</v>
      </c>
      <c r="AB66" s="179">
        <v>2040</v>
      </c>
      <c r="AC66" s="179">
        <v>2041</v>
      </c>
      <c r="AD66" s="179">
        <v>2042</v>
      </c>
      <c r="AE66" s="179">
        <v>2043</v>
      </c>
      <c r="AF66" s="179">
        <v>2044</v>
      </c>
      <c r="AG66" s="179">
        <v>2045</v>
      </c>
      <c r="AH66" s="179">
        <v>2046</v>
      </c>
      <c r="AI66" s="179">
        <v>2047</v>
      </c>
      <c r="AJ66" s="179">
        <v>2048</v>
      </c>
      <c r="AK66" s="179">
        <v>2049</v>
      </c>
      <c r="AL66" s="179">
        <v>2050</v>
      </c>
      <c r="AM66" s="179">
        <v>2051</v>
      </c>
      <c r="AN66" s="179">
        <v>2052</v>
      </c>
      <c r="AO66" s="179">
        <v>2053</v>
      </c>
      <c r="AP66" s="179">
        <v>2054</v>
      </c>
      <c r="AQ66" s="179">
        <v>2055</v>
      </c>
      <c r="AR66" s="179">
        <v>2056</v>
      </c>
      <c r="AS66" s="179">
        <v>2057</v>
      </c>
      <c r="AT66" s="179">
        <v>2058</v>
      </c>
      <c r="AU66" s="13"/>
    </row>
    <row r="67" spans="1:47" ht="14.4" x14ac:dyDescent="0.3">
      <c r="B67" s="813"/>
      <c r="C67" s="816" t="s">
        <v>134</v>
      </c>
      <c r="D67" s="816" t="s">
        <v>135</v>
      </c>
      <c r="E67" s="816" t="s">
        <v>136</v>
      </c>
      <c r="F67" s="816" t="s">
        <v>137</v>
      </c>
      <c r="G67" s="816" t="s">
        <v>138</v>
      </c>
      <c r="H67" s="816" t="s">
        <v>139</v>
      </c>
      <c r="I67" s="816" t="s">
        <v>140</v>
      </c>
      <c r="J67" s="816" t="s">
        <v>141</v>
      </c>
      <c r="K67" s="816" t="s">
        <v>142</v>
      </c>
      <c r="L67" s="816" t="s">
        <v>143</v>
      </c>
      <c r="M67" s="816" t="s">
        <v>144</v>
      </c>
      <c r="N67" s="816" t="s">
        <v>145</v>
      </c>
      <c r="O67" s="816" t="s">
        <v>146</v>
      </c>
      <c r="P67" s="816" t="s">
        <v>147</v>
      </c>
      <c r="Q67" s="816" t="s">
        <v>148</v>
      </c>
      <c r="R67" s="816" t="s">
        <v>149</v>
      </c>
      <c r="S67" s="816" t="s">
        <v>150</v>
      </c>
      <c r="T67" s="816" t="s">
        <v>151</v>
      </c>
      <c r="U67" s="816" t="s">
        <v>152</v>
      </c>
      <c r="V67" s="816" t="s">
        <v>153</v>
      </c>
      <c r="W67" s="816" t="s">
        <v>154</v>
      </c>
      <c r="X67" s="816" t="s">
        <v>155</v>
      </c>
      <c r="Y67" s="816" t="s">
        <v>156</v>
      </c>
      <c r="Z67" s="816" t="s">
        <v>157</v>
      </c>
      <c r="AA67" s="816" t="s">
        <v>158</v>
      </c>
      <c r="AB67" s="816" t="s">
        <v>159</v>
      </c>
      <c r="AC67" s="816" t="s">
        <v>160</v>
      </c>
      <c r="AD67" s="816" t="s">
        <v>161</v>
      </c>
      <c r="AE67" s="816" t="s">
        <v>162</v>
      </c>
      <c r="AF67" s="816" t="s">
        <v>163</v>
      </c>
      <c r="AG67" s="816" t="s">
        <v>164</v>
      </c>
      <c r="AH67" s="816" t="s">
        <v>165</v>
      </c>
      <c r="AI67" s="816" t="s">
        <v>166</v>
      </c>
      <c r="AJ67" s="816" t="s">
        <v>167</v>
      </c>
      <c r="AK67" s="816" t="s">
        <v>168</v>
      </c>
      <c r="AL67" s="816" t="s">
        <v>169</v>
      </c>
      <c r="AM67" s="816" t="s">
        <v>170</v>
      </c>
      <c r="AN67" s="816" t="s">
        <v>171</v>
      </c>
      <c r="AO67" s="816" t="s">
        <v>172</v>
      </c>
      <c r="AP67" s="816" t="s">
        <v>173</v>
      </c>
      <c r="AQ67" s="816" t="s">
        <v>174</v>
      </c>
      <c r="AR67" s="816" t="s">
        <v>224</v>
      </c>
      <c r="AS67" s="816" t="s">
        <v>225</v>
      </c>
      <c r="AT67" s="816" t="s">
        <v>226</v>
      </c>
      <c r="AU67" s="13"/>
    </row>
    <row r="68" spans="1:47" ht="14.4" x14ac:dyDescent="0.3">
      <c r="B68" s="813"/>
      <c r="C68" s="816">
        <v>0</v>
      </c>
      <c r="D68" s="816">
        <v>1</v>
      </c>
      <c r="E68" s="816">
        <v>2</v>
      </c>
      <c r="F68" s="816">
        <v>3</v>
      </c>
      <c r="G68" s="816">
        <v>4</v>
      </c>
      <c r="H68" s="816">
        <v>5</v>
      </c>
      <c r="I68" s="816">
        <v>6</v>
      </c>
      <c r="J68" s="816">
        <v>7</v>
      </c>
      <c r="K68" s="816">
        <v>8</v>
      </c>
      <c r="L68" s="816">
        <v>9</v>
      </c>
      <c r="M68" s="816">
        <v>10</v>
      </c>
      <c r="N68" s="816">
        <v>11</v>
      </c>
      <c r="O68" s="816">
        <v>12</v>
      </c>
      <c r="P68" s="816">
        <v>13</v>
      </c>
      <c r="Q68" s="816">
        <v>14</v>
      </c>
      <c r="R68" s="816">
        <v>15</v>
      </c>
      <c r="S68" s="816">
        <v>16</v>
      </c>
      <c r="T68" s="816">
        <v>17</v>
      </c>
      <c r="U68" s="816">
        <v>18</v>
      </c>
      <c r="V68" s="816">
        <v>19</v>
      </c>
      <c r="W68" s="816">
        <v>20</v>
      </c>
      <c r="X68" s="816">
        <v>21</v>
      </c>
      <c r="Y68" s="816">
        <v>22</v>
      </c>
      <c r="Z68" s="816">
        <v>23</v>
      </c>
      <c r="AA68" s="816">
        <v>24</v>
      </c>
      <c r="AB68" s="816">
        <v>25</v>
      </c>
      <c r="AC68" s="816">
        <v>26</v>
      </c>
      <c r="AD68" s="816">
        <v>27</v>
      </c>
      <c r="AE68" s="816">
        <v>28</v>
      </c>
      <c r="AF68" s="816">
        <v>29</v>
      </c>
      <c r="AG68" s="816">
        <v>30</v>
      </c>
      <c r="AH68" s="816">
        <v>31</v>
      </c>
      <c r="AI68" s="816">
        <v>32</v>
      </c>
      <c r="AJ68" s="816">
        <v>33</v>
      </c>
      <c r="AK68" s="816">
        <v>34</v>
      </c>
      <c r="AL68" s="816">
        <v>35</v>
      </c>
      <c r="AM68" s="816">
        <v>36</v>
      </c>
      <c r="AN68" s="816">
        <v>37</v>
      </c>
      <c r="AO68" s="816">
        <v>38</v>
      </c>
      <c r="AP68" s="816">
        <v>39</v>
      </c>
      <c r="AQ68" s="816">
        <v>40</v>
      </c>
      <c r="AR68" s="816">
        <v>41</v>
      </c>
      <c r="AS68" s="816">
        <v>42</v>
      </c>
      <c r="AT68" s="816">
        <v>43</v>
      </c>
      <c r="AU68" s="13"/>
    </row>
    <row r="69" spans="1:47" ht="14.4" x14ac:dyDescent="0.3">
      <c r="B69" s="813"/>
      <c r="C69" s="816">
        <v>0</v>
      </c>
      <c r="D69" s="816">
        <v>0</v>
      </c>
      <c r="E69" s="816">
        <v>0</v>
      </c>
      <c r="F69" s="816">
        <v>0</v>
      </c>
      <c r="G69" s="816">
        <v>1</v>
      </c>
      <c r="H69" s="816">
        <v>2</v>
      </c>
      <c r="I69" s="816">
        <v>3</v>
      </c>
      <c r="J69" s="816">
        <v>4</v>
      </c>
      <c r="K69" s="816">
        <v>5</v>
      </c>
      <c r="L69" s="816">
        <v>6</v>
      </c>
      <c r="M69" s="816">
        <v>7</v>
      </c>
      <c r="N69" s="816">
        <v>8</v>
      </c>
      <c r="O69" s="816">
        <v>9</v>
      </c>
      <c r="P69" s="816">
        <v>10</v>
      </c>
      <c r="Q69" s="816">
        <v>11</v>
      </c>
      <c r="R69" s="816">
        <v>12</v>
      </c>
      <c r="S69" s="816">
        <v>13</v>
      </c>
      <c r="T69" s="816">
        <v>14</v>
      </c>
      <c r="U69" s="816">
        <v>15</v>
      </c>
      <c r="V69" s="816">
        <v>16</v>
      </c>
      <c r="W69" s="816">
        <v>17</v>
      </c>
      <c r="X69" s="816">
        <v>18</v>
      </c>
      <c r="Y69" s="816">
        <v>19</v>
      </c>
      <c r="Z69" s="816">
        <v>20</v>
      </c>
      <c r="AA69" s="816">
        <v>21</v>
      </c>
      <c r="AB69" s="816">
        <v>22</v>
      </c>
      <c r="AC69" s="816">
        <v>23</v>
      </c>
      <c r="AD69" s="816">
        <v>24</v>
      </c>
      <c r="AE69" s="816">
        <v>25</v>
      </c>
      <c r="AF69" s="816">
        <v>26</v>
      </c>
      <c r="AG69" s="816">
        <v>27</v>
      </c>
      <c r="AH69" s="816">
        <v>28</v>
      </c>
      <c r="AI69" s="816">
        <v>29</v>
      </c>
      <c r="AJ69" s="816">
        <v>30</v>
      </c>
      <c r="AK69" s="816">
        <v>31</v>
      </c>
      <c r="AL69" s="816">
        <v>32</v>
      </c>
      <c r="AM69" s="816">
        <v>33</v>
      </c>
      <c r="AN69" s="816">
        <v>34</v>
      </c>
      <c r="AO69" s="816">
        <v>35</v>
      </c>
      <c r="AP69" s="816">
        <v>36</v>
      </c>
      <c r="AQ69" s="816">
        <v>37</v>
      </c>
      <c r="AR69" s="816">
        <v>38</v>
      </c>
      <c r="AS69" s="816">
        <v>39</v>
      </c>
      <c r="AT69" s="816">
        <v>40</v>
      </c>
      <c r="AU69" s="13"/>
    </row>
    <row r="70" spans="1:47" ht="14.4" x14ac:dyDescent="0.3">
      <c r="B70" s="813"/>
      <c r="C70" s="798"/>
      <c r="D70" s="798"/>
      <c r="E70" s="798"/>
      <c r="F70" s="798"/>
      <c r="G70" s="798"/>
      <c r="H70" s="798"/>
      <c r="I70" s="798"/>
      <c r="J70" s="798"/>
      <c r="K70" s="798"/>
      <c r="L70" s="798"/>
      <c r="M70" s="798"/>
      <c r="N70" s="798"/>
      <c r="O70" s="798"/>
      <c r="P70" s="798"/>
      <c r="Q70" s="798"/>
      <c r="R70" s="798"/>
      <c r="S70" s="798"/>
      <c r="T70" s="798"/>
      <c r="U70" s="798"/>
      <c r="V70" s="798"/>
      <c r="W70" s="798"/>
      <c r="X70" s="798"/>
      <c r="Y70" s="798"/>
      <c r="Z70" s="798"/>
      <c r="AA70" s="798"/>
      <c r="AB70" s="798"/>
      <c r="AC70" s="798"/>
      <c r="AD70" s="798"/>
      <c r="AE70" s="798"/>
      <c r="AF70" s="798"/>
      <c r="AG70" s="798"/>
      <c r="AH70" s="798"/>
      <c r="AI70" s="798"/>
      <c r="AJ70" s="798"/>
      <c r="AK70" s="798"/>
      <c r="AL70" s="798"/>
      <c r="AM70" s="798"/>
      <c r="AN70" s="798"/>
      <c r="AO70" s="798"/>
      <c r="AP70" s="798"/>
      <c r="AQ70" s="798"/>
      <c r="AR70" s="798"/>
      <c r="AS70" s="798"/>
      <c r="AT70" s="798"/>
      <c r="AU70" s="13"/>
    </row>
    <row r="71" spans="1:47" s="166" customFormat="1" ht="14.4" x14ac:dyDescent="0.25">
      <c r="B71" s="830" t="s">
        <v>434</v>
      </c>
      <c r="C71" s="807"/>
      <c r="D71" s="807"/>
      <c r="E71" s="807"/>
      <c r="F71" s="807"/>
      <c r="G71" s="807"/>
      <c r="H71" s="807"/>
      <c r="I71" s="807"/>
      <c r="J71" s="807"/>
      <c r="K71" s="807"/>
      <c r="L71" s="807"/>
      <c r="M71" s="807"/>
      <c r="N71" s="807"/>
      <c r="O71" s="807"/>
      <c r="P71" s="807"/>
      <c r="Q71" s="807"/>
      <c r="R71" s="807"/>
      <c r="S71" s="807"/>
      <c r="T71" s="807"/>
      <c r="U71" s="807"/>
      <c r="V71" s="807"/>
      <c r="W71" s="807"/>
      <c r="X71" s="807"/>
      <c r="Y71" s="807"/>
      <c r="Z71" s="807"/>
      <c r="AA71" s="807"/>
      <c r="AB71" s="807"/>
      <c r="AC71" s="807"/>
      <c r="AD71" s="807"/>
      <c r="AE71" s="807"/>
      <c r="AF71" s="807"/>
      <c r="AG71" s="807"/>
      <c r="AH71" s="807"/>
      <c r="AI71" s="807"/>
      <c r="AJ71" s="807"/>
      <c r="AK71" s="807"/>
      <c r="AL71" s="807"/>
      <c r="AM71" s="807"/>
      <c r="AN71" s="807"/>
      <c r="AO71" s="807"/>
      <c r="AP71" s="807"/>
      <c r="AQ71" s="807"/>
      <c r="AR71" s="807"/>
      <c r="AS71" s="807"/>
      <c r="AT71" s="807"/>
      <c r="AU71" s="103"/>
    </row>
    <row r="72" spans="1:47" x14ac:dyDescent="0.25">
      <c r="B72" s="831" t="s">
        <v>449</v>
      </c>
      <c r="C72" s="178">
        <v>0</v>
      </c>
      <c r="D72" s="178">
        <v>0</v>
      </c>
      <c r="E72" s="178">
        <v>0</v>
      </c>
      <c r="F72" s="178">
        <v>0</v>
      </c>
      <c r="G72" s="758">
        <f>OPERACION_ANUALIZADA_TC!D127*(1+PARAMETROS!$C$64)</f>
        <v>3489433.6493760138</v>
      </c>
      <c r="H72" s="758">
        <f>OPERACION_ANUALIZADA_TC!E127*(1+PARAMETROS!$C$64)</f>
        <v>3864615.9241095837</v>
      </c>
      <c r="I72" s="758">
        <f>OPERACION_ANUALIZADA_TC!F127*(1+PARAMETROS!$C$64)</f>
        <v>3667955.0526417415</v>
      </c>
      <c r="J72" s="758">
        <f>OPERACION_ANUALIZADA_TC!G127*(1+PARAMETROS!$C$64)</f>
        <v>3754445.5924109258</v>
      </c>
      <c r="K72" s="758">
        <f>OPERACION_ANUALIZADA_TC!H127*(1+PARAMETROS!$C$64)</f>
        <v>8581249.2635108829</v>
      </c>
      <c r="L72" s="758">
        <f>OPERACION_ANUALIZADA_TC!I127*(1+PARAMETROS!$C$64)</f>
        <v>3933734.6730025862</v>
      </c>
      <c r="M72" s="758">
        <f>OPERACION_ANUALIZADA_TC!J127*(1+PARAMETROS!$C$64)</f>
        <v>4026637.2762531824</v>
      </c>
      <c r="N72" s="758">
        <f>OPERACION_ANUALIZADA_TC!K127*(1+PARAMETROS!$C$64)</f>
        <v>4121783.4832045212</v>
      </c>
      <c r="O72" s="758">
        <f>OPERACION_ANUALIZADA_TC!L127*(1+PARAMETROS!$C$64)</f>
        <v>4219228.6557829175</v>
      </c>
      <c r="P72" s="758">
        <f>OPERACION_ANUALIZADA_TC!M127*(1+PARAMETROS!$C$64)</f>
        <v>9525155.6981958821</v>
      </c>
      <c r="Q72" s="758">
        <f>OPERACION_ANUALIZADA_TC!N127*(1+PARAMETROS!$C$64)</f>
        <v>4421244.3521579085</v>
      </c>
      <c r="R72" s="758">
        <f>OPERACION_ANUALIZADA_TC!O127*(1+PARAMETROS!$C$64)</f>
        <v>4525932.7147169104</v>
      </c>
      <c r="S72" s="758">
        <f>OPERACION_ANUALIZADA_TC!P127*(1+PARAMETROS!$C$64)</f>
        <v>4633155.7948184023</v>
      </c>
      <c r="T72" s="758">
        <f>OPERACION_ANUALIZADA_TC!Q127*(1+PARAMETROS!$C$64)</f>
        <v>4742976.2925206041</v>
      </c>
      <c r="U72" s="758">
        <f>OPERACION_ANUALIZADA_TC!R127*(1+PARAMETROS!$C$64)</f>
        <v>10575689.81600501</v>
      </c>
      <c r="V72" s="758">
        <f>OPERACION_ANUALIZADA_TC!S127*(1+PARAMETROS!$C$64)</f>
        <v>4970668.2950297529</v>
      </c>
      <c r="W72" s="758">
        <f>OPERACION_ANUALIZADA_TC!T127*(1+PARAMETROS!$C$64)</f>
        <v>5088673.2772134263</v>
      </c>
      <c r="X72" s="758">
        <f>OPERACION_ANUALIZADA_TC!U127*(1+PARAMETROS!$C$64)</f>
        <v>5209542.7163924491</v>
      </c>
      <c r="Y72" s="758">
        <f>OPERACION_ANUALIZADA_TC!V127*(1+PARAMETROS!$C$64)</f>
        <v>5333347.6438662987</v>
      </c>
      <c r="Z72" s="758">
        <f>OPERACION_ANUALIZADA_TC!W127*(1+PARAMETROS!$C$64)</f>
        <v>11745267.263724331</v>
      </c>
      <c r="AA72" s="758">
        <f>OPERACION_ANUALIZADA_TC!X127*(1+PARAMETROS!$C$64)</f>
        <v>5590057.1209969632</v>
      </c>
      <c r="AB72" s="758">
        <f>OPERACION_ANUALIZADA_TC!Y127*(1+PARAMETROS!$C$64)</f>
        <v>5723112.9055465749</v>
      </c>
      <c r="AC72" s="758">
        <f>OPERACION_ANUALIZADA_TC!Z127*(1+PARAMETROS!$C$64)</f>
        <v>5859406.7445057584</v>
      </c>
      <c r="AD72" s="758">
        <f>OPERACION_ANUALIZADA_TC!AA127*(1+PARAMETROS!$C$64)</f>
        <v>5999019.1305208495</v>
      </c>
      <c r="AE72" s="758">
        <f>OPERACION_ANUALIZADA_TC!AB127*(1+PARAMETROS!$C$64)</f>
        <v>13047797.821644107</v>
      </c>
      <c r="AF72" s="758">
        <f>OPERACION_ANUALIZADA_TC!AC127*(1+PARAMETROS!$C$64)</f>
        <v>6288531.773346208</v>
      </c>
      <c r="AG72" s="758">
        <f>OPERACION_ANUALIZADA_TC!AD127*(1+PARAMETROS!$C$64)</f>
        <v>6438603.4340750668</v>
      </c>
      <c r="AH72" s="758">
        <f>OPERACION_ANUALIZADA_TC!AE127*(1+PARAMETROS!$C$64)</f>
        <v>6592336.5593562629</v>
      </c>
      <c r="AI72" s="758">
        <f>OPERACION_ANUALIZADA_TC!AF127*(1+PARAMETROS!$C$64)</f>
        <v>6749822.3895147499</v>
      </c>
      <c r="AJ72" s="758">
        <f>OPERACION_ANUALIZADA_TC!AG127*(1+PARAMETROS!$C$64)</f>
        <v>14498871.466441935</v>
      </c>
      <c r="AK72" s="758">
        <f>OPERACION_ANUALIZADA_TC!AH127*(1+PARAMETROS!$C$64)</f>
        <v>7076428.7815859448</v>
      </c>
      <c r="AL72" s="758">
        <f>OPERACION_ANUALIZADA_TC!AI127*(1+PARAMETROS!$C$64)</f>
        <v>7245743.6616738085</v>
      </c>
      <c r="AM72" s="758">
        <f>OPERACION_ANUALIZADA_TC!AJ127*(1+PARAMETROS!$C$64)</f>
        <v>7419200.0078551713</v>
      </c>
      <c r="AN72" s="758">
        <f>OPERACION_ANUALIZADA_TC!AK127*(1+PARAMETROS!$C$64)</f>
        <v>7596901.2726635616</v>
      </c>
      <c r="AO72" s="758">
        <f>OPERACION_ANUALIZADA_TC!AL127*(1+PARAMETROS!$C$64)</f>
        <v>16115968.399872713</v>
      </c>
      <c r="AP72" s="758">
        <f>OPERACION_ANUALIZADA_TC!AM127*(1+PARAMETROS!$C$64)</f>
        <v>7965465.6146529177</v>
      </c>
      <c r="AQ72" s="758">
        <f>OPERACION_ANUALIZADA_TC!AN127*(1+PARAMETROS!$C$64)</f>
        <v>8156549.0501983799</v>
      </c>
      <c r="AR72" s="758">
        <f>OPERACION_ANUALIZADA_TC!AO127*(1+PARAMETROS!$C$64)</f>
        <v>8352318.2633171976</v>
      </c>
      <c r="AS72" s="758">
        <f>OPERACION_ANUALIZADA_TC!AP127*(1+PARAMETROS!$C$64)</f>
        <v>8552890.5865902863</v>
      </c>
      <c r="AT72" s="758">
        <f>OPERACION_ANUALIZADA_TC!AQ127*(1+PARAMETROS!$C$64)</f>
        <v>17918696.229972437</v>
      </c>
      <c r="AU72" s="13"/>
    </row>
    <row r="73" spans="1:47" x14ac:dyDescent="0.25">
      <c r="B73" s="832" t="s">
        <v>379</v>
      </c>
      <c r="C73" s="178">
        <v>0</v>
      </c>
      <c r="D73" s="178">
        <v>0</v>
      </c>
      <c r="E73" s="178">
        <v>0</v>
      </c>
      <c r="F73" s="178">
        <v>0</v>
      </c>
      <c r="G73" s="758">
        <f>DEMANDA!C72*PARAMETROS!$C$61</f>
        <v>5177263.040025413</v>
      </c>
      <c r="H73" s="758">
        <f>DEMANDA!D72*PARAMETROS!$C$61</f>
        <v>6903017.386700551</v>
      </c>
      <c r="I73" s="758">
        <f>DEMANDA!E72*PARAMETROS!$C$61</f>
        <v>6977938.6149936467</v>
      </c>
      <c r="J73" s="758">
        <f>DEMANDA!F72*PARAMETROS!$C$61</f>
        <v>7052859.8432867434</v>
      </c>
      <c r="K73" s="758">
        <f>DEMANDA!G72*PARAMETROS!$C$61</f>
        <v>7127781.07157984</v>
      </c>
      <c r="L73" s="758">
        <f>DEMANDA!H72*PARAMETROS!$C$61</f>
        <v>7202702.2998729367</v>
      </c>
      <c r="M73" s="758">
        <f>DEMANDA!I72*PARAMETROS!$C$61</f>
        <v>7277623.5281660305</v>
      </c>
      <c r="N73" s="758">
        <f>DEMANDA!J72*PARAMETROS!$C$61</f>
        <v>7299937.859108177</v>
      </c>
      <c r="O73" s="758">
        <f>DEMANDA!K72*PARAMETROS!$C$61</f>
        <v>7322252.1900503235</v>
      </c>
      <c r="P73" s="758">
        <f>DEMANDA!L72*PARAMETROS!$C$61</f>
        <v>7344566.5209924709</v>
      </c>
      <c r="Q73" s="758">
        <f>DEMANDA!M72*PARAMETROS!$C$61</f>
        <v>7366880.8519346183</v>
      </c>
      <c r="R73" s="758">
        <f>DEMANDA!N72*PARAMETROS!$C$61</f>
        <v>7389195.1828767676</v>
      </c>
      <c r="S73" s="758">
        <f>DEMANDA!O72*PARAMETROS!$C$61</f>
        <v>7418790.5914773522</v>
      </c>
      <c r="T73" s="758">
        <f>DEMANDA!P72*PARAMETROS!$C$61</f>
        <v>7448386.0000779377</v>
      </c>
      <c r="U73" s="758">
        <f>DEMANDA!Q72*PARAMETROS!$C$61</f>
        <v>7477981.4086785223</v>
      </c>
      <c r="V73" s="758">
        <f>DEMANDA!R72*PARAMETROS!$C$61</f>
        <v>7507576.8172791079</v>
      </c>
      <c r="W73" s="758">
        <f>DEMANDA!S72*PARAMETROS!$C$61</f>
        <v>7537172.2258796906</v>
      </c>
      <c r="X73" s="758">
        <f>DEMANDA!T72*PARAMETROS!$C$61</f>
        <v>7599763.9567939714</v>
      </c>
      <c r="Y73" s="758">
        <f>DEMANDA!U72*PARAMETROS!$C$61</f>
        <v>7662355.687708253</v>
      </c>
      <c r="Z73" s="758">
        <f>DEMANDA!V72*PARAMETROS!$C$61</f>
        <v>7724947.4186225347</v>
      </c>
      <c r="AA73" s="758">
        <f>DEMANDA!W72*PARAMETROS!$C$61</f>
        <v>7787539.1495368155</v>
      </c>
      <c r="AB73" s="758">
        <f>DEMANDA!X72*PARAMETROS!$C$61</f>
        <v>7850130.8804510953</v>
      </c>
      <c r="AC73" s="758">
        <f>DEMANDA!Y72*PARAMETROS!$C$61</f>
        <v>7850130.8804510953</v>
      </c>
      <c r="AD73" s="758">
        <f>DEMANDA!Z72*PARAMETROS!$C$61</f>
        <v>7850130.8804510953</v>
      </c>
      <c r="AE73" s="758">
        <f>DEMANDA!AA72*PARAMETROS!$C$61</f>
        <v>7850130.8804510953</v>
      </c>
      <c r="AF73" s="758">
        <f>DEMANDA!AB72*PARAMETROS!$C$61</f>
        <v>7850130.8804510953</v>
      </c>
      <c r="AG73" s="758">
        <f>DEMANDA!AC72*PARAMETROS!$C$61</f>
        <v>7850130.8804510953</v>
      </c>
      <c r="AH73" s="758">
        <f>DEMANDA!AD72*PARAMETROS!$C$61</f>
        <v>7850130.8804510953</v>
      </c>
      <c r="AI73" s="758">
        <f>DEMANDA!AE72*PARAMETROS!$C$61</f>
        <v>7850130.8804510953</v>
      </c>
      <c r="AJ73" s="758">
        <f>DEMANDA!AF72*PARAMETROS!$C$61</f>
        <v>7850130.8804510953</v>
      </c>
      <c r="AK73" s="758">
        <f>DEMANDA!AG72*PARAMETROS!$C$61</f>
        <v>7850130.8804510953</v>
      </c>
      <c r="AL73" s="758">
        <f>DEMANDA!AH72*PARAMETROS!$C$61</f>
        <v>7850130.8804510953</v>
      </c>
      <c r="AM73" s="758">
        <f>DEMANDA!AI72*PARAMETROS!$C$61</f>
        <v>7850130.8804510953</v>
      </c>
      <c r="AN73" s="758">
        <f>DEMANDA!AJ72*PARAMETROS!$C$61</f>
        <v>7850130.8804510953</v>
      </c>
      <c r="AO73" s="758">
        <f>DEMANDA!AK72*PARAMETROS!$C$61</f>
        <v>7850130.8804510953</v>
      </c>
      <c r="AP73" s="758">
        <f>DEMANDA!AL72*PARAMETROS!$C$61</f>
        <v>7850130.8804510953</v>
      </c>
      <c r="AQ73" s="758">
        <f>DEMANDA!AM72*PARAMETROS!$C$61</f>
        <v>7850130.8804510953</v>
      </c>
      <c r="AR73" s="758">
        <f>DEMANDA!AN72*PARAMETROS!$C$61</f>
        <v>7850130.8804510953</v>
      </c>
      <c r="AS73" s="758">
        <f>DEMANDA!AO72*PARAMETROS!$C$61</f>
        <v>7850130.8804510953</v>
      </c>
      <c r="AT73" s="758">
        <f>DEMANDA!AP72*PARAMETROS!$C$61</f>
        <v>7850130.8804510953</v>
      </c>
      <c r="AU73" s="13"/>
    </row>
    <row r="74" spans="1:47" x14ac:dyDescent="0.25">
      <c r="B74" s="832" t="s">
        <v>395</v>
      </c>
      <c r="C74" s="178">
        <v>0</v>
      </c>
      <c r="D74" s="178">
        <v>0</v>
      </c>
      <c r="E74" s="178">
        <v>0</v>
      </c>
      <c r="F74" s="178">
        <v>0</v>
      </c>
      <c r="G74" s="758">
        <f>'INGRESOS de pasajeros'!C86*PARAMETROS!$C$61</f>
        <v>2528575.2687484114</v>
      </c>
      <c r="H74" s="758">
        <f>'INGRESOS de pasajeros'!D86*PARAMETROS!$C$61</f>
        <v>3371433.6916645495</v>
      </c>
      <c r="I74" s="758">
        <f>'INGRESOS de pasajeros'!E86*PARAMETROS!$C$61</f>
        <v>3563090.3670530086</v>
      </c>
      <c r="J74" s="758">
        <f>'INGRESOS de pasajeros'!F86*PARAMETROS!$C$61</f>
        <v>3601346.8094707318</v>
      </c>
      <c r="K74" s="758">
        <f>'INGRESOS de pasajeros'!G86*PARAMETROS!$C$61</f>
        <v>3786643.2232647487</v>
      </c>
      <c r="L74" s="758">
        <f>'INGRESOS de pasajeros'!H86*PARAMETROS!$C$61</f>
        <v>3826445.2259561485</v>
      </c>
      <c r="M74" s="758">
        <f>'INGRESOS de pasajeros'!I86*PARAMETROS!$C$61</f>
        <v>4022443.6166849062</v>
      </c>
      <c r="N74" s="758">
        <f>'INGRESOS de pasajeros'!J86*PARAMETROS!$C$61</f>
        <v>4034777.0573625462</v>
      </c>
      <c r="O74" s="758">
        <f>'INGRESOS de pasajeros'!K86*PARAMETROS!$C$61</f>
        <v>4210613.762161009</v>
      </c>
      <c r="P74" s="758">
        <f>'INGRESOS de pasajeros'!L86*PARAMETROS!$C$61</f>
        <v>4223445.4738420257</v>
      </c>
      <c r="Q74" s="758">
        <f>'INGRESOS de pasajeros'!M86*PARAMETROS!$C$61</f>
        <v>4407422.7838181742</v>
      </c>
      <c r="R74" s="758">
        <f>'INGRESOS de pasajeros'!N86*PARAMETROS!$C$61</f>
        <v>4420772.896651105</v>
      </c>
      <c r="S74" s="758">
        <f>'INGRESOS de pasajeros'!O86*PARAMETROS!$C$61</f>
        <v>4617793.6539101424</v>
      </c>
      <c r="T74" s="758">
        <f>'INGRESOS de pasajeros'!P86*PARAMETROS!$C$61</f>
        <v>4636215.186144474</v>
      </c>
      <c r="U74" s="758">
        <f>'INGRESOS de pasajeros'!Q86*PARAMETROS!$C$61</f>
        <v>4842684.0418013111</v>
      </c>
      <c r="V74" s="758">
        <f>'INGRESOS de pasajeros'!R86*PARAMETROS!$C$61</f>
        <v>4861849.8039379092</v>
      </c>
      <c r="W74" s="758">
        <f>'INGRESOS de pasajeros'!S86*PARAMETROS!$C$61</f>
        <v>5078208.5949439155</v>
      </c>
      <c r="X74" s="758">
        <f>'INGRESOS de pasajeros'!T86*PARAMETROS!$C$61</f>
        <v>5120380.0959227486</v>
      </c>
      <c r="Y74" s="758">
        <f>'INGRESOS de pasajeros'!U86*PARAMETROS!$C$61</f>
        <v>5371118.6814164072</v>
      </c>
      <c r="Z74" s="758">
        <f>'INGRESOS de pasajeros'!V86*PARAMETROS!$C$61</f>
        <v>5414993.9110347852</v>
      </c>
      <c r="AA74" s="758">
        <f>'INGRESOS de pasajeros'!W86*PARAMETROS!$C$61</f>
        <v>5679407.4539355505</v>
      </c>
      <c r="AB74" s="758">
        <f>'INGRESOS de pasajeros'!X86*PARAMETROS!$C$61</f>
        <v>5725055.2428305121</v>
      </c>
      <c r="AC74" s="758">
        <f>'INGRESOS de pasajeros'!Y86*PARAMETROS!$C$61</f>
        <v>5956347.4746408649</v>
      </c>
      <c r="AD74" s="758">
        <f>'INGRESOS de pasajeros'!Z86*PARAMETROS!$C$61</f>
        <v>5956347.4746408649</v>
      </c>
      <c r="AE74" s="758">
        <f>'INGRESOS de pasajeros'!AA86*PARAMETROS!$C$61</f>
        <v>6196983.9126163553</v>
      </c>
      <c r="AF74" s="758">
        <f>'INGRESOS de pasajeros'!AB86*PARAMETROS!$C$61</f>
        <v>6196983.9126163553</v>
      </c>
      <c r="AG74" s="758">
        <f>'INGRESOS de pasajeros'!AC86*PARAMETROS!$C$61</f>
        <v>6447342.0626860568</v>
      </c>
      <c r="AH74" s="758">
        <f>'INGRESOS de pasajeros'!AD86*PARAMETROS!$C$61</f>
        <v>6447342.0626860568</v>
      </c>
      <c r="AI74" s="758">
        <f>'INGRESOS de pasajeros'!AE86*PARAMETROS!$C$61</f>
        <v>6707814.6820185725</v>
      </c>
      <c r="AJ74" s="758">
        <f>'INGRESOS de pasajeros'!AF86*PARAMETROS!$C$61</f>
        <v>6707814.6820185725</v>
      </c>
      <c r="AK74" s="758">
        <f>'INGRESOS de pasajeros'!AG86*PARAMETROS!$C$61</f>
        <v>6978810.3951721229</v>
      </c>
      <c r="AL74" s="758">
        <f>'INGRESOS de pasajeros'!AH86*PARAMETROS!$C$61</f>
        <v>6978810.3951721229</v>
      </c>
      <c r="AM74" s="758">
        <f>'INGRESOS de pasajeros'!AI86*PARAMETROS!$C$61</f>
        <v>7260754.3351370757</v>
      </c>
      <c r="AN74" s="758">
        <f>'INGRESOS de pasajeros'!AJ86*PARAMETROS!$C$61</f>
        <v>7260754.3351370757</v>
      </c>
      <c r="AO74" s="758">
        <f>'INGRESOS de pasajeros'!AK86*PARAMETROS!$C$61</f>
        <v>7554088.8102766154</v>
      </c>
      <c r="AP74" s="758">
        <f>'INGRESOS de pasajeros'!AL86*PARAMETROS!$C$61</f>
        <v>7554088.8102766154</v>
      </c>
      <c r="AQ74" s="758">
        <f>'INGRESOS de pasajeros'!AM86*PARAMETROS!$C$61</f>
        <v>7859273.9982117899</v>
      </c>
      <c r="AR74" s="758">
        <f>'INGRESOS de pasajeros'!AN86*PARAMETROS!$C$61</f>
        <v>7859273.9982117899</v>
      </c>
      <c r="AS74" s="758">
        <f>'INGRESOS de pasajeros'!AO86*PARAMETROS!$C$61</f>
        <v>8176788.6677395469</v>
      </c>
      <c r="AT74" s="758">
        <f>'INGRESOS de pasajeros'!AP86*PARAMETROS!$C$61</f>
        <v>8176788.6677395469</v>
      </c>
      <c r="AU74" s="13"/>
    </row>
    <row r="75" spans="1:47" x14ac:dyDescent="0.25">
      <c r="B75" s="832" t="s">
        <v>396</v>
      </c>
      <c r="C75" s="178">
        <v>0</v>
      </c>
      <c r="D75" s="178">
        <v>0</v>
      </c>
      <c r="E75" s="178">
        <v>0</v>
      </c>
      <c r="F75" s="178">
        <v>0</v>
      </c>
      <c r="G75" s="178">
        <f>$C$14*$C$15*12</f>
        <v>420000</v>
      </c>
      <c r="H75" s="178">
        <f t="shared" ref="H75:AT75" si="0">$G$75*((1+$C$25)^G69)</f>
        <v>428400</v>
      </c>
      <c r="I75" s="178">
        <f t="shared" si="0"/>
        <v>436968</v>
      </c>
      <c r="J75" s="178">
        <f t="shared" si="0"/>
        <v>445707.36</v>
      </c>
      <c r="K75" s="178">
        <f t="shared" si="0"/>
        <v>454621.50719999999</v>
      </c>
      <c r="L75" s="178">
        <f t="shared" si="0"/>
        <v>463713.93734400003</v>
      </c>
      <c r="M75" s="178">
        <f t="shared" si="0"/>
        <v>472988.21609088004</v>
      </c>
      <c r="N75" s="178">
        <f t="shared" si="0"/>
        <v>482447.98041269754</v>
      </c>
      <c r="O75" s="178">
        <f t="shared" si="0"/>
        <v>492096.9400209515</v>
      </c>
      <c r="P75" s="178">
        <f t="shared" si="0"/>
        <v>501938.87882137054</v>
      </c>
      <c r="Q75" s="178">
        <f t="shared" si="0"/>
        <v>511977.65639779798</v>
      </c>
      <c r="R75" s="178">
        <f t="shared" si="0"/>
        <v>522217.20952575386</v>
      </c>
      <c r="S75" s="178">
        <f t="shared" si="0"/>
        <v>532661.55371626897</v>
      </c>
      <c r="T75" s="178">
        <f t="shared" si="0"/>
        <v>543314.78479059436</v>
      </c>
      <c r="U75" s="178">
        <f t="shared" si="0"/>
        <v>554181.08048640634</v>
      </c>
      <c r="V75" s="178">
        <f t="shared" si="0"/>
        <v>565264.70209613431</v>
      </c>
      <c r="W75" s="178">
        <f t="shared" si="0"/>
        <v>576569.99613805709</v>
      </c>
      <c r="X75" s="178">
        <f t="shared" si="0"/>
        <v>588101.39606081822</v>
      </c>
      <c r="Y75" s="178">
        <f t="shared" si="0"/>
        <v>599863.42398203455</v>
      </c>
      <c r="Z75" s="178">
        <f t="shared" si="0"/>
        <v>611860.69246167527</v>
      </c>
      <c r="AA75" s="178">
        <f t="shared" si="0"/>
        <v>624097.90631090873</v>
      </c>
      <c r="AB75" s="178">
        <f t="shared" si="0"/>
        <v>636579.8644371269</v>
      </c>
      <c r="AC75" s="178">
        <f t="shared" si="0"/>
        <v>649311.46172586945</v>
      </c>
      <c r="AD75" s="178">
        <f t="shared" si="0"/>
        <v>662297.69096038677</v>
      </c>
      <c r="AE75" s="178">
        <f t="shared" si="0"/>
        <v>675543.6447795945</v>
      </c>
      <c r="AF75" s="178">
        <f t="shared" si="0"/>
        <v>689054.51767518639</v>
      </c>
      <c r="AG75" s="178">
        <f t="shared" si="0"/>
        <v>702835.60802869021</v>
      </c>
      <c r="AH75" s="178">
        <f t="shared" si="0"/>
        <v>716892.3201892639</v>
      </c>
      <c r="AI75" s="178">
        <f t="shared" si="0"/>
        <v>731230.1665930493</v>
      </c>
      <c r="AJ75" s="178">
        <f t="shared" si="0"/>
        <v>745854.76992491016</v>
      </c>
      <c r="AK75" s="178">
        <f t="shared" si="0"/>
        <v>760771.86532340851</v>
      </c>
      <c r="AL75" s="178">
        <f t="shared" si="0"/>
        <v>775987.30262987642</v>
      </c>
      <c r="AM75" s="178">
        <f t="shared" si="0"/>
        <v>791507.04868247418</v>
      </c>
      <c r="AN75" s="178">
        <f t="shared" si="0"/>
        <v>807337.18965612364</v>
      </c>
      <c r="AO75" s="178">
        <f t="shared" si="0"/>
        <v>823483.93344924611</v>
      </c>
      <c r="AP75" s="178">
        <f t="shared" si="0"/>
        <v>839953.61211823102</v>
      </c>
      <c r="AQ75" s="178">
        <f t="shared" si="0"/>
        <v>856752.68436059554</v>
      </c>
      <c r="AR75" s="178">
        <f t="shared" si="0"/>
        <v>873887.73804780759</v>
      </c>
      <c r="AS75" s="178">
        <f t="shared" si="0"/>
        <v>891365.49280876387</v>
      </c>
      <c r="AT75" s="178">
        <f t="shared" si="0"/>
        <v>909192.80266493873</v>
      </c>
      <c r="AU75" s="13"/>
    </row>
    <row r="76" spans="1:47" x14ac:dyDescent="0.25">
      <c r="B76" s="832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3"/>
    </row>
    <row r="77" spans="1:47" x14ac:dyDescent="0.25">
      <c r="B77" s="831" t="s">
        <v>516</v>
      </c>
      <c r="C77" s="268">
        <v>0</v>
      </c>
      <c r="D77" s="268">
        <v>0</v>
      </c>
      <c r="E77" s="268">
        <v>0</v>
      </c>
      <c r="F77" s="268">
        <v>0</v>
      </c>
      <c r="G77" s="268">
        <f>SUM($C$117:$F$117)*$C$18/50</f>
        <v>-617417.83808159526</v>
      </c>
      <c r="H77" s="268">
        <f t="shared" ref="H77:AT77" si="1">SUM($C$117:$F$117)*$C$18/50</f>
        <v>-617417.83808159526</v>
      </c>
      <c r="I77" s="268">
        <f t="shared" si="1"/>
        <v>-617417.83808159526</v>
      </c>
      <c r="J77" s="268">
        <f t="shared" si="1"/>
        <v>-617417.83808159526</v>
      </c>
      <c r="K77" s="268">
        <f t="shared" si="1"/>
        <v>-617417.83808159526</v>
      </c>
      <c r="L77" s="268">
        <f t="shared" si="1"/>
        <v>-617417.83808159526</v>
      </c>
      <c r="M77" s="268">
        <f t="shared" si="1"/>
        <v>-617417.83808159526</v>
      </c>
      <c r="N77" s="268">
        <f t="shared" si="1"/>
        <v>-617417.83808159526</v>
      </c>
      <c r="O77" s="268">
        <f t="shared" si="1"/>
        <v>-617417.83808159526</v>
      </c>
      <c r="P77" s="268">
        <f t="shared" si="1"/>
        <v>-617417.83808159526</v>
      </c>
      <c r="Q77" s="268">
        <f t="shared" si="1"/>
        <v>-617417.83808159526</v>
      </c>
      <c r="R77" s="268">
        <f t="shared" si="1"/>
        <v>-617417.83808159526</v>
      </c>
      <c r="S77" s="268">
        <f t="shared" si="1"/>
        <v>-617417.83808159526</v>
      </c>
      <c r="T77" s="268">
        <f t="shared" si="1"/>
        <v>-617417.83808159526</v>
      </c>
      <c r="U77" s="268">
        <f t="shared" si="1"/>
        <v>-617417.83808159526</v>
      </c>
      <c r="V77" s="268">
        <f t="shared" si="1"/>
        <v>-617417.83808159526</v>
      </c>
      <c r="W77" s="268">
        <f t="shared" si="1"/>
        <v>-617417.83808159526</v>
      </c>
      <c r="X77" s="268">
        <f t="shared" si="1"/>
        <v>-617417.83808159526</v>
      </c>
      <c r="Y77" s="268">
        <f t="shared" si="1"/>
        <v>-617417.83808159526</v>
      </c>
      <c r="Z77" s="268">
        <f t="shared" si="1"/>
        <v>-617417.83808159526</v>
      </c>
      <c r="AA77" s="268">
        <f t="shared" si="1"/>
        <v>-617417.83808159526</v>
      </c>
      <c r="AB77" s="268">
        <f t="shared" si="1"/>
        <v>-617417.83808159526</v>
      </c>
      <c r="AC77" s="268">
        <f t="shared" si="1"/>
        <v>-617417.83808159526</v>
      </c>
      <c r="AD77" s="268">
        <f t="shared" si="1"/>
        <v>-617417.83808159526</v>
      </c>
      <c r="AE77" s="268">
        <f t="shared" si="1"/>
        <v>-617417.83808159526</v>
      </c>
      <c r="AF77" s="268">
        <f t="shared" si="1"/>
        <v>-617417.83808159526</v>
      </c>
      <c r="AG77" s="268">
        <f t="shared" si="1"/>
        <v>-617417.83808159526</v>
      </c>
      <c r="AH77" s="268">
        <f t="shared" si="1"/>
        <v>-617417.83808159526</v>
      </c>
      <c r="AI77" s="268">
        <f t="shared" si="1"/>
        <v>-617417.83808159526</v>
      </c>
      <c r="AJ77" s="268">
        <f t="shared" si="1"/>
        <v>-617417.83808159526</v>
      </c>
      <c r="AK77" s="268">
        <f t="shared" si="1"/>
        <v>-617417.83808159526</v>
      </c>
      <c r="AL77" s="268">
        <f t="shared" si="1"/>
        <v>-617417.83808159526</v>
      </c>
      <c r="AM77" s="268">
        <f t="shared" si="1"/>
        <v>-617417.83808159526</v>
      </c>
      <c r="AN77" s="268">
        <f t="shared" si="1"/>
        <v>-617417.83808159526</v>
      </c>
      <c r="AO77" s="268">
        <f t="shared" si="1"/>
        <v>-617417.83808159526</v>
      </c>
      <c r="AP77" s="268">
        <f t="shared" si="1"/>
        <v>-617417.83808159526</v>
      </c>
      <c r="AQ77" s="268">
        <f t="shared" si="1"/>
        <v>-617417.83808159526</v>
      </c>
      <c r="AR77" s="268">
        <f t="shared" si="1"/>
        <v>-617417.83808159526</v>
      </c>
      <c r="AS77" s="268">
        <f t="shared" si="1"/>
        <v>-617417.83808159526</v>
      </c>
      <c r="AT77" s="268">
        <f t="shared" si="1"/>
        <v>-617417.83808159526</v>
      </c>
      <c r="AU77" s="13"/>
    </row>
    <row r="78" spans="1:47" x14ac:dyDescent="0.25">
      <c r="B78" s="831" t="s">
        <v>517</v>
      </c>
      <c r="C78" s="268">
        <v>0</v>
      </c>
      <c r="D78" s="268">
        <v>0</v>
      </c>
      <c r="E78" s="268">
        <v>0</v>
      </c>
      <c r="F78" s="268">
        <v>0</v>
      </c>
      <c r="G78" s="268">
        <f>SUM($C$117:$F$117)*$C$19/40</f>
        <v>-1345379.6621609791</v>
      </c>
      <c r="H78" s="268">
        <f t="shared" ref="H78:AT78" si="2">SUM($C$117:$F$117)*$C$19/40</f>
        <v>-1345379.6621609791</v>
      </c>
      <c r="I78" s="268">
        <f t="shared" si="2"/>
        <v>-1345379.6621609791</v>
      </c>
      <c r="J78" s="268">
        <f t="shared" si="2"/>
        <v>-1345379.6621609791</v>
      </c>
      <c r="K78" s="268">
        <f t="shared" si="2"/>
        <v>-1345379.6621609791</v>
      </c>
      <c r="L78" s="268">
        <f t="shared" si="2"/>
        <v>-1345379.6621609791</v>
      </c>
      <c r="M78" s="268">
        <f t="shared" si="2"/>
        <v>-1345379.6621609791</v>
      </c>
      <c r="N78" s="268">
        <f t="shared" si="2"/>
        <v>-1345379.6621609791</v>
      </c>
      <c r="O78" s="268">
        <f t="shared" si="2"/>
        <v>-1345379.6621609791</v>
      </c>
      <c r="P78" s="268">
        <f t="shared" si="2"/>
        <v>-1345379.6621609791</v>
      </c>
      <c r="Q78" s="268">
        <f t="shared" si="2"/>
        <v>-1345379.6621609791</v>
      </c>
      <c r="R78" s="268">
        <f t="shared" si="2"/>
        <v>-1345379.6621609791</v>
      </c>
      <c r="S78" s="268">
        <f t="shared" si="2"/>
        <v>-1345379.6621609791</v>
      </c>
      <c r="T78" s="268">
        <f t="shared" si="2"/>
        <v>-1345379.6621609791</v>
      </c>
      <c r="U78" s="268">
        <f t="shared" si="2"/>
        <v>-1345379.6621609791</v>
      </c>
      <c r="V78" s="268">
        <f t="shared" si="2"/>
        <v>-1345379.6621609791</v>
      </c>
      <c r="W78" s="268">
        <f t="shared" si="2"/>
        <v>-1345379.6621609791</v>
      </c>
      <c r="X78" s="268">
        <f t="shared" si="2"/>
        <v>-1345379.6621609791</v>
      </c>
      <c r="Y78" s="268">
        <f t="shared" si="2"/>
        <v>-1345379.6621609791</v>
      </c>
      <c r="Z78" s="268">
        <f t="shared" si="2"/>
        <v>-1345379.6621609791</v>
      </c>
      <c r="AA78" s="268">
        <f t="shared" si="2"/>
        <v>-1345379.6621609791</v>
      </c>
      <c r="AB78" s="268">
        <f t="shared" si="2"/>
        <v>-1345379.6621609791</v>
      </c>
      <c r="AC78" s="268">
        <f t="shared" si="2"/>
        <v>-1345379.6621609791</v>
      </c>
      <c r="AD78" s="268">
        <f t="shared" si="2"/>
        <v>-1345379.6621609791</v>
      </c>
      <c r="AE78" s="268">
        <f t="shared" si="2"/>
        <v>-1345379.6621609791</v>
      </c>
      <c r="AF78" s="268">
        <f t="shared" si="2"/>
        <v>-1345379.6621609791</v>
      </c>
      <c r="AG78" s="268">
        <f t="shared" si="2"/>
        <v>-1345379.6621609791</v>
      </c>
      <c r="AH78" s="268">
        <f t="shared" si="2"/>
        <v>-1345379.6621609791</v>
      </c>
      <c r="AI78" s="268">
        <f t="shared" si="2"/>
        <v>-1345379.6621609791</v>
      </c>
      <c r="AJ78" s="268">
        <f t="shared" si="2"/>
        <v>-1345379.6621609791</v>
      </c>
      <c r="AK78" s="268">
        <f t="shared" si="2"/>
        <v>-1345379.6621609791</v>
      </c>
      <c r="AL78" s="268">
        <f t="shared" si="2"/>
        <v>-1345379.6621609791</v>
      </c>
      <c r="AM78" s="268">
        <f t="shared" si="2"/>
        <v>-1345379.6621609791</v>
      </c>
      <c r="AN78" s="268">
        <f t="shared" si="2"/>
        <v>-1345379.6621609791</v>
      </c>
      <c r="AO78" s="268">
        <f t="shared" si="2"/>
        <v>-1345379.6621609791</v>
      </c>
      <c r="AP78" s="268">
        <f t="shared" si="2"/>
        <v>-1345379.6621609791</v>
      </c>
      <c r="AQ78" s="268">
        <f t="shared" si="2"/>
        <v>-1345379.6621609791</v>
      </c>
      <c r="AR78" s="268">
        <f t="shared" si="2"/>
        <v>-1345379.6621609791</v>
      </c>
      <c r="AS78" s="268">
        <f t="shared" si="2"/>
        <v>-1345379.6621609791</v>
      </c>
      <c r="AT78" s="268">
        <f t="shared" si="2"/>
        <v>-1345379.6621609791</v>
      </c>
      <c r="AU78" s="13"/>
    </row>
    <row r="79" spans="1:47" x14ac:dyDescent="0.25">
      <c r="B79" s="831" t="s">
        <v>518</v>
      </c>
      <c r="C79" s="268">
        <v>0</v>
      </c>
      <c r="D79" s="268">
        <v>0</v>
      </c>
      <c r="E79" s="268">
        <v>0</v>
      </c>
      <c r="F79" s="268">
        <v>0</v>
      </c>
      <c r="G79" s="268">
        <f>SUM($C$117:$F$117)*$C$20/15</f>
        <v>-767500.01943839586</v>
      </c>
      <c r="H79" s="268">
        <f t="shared" ref="H79:U79" si="3">SUM($C$117:$F$117)*$C$20/15</f>
        <v>-767500.01943839586</v>
      </c>
      <c r="I79" s="268">
        <f t="shared" si="3"/>
        <v>-767500.01943839586</v>
      </c>
      <c r="J79" s="268">
        <f t="shared" si="3"/>
        <v>-767500.01943839586</v>
      </c>
      <c r="K79" s="268">
        <f t="shared" si="3"/>
        <v>-767500.01943839586</v>
      </c>
      <c r="L79" s="268">
        <f t="shared" si="3"/>
        <v>-767500.01943839586</v>
      </c>
      <c r="M79" s="268">
        <f t="shared" si="3"/>
        <v>-767500.01943839586</v>
      </c>
      <c r="N79" s="268">
        <f t="shared" si="3"/>
        <v>-767500.01943839586</v>
      </c>
      <c r="O79" s="268">
        <f t="shared" si="3"/>
        <v>-767500.01943839586</v>
      </c>
      <c r="P79" s="268">
        <f t="shared" si="3"/>
        <v>-767500.01943839586</v>
      </c>
      <c r="Q79" s="268">
        <f t="shared" si="3"/>
        <v>-767500.01943839586</v>
      </c>
      <c r="R79" s="268">
        <f t="shared" si="3"/>
        <v>-767500.01943839586</v>
      </c>
      <c r="S79" s="268">
        <f t="shared" si="3"/>
        <v>-767500.01943839586</v>
      </c>
      <c r="T79" s="268">
        <f t="shared" si="3"/>
        <v>-767500.01943839586</v>
      </c>
      <c r="U79" s="268">
        <f t="shared" si="3"/>
        <v>-767500.01943839586</v>
      </c>
      <c r="V79" s="268">
        <v>0</v>
      </c>
      <c r="W79" s="268">
        <v>0</v>
      </c>
      <c r="X79" s="268">
        <v>0</v>
      </c>
      <c r="Y79" s="268">
        <v>0</v>
      </c>
      <c r="Z79" s="268">
        <v>0</v>
      </c>
      <c r="AA79" s="268">
        <v>0</v>
      </c>
      <c r="AB79" s="268">
        <v>0</v>
      </c>
      <c r="AC79" s="268">
        <v>0</v>
      </c>
      <c r="AD79" s="268">
        <v>0</v>
      </c>
      <c r="AE79" s="268">
        <v>0</v>
      </c>
      <c r="AF79" s="268">
        <v>0</v>
      </c>
      <c r="AG79" s="268">
        <v>0</v>
      </c>
      <c r="AH79" s="268">
        <v>0</v>
      </c>
      <c r="AI79" s="268">
        <v>0</v>
      </c>
      <c r="AJ79" s="268">
        <v>0</v>
      </c>
      <c r="AK79" s="268">
        <v>0</v>
      </c>
      <c r="AL79" s="268">
        <v>0</v>
      </c>
      <c r="AM79" s="268">
        <v>0</v>
      </c>
      <c r="AN79" s="268">
        <v>0</v>
      </c>
      <c r="AO79" s="268">
        <v>0</v>
      </c>
      <c r="AP79" s="268">
        <v>0</v>
      </c>
      <c r="AQ79" s="268">
        <v>0</v>
      </c>
      <c r="AR79" s="268">
        <v>0</v>
      </c>
      <c r="AS79" s="268">
        <v>0</v>
      </c>
      <c r="AT79" s="268">
        <v>0</v>
      </c>
      <c r="AU79" s="13"/>
    </row>
    <row r="80" spans="1:47" x14ac:dyDescent="0.25">
      <c r="B80" s="831" t="s">
        <v>519</v>
      </c>
      <c r="C80" s="268">
        <v>0</v>
      </c>
      <c r="D80" s="268">
        <v>0</v>
      </c>
      <c r="E80" s="268">
        <v>0</v>
      </c>
      <c r="F80" s="268">
        <v>0</v>
      </c>
      <c r="G80" s="268">
        <f>SUM($C$117:$F$117)*$C$21/10</f>
        <v>-287707.11855978414</v>
      </c>
      <c r="H80" s="268">
        <f t="shared" ref="H80:P80" si="4">SUM($C$117:$F$117)*$C$21/10</f>
        <v>-287707.11855978414</v>
      </c>
      <c r="I80" s="268">
        <f t="shared" si="4"/>
        <v>-287707.11855978414</v>
      </c>
      <c r="J80" s="268">
        <f t="shared" si="4"/>
        <v>-287707.11855978414</v>
      </c>
      <c r="K80" s="268">
        <f t="shared" si="4"/>
        <v>-287707.11855978414</v>
      </c>
      <c r="L80" s="268">
        <f t="shared" si="4"/>
        <v>-287707.11855978414</v>
      </c>
      <c r="M80" s="268">
        <f t="shared" si="4"/>
        <v>-287707.11855978414</v>
      </c>
      <c r="N80" s="268">
        <f t="shared" si="4"/>
        <v>-287707.11855978414</v>
      </c>
      <c r="O80" s="268">
        <f t="shared" si="4"/>
        <v>-287707.11855978414</v>
      </c>
      <c r="P80" s="268">
        <f t="shared" si="4"/>
        <v>-287707.11855978414</v>
      </c>
      <c r="Q80" s="268">
        <v>0</v>
      </c>
      <c r="R80" s="268">
        <v>0</v>
      </c>
      <c r="S80" s="268">
        <v>0</v>
      </c>
      <c r="T80" s="268">
        <v>0</v>
      </c>
      <c r="U80" s="268">
        <v>0</v>
      </c>
      <c r="V80" s="268">
        <v>0</v>
      </c>
      <c r="W80" s="268">
        <v>0</v>
      </c>
      <c r="X80" s="268">
        <v>0</v>
      </c>
      <c r="Y80" s="268">
        <v>0</v>
      </c>
      <c r="Z80" s="268">
        <v>0</v>
      </c>
      <c r="AA80" s="268">
        <v>0</v>
      </c>
      <c r="AB80" s="268">
        <v>0</v>
      </c>
      <c r="AC80" s="268">
        <v>0</v>
      </c>
      <c r="AD80" s="268">
        <v>0</v>
      </c>
      <c r="AE80" s="268">
        <v>0</v>
      </c>
      <c r="AF80" s="268">
        <v>0</v>
      </c>
      <c r="AG80" s="268">
        <v>0</v>
      </c>
      <c r="AH80" s="268">
        <v>0</v>
      </c>
      <c r="AI80" s="268">
        <v>0</v>
      </c>
      <c r="AJ80" s="268">
        <v>0</v>
      </c>
      <c r="AK80" s="268">
        <v>0</v>
      </c>
      <c r="AL80" s="268">
        <v>0</v>
      </c>
      <c r="AM80" s="268">
        <v>0</v>
      </c>
      <c r="AN80" s="268">
        <v>0</v>
      </c>
      <c r="AO80" s="268">
        <v>0</v>
      </c>
      <c r="AP80" s="268">
        <v>0</v>
      </c>
      <c r="AQ80" s="268">
        <v>0</v>
      </c>
      <c r="AR80" s="268">
        <v>0</v>
      </c>
      <c r="AS80" s="268">
        <v>0</v>
      </c>
      <c r="AT80" s="268">
        <v>0</v>
      </c>
      <c r="AU80" s="13"/>
    </row>
    <row r="81" spans="2:66" x14ac:dyDescent="0.25">
      <c r="B81" s="831" t="s">
        <v>520</v>
      </c>
      <c r="C81" s="268">
        <v>0</v>
      </c>
      <c r="D81" s="268">
        <v>0</v>
      </c>
      <c r="E81" s="268">
        <v>0</v>
      </c>
      <c r="F81" s="268">
        <v>0</v>
      </c>
      <c r="G81" s="268">
        <f>SUM($C$117:$F$117)*$C$22/5</f>
        <v>-172591.88242842152</v>
      </c>
      <c r="H81" s="268">
        <f t="shared" ref="H81:K81" si="5">SUM($C$117:$F$117)*$C$22/5</f>
        <v>-172591.88242842152</v>
      </c>
      <c r="I81" s="268">
        <f t="shared" si="5"/>
        <v>-172591.88242842152</v>
      </c>
      <c r="J81" s="268">
        <f t="shared" si="5"/>
        <v>-172591.88242842152</v>
      </c>
      <c r="K81" s="268">
        <f t="shared" si="5"/>
        <v>-172591.88242842152</v>
      </c>
      <c r="L81" s="268">
        <v>0</v>
      </c>
      <c r="M81" s="268">
        <v>0</v>
      </c>
      <c r="N81" s="268">
        <v>0</v>
      </c>
      <c r="O81" s="268">
        <v>0</v>
      </c>
      <c r="P81" s="268">
        <v>0</v>
      </c>
      <c r="Q81" s="268">
        <v>0</v>
      </c>
      <c r="R81" s="268">
        <v>0</v>
      </c>
      <c r="S81" s="268">
        <v>0</v>
      </c>
      <c r="T81" s="268">
        <v>0</v>
      </c>
      <c r="U81" s="268">
        <v>0</v>
      </c>
      <c r="V81" s="268">
        <v>0</v>
      </c>
      <c r="W81" s="268">
        <v>0</v>
      </c>
      <c r="X81" s="268">
        <v>0</v>
      </c>
      <c r="Y81" s="268">
        <v>0</v>
      </c>
      <c r="Z81" s="268">
        <v>0</v>
      </c>
      <c r="AA81" s="268">
        <v>0</v>
      </c>
      <c r="AB81" s="268">
        <v>0</v>
      </c>
      <c r="AC81" s="268">
        <v>0</v>
      </c>
      <c r="AD81" s="268">
        <v>0</v>
      </c>
      <c r="AE81" s="268">
        <v>0</v>
      </c>
      <c r="AF81" s="268">
        <v>0</v>
      </c>
      <c r="AG81" s="268">
        <v>0</v>
      </c>
      <c r="AH81" s="268">
        <v>0</v>
      </c>
      <c r="AI81" s="268">
        <v>0</v>
      </c>
      <c r="AJ81" s="268">
        <v>0</v>
      </c>
      <c r="AK81" s="268">
        <v>0</v>
      </c>
      <c r="AL81" s="268">
        <v>0</v>
      </c>
      <c r="AM81" s="268">
        <v>0</v>
      </c>
      <c r="AN81" s="268">
        <v>0</v>
      </c>
      <c r="AO81" s="268">
        <v>0</v>
      </c>
      <c r="AP81" s="268">
        <v>0</v>
      </c>
      <c r="AQ81" s="268">
        <v>0</v>
      </c>
      <c r="AR81" s="268">
        <v>0</v>
      </c>
      <c r="AS81" s="268">
        <v>0</v>
      </c>
      <c r="AT81" s="268">
        <v>0</v>
      </c>
      <c r="AU81" s="13"/>
    </row>
    <row r="82" spans="2:66" x14ac:dyDescent="0.25">
      <c r="B82" s="845" t="s">
        <v>529</v>
      </c>
      <c r="C82" s="824">
        <v>0</v>
      </c>
      <c r="D82" s="824">
        <v>0</v>
      </c>
      <c r="E82" s="824">
        <v>0</v>
      </c>
      <c r="F82" s="824">
        <v>0</v>
      </c>
      <c r="G82" s="824">
        <f>-(SUM(C117:F117))+SUM(G77:G81)</f>
        <v>111877413.20910615</v>
      </c>
      <c r="H82" s="824">
        <f>G82+SUM(H77:H81)</f>
        <v>108686816.68843697</v>
      </c>
      <c r="I82" s="824">
        <f t="shared" ref="I82:AT82" si="6">H82+SUM(I77:I81)</f>
        <v>105496220.16776779</v>
      </c>
      <c r="J82" s="824">
        <f t="shared" si="6"/>
        <v>102305623.64709862</v>
      </c>
      <c r="K82" s="824">
        <f t="shared" si="6"/>
        <v>99115027.126429439</v>
      </c>
      <c r="L82" s="824">
        <f t="shared" si="6"/>
        <v>96097022.488188684</v>
      </c>
      <c r="M82" s="824">
        <f t="shared" si="6"/>
        <v>93079017.849947929</v>
      </c>
      <c r="N82" s="824">
        <f t="shared" si="6"/>
        <v>90061013.211707175</v>
      </c>
      <c r="O82" s="824">
        <f t="shared" si="6"/>
        <v>87043008.57346642</v>
      </c>
      <c r="P82" s="824">
        <f t="shared" si="6"/>
        <v>84025003.935225666</v>
      </c>
      <c r="Q82" s="824">
        <f t="shared" si="6"/>
        <v>81294706.415544689</v>
      </c>
      <c r="R82" s="824">
        <f t="shared" si="6"/>
        <v>78564408.895863712</v>
      </c>
      <c r="S82" s="824">
        <f t="shared" si="6"/>
        <v>75834111.376182735</v>
      </c>
      <c r="T82" s="824">
        <f t="shared" si="6"/>
        <v>73103813.856501758</v>
      </c>
      <c r="U82" s="824">
        <f t="shared" si="6"/>
        <v>70373516.336820781</v>
      </c>
      <c r="V82" s="824">
        <f t="shared" si="6"/>
        <v>68410718.836578205</v>
      </c>
      <c r="W82" s="824">
        <f t="shared" si="6"/>
        <v>66447921.336335629</v>
      </c>
      <c r="X82" s="824">
        <f t="shared" si="6"/>
        <v>64485123.836093053</v>
      </c>
      <c r="Y82" s="824">
        <f t="shared" si="6"/>
        <v>62522326.335850477</v>
      </c>
      <c r="Z82" s="824">
        <f t="shared" si="6"/>
        <v>60559528.835607901</v>
      </c>
      <c r="AA82" s="824">
        <f t="shared" si="6"/>
        <v>58596731.335365325</v>
      </c>
      <c r="AB82" s="824">
        <f t="shared" si="6"/>
        <v>56633933.835122749</v>
      </c>
      <c r="AC82" s="824">
        <f t="shared" si="6"/>
        <v>54671136.334880173</v>
      </c>
      <c r="AD82" s="824">
        <f t="shared" si="6"/>
        <v>52708338.834637597</v>
      </c>
      <c r="AE82" s="824">
        <f t="shared" si="6"/>
        <v>50745541.334395021</v>
      </c>
      <c r="AF82" s="824">
        <f t="shared" si="6"/>
        <v>48782743.834152445</v>
      </c>
      <c r="AG82" s="824">
        <f t="shared" si="6"/>
        <v>46819946.333909869</v>
      </c>
      <c r="AH82" s="824">
        <f t="shared" si="6"/>
        <v>44857148.833667293</v>
      </c>
      <c r="AI82" s="824">
        <f t="shared" si="6"/>
        <v>42894351.333424717</v>
      </c>
      <c r="AJ82" s="824">
        <f t="shared" si="6"/>
        <v>40931553.833182141</v>
      </c>
      <c r="AK82" s="824">
        <f t="shared" si="6"/>
        <v>38968756.332939565</v>
      </c>
      <c r="AL82" s="824">
        <f t="shared" si="6"/>
        <v>37005958.832696989</v>
      </c>
      <c r="AM82" s="824">
        <f t="shared" si="6"/>
        <v>35043161.332454413</v>
      </c>
      <c r="AN82" s="824">
        <f t="shared" si="6"/>
        <v>33080363.832211837</v>
      </c>
      <c r="AO82" s="824">
        <f t="shared" si="6"/>
        <v>31117566.331969261</v>
      </c>
      <c r="AP82" s="824">
        <f t="shared" si="6"/>
        <v>29154768.831726685</v>
      </c>
      <c r="AQ82" s="824">
        <f t="shared" si="6"/>
        <v>27191971.331484109</v>
      </c>
      <c r="AR82" s="824">
        <f t="shared" si="6"/>
        <v>25229173.831241533</v>
      </c>
      <c r="AS82" s="824">
        <f t="shared" si="6"/>
        <v>23266376.330998957</v>
      </c>
      <c r="AT82" s="824">
        <f t="shared" si="6"/>
        <v>21303578.830756381</v>
      </c>
      <c r="AU82" s="13"/>
    </row>
    <row r="83" spans="2:66" x14ac:dyDescent="0.25">
      <c r="B83" s="831" t="s">
        <v>521</v>
      </c>
      <c r="C83" s="268">
        <v>0</v>
      </c>
      <c r="D83" s="268">
        <v>0</v>
      </c>
      <c r="E83" s="268">
        <v>0</v>
      </c>
      <c r="F83" s="268">
        <v>0</v>
      </c>
      <c r="G83" s="268">
        <v>0</v>
      </c>
      <c r="H83" s="268">
        <v>0</v>
      </c>
      <c r="I83" s="268">
        <v>0</v>
      </c>
      <c r="J83" s="268">
        <v>0</v>
      </c>
      <c r="K83" s="268">
        <v>0</v>
      </c>
      <c r="L83" s="268">
        <v>0</v>
      </c>
      <c r="M83" s="268">
        <v>0</v>
      </c>
      <c r="N83" s="268">
        <v>0</v>
      </c>
      <c r="O83" s="268">
        <v>0</v>
      </c>
      <c r="P83" s="268">
        <v>0</v>
      </c>
      <c r="Q83" s="268">
        <v>0</v>
      </c>
      <c r="R83" s="268">
        <f>SUM($P$118:$Q$118)/10</f>
        <v>-358972.64507720724</v>
      </c>
      <c r="S83" s="268">
        <f t="shared" ref="S83:AB83" si="7">SUM($P$118:$Q$118)/10</f>
        <v>-358972.64507720724</v>
      </c>
      <c r="T83" s="268">
        <f t="shared" si="7"/>
        <v>-358972.64507720724</v>
      </c>
      <c r="U83" s="268">
        <f t="shared" si="7"/>
        <v>-358972.64507720724</v>
      </c>
      <c r="V83" s="268">
        <f t="shared" si="7"/>
        <v>-358972.64507720724</v>
      </c>
      <c r="W83" s="268">
        <f t="shared" si="7"/>
        <v>-358972.64507720724</v>
      </c>
      <c r="X83" s="268">
        <f t="shared" si="7"/>
        <v>-358972.64507720724</v>
      </c>
      <c r="Y83" s="268">
        <f t="shared" si="7"/>
        <v>-358972.64507720724</v>
      </c>
      <c r="Z83" s="268">
        <f t="shared" si="7"/>
        <v>-358972.64507720724</v>
      </c>
      <c r="AA83" s="268">
        <f t="shared" si="7"/>
        <v>-358972.64507720724</v>
      </c>
      <c r="AB83" s="268">
        <f t="shared" si="7"/>
        <v>-358972.64507720724</v>
      </c>
      <c r="AC83" s="268">
        <v>0</v>
      </c>
      <c r="AD83" s="268">
        <v>0</v>
      </c>
      <c r="AE83" s="268">
        <v>0</v>
      </c>
      <c r="AF83" s="268">
        <v>0</v>
      </c>
      <c r="AG83" s="268">
        <v>0</v>
      </c>
      <c r="AH83" s="268">
        <v>0</v>
      </c>
      <c r="AI83" s="268">
        <v>0</v>
      </c>
      <c r="AJ83" s="268">
        <v>0</v>
      </c>
      <c r="AK83" s="268">
        <v>0</v>
      </c>
      <c r="AL83" s="268">
        <v>0</v>
      </c>
      <c r="AM83" s="268">
        <v>0</v>
      </c>
      <c r="AN83" s="268">
        <v>0</v>
      </c>
      <c r="AO83" s="268">
        <v>0</v>
      </c>
      <c r="AP83" s="268">
        <v>0</v>
      </c>
      <c r="AQ83" s="268">
        <v>0</v>
      </c>
      <c r="AR83" s="268">
        <v>0</v>
      </c>
      <c r="AS83" s="268">
        <v>0</v>
      </c>
      <c r="AT83" s="268">
        <v>0</v>
      </c>
      <c r="AU83" s="13"/>
    </row>
    <row r="84" spans="2:66" s="42" customFormat="1" x14ac:dyDescent="0.25">
      <c r="B84" s="845" t="s">
        <v>522</v>
      </c>
      <c r="C84" s="824">
        <v>0</v>
      </c>
      <c r="D84" s="824">
        <v>0</v>
      </c>
      <c r="E84" s="824">
        <v>0</v>
      </c>
      <c r="F84" s="824">
        <v>0</v>
      </c>
      <c r="G84" s="824">
        <v>0</v>
      </c>
      <c r="H84" s="824">
        <v>0</v>
      </c>
      <c r="I84" s="824">
        <v>0</v>
      </c>
      <c r="J84" s="824">
        <v>0</v>
      </c>
      <c r="K84" s="824">
        <v>0</v>
      </c>
      <c r="L84" s="824">
        <v>0</v>
      </c>
      <c r="M84" s="824">
        <v>0</v>
      </c>
      <c r="N84" s="824">
        <v>0</v>
      </c>
      <c r="O84" s="824">
        <v>0</v>
      </c>
      <c r="P84" s="824">
        <v>0</v>
      </c>
      <c r="Q84" s="824">
        <v>0</v>
      </c>
      <c r="R84" s="824">
        <f>-SUM(P118:Q118)</f>
        <v>3589726.4507720722</v>
      </c>
      <c r="S84" s="824">
        <f>R84+S83</f>
        <v>3230753.8056948651</v>
      </c>
      <c r="T84" s="824">
        <f t="shared" ref="T84:AB84" si="8">S84+T83</f>
        <v>2871781.1606176579</v>
      </c>
      <c r="U84" s="824">
        <f t="shared" si="8"/>
        <v>2512808.5155404508</v>
      </c>
      <c r="V84" s="824">
        <f t="shared" si="8"/>
        <v>2153835.8704632437</v>
      </c>
      <c r="W84" s="824">
        <f t="shared" si="8"/>
        <v>1794863.2253860366</v>
      </c>
      <c r="X84" s="824">
        <f t="shared" si="8"/>
        <v>1435890.5803088294</v>
      </c>
      <c r="Y84" s="824">
        <f t="shared" si="8"/>
        <v>1076917.9352316223</v>
      </c>
      <c r="Z84" s="824">
        <f t="shared" si="8"/>
        <v>717945.29015441507</v>
      </c>
      <c r="AA84" s="824">
        <f t="shared" si="8"/>
        <v>358972.64507720782</v>
      </c>
      <c r="AB84" s="824">
        <f t="shared" si="8"/>
        <v>5.8207660913467407E-10</v>
      </c>
      <c r="AC84" s="824">
        <v>0</v>
      </c>
      <c r="AD84" s="824">
        <v>0</v>
      </c>
      <c r="AE84" s="824">
        <v>0</v>
      </c>
      <c r="AF84" s="824">
        <v>0</v>
      </c>
      <c r="AG84" s="824">
        <v>0</v>
      </c>
      <c r="AH84" s="824">
        <v>0</v>
      </c>
      <c r="AI84" s="824">
        <v>0</v>
      </c>
      <c r="AJ84" s="824">
        <v>0</v>
      </c>
      <c r="AK84" s="824">
        <v>0</v>
      </c>
      <c r="AL84" s="824">
        <v>0</v>
      </c>
      <c r="AM84" s="824">
        <v>0</v>
      </c>
      <c r="AN84" s="824">
        <v>0</v>
      </c>
      <c r="AO84" s="824">
        <v>0</v>
      </c>
      <c r="AP84" s="824">
        <v>0</v>
      </c>
      <c r="AQ84" s="824">
        <v>0</v>
      </c>
      <c r="AR84" s="824">
        <v>0</v>
      </c>
      <c r="AS84" s="824">
        <v>0</v>
      </c>
      <c r="AT84" s="824">
        <v>0</v>
      </c>
      <c r="AU84" s="815"/>
    </row>
    <row r="85" spans="2:66" x14ac:dyDescent="0.25">
      <c r="B85" s="831" t="s">
        <v>527</v>
      </c>
      <c r="C85" s="268">
        <v>0</v>
      </c>
      <c r="D85" s="268">
        <v>0</v>
      </c>
      <c r="E85" s="268">
        <v>0</v>
      </c>
      <c r="F85" s="268">
        <v>0</v>
      </c>
      <c r="G85" s="268">
        <v>0</v>
      </c>
      <c r="H85" s="268">
        <v>0</v>
      </c>
      <c r="I85" s="268">
        <v>0</v>
      </c>
      <c r="J85" s="268">
        <v>0</v>
      </c>
      <c r="K85" s="268">
        <v>0</v>
      </c>
      <c r="L85" s="268">
        <v>0</v>
      </c>
      <c r="M85" s="268">
        <v>0</v>
      </c>
      <c r="N85" s="268">
        <v>0</v>
      </c>
      <c r="O85" s="268">
        <v>0</v>
      </c>
      <c r="P85" s="268">
        <v>0</v>
      </c>
      <c r="Q85" s="268">
        <v>0</v>
      </c>
      <c r="R85" s="268">
        <v>0</v>
      </c>
      <c r="S85" s="268">
        <v>0</v>
      </c>
      <c r="T85" s="268">
        <v>0</v>
      </c>
      <c r="U85" s="268">
        <v>0</v>
      </c>
      <c r="V85" s="268">
        <v>0</v>
      </c>
      <c r="W85" s="268">
        <v>0</v>
      </c>
      <c r="X85" s="268">
        <f t="shared" ref="X85:AL85" si="9">SUM($U$118:$W$118)/15</f>
        <v>-1079197.8260851221</v>
      </c>
      <c r="Y85" s="268">
        <f t="shared" si="9"/>
        <v>-1079197.8260851221</v>
      </c>
      <c r="Z85" s="268">
        <f t="shared" si="9"/>
        <v>-1079197.8260851221</v>
      </c>
      <c r="AA85" s="268">
        <f t="shared" si="9"/>
        <v>-1079197.8260851221</v>
      </c>
      <c r="AB85" s="268">
        <f t="shared" si="9"/>
        <v>-1079197.8260851221</v>
      </c>
      <c r="AC85" s="268">
        <f t="shared" si="9"/>
        <v>-1079197.8260851221</v>
      </c>
      <c r="AD85" s="268">
        <f t="shared" si="9"/>
        <v>-1079197.8260851221</v>
      </c>
      <c r="AE85" s="268">
        <f t="shared" si="9"/>
        <v>-1079197.8260851221</v>
      </c>
      <c r="AF85" s="268">
        <f t="shared" si="9"/>
        <v>-1079197.8260851221</v>
      </c>
      <c r="AG85" s="268">
        <f t="shared" si="9"/>
        <v>-1079197.8260851221</v>
      </c>
      <c r="AH85" s="268">
        <f t="shared" si="9"/>
        <v>-1079197.8260851221</v>
      </c>
      <c r="AI85" s="268">
        <f t="shared" si="9"/>
        <v>-1079197.8260851221</v>
      </c>
      <c r="AJ85" s="268">
        <f t="shared" si="9"/>
        <v>-1079197.8260851221</v>
      </c>
      <c r="AK85" s="268">
        <f t="shared" si="9"/>
        <v>-1079197.8260851221</v>
      </c>
      <c r="AL85" s="268">
        <f t="shared" si="9"/>
        <v>-1079197.8260851221</v>
      </c>
      <c r="AM85" s="268">
        <v>0</v>
      </c>
      <c r="AN85" s="268">
        <v>0</v>
      </c>
      <c r="AO85" s="268">
        <f t="shared" ref="AO85:AT85" si="10">-$C$16*AN86</f>
        <v>0</v>
      </c>
      <c r="AP85" s="268">
        <f t="shared" si="10"/>
        <v>0</v>
      </c>
      <c r="AQ85" s="268">
        <f t="shared" si="10"/>
        <v>0</v>
      </c>
      <c r="AR85" s="268">
        <f t="shared" si="10"/>
        <v>0</v>
      </c>
      <c r="AS85" s="268">
        <f t="shared" si="10"/>
        <v>0</v>
      </c>
      <c r="AT85" s="268">
        <f t="shared" si="10"/>
        <v>0</v>
      </c>
      <c r="AU85" s="13"/>
    </row>
    <row r="86" spans="2:66" s="42" customFormat="1" x14ac:dyDescent="0.25">
      <c r="B86" s="845" t="s">
        <v>523</v>
      </c>
      <c r="C86" s="824">
        <v>0</v>
      </c>
      <c r="D86" s="824">
        <v>0</v>
      </c>
      <c r="E86" s="824">
        <v>0</v>
      </c>
      <c r="F86" s="824">
        <v>0</v>
      </c>
      <c r="G86" s="824">
        <v>0</v>
      </c>
      <c r="H86" s="824">
        <v>0</v>
      </c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4">
        <f>-(SUM($U$118:$W$118))+X85</f>
        <v>15108769.56519171</v>
      </c>
      <c r="Y86" s="824">
        <f>X86+Y85</f>
        <v>14029571.739106588</v>
      </c>
      <c r="Z86" s="824">
        <f t="shared" ref="Z86:AL86" si="11">Y86+Z85</f>
        <v>12950373.913021466</v>
      </c>
      <c r="AA86" s="824">
        <f t="shared" si="11"/>
        <v>11871176.086936343</v>
      </c>
      <c r="AB86" s="824">
        <f t="shared" si="11"/>
        <v>10791978.260851221</v>
      </c>
      <c r="AC86" s="824">
        <f t="shared" si="11"/>
        <v>9712780.4347660989</v>
      </c>
      <c r="AD86" s="824">
        <f t="shared" si="11"/>
        <v>8633582.6086809766</v>
      </c>
      <c r="AE86" s="824">
        <f t="shared" si="11"/>
        <v>7554384.7825958543</v>
      </c>
      <c r="AF86" s="824">
        <f t="shared" si="11"/>
        <v>6475186.956510732</v>
      </c>
      <c r="AG86" s="824">
        <f t="shared" si="11"/>
        <v>5395989.1304256096</v>
      </c>
      <c r="AH86" s="824">
        <f t="shared" si="11"/>
        <v>4316791.3043404873</v>
      </c>
      <c r="AI86" s="824">
        <f t="shared" si="11"/>
        <v>3237593.478255365</v>
      </c>
      <c r="AJ86" s="824">
        <f t="shared" si="11"/>
        <v>2158395.6521702427</v>
      </c>
      <c r="AK86" s="824">
        <f t="shared" si="11"/>
        <v>1079197.8260851207</v>
      </c>
      <c r="AL86" s="824">
        <f t="shared" si="11"/>
        <v>0</v>
      </c>
      <c r="AM86" s="824">
        <v>0</v>
      </c>
      <c r="AN86" s="824">
        <v>0</v>
      </c>
      <c r="AO86" s="824">
        <f t="shared" ref="AO86:AT86" si="12">AN86+AO85</f>
        <v>0</v>
      </c>
      <c r="AP86" s="824">
        <f t="shared" si="12"/>
        <v>0</v>
      </c>
      <c r="AQ86" s="824">
        <f t="shared" si="12"/>
        <v>0</v>
      </c>
      <c r="AR86" s="824">
        <f t="shared" si="12"/>
        <v>0</v>
      </c>
      <c r="AS86" s="824">
        <f t="shared" si="12"/>
        <v>0</v>
      </c>
      <c r="AT86" s="824">
        <f t="shared" si="12"/>
        <v>0</v>
      </c>
      <c r="AU86" s="815"/>
    </row>
    <row r="87" spans="2:66" x14ac:dyDescent="0.25">
      <c r="B87" s="831" t="s">
        <v>524</v>
      </c>
      <c r="C87" s="268">
        <v>0</v>
      </c>
      <c r="D87" s="268">
        <v>0</v>
      </c>
      <c r="E87" s="268">
        <v>0</v>
      </c>
      <c r="F87" s="268">
        <v>0</v>
      </c>
      <c r="G87" s="268">
        <v>0</v>
      </c>
      <c r="H87" s="268">
        <v>0</v>
      </c>
      <c r="I87" s="268">
        <v>0</v>
      </c>
      <c r="J87" s="268">
        <v>0</v>
      </c>
      <c r="K87" s="268">
        <v>0</v>
      </c>
      <c r="L87" s="268">
        <v>0</v>
      </c>
      <c r="M87" s="268">
        <v>0</v>
      </c>
      <c r="N87" s="268">
        <v>0</v>
      </c>
      <c r="O87" s="268">
        <v>0</v>
      </c>
      <c r="P87" s="268">
        <v>0</v>
      </c>
      <c r="Q87" s="268">
        <v>0</v>
      </c>
      <c r="R87" s="268">
        <v>0</v>
      </c>
      <c r="S87" s="268">
        <v>0</v>
      </c>
      <c r="T87" s="268">
        <v>0</v>
      </c>
      <c r="U87" s="268">
        <v>0</v>
      </c>
      <c r="V87" s="268">
        <v>0</v>
      </c>
      <c r="W87" s="268">
        <v>0</v>
      </c>
      <c r="X87" s="268">
        <v>0</v>
      </c>
      <c r="Y87" s="268">
        <v>0</v>
      </c>
      <c r="Z87" s="268">
        <v>0</v>
      </c>
      <c r="AA87" s="268">
        <v>0</v>
      </c>
      <c r="AB87" s="268">
        <v>0</v>
      </c>
      <c r="AC87" s="268">
        <f>SUM($AA$118:$AB$118)/10</f>
        <v>-445437.27272720181</v>
      </c>
      <c r="AD87" s="268">
        <f t="shared" ref="AD87:AM87" si="13">SUM($AA$118:$AB$118)/10</f>
        <v>-445437.27272720181</v>
      </c>
      <c r="AE87" s="268">
        <f t="shared" si="13"/>
        <v>-445437.27272720181</v>
      </c>
      <c r="AF87" s="268">
        <f t="shared" si="13"/>
        <v>-445437.27272720181</v>
      </c>
      <c r="AG87" s="268">
        <f t="shared" si="13"/>
        <v>-445437.27272720181</v>
      </c>
      <c r="AH87" s="268">
        <f t="shared" si="13"/>
        <v>-445437.27272720181</v>
      </c>
      <c r="AI87" s="268">
        <f t="shared" si="13"/>
        <v>-445437.27272720181</v>
      </c>
      <c r="AJ87" s="268">
        <f t="shared" si="13"/>
        <v>-445437.27272720181</v>
      </c>
      <c r="AK87" s="268">
        <f t="shared" si="13"/>
        <v>-445437.27272720181</v>
      </c>
      <c r="AL87" s="268">
        <f t="shared" si="13"/>
        <v>-445437.27272720181</v>
      </c>
      <c r="AM87" s="268">
        <f t="shared" si="13"/>
        <v>-445437.27272720181</v>
      </c>
      <c r="AN87" s="268">
        <v>0</v>
      </c>
      <c r="AO87" s="268">
        <f t="shared" ref="AO87" si="14">-$C$16*AN88</f>
        <v>0</v>
      </c>
      <c r="AP87" s="268">
        <f t="shared" ref="AP87" si="15">-$C$16*AO88</f>
        <v>0</v>
      </c>
      <c r="AQ87" s="268">
        <f t="shared" ref="AQ87" si="16">-$C$16*AP88</f>
        <v>0</v>
      </c>
      <c r="AR87" s="268">
        <f t="shared" ref="AR87" si="17">-$C$16*AQ88</f>
        <v>0</v>
      </c>
      <c r="AS87" s="268">
        <f t="shared" ref="AS87" si="18">-$C$16*AR88</f>
        <v>0</v>
      </c>
      <c r="AT87" s="268">
        <f t="shared" ref="AT87" si="19">-$C$16*AS88</f>
        <v>0</v>
      </c>
      <c r="AU87" s="103"/>
      <c r="AV87" s="166"/>
    </row>
    <row r="88" spans="2:66" s="42" customFormat="1" x14ac:dyDescent="0.25">
      <c r="B88" s="845" t="s">
        <v>525</v>
      </c>
      <c r="C88" s="824">
        <v>0</v>
      </c>
      <c r="D88" s="824">
        <v>0</v>
      </c>
      <c r="E88" s="824">
        <v>0</v>
      </c>
      <c r="F88" s="824">
        <v>0</v>
      </c>
      <c r="G88" s="824">
        <v>0</v>
      </c>
      <c r="H88" s="824">
        <v>0</v>
      </c>
      <c r="I88" s="824">
        <v>0</v>
      </c>
      <c r="J88" s="824">
        <v>0</v>
      </c>
      <c r="K88" s="824">
        <v>0</v>
      </c>
      <c r="L88" s="824">
        <v>0</v>
      </c>
      <c r="M88" s="824">
        <v>0</v>
      </c>
      <c r="N88" s="824">
        <v>0</v>
      </c>
      <c r="O88" s="824">
        <v>0</v>
      </c>
      <c r="P88" s="824">
        <v>0</v>
      </c>
      <c r="Q88" s="824">
        <v>0</v>
      </c>
      <c r="R88" s="824">
        <v>0</v>
      </c>
      <c r="S88" s="824">
        <v>0</v>
      </c>
      <c r="T88" s="824">
        <v>0</v>
      </c>
      <c r="U88" s="824">
        <v>0</v>
      </c>
      <c r="V88" s="824">
        <v>0</v>
      </c>
      <c r="W88" s="824">
        <v>0</v>
      </c>
      <c r="X88" s="824">
        <v>0</v>
      </c>
      <c r="Y88" s="824">
        <v>0</v>
      </c>
      <c r="Z88" s="824">
        <v>0</v>
      </c>
      <c r="AA88" s="824">
        <v>0</v>
      </c>
      <c r="AB88" s="824">
        <v>0</v>
      </c>
      <c r="AC88" s="824">
        <f>-SUM(AA118:AB118)</f>
        <v>4454372.7272720179</v>
      </c>
      <c r="AD88" s="824">
        <f>AC88+AD87</f>
        <v>4008935.4545448162</v>
      </c>
      <c r="AE88" s="824">
        <f t="shared" ref="AE88:AM88" si="20">AD88+AE87</f>
        <v>3563498.1818176145</v>
      </c>
      <c r="AF88" s="824">
        <f t="shared" si="20"/>
        <v>3118060.9090904128</v>
      </c>
      <c r="AG88" s="824">
        <f t="shared" si="20"/>
        <v>2672623.6363632111</v>
      </c>
      <c r="AH88" s="824">
        <f t="shared" si="20"/>
        <v>2227186.3636360094</v>
      </c>
      <c r="AI88" s="824">
        <f t="shared" si="20"/>
        <v>1781749.0909088077</v>
      </c>
      <c r="AJ88" s="824">
        <f t="shared" si="20"/>
        <v>1336311.818181606</v>
      </c>
      <c r="AK88" s="824">
        <f t="shared" si="20"/>
        <v>890874.5454544042</v>
      </c>
      <c r="AL88" s="824">
        <f t="shared" si="20"/>
        <v>445437.27272720239</v>
      </c>
      <c r="AM88" s="824">
        <f t="shared" si="20"/>
        <v>5.8207660913467407E-10</v>
      </c>
      <c r="AN88" s="824">
        <v>0</v>
      </c>
      <c r="AO88" s="824">
        <f t="shared" ref="AO88" si="21">AN88+AO87</f>
        <v>0</v>
      </c>
      <c r="AP88" s="824">
        <f t="shared" ref="AP88" si="22">AO88+AP87</f>
        <v>0</v>
      </c>
      <c r="AQ88" s="824">
        <f t="shared" ref="AQ88" si="23">AP88+AQ87</f>
        <v>0</v>
      </c>
      <c r="AR88" s="824">
        <f t="shared" ref="AR88" si="24">AQ88+AR87</f>
        <v>0</v>
      </c>
      <c r="AS88" s="824">
        <f t="shared" ref="AS88" si="25">AR88+AS87</f>
        <v>0</v>
      </c>
      <c r="AT88" s="824">
        <f t="shared" ref="AT88" si="26">AS88+AT87</f>
        <v>0</v>
      </c>
      <c r="AU88" s="817"/>
      <c r="AV88" s="686"/>
    </row>
    <row r="89" spans="2:66" x14ac:dyDescent="0.25">
      <c r="B89" s="831" t="s">
        <v>528</v>
      </c>
      <c r="C89" s="268">
        <v>0</v>
      </c>
      <c r="D89" s="268">
        <v>0</v>
      </c>
      <c r="E89" s="268">
        <v>0</v>
      </c>
      <c r="F89" s="268">
        <v>0</v>
      </c>
      <c r="G89" s="268">
        <v>0</v>
      </c>
      <c r="H89" s="268">
        <v>0</v>
      </c>
      <c r="I89" s="268">
        <v>0</v>
      </c>
      <c r="J89" s="268">
        <v>0</v>
      </c>
      <c r="K89" s="268">
        <v>0</v>
      </c>
      <c r="L89" s="268">
        <v>0</v>
      </c>
      <c r="M89" s="268">
        <v>0</v>
      </c>
      <c r="N89" s="268">
        <v>0</v>
      </c>
      <c r="O89" s="268">
        <v>0</v>
      </c>
      <c r="P89" s="268">
        <v>0</v>
      </c>
      <c r="Q89" s="268">
        <v>0</v>
      </c>
      <c r="R89" s="268">
        <v>0</v>
      </c>
      <c r="S89" s="268">
        <v>0</v>
      </c>
      <c r="T89" s="268">
        <v>0</v>
      </c>
      <c r="U89" s="268">
        <v>0</v>
      </c>
      <c r="V89" s="268">
        <v>0</v>
      </c>
      <c r="W89" s="268">
        <v>0</v>
      </c>
      <c r="X89" s="268">
        <v>0</v>
      </c>
      <c r="Y89" s="268">
        <v>0</v>
      </c>
      <c r="Z89" s="268">
        <v>0</v>
      </c>
      <c r="AA89" s="268">
        <v>0</v>
      </c>
      <c r="AB89" s="268">
        <v>0</v>
      </c>
      <c r="AC89" s="268">
        <v>0</v>
      </c>
      <c r="AD89" s="268">
        <v>0</v>
      </c>
      <c r="AE89" s="268">
        <v>0</v>
      </c>
      <c r="AF89" s="268">
        <v>0</v>
      </c>
      <c r="AG89" s="268">
        <v>0</v>
      </c>
      <c r="AH89" s="268">
        <v>0</v>
      </c>
      <c r="AI89" s="268">
        <v>0</v>
      </c>
      <c r="AJ89" s="268">
        <v>0</v>
      </c>
      <c r="AK89" s="268">
        <v>0</v>
      </c>
      <c r="AL89" s="268">
        <v>0</v>
      </c>
      <c r="AM89" s="268">
        <v>0</v>
      </c>
      <c r="AN89" s="268">
        <v>0</v>
      </c>
      <c r="AO89" s="268">
        <f>SUM($AL$118:$AN$118)/14</f>
        <v>-1972868.1729611468</v>
      </c>
      <c r="AP89" s="268">
        <f t="shared" ref="AP89:AT89" si="27">SUM($AL$118:$AN$118)/14</f>
        <v>-1972868.1729611468</v>
      </c>
      <c r="AQ89" s="268">
        <f t="shared" si="27"/>
        <v>-1972868.1729611468</v>
      </c>
      <c r="AR89" s="268">
        <f t="shared" si="27"/>
        <v>-1972868.1729611468</v>
      </c>
      <c r="AS89" s="268">
        <f t="shared" si="27"/>
        <v>-1972868.1729611468</v>
      </c>
      <c r="AT89" s="268">
        <f t="shared" si="27"/>
        <v>-1972868.1729611468</v>
      </c>
      <c r="AU89" s="268"/>
    </row>
    <row r="90" spans="2:66" s="42" customFormat="1" x14ac:dyDescent="0.25">
      <c r="B90" s="966" t="s">
        <v>526</v>
      </c>
      <c r="C90" s="967">
        <v>0</v>
      </c>
      <c r="D90" s="967">
        <v>0</v>
      </c>
      <c r="E90" s="967">
        <v>0</v>
      </c>
      <c r="F90" s="967">
        <v>0</v>
      </c>
      <c r="G90" s="967">
        <v>0</v>
      </c>
      <c r="H90" s="967">
        <v>0</v>
      </c>
      <c r="I90" s="967">
        <v>0</v>
      </c>
      <c r="J90" s="967">
        <v>0</v>
      </c>
      <c r="K90" s="967">
        <v>0</v>
      </c>
      <c r="L90" s="967">
        <v>0</v>
      </c>
      <c r="M90" s="967">
        <v>0</v>
      </c>
      <c r="N90" s="967">
        <v>0</v>
      </c>
      <c r="O90" s="967">
        <v>0</v>
      </c>
      <c r="P90" s="967">
        <v>0</v>
      </c>
      <c r="Q90" s="967">
        <v>0</v>
      </c>
      <c r="R90" s="967">
        <v>0</v>
      </c>
      <c r="S90" s="967">
        <v>0</v>
      </c>
      <c r="T90" s="967">
        <v>0</v>
      </c>
      <c r="U90" s="967">
        <v>0</v>
      </c>
      <c r="V90" s="967">
        <v>0</v>
      </c>
      <c r="W90" s="967">
        <v>0</v>
      </c>
      <c r="X90" s="967">
        <v>0</v>
      </c>
      <c r="Y90" s="967">
        <v>0</v>
      </c>
      <c r="Z90" s="967">
        <v>0</v>
      </c>
      <c r="AA90" s="967">
        <v>0</v>
      </c>
      <c r="AB90" s="967">
        <v>0</v>
      </c>
      <c r="AC90" s="967">
        <v>0</v>
      </c>
      <c r="AD90" s="967">
        <v>0</v>
      </c>
      <c r="AE90" s="967">
        <v>0</v>
      </c>
      <c r="AF90" s="967">
        <v>0</v>
      </c>
      <c r="AG90" s="967">
        <v>0</v>
      </c>
      <c r="AH90" s="967">
        <v>0</v>
      </c>
      <c r="AI90" s="967">
        <v>0</v>
      </c>
      <c r="AJ90" s="967">
        <v>0</v>
      </c>
      <c r="AK90" s="967">
        <v>0</v>
      </c>
      <c r="AL90" s="967">
        <v>0</v>
      </c>
      <c r="AM90" s="967">
        <v>0</v>
      </c>
      <c r="AN90" s="967">
        <v>0</v>
      </c>
      <c r="AO90" s="967">
        <f>-(SUM(AL118:AN118))-AO89</f>
        <v>29593022.594417199</v>
      </c>
      <c r="AP90" s="967">
        <f>AO90+AP89</f>
        <v>27620154.421456054</v>
      </c>
      <c r="AQ90" s="967">
        <f t="shared" ref="AQ90:AT90" si="28">AP90+AQ89</f>
        <v>25647286.248494908</v>
      </c>
      <c r="AR90" s="967">
        <f t="shared" si="28"/>
        <v>23674418.075533763</v>
      </c>
      <c r="AS90" s="967">
        <f t="shared" si="28"/>
        <v>21701549.902572617</v>
      </c>
      <c r="AT90" s="967">
        <f t="shared" si="28"/>
        <v>19728681.729611471</v>
      </c>
      <c r="AU90" s="815"/>
    </row>
    <row r="91" spans="2:66" s="42" customFormat="1" x14ac:dyDescent="0.25">
      <c r="B91" s="845" t="s">
        <v>441</v>
      </c>
      <c r="C91" s="824">
        <v>0</v>
      </c>
      <c r="D91" s="824">
        <v>0</v>
      </c>
      <c r="E91" s="824">
        <v>0</v>
      </c>
      <c r="F91" s="824">
        <v>0</v>
      </c>
      <c r="G91" s="824">
        <f>SUM(G77:G81)+G83+G85+G87+G89</f>
        <v>-3190596.5206691762</v>
      </c>
      <c r="H91" s="824">
        <f t="shared" ref="H91:AT91" si="29">SUM(H77:H81)+H83+H85+H87+H89</f>
        <v>-3190596.5206691762</v>
      </c>
      <c r="I91" s="824">
        <f t="shared" si="29"/>
        <v>-3190596.5206691762</v>
      </c>
      <c r="J91" s="824">
        <f t="shared" si="29"/>
        <v>-3190596.5206691762</v>
      </c>
      <c r="K91" s="824">
        <f t="shared" si="29"/>
        <v>-3190596.5206691762</v>
      </c>
      <c r="L91" s="824">
        <f t="shared" si="29"/>
        <v>-3018004.6382407546</v>
      </c>
      <c r="M91" s="824">
        <f t="shared" si="29"/>
        <v>-3018004.6382407546</v>
      </c>
      <c r="N91" s="824">
        <f t="shared" si="29"/>
        <v>-3018004.6382407546</v>
      </c>
      <c r="O91" s="824">
        <f t="shared" si="29"/>
        <v>-3018004.6382407546</v>
      </c>
      <c r="P91" s="824">
        <f t="shared" si="29"/>
        <v>-3018004.6382407546</v>
      </c>
      <c r="Q91" s="824">
        <f t="shared" si="29"/>
        <v>-2730297.5196809703</v>
      </c>
      <c r="R91" s="824">
        <f t="shared" si="29"/>
        <v>-3089270.1647581775</v>
      </c>
      <c r="S91" s="824">
        <f t="shared" si="29"/>
        <v>-3089270.1647581775</v>
      </c>
      <c r="T91" s="824">
        <f t="shared" si="29"/>
        <v>-3089270.1647581775</v>
      </c>
      <c r="U91" s="824">
        <f t="shared" si="29"/>
        <v>-3089270.1647581775</v>
      </c>
      <c r="V91" s="824">
        <f t="shared" si="29"/>
        <v>-2321770.1453197817</v>
      </c>
      <c r="W91" s="824">
        <f t="shared" si="29"/>
        <v>-2321770.1453197817</v>
      </c>
      <c r="X91" s="824">
        <f t="shared" si="29"/>
        <v>-3400967.9714049036</v>
      </c>
      <c r="Y91" s="824">
        <f t="shared" si="29"/>
        <v>-3400967.9714049036</v>
      </c>
      <c r="Z91" s="824">
        <f t="shared" si="29"/>
        <v>-3400967.9714049036</v>
      </c>
      <c r="AA91" s="824">
        <f t="shared" si="29"/>
        <v>-3400967.9714049036</v>
      </c>
      <c r="AB91" s="824">
        <f t="shared" si="29"/>
        <v>-3400967.9714049036</v>
      </c>
      <c r="AC91" s="824">
        <f t="shared" si="29"/>
        <v>-3487432.5990548981</v>
      </c>
      <c r="AD91" s="824">
        <f t="shared" si="29"/>
        <v>-3487432.5990548981</v>
      </c>
      <c r="AE91" s="824">
        <f t="shared" si="29"/>
        <v>-3487432.5990548981</v>
      </c>
      <c r="AF91" s="824">
        <f t="shared" si="29"/>
        <v>-3487432.5990548981</v>
      </c>
      <c r="AG91" s="824">
        <f t="shared" si="29"/>
        <v>-3487432.5990548981</v>
      </c>
      <c r="AH91" s="824">
        <f t="shared" si="29"/>
        <v>-3487432.5990548981</v>
      </c>
      <c r="AI91" s="824">
        <f t="shared" si="29"/>
        <v>-3487432.5990548981</v>
      </c>
      <c r="AJ91" s="824">
        <f t="shared" si="29"/>
        <v>-3487432.5990548981</v>
      </c>
      <c r="AK91" s="824">
        <f t="shared" si="29"/>
        <v>-3487432.5990548981</v>
      </c>
      <c r="AL91" s="824">
        <f t="shared" si="29"/>
        <v>-3487432.5990548981</v>
      </c>
      <c r="AM91" s="824">
        <f t="shared" si="29"/>
        <v>-2408234.7729697763</v>
      </c>
      <c r="AN91" s="824">
        <f t="shared" si="29"/>
        <v>-1962797.5002425744</v>
      </c>
      <c r="AO91" s="824">
        <f t="shared" si="29"/>
        <v>-3935665.6732037212</v>
      </c>
      <c r="AP91" s="824">
        <f t="shared" si="29"/>
        <v>-3935665.6732037212</v>
      </c>
      <c r="AQ91" s="824">
        <f t="shared" si="29"/>
        <v>-3935665.6732037212</v>
      </c>
      <c r="AR91" s="824">
        <f t="shared" si="29"/>
        <v>-3935665.6732037212</v>
      </c>
      <c r="AS91" s="824">
        <f t="shared" si="29"/>
        <v>-3935665.6732037212</v>
      </c>
      <c r="AT91" s="824">
        <f t="shared" si="29"/>
        <v>-3935665.6732037212</v>
      </c>
      <c r="AU91" s="815"/>
    </row>
    <row r="92" spans="2:66" s="42" customFormat="1" x14ac:dyDescent="0.25">
      <c r="B92" s="833" t="s">
        <v>435</v>
      </c>
      <c r="C92" s="824">
        <f>C82+C86+C90</f>
        <v>0</v>
      </c>
      <c r="D92" s="824">
        <f t="shared" ref="D92:F92" si="30">D82+D86+D90</f>
        <v>0</v>
      </c>
      <c r="E92" s="824">
        <f t="shared" si="30"/>
        <v>0</v>
      </c>
      <c r="F92" s="824">
        <f t="shared" si="30"/>
        <v>0</v>
      </c>
      <c r="G92" s="824">
        <f>G82+G84+G86+G88+G90</f>
        <v>111877413.20910615</v>
      </c>
      <c r="H92" s="824">
        <f t="shared" ref="H92:AT92" si="31">H82+H84+H86+H88+H90</f>
        <v>108686816.68843697</v>
      </c>
      <c r="I92" s="824">
        <f t="shared" si="31"/>
        <v>105496220.16776779</v>
      </c>
      <c r="J92" s="824">
        <f t="shared" si="31"/>
        <v>102305623.64709862</v>
      </c>
      <c r="K92" s="824">
        <f t="shared" si="31"/>
        <v>99115027.126429439</v>
      </c>
      <c r="L92" s="824">
        <f t="shared" si="31"/>
        <v>96097022.488188684</v>
      </c>
      <c r="M92" s="824">
        <f t="shared" si="31"/>
        <v>93079017.849947929</v>
      </c>
      <c r="N92" s="824">
        <f t="shared" si="31"/>
        <v>90061013.211707175</v>
      </c>
      <c r="O92" s="824">
        <f t="shared" si="31"/>
        <v>87043008.57346642</v>
      </c>
      <c r="P92" s="824">
        <f t="shared" si="31"/>
        <v>84025003.935225666</v>
      </c>
      <c r="Q92" s="824">
        <f t="shared" si="31"/>
        <v>81294706.415544689</v>
      </c>
      <c r="R92" s="824">
        <f t="shared" si="31"/>
        <v>82154135.346635789</v>
      </c>
      <c r="S92" s="824">
        <f t="shared" si="31"/>
        <v>79064865.181877598</v>
      </c>
      <c r="T92" s="824">
        <f t="shared" si="31"/>
        <v>75975595.017119423</v>
      </c>
      <c r="U92" s="824">
        <f t="shared" si="31"/>
        <v>72886324.852361232</v>
      </c>
      <c r="V92" s="824">
        <f t="shared" si="31"/>
        <v>70564554.707041442</v>
      </c>
      <c r="W92" s="824">
        <f t="shared" si="31"/>
        <v>68242784.561721668</v>
      </c>
      <c r="X92" s="824">
        <f t="shared" si="31"/>
        <v>81029783.981593594</v>
      </c>
      <c r="Y92" s="824">
        <f t="shared" si="31"/>
        <v>77628816.010188699</v>
      </c>
      <c r="Z92" s="824">
        <f t="shared" si="31"/>
        <v>74227848.038783774</v>
      </c>
      <c r="AA92" s="824">
        <f t="shared" si="31"/>
        <v>70826880.067378879</v>
      </c>
      <c r="AB92" s="824">
        <f t="shared" si="31"/>
        <v>67425912.095973969</v>
      </c>
      <c r="AC92" s="824">
        <f t="shared" si="31"/>
        <v>68838289.496918291</v>
      </c>
      <c r="AD92" s="824">
        <f t="shared" si="31"/>
        <v>65350856.897863388</v>
      </c>
      <c r="AE92" s="824">
        <f t="shared" si="31"/>
        <v>61863424.298808493</v>
      </c>
      <c r="AF92" s="824">
        <f t="shared" si="31"/>
        <v>58375991.69975359</v>
      </c>
      <c r="AG92" s="824">
        <f t="shared" si="31"/>
        <v>54888559.100698687</v>
      </c>
      <c r="AH92" s="824">
        <f t="shared" si="31"/>
        <v>51401126.501643792</v>
      </c>
      <c r="AI92" s="824">
        <f t="shared" si="31"/>
        <v>47913693.902588889</v>
      </c>
      <c r="AJ92" s="824">
        <f t="shared" si="31"/>
        <v>44426261.303533986</v>
      </c>
      <c r="AK92" s="824">
        <f t="shared" si="31"/>
        <v>40938828.704479091</v>
      </c>
      <c r="AL92" s="824">
        <f t="shared" si="31"/>
        <v>37451396.105424188</v>
      </c>
      <c r="AM92" s="824">
        <f t="shared" si="31"/>
        <v>35043161.332454413</v>
      </c>
      <c r="AN92" s="824">
        <f t="shared" si="31"/>
        <v>33080363.832211837</v>
      </c>
      <c r="AO92" s="824">
        <f t="shared" si="31"/>
        <v>60710588.926386461</v>
      </c>
      <c r="AP92" s="824">
        <f t="shared" si="31"/>
        <v>56774923.253182739</v>
      </c>
      <c r="AQ92" s="824">
        <f t="shared" si="31"/>
        <v>52839257.579979017</v>
      </c>
      <c r="AR92" s="824">
        <f t="shared" si="31"/>
        <v>48903591.906775296</v>
      </c>
      <c r="AS92" s="824">
        <f t="shared" si="31"/>
        <v>44967926.233571574</v>
      </c>
      <c r="AT92" s="824">
        <f t="shared" si="31"/>
        <v>41032260.560367852</v>
      </c>
      <c r="AU92" s="815"/>
    </row>
    <row r="93" spans="2:66" x14ac:dyDescent="0.25">
      <c r="B93" s="481"/>
      <c r="C93" s="382"/>
      <c r="D93" s="382"/>
      <c r="E93" s="382"/>
      <c r="F93" s="382"/>
      <c r="G93" s="382"/>
      <c r="H93" s="382"/>
      <c r="I93" s="382"/>
      <c r="J93" s="382"/>
      <c r="K93" s="382"/>
      <c r="L93" s="382"/>
      <c r="M93" s="382"/>
      <c r="N93" s="382"/>
      <c r="O93" s="382"/>
      <c r="P93" s="382"/>
      <c r="Q93" s="382"/>
      <c r="R93" s="382"/>
      <c r="S93" s="382"/>
      <c r="T93" s="382"/>
      <c r="U93" s="382"/>
      <c r="V93" s="382"/>
      <c r="W93" s="382"/>
      <c r="X93" s="382"/>
      <c r="Y93" s="382"/>
      <c r="Z93" s="382"/>
      <c r="AA93" s="382"/>
      <c r="AB93" s="382"/>
      <c r="AC93" s="382"/>
      <c r="AD93" s="382"/>
      <c r="AE93" s="382"/>
      <c r="AF93" s="382"/>
      <c r="AG93" s="382"/>
      <c r="AH93" s="382"/>
      <c r="AI93" s="382"/>
      <c r="AJ93" s="382"/>
      <c r="AK93" s="382"/>
      <c r="AL93" s="382"/>
      <c r="AM93" s="382"/>
      <c r="AN93" s="382"/>
      <c r="AO93" s="382"/>
      <c r="AP93" s="382"/>
      <c r="AQ93" s="382"/>
      <c r="AR93" s="382"/>
      <c r="AS93" s="382"/>
      <c r="AT93" s="382"/>
      <c r="AU93" s="13"/>
    </row>
    <row r="94" spans="2:66" ht="13.8" thickBot="1" x14ac:dyDescent="0.3">
      <c r="B94" s="834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3"/>
    </row>
    <row r="95" spans="2:66" ht="14.4" x14ac:dyDescent="0.25">
      <c r="B95" s="835" t="s">
        <v>390</v>
      </c>
      <c r="C95" s="818"/>
      <c r="D95" s="818"/>
      <c r="E95" s="818"/>
      <c r="F95" s="818"/>
      <c r="G95" s="818"/>
      <c r="H95" s="818"/>
      <c r="I95" s="818"/>
      <c r="J95" s="818"/>
      <c r="K95" s="818"/>
      <c r="L95" s="818"/>
      <c r="M95" s="818"/>
      <c r="N95" s="818"/>
      <c r="O95" s="818"/>
      <c r="P95" s="818"/>
      <c r="Q95" s="818"/>
      <c r="R95" s="818"/>
      <c r="S95" s="818"/>
      <c r="T95" s="818"/>
      <c r="U95" s="818"/>
      <c r="V95" s="818"/>
      <c r="W95" s="818"/>
      <c r="X95" s="818"/>
      <c r="Y95" s="818"/>
      <c r="Z95" s="818"/>
      <c r="AA95" s="818"/>
      <c r="AB95" s="818"/>
      <c r="AC95" s="818"/>
      <c r="AD95" s="818"/>
      <c r="AE95" s="818"/>
      <c r="AF95" s="818"/>
      <c r="AG95" s="818"/>
      <c r="AH95" s="818"/>
      <c r="AI95" s="818"/>
      <c r="AJ95" s="818"/>
      <c r="AK95" s="818"/>
      <c r="AL95" s="818"/>
      <c r="AM95" s="818"/>
      <c r="AN95" s="818"/>
      <c r="AO95" s="818"/>
      <c r="AP95" s="818"/>
      <c r="AQ95" s="818"/>
      <c r="AR95" s="818"/>
      <c r="AS95" s="818"/>
      <c r="AT95" s="819"/>
      <c r="AU95" s="13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</row>
    <row r="96" spans="2:66" x14ac:dyDescent="0.25">
      <c r="B96" s="836" t="s">
        <v>391</v>
      </c>
      <c r="C96" s="268">
        <v>0</v>
      </c>
      <c r="D96" s="268">
        <v>0</v>
      </c>
      <c r="E96" s="268">
        <v>0</v>
      </c>
      <c r="F96" s="268">
        <v>0</v>
      </c>
      <c r="G96" s="268">
        <f>-G72</f>
        <v>-3489433.6493760138</v>
      </c>
      <c r="H96" s="268">
        <f t="shared" ref="H96:AT96" si="32">-H72</f>
        <v>-3864615.9241095837</v>
      </c>
      <c r="I96" s="268">
        <f t="shared" si="32"/>
        <v>-3667955.0526417415</v>
      </c>
      <c r="J96" s="268">
        <f t="shared" si="32"/>
        <v>-3754445.5924109258</v>
      </c>
      <c r="K96" s="268">
        <f t="shared" si="32"/>
        <v>-8581249.2635108829</v>
      </c>
      <c r="L96" s="268">
        <f t="shared" si="32"/>
        <v>-3933734.6730025862</v>
      </c>
      <c r="M96" s="268">
        <f t="shared" si="32"/>
        <v>-4026637.2762531824</v>
      </c>
      <c r="N96" s="268">
        <f t="shared" si="32"/>
        <v>-4121783.4832045212</v>
      </c>
      <c r="O96" s="268">
        <f t="shared" si="32"/>
        <v>-4219228.6557829175</v>
      </c>
      <c r="P96" s="268">
        <f t="shared" si="32"/>
        <v>-9525155.6981958821</v>
      </c>
      <c r="Q96" s="268">
        <f t="shared" si="32"/>
        <v>-4421244.3521579085</v>
      </c>
      <c r="R96" s="268">
        <f t="shared" si="32"/>
        <v>-4525932.7147169104</v>
      </c>
      <c r="S96" s="268">
        <f t="shared" si="32"/>
        <v>-4633155.7948184023</v>
      </c>
      <c r="T96" s="268">
        <f t="shared" si="32"/>
        <v>-4742976.2925206041</v>
      </c>
      <c r="U96" s="268">
        <f t="shared" si="32"/>
        <v>-10575689.81600501</v>
      </c>
      <c r="V96" s="268">
        <f t="shared" si="32"/>
        <v>-4970668.2950297529</v>
      </c>
      <c r="W96" s="268">
        <f t="shared" si="32"/>
        <v>-5088673.2772134263</v>
      </c>
      <c r="X96" s="268">
        <f t="shared" si="32"/>
        <v>-5209542.7163924491</v>
      </c>
      <c r="Y96" s="268">
        <f t="shared" si="32"/>
        <v>-5333347.6438662987</v>
      </c>
      <c r="Z96" s="268">
        <f t="shared" si="32"/>
        <v>-11745267.263724331</v>
      </c>
      <c r="AA96" s="268">
        <f t="shared" si="32"/>
        <v>-5590057.1209969632</v>
      </c>
      <c r="AB96" s="268">
        <f t="shared" si="32"/>
        <v>-5723112.9055465749</v>
      </c>
      <c r="AC96" s="268">
        <f t="shared" si="32"/>
        <v>-5859406.7445057584</v>
      </c>
      <c r="AD96" s="268">
        <f t="shared" si="32"/>
        <v>-5999019.1305208495</v>
      </c>
      <c r="AE96" s="268">
        <f t="shared" si="32"/>
        <v>-13047797.821644107</v>
      </c>
      <c r="AF96" s="268">
        <f t="shared" si="32"/>
        <v>-6288531.773346208</v>
      </c>
      <c r="AG96" s="268">
        <f t="shared" si="32"/>
        <v>-6438603.4340750668</v>
      </c>
      <c r="AH96" s="268">
        <f t="shared" si="32"/>
        <v>-6592336.5593562629</v>
      </c>
      <c r="AI96" s="268">
        <f t="shared" si="32"/>
        <v>-6749822.3895147499</v>
      </c>
      <c r="AJ96" s="268">
        <f t="shared" si="32"/>
        <v>-14498871.466441935</v>
      </c>
      <c r="AK96" s="268">
        <f t="shared" si="32"/>
        <v>-7076428.7815859448</v>
      </c>
      <c r="AL96" s="268">
        <f t="shared" si="32"/>
        <v>-7245743.6616738085</v>
      </c>
      <c r="AM96" s="268">
        <f t="shared" si="32"/>
        <v>-7419200.0078551713</v>
      </c>
      <c r="AN96" s="268">
        <f t="shared" si="32"/>
        <v>-7596901.2726635616</v>
      </c>
      <c r="AO96" s="268">
        <f t="shared" si="32"/>
        <v>-16115968.399872713</v>
      </c>
      <c r="AP96" s="268">
        <f t="shared" si="32"/>
        <v>-7965465.6146529177</v>
      </c>
      <c r="AQ96" s="268">
        <f t="shared" si="32"/>
        <v>-8156549.0501983799</v>
      </c>
      <c r="AR96" s="268">
        <f t="shared" si="32"/>
        <v>-8352318.2633171976</v>
      </c>
      <c r="AS96" s="268">
        <f t="shared" si="32"/>
        <v>-8552890.5865902863</v>
      </c>
      <c r="AT96" s="799">
        <f t="shared" si="32"/>
        <v>-17918696.229972437</v>
      </c>
      <c r="AU96" s="13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</row>
    <row r="97" spans="2:66" s="42" customFormat="1" ht="15" thickBot="1" x14ac:dyDescent="0.3">
      <c r="B97" s="842" t="s">
        <v>389</v>
      </c>
      <c r="C97" s="820"/>
      <c r="D97" s="820"/>
      <c r="E97" s="820"/>
      <c r="F97" s="820"/>
      <c r="G97" s="820">
        <f>G96</f>
        <v>-3489433.6493760138</v>
      </c>
      <c r="H97" s="820">
        <f t="shared" ref="H97:AT97" si="33">H96</f>
        <v>-3864615.9241095837</v>
      </c>
      <c r="I97" s="820">
        <f t="shared" si="33"/>
        <v>-3667955.0526417415</v>
      </c>
      <c r="J97" s="820">
        <f t="shared" si="33"/>
        <v>-3754445.5924109258</v>
      </c>
      <c r="K97" s="820">
        <f t="shared" si="33"/>
        <v>-8581249.2635108829</v>
      </c>
      <c r="L97" s="820">
        <f t="shared" si="33"/>
        <v>-3933734.6730025862</v>
      </c>
      <c r="M97" s="820">
        <f t="shared" si="33"/>
        <v>-4026637.2762531824</v>
      </c>
      <c r="N97" s="820">
        <f t="shared" si="33"/>
        <v>-4121783.4832045212</v>
      </c>
      <c r="O97" s="820">
        <f t="shared" si="33"/>
        <v>-4219228.6557829175</v>
      </c>
      <c r="P97" s="820">
        <f t="shared" si="33"/>
        <v>-9525155.6981958821</v>
      </c>
      <c r="Q97" s="820">
        <f t="shared" si="33"/>
        <v>-4421244.3521579085</v>
      </c>
      <c r="R97" s="820">
        <f t="shared" si="33"/>
        <v>-4525932.7147169104</v>
      </c>
      <c r="S97" s="820">
        <f t="shared" si="33"/>
        <v>-4633155.7948184023</v>
      </c>
      <c r="T97" s="820">
        <f t="shared" si="33"/>
        <v>-4742976.2925206041</v>
      </c>
      <c r="U97" s="820">
        <f t="shared" si="33"/>
        <v>-10575689.81600501</v>
      </c>
      <c r="V97" s="820">
        <f t="shared" si="33"/>
        <v>-4970668.2950297529</v>
      </c>
      <c r="W97" s="820">
        <f t="shared" si="33"/>
        <v>-5088673.2772134263</v>
      </c>
      <c r="X97" s="820">
        <f t="shared" si="33"/>
        <v>-5209542.7163924491</v>
      </c>
      <c r="Y97" s="820">
        <f t="shared" si="33"/>
        <v>-5333347.6438662987</v>
      </c>
      <c r="Z97" s="820">
        <f t="shared" si="33"/>
        <v>-11745267.263724331</v>
      </c>
      <c r="AA97" s="820">
        <f t="shared" si="33"/>
        <v>-5590057.1209969632</v>
      </c>
      <c r="AB97" s="820">
        <f t="shared" si="33"/>
        <v>-5723112.9055465749</v>
      </c>
      <c r="AC97" s="820">
        <f t="shared" si="33"/>
        <v>-5859406.7445057584</v>
      </c>
      <c r="AD97" s="820">
        <f t="shared" si="33"/>
        <v>-5999019.1305208495</v>
      </c>
      <c r="AE97" s="820">
        <f t="shared" si="33"/>
        <v>-13047797.821644107</v>
      </c>
      <c r="AF97" s="820">
        <f t="shared" si="33"/>
        <v>-6288531.773346208</v>
      </c>
      <c r="AG97" s="820">
        <f t="shared" si="33"/>
        <v>-6438603.4340750668</v>
      </c>
      <c r="AH97" s="820">
        <f t="shared" si="33"/>
        <v>-6592336.5593562629</v>
      </c>
      <c r="AI97" s="820">
        <f t="shared" si="33"/>
        <v>-6749822.3895147499</v>
      </c>
      <c r="AJ97" s="820">
        <f t="shared" si="33"/>
        <v>-14498871.466441935</v>
      </c>
      <c r="AK97" s="820">
        <f t="shared" si="33"/>
        <v>-7076428.7815859448</v>
      </c>
      <c r="AL97" s="820">
        <f t="shared" si="33"/>
        <v>-7245743.6616738085</v>
      </c>
      <c r="AM97" s="820">
        <f t="shared" si="33"/>
        <v>-7419200.0078551713</v>
      </c>
      <c r="AN97" s="820">
        <f t="shared" si="33"/>
        <v>-7596901.2726635616</v>
      </c>
      <c r="AO97" s="820">
        <f t="shared" si="33"/>
        <v>-16115968.399872713</v>
      </c>
      <c r="AP97" s="820">
        <f t="shared" si="33"/>
        <v>-7965465.6146529177</v>
      </c>
      <c r="AQ97" s="820">
        <f t="shared" si="33"/>
        <v>-8156549.0501983799</v>
      </c>
      <c r="AR97" s="820">
        <f t="shared" si="33"/>
        <v>-8352318.2633171976</v>
      </c>
      <c r="AS97" s="820">
        <f t="shared" si="33"/>
        <v>-8552890.5865902863</v>
      </c>
      <c r="AT97" s="821">
        <f t="shared" si="33"/>
        <v>-17918696.229972437</v>
      </c>
      <c r="AU97" s="817"/>
      <c r="AV97" s="686"/>
      <c r="AW97" s="686"/>
      <c r="AX97" s="686"/>
      <c r="AY97" s="686"/>
      <c r="AZ97" s="686"/>
      <c r="BA97" s="686"/>
      <c r="BB97" s="686"/>
      <c r="BC97" s="686"/>
      <c r="BD97" s="686"/>
      <c r="BE97" s="686"/>
      <c r="BF97" s="686"/>
      <c r="BG97" s="686"/>
      <c r="BH97" s="686"/>
      <c r="BI97" s="686"/>
      <c r="BJ97" s="686"/>
      <c r="BK97" s="686"/>
      <c r="BL97" s="686"/>
      <c r="BM97" s="686"/>
      <c r="BN97" s="686"/>
    </row>
    <row r="98" spans="2:66" s="42" customFormat="1" ht="15" thickBot="1" x14ac:dyDescent="0.3">
      <c r="B98" s="837"/>
      <c r="C98" s="824"/>
      <c r="D98" s="824"/>
      <c r="E98" s="824"/>
      <c r="F98" s="824"/>
      <c r="G98" s="824"/>
      <c r="H98" s="824"/>
      <c r="I98" s="824"/>
      <c r="J98" s="824"/>
      <c r="K98" s="824"/>
      <c r="L98" s="824"/>
      <c r="M98" s="824"/>
      <c r="N98" s="824"/>
      <c r="O98" s="824"/>
      <c r="P98" s="824"/>
      <c r="Q98" s="824"/>
      <c r="R98" s="824"/>
      <c r="S98" s="824"/>
      <c r="T98" s="824"/>
      <c r="U98" s="824"/>
      <c r="V98" s="824"/>
      <c r="W98" s="824"/>
      <c r="X98" s="824"/>
      <c r="Y98" s="824"/>
      <c r="Z98" s="824"/>
      <c r="AA98" s="824"/>
      <c r="AB98" s="824"/>
      <c r="AC98" s="824"/>
      <c r="AD98" s="824"/>
      <c r="AE98" s="824"/>
      <c r="AF98" s="824"/>
      <c r="AG98" s="824"/>
      <c r="AH98" s="824"/>
      <c r="AI98" s="824"/>
      <c r="AJ98" s="824"/>
      <c r="AK98" s="824"/>
      <c r="AL98" s="824"/>
      <c r="AM98" s="824"/>
      <c r="AN98" s="824"/>
      <c r="AO98" s="824"/>
      <c r="AP98" s="824"/>
      <c r="AQ98" s="824"/>
      <c r="AR98" s="824"/>
      <c r="AS98" s="824"/>
      <c r="AT98" s="824"/>
      <c r="AU98" s="817"/>
      <c r="AV98" s="686"/>
      <c r="AW98" s="686"/>
      <c r="AX98" s="686"/>
      <c r="AY98" s="686"/>
      <c r="AZ98" s="686"/>
      <c r="BA98" s="686"/>
      <c r="BB98" s="686"/>
      <c r="BC98" s="686"/>
      <c r="BD98" s="686"/>
      <c r="BE98" s="686"/>
      <c r="BF98" s="686"/>
      <c r="BG98" s="686"/>
      <c r="BH98" s="686"/>
      <c r="BI98" s="686"/>
      <c r="BJ98" s="686"/>
      <c r="BK98" s="686"/>
      <c r="BL98" s="686"/>
      <c r="BM98" s="686"/>
      <c r="BN98" s="686"/>
    </row>
    <row r="99" spans="2:66" ht="14.4" x14ac:dyDescent="0.25">
      <c r="B99" s="835" t="s">
        <v>392</v>
      </c>
      <c r="C99" s="818"/>
      <c r="D99" s="818"/>
      <c r="E99" s="818"/>
      <c r="F99" s="818"/>
      <c r="G99" s="818"/>
      <c r="H99" s="818"/>
      <c r="I99" s="818"/>
      <c r="J99" s="818"/>
      <c r="K99" s="818"/>
      <c r="L99" s="818"/>
      <c r="M99" s="818"/>
      <c r="N99" s="818"/>
      <c r="O99" s="818"/>
      <c r="P99" s="818"/>
      <c r="Q99" s="818"/>
      <c r="R99" s="818"/>
      <c r="S99" s="818"/>
      <c r="T99" s="818"/>
      <c r="U99" s="818"/>
      <c r="V99" s="818"/>
      <c r="W99" s="818"/>
      <c r="X99" s="818"/>
      <c r="Y99" s="818"/>
      <c r="Z99" s="818"/>
      <c r="AA99" s="818"/>
      <c r="AB99" s="818"/>
      <c r="AC99" s="818"/>
      <c r="AD99" s="818"/>
      <c r="AE99" s="818"/>
      <c r="AF99" s="818"/>
      <c r="AG99" s="818"/>
      <c r="AH99" s="818"/>
      <c r="AI99" s="818"/>
      <c r="AJ99" s="818"/>
      <c r="AK99" s="818"/>
      <c r="AL99" s="818"/>
      <c r="AM99" s="818"/>
      <c r="AN99" s="818"/>
      <c r="AO99" s="818"/>
      <c r="AP99" s="818"/>
      <c r="AQ99" s="818"/>
      <c r="AR99" s="818"/>
      <c r="AS99" s="818"/>
      <c r="AT99" s="819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</row>
    <row r="100" spans="2:66" x14ac:dyDescent="0.25">
      <c r="B100" s="836" t="s">
        <v>393</v>
      </c>
      <c r="C100" s="268">
        <v>0</v>
      </c>
      <c r="D100" s="268">
        <v>0</v>
      </c>
      <c r="E100" s="268">
        <v>0</v>
      </c>
      <c r="F100" s="268">
        <v>0</v>
      </c>
      <c r="G100" s="178">
        <f t="shared" ref="G100:AT100" si="34">G74</f>
        <v>2528575.2687484114</v>
      </c>
      <c r="H100" s="178">
        <f t="shared" si="34"/>
        <v>3371433.6916645495</v>
      </c>
      <c r="I100" s="178">
        <f t="shared" si="34"/>
        <v>3563090.3670530086</v>
      </c>
      <c r="J100" s="178">
        <f t="shared" si="34"/>
        <v>3601346.8094707318</v>
      </c>
      <c r="K100" s="178">
        <f t="shared" si="34"/>
        <v>3786643.2232647487</v>
      </c>
      <c r="L100" s="178">
        <f t="shared" si="34"/>
        <v>3826445.2259561485</v>
      </c>
      <c r="M100" s="178">
        <f t="shared" si="34"/>
        <v>4022443.6166849062</v>
      </c>
      <c r="N100" s="178">
        <f t="shared" si="34"/>
        <v>4034777.0573625462</v>
      </c>
      <c r="O100" s="178">
        <f t="shared" si="34"/>
        <v>4210613.762161009</v>
      </c>
      <c r="P100" s="178">
        <f t="shared" si="34"/>
        <v>4223445.4738420257</v>
      </c>
      <c r="Q100" s="178">
        <f t="shared" si="34"/>
        <v>4407422.7838181742</v>
      </c>
      <c r="R100" s="178">
        <f t="shared" si="34"/>
        <v>4420772.896651105</v>
      </c>
      <c r="S100" s="178">
        <f t="shared" si="34"/>
        <v>4617793.6539101424</v>
      </c>
      <c r="T100" s="178">
        <f t="shared" si="34"/>
        <v>4636215.186144474</v>
      </c>
      <c r="U100" s="178">
        <f t="shared" si="34"/>
        <v>4842684.0418013111</v>
      </c>
      <c r="V100" s="178">
        <f t="shared" si="34"/>
        <v>4861849.8039379092</v>
      </c>
      <c r="W100" s="178">
        <f t="shared" si="34"/>
        <v>5078208.5949439155</v>
      </c>
      <c r="X100" s="178">
        <f t="shared" si="34"/>
        <v>5120380.0959227486</v>
      </c>
      <c r="Y100" s="178">
        <f t="shared" si="34"/>
        <v>5371118.6814164072</v>
      </c>
      <c r="Z100" s="178">
        <f t="shared" si="34"/>
        <v>5414993.9110347852</v>
      </c>
      <c r="AA100" s="178">
        <f t="shared" si="34"/>
        <v>5679407.4539355505</v>
      </c>
      <c r="AB100" s="178">
        <f t="shared" si="34"/>
        <v>5725055.2428305121</v>
      </c>
      <c r="AC100" s="178">
        <f t="shared" si="34"/>
        <v>5956347.4746408649</v>
      </c>
      <c r="AD100" s="178">
        <f t="shared" si="34"/>
        <v>5956347.4746408649</v>
      </c>
      <c r="AE100" s="178">
        <f t="shared" si="34"/>
        <v>6196983.9126163553</v>
      </c>
      <c r="AF100" s="178">
        <f t="shared" si="34"/>
        <v>6196983.9126163553</v>
      </c>
      <c r="AG100" s="178">
        <f t="shared" si="34"/>
        <v>6447342.0626860568</v>
      </c>
      <c r="AH100" s="178">
        <f t="shared" si="34"/>
        <v>6447342.0626860568</v>
      </c>
      <c r="AI100" s="178">
        <f t="shared" si="34"/>
        <v>6707814.6820185725</v>
      </c>
      <c r="AJ100" s="178">
        <f t="shared" si="34"/>
        <v>6707814.6820185725</v>
      </c>
      <c r="AK100" s="178">
        <f t="shared" si="34"/>
        <v>6978810.3951721229</v>
      </c>
      <c r="AL100" s="178">
        <f t="shared" si="34"/>
        <v>6978810.3951721229</v>
      </c>
      <c r="AM100" s="178">
        <f t="shared" si="34"/>
        <v>7260754.3351370757</v>
      </c>
      <c r="AN100" s="178">
        <f t="shared" si="34"/>
        <v>7260754.3351370757</v>
      </c>
      <c r="AO100" s="178">
        <f t="shared" si="34"/>
        <v>7554088.8102766154</v>
      </c>
      <c r="AP100" s="178">
        <f t="shared" si="34"/>
        <v>7554088.8102766154</v>
      </c>
      <c r="AQ100" s="178">
        <f t="shared" si="34"/>
        <v>7859273.9982117899</v>
      </c>
      <c r="AR100" s="178">
        <f t="shared" si="34"/>
        <v>7859273.9982117899</v>
      </c>
      <c r="AS100" s="178">
        <f t="shared" si="34"/>
        <v>8176788.6677395469</v>
      </c>
      <c r="AT100" s="265">
        <f t="shared" si="34"/>
        <v>8176788.6677395469</v>
      </c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</row>
    <row r="101" spans="2:66" x14ac:dyDescent="0.25">
      <c r="B101" s="836" t="s">
        <v>394</v>
      </c>
      <c r="C101" s="268">
        <v>0</v>
      </c>
      <c r="D101" s="268">
        <v>0</v>
      </c>
      <c r="E101" s="268">
        <v>0</v>
      </c>
      <c r="F101" s="268">
        <v>0</v>
      </c>
      <c r="G101" s="178">
        <f t="shared" ref="G101:AT101" si="35">G75</f>
        <v>420000</v>
      </c>
      <c r="H101" s="178">
        <f t="shared" si="35"/>
        <v>428400</v>
      </c>
      <c r="I101" s="178">
        <f t="shared" si="35"/>
        <v>436968</v>
      </c>
      <c r="J101" s="178">
        <f t="shared" si="35"/>
        <v>445707.36</v>
      </c>
      <c r="K101" s="178">
        <f t="shared" si="35"/>
        <v>454621.50719999999</v>
      </c>
      <c r="L101" s="178">
        <f t="shared" si="35"/>
        <v>463713.93734400003</v>
      </c>
      <c r="M101" s="178">
        <f t="shared" si="35"/>
        <v>472988.21609088004</v>
      </c>
      <c r="N101" s="178">
        <f t="shared" si="35"/>
        <v>482447.98041269754</v>
      </c>
      <c r="O101" s="178">
        <f t="shared" si="35"/>
        <v>492096.9400209515</v>
      </c>
      <c r="P101" s="178">
        <f t="shared" si="35"/>
        <v>501938.87882137054</v>
      </c>
      <c r="Q101" s="178">
        <f t="shared" si="35"/>
        <v>511977.65639779798</v>
      </c>
      <c r="R101" s="178">
        <f t="shared" si="35"/>
        <v>522217.20952575386</v>
      </c>
      <c r="S101" s="178">
        <f t="shared" si="35"/>
        <v>532661.55371626897</v>
      </c>
      <c r="T101" s="178">
        <f t="shared" si="35"/>
        <v>543314.78479059436</v>
      </c>
      <c r="U101" s="178">
        <f t="shared" si="35"/>
        <v>554181.08048640634</v>
      </c>
      <c r="V101" s="178">
        <f t="shared" si="35"/>
        <v>565264.70209613431</v>
      </c>
      <c r="W101" s="178">
        <f t="shared" si="35"/>
        <v>576569.99613805709</v>
      </c>
      <c r="X101" s="178">
        <f t="shared" si="35"/>
        <v>588101.39606081822</v>
      </c>
      <c r="Y101" s="178">
        <f t="shared" si="35"/>
        <v>599863.42398203455</v>
      </c>
      <c r="Z101" s="178">
        <f t="shared" si="35"/>
        <v>611860.69246167527</v>
      </c>
      <c r="AA101" s="178">
        <f t="shared" si="35"/>
        <v>624097.90631090873</v>
      </c>
      <c r="AB101" s="178">
        <f t="shared" si="35"/>
        <v>636579.8644371269</v>
      </c>
      <c r="AC101" s="178">
        <f t="shared" si="35"/>
        <v>649311.46172586945</v>
      </c>
      <c r="AD101" s="178">
        <f t="shared" si="35"/>
        <v>662297.69096038677</v>
      </c>
      <c r="AE101" s="178">
        <f t="shared" si="35"/>
        <v>675543.6447795945</v>
      </c>
      <c r="AF101" s="178">
        <f t="shared" si="35"/>
        <v>689054.51767518639</v>
      </c>
      <c r="AG101" s="178">
        <f t="shared" si="35"/>
        <v>702835.60802869021</v>
      </c>
      <c r="AH101" s="178">
        <f t="shared" si="35"/>
        <v>716892.3201892639</v>
      </c>
      <c r="AI101" s="178">
        <f t="shared" si="35"/>
        <v>731230.1665930493</v>
      </c>
      <c r="AJ101" s="178">
        <f t="shared" si="35"/>
        <v>745854.76992491016</v>
      </c>
      <c r="AK101" s="178">
        <f t="shared" si="35"/>
        <v>760771.86532340851</v>
      </c>
      <c r="AL101" s="178">
        <f t="shared" si="35"/>
        <v>775987.30262987642</v>
      </c>
      <c r="AM101" s="178">
        <f t="shared" si="35"/>
        <v>791507.04868247418</v>
      </c>
      <c r="AN101" s="178">
        <f t="shared" si="35"/>
        <v>807337.18965612364</v>
      </c>
      <c r="AO101" s="178">
        <f t="shared" si="35"/>
        <v>823483.93344924611</v>
      </c>
      <c r="AP101" s="178">
        <f t="shared" si="35"/>
        <v>839953.61211823102</v>
      </c>
      <c r="AQ101" s="178">
        <f t="shared" si="35"/>
        <v>856752.68436059554</v>
      </c>
      <c r="AR101" s="178">
        <f t="shared" si="35"/>
        <v>873887.73804780759</v>
      </c>
      <c r="AS101" s="178">
        <f t="shared" si="35"/>
        <v>891365.49280876387</v>
      </c>
      <c r="AT101" s="265">
        <f t="shared" si="35"/>
        <v>909192.80266493873</v>
      </c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</row>
    <row r="102" spans="2:66" s="808" customFormat="1" ht="15" thickBot="1" x14ac:dyDescent="0.3">
      <c r="B102" s="842" t="s">
        <v>388</v>
      </c>
      <c r="C102" s="822">
        <v>0</v>
      </c>
      <c r="D102" s="822">
        <v>0</v>
      </c>
      <c r="E102" s="822">
        <v>0</v>
      </c>
      <c r="F102" s="822">
        <v>0</v>
      </c>
      <c r="G102" s="822">
        <f>G100+G101</f>
        <v>2948575.2687484114</v>
      </c>
      <c r="H102" s="822">
        <f t="shared" ref="H102:AT102" si="36">H100+H101</f>
        <v>3799833.6916645495</v>
      </c>
      <c r="I102" s="822">
        <f t="shared" si="36"/>
        <v>4000058.3670530086</v>
      </c>
      <c r="J102" s="822">
        <f t="shared" si="36"/>
        <v>4047054.1694707316</v>
      </c>
      <c r="K102" s="822">
        <f t="shared" si="36"/>
        <v>4241264.730464749</v>
      </c>
      <c r="L102" s="822">
        <f t="shared" si="36"/>
        <v>4290159.1633001482</v>
      </c>
      <c r="M102" s="822">
        <f t="shared" si="36"/>
        <v>4495431.8327757865</v>
      </c>
      <c r="N102" s="822">
        <f t="shared" si="36"/>
        <v>4517225.0377752436</v>
      </c>
      <c r="O102" s="822">
        <f t="shared" si="36"/>
        <v>4702710.7021819605</v>
      </c>
      <c r="P102" s="822">
        <f t="shared" si="36"/>
        <v>4725384.3526633959</v>
      </c>
      <c r="Q102" s="822">
        <f t="shared" si="36"/>
        <v>4919400.4402159723</v>
      </c>
      <c r="R102" s="822">
        <f t="shared" si="36"/>
        <v>4942990.1061768588</v>
      </c>
      <c r="S102" s="822">
        <f t="shared" si="36"/>
        <v>5150455.2076264117</v>
      </c>
      <c r="T102" s="822">
        <f t="shared" si="36"/>
        <v>5179529.9709350681</v>
      </c>
      <c r="U102" s="822">
        <f t="shared" si="36"/>
        <v>5396865.1222877176</v>
      </c>
      <c r="V102" s="822">
        <f t="shared" si="36"/>
        <v>5427114.5060340436</v>
      </c>
      <c r="W102" s="822">
        <f t="shared" si="36"/>
        <v>5654778.5910819722</v>
      </c>
      <c r="X102" s="822">
        <f t="shared" si="36"/>
        <v>5708481.4919835664</v>
      </c>
      <c r="Y102" s="822">
        <f t="shared" si="36"/>
        <v>5970982.1053984417</v>
      </c>
      <c r="Z102" s="822">
        <f t="shared" si="36"/>
        <v>6026854.6034964602</v>
      </c>
      <c r="AA102" s="822">
        <f t="shared" si="36"/>
        <v>6303505.360246459</v>
      </c>
      <c r="AB102" s="822">
        <f t="shared" si="36"/>
        <v>6361635.1072676387</v>
      </c>
      <c r="AC102" s="822">
        <f t="shared" si="36"/>
        <v>6605658.9363667341</v>
      </c>
      <c r="AD102" s="822">
        <f t="shared" si="36"/>
        <v>6618645.1656012516</v>
      </c>
      <c r="AE102" s="822">
        <f t="shared" si="36"/>
        <v>6872527.55739595</v>
      </c>
      <c r="AF102" s="822">
        <f t="shared" si="36"/>
        <v>6886038.4302915419</v>
      </c>
      <c r="AG102" s="822">
        <f t="shared" si="36"/>
        <v>7150177.6707147472</v>
      </c>
      <c r="AH102" s="822">
        <f t="shared" si="36"/>
        <v>7164234.3828753205</v>
      </c>
      <c r="AI102" s="822">
        <f t="shared" si="36"/>
        <v>7439044.8486116221</v>
      </c>
      <c r="AJ102" s="822">
        <f t="shared" si="36"/>
        <v>7453669.4519434823</v>
      </c>
      <c r="AK102" s="822">
        <f t="shared" si="36"/>
        <v>7739582.2604955314</v>
      </c>
      <c r="AL102" s="822">
        <f t="shared" si="36"/>
        <v>7754797.6978019997</v>
      </c>
      <c r="AM102" s="822">
        <f t="shared" si="36"/>
        <v>8052261.3838195503</v>
      </c>
      <c r="AN102" s="822">
        <f t="shared" si="36"/>
        <v>8068091.5247931993</v>
      </c>
      <c r="AO102" s="822">
        <f t="shared" si="36"/>
        <v>8377572.7437258614</v>
      </c>
      <c r="AP102" s="822">
        <f t="shared" si="36"/>
        <v>8394042.4223948456</v>
      </c>
      <c r="AQ102" s="822">
        <f t="shared" si="36"/>
        <v>8716026.6825723853</v>
      </c>
      <c r="AR102" s="822">
        <f t="shared" si="36"/>
        <v>8733161.7362595983</v>
      </c>
      <c r="AS102" s="822">
        <f t="shared" si="36"/>
        <v>9068154.1605483107</v>
      </c>
      <c r="AT102" s="823">
        <f t="shared" si="36"/>
        <v>9085981.4704044852</v>
      </c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</row>
    <row r="103" spans="2:66" ht="15" thickBot="1" x14ac:dyDescent="0.3">
      <c r="B103" s="838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</row>
    <row r="104" spans="2:66" s="810" customFormat="1" ht="15" thickBot="1" x14ac:dyDescent="0.3">
      <c r="B104" s="843" t="s">
        <v>387</v>
      </c>
      <c r="C104" s="825"/>
      <c r="D104" s="825"/>
      <c r="E104" s="825"/>
      <c r="F104" s="825"/>
      <c r="G104" s="826">
        <f>G102+G97</f>
        <v>-540858.38062760234</v>
      </c>
      <c r="H104" s="826">
        <f t="shared" ref="H104:AT104" si="37">H102+H97</f>
        <v>-64782.232445034198</v>
      </c>
      <c r="I104" s="826">
        <f t="shared" si="37"/>
        <v>332103.31441126717</v>
      </c>
      <c r="J104" s="826">
        <f t="shared" si="37"/>
        <v>292608.57705980586</v>
      </c>
      <c r="K104" s="826">
        <f t="shared" si="37"/>
        <v>-4339984.5330461338</v>
      </c>
      <c r="L104" s="826">
        <f t="shared" si="37"/>
        <v>356424.49029756198</v>
      </c>
      <c r="M104" s="826">
        <f t="shared" si="37"/>
        <v>468794.55652260408</v>
      </c>
      <c r="N104" s="826">
        <f t="shared" si="37"/>
        <v>395441.55457072239</v>
      </c>
      <c r="O104" s="826">
        <f t="shared" si="37"/>
        <v>483482.04639904294</v>
      </c>
      <c r="P104" s="826">
        <f t="shared" si="37"/>
        <v>-4799771.3455324862</v>
      </c>
      <c r="Q104" s="826">
        <f t="shared" si="37"/>
        <v>498156.08805806376</v>
      </c>
      <c r="R104" s="826">
        <f t="shared" si="37"/>
        <v>417057.39145994838</v>
      </c>
      <c r="S104" s="826">
        <f t="shared" si="37"/>
        <v>517299.41280800942</v>
      </c>
      <c r="T104" s="826">
        <f t="shared" si="37"/>
        <v>436553.678414464</v>
      </c>
      <c r="U104" s="826">
        <f t="shared" si="37"/>
        <v>-5178824.6937172925</v>
      </c>
      <c r="V104" s="826">
        <f t="shared" si="37"/>
        <v>456446.21100429073</v>
      </c>
      <c r="W104" s="826">
        <f t="shared" si="37"/>
        <v>566105.31386854593</v>
      </c>
      <c r="X104" s="826">
        <f t="shared" si="37"/>
        <v>498938.77559111733</v>
      </c>
      <c r="Y104" s="826">
        <f t="shared" si="37"/>
        <v>637634.46153214294</v>
      </c>
      <c r="Z104" s="826">
        <f t="shared" si="37"/>
        <v>-5718412.6602278706</v>
      </c>
      <c r="AA104" s="826">
        <f t="shared" si="37"/>
        <v>713448.23924949579</v>
      </c>
      <c r="AB104" s="826">
        <f t="shared" si="37"/>
        <v>638522.20172106382</v>
      </c>
      <c r="AC104" s="826">
        <f t="shared" si="37"/>
        <v>746252.1918609757</v>
      </c>
      <c r="AD104" s="826">
        <f t="shared" si="37"/>
        <v>619626.03508040216</v>
      </c>
      <c r="AE104" s="826">
        <f t="shared" si="37"/>
        <v>-6175270.2642481569</v>
      </c>
      <c r="AF104" s="826">
        <f t="shared" si="37"/>
        <v>597506.65694533382</v>
      </c>
      <c r="AG104" s="826">
        <f t="shared" si="37"/>
        <v>711574.23663968034</v>
      </c>
      <c r="AH104" s="826">
        <f t="shared" si="37"/>
        <v>571897.82351905759</v>
      </c>
      <c r="AI104" s="826">
        <f t="shared" si="37"/>
        <v>689222.45909687225</v>
      </c>
      <c r="AJ104" s="826">
        <f t="shared" si="37"/>
        <v>-7045202.0144984527</v>
      </c>
      <c r="AK104" s="826">
        <f t="shared" si="37"/>
        <v>663153.47890958656</v>
      </c>
      <c r="AL104" s="826">
        <f t="shared" si="37"/>
        <v>509054.03612819128</v>
      </c>
      <c r="AM104" s="826">
        <f t="shared" si="37"/>
        <v>633061.37596437894</v>
      </c>
      <c r="AN104" s="826">
        <f t="shared" si="37"/>
        <v>471190.25212963764</v>
      </c>
      <c r="AO104" s="826">
        <f t="shared" si="37"/>
        <v>-7738395.6561468514</v>
      </c>
      <c r="AP104" s="826">
        <f t="shared" si="37"/>
        <v>428576.80774192791</v>
      </c>
      <c r="AQ104" s="826">
        <f t="shared" si="37"/>
        <v>559477.63237400539</v>
      </c>
      <c r="AR104" s="826">
        <f t="shared" si="37"/>
        <v>380843.47294240072</v>
      </c>
      <c r="AS104" s="826">
        <f t="shared" si="37"/>
        <v>515263.57395802438</v>
      </c>
      <c r="AT104" s="827">
        <f t="shared" si="37"/>
        <v>-8832714.7595679518</v>
      </c>
      <c r="AU104" s="523"/>
      <c r="AV104" s="523"/>
      <c r="AW104" s="523"/>
      <c r="AX104" s="523"/>
      <c r="AY104" s="523"/>
      <c r="AZ104" s="523"/>
      <c r="BA104" s="523"/>
      <c r="BB104" s="523"/>
      <c r="BC104" s="523"/>
      <c r="BD104" s="523"/>
      <c r="BE104" s="523"/>
      <c r="BF104" s="523"/>
      <c r="BG104" s="523"/>
      <c r="BH104" s="523"/>
      <c r="BI104" s="523"/>
      <c r="BJ104" s="523"/>
      <c r="BK104" s="523"/>
      <c r="BL104" s="523"/>
      <c r="BM104" s="523"/>
      <c r="BN104" s="523"/>
    </row>
    <row r="105" spans="2:66" s="810" customFormat="1" ht="15" thickBot="1" x14ac:dyDescent="0.3">
      <c r="B105" s="839"/>
      <c r="C105" s="801"/>
      <c r="D105" s="801"/>
      <c r="E105" s="801"/>
      <c r="F105" s="801"/>
      <c r="G105" s="824"/>
      <c r="H105" s="824"/>
      <c r="I105" s="824"/>
      <c r="J105" s="824"/>
      <c r="K105" s="824"/>
      <c r="L105" s="824"/>
      <c r="M105" s="824"/>
      <c r="N105" s="824"/>
      <c r="O105" s="824"/>
      <c r="P105" s="824"/>
      <c r="Q105" s="824"/>
      <c r="R105" s="824"/>
      <c r="S105" s="824"/>
      <c r="T105" s="824"/>
      <c r="U105" s="824"/>
      <c r="V105" s="824"/>
      <c r="W105" s="824"/>
      <c r="X105" s="824"/>
      <c r="Y105" s="824"/>
      <c r="Z105" s="824"/>
      <c r="AA105" s="824"/>
      <c r="AB105" s="824"/>
      <c r="AC105" s="824"/>
      <c r="AD105" s="824"/>
      <c r="AE105" s="824"/>
      <c r="AF105" s="824"/>
      <c r="AG105" s="824"/>
      <c r="AH105" s="824"/>
      <c r="AI105" s="824"/>
      <c r="AJ105" s="824"/>
      <c r="AK105" s="824"/>
      <c r="AL105" s="824"/>
      <c r="AM105" s="824"/>
      <c r="AN105" s="824"/>
      <c r="AO105" s="824"/>
      <c r="AP105" s="824"/>
      <c r="AQ105" s="824"/>
      <c r="AR105" s="824"/>
      <c r="AS105" s="824"/>
      <c r="AT105" s="824"/>
      <c r="AU105" s="523"/>
      <c r="AV105" s="523"/>
      <c r="AW105" s="523"/>
      <c r="AX105" s="523"/>
      <c r="AY105" s="523"/>
      <c r="AZ105" s="523"/>
      <c r="BA105" s="523"/>
      <c r="BB105" s="523"/>
      <c r="BC105" s="523"/>
      <c r="BD105" s="523"/>
      <c r="BE105" s="523"/>
      <c r="BF105" s="523"/>
      <c r="BG105" s="523"/>
      <c r="BH105" s="523"/>
      <c r="BI105" s="523"/>
      <c r="BJ105" s="523"/>
      <c r="BK105" s="523"/>
      <c r="BL105" s="523"/>
      <c r="BM105" s="523"/>
      <c r="BN105" s="523"/>
    </row>
    <row r="106" spans="2:66" ht="14.4" x14ac:dyDescent="0.25">
      <c r="B106" s="835" t="s">
        <v>397</v>
      </c>
      <c r="C106" s="818"/>
      <c r="D106" s="818"/>
      <c r="E106" s="818"/>
      <c r="F106" s="818"/>
      <c r="G106" s="818"/>
      <c r="H106" s="818"/>
      <c r="I106" s="818"/>
      <c r="J106" s="818"/>
      <c r="K106" s="818"/>
      <c r="L106" s="818"/>
      <c r="M106" s="818"/>
      <c r="N106" s="818"/>
      <c r="O106" s="818"/>
      <c r="P106" s="818"/>
      <c r="Q106" s="818"/>
      <c r="R106" s="818"/>
      <c r="S106" s="818"/>
      <c r="T106" s="818"/>
      <c r="U106" s="818"/>
      <c r="V106" s="818"/>
      <c r="W106" s="818"/>
      <c r="X106" s="818"/>
      <c r="Y106" s="818"/>
      <c r="Z106" s="818"/>
      <c r="AA106" s="818"/>
      <c r="AB106" s="818"/>
      <c r="AC106" s="818"/>
      <c r="AD106" s="818"/>
      <c r="AE106" s="818"/>
      <c r="AF106" s="818"/>
      <c r="AG106" s="818"/>
      <c r="AH106" s="818"/>
      <c r="AI106" s="818"/>
      <c r="AJ106" s="818"/>
      <c r="AK106" s="818"/>
      <c r="AL106" s="818"/>
      <c r="AM106" s="818"/>
      <c r="AN106" s="818"/>
      <c r="AO106" s="818"/>
      <c r="AP106" s="818"/>
      <c r="AQ106" s="818"/>
      <c r="AR106" s="818"/>
      <c r="AS106" s="818"/>
      <c r="AT106" s="819"/>
      <c r="AU106" s="166"/>
      <c r="AV106" s="166"/>
      <c r="AW106" s="166"/>
      <c r="AX106" s="166"/>
      <c r="AY106" s="166"/>
      <c r="AZ106" s="166"/>
      <c r="BA106" s="166"/>
      <c r="BB106" s="166"/>
      <c r="BC106" s="166"/>
      <c r="BD106" s="166"/>
      <c r="BE106" s="166"/>
      <c r="BF106" s="166"/>
      <c r="BG106" s="166"/>
      <c r="BH106" s="166"/>
      <c r="BI106" s="166"/>
      <c r="BJ106" s="166"/>
      <c r="BK106" s="166"/>
      <c r="BL106" s="166"/>
      <c r="BM106" s="166"/>
      <c r="BN106" s="166"/>
    </row>
    <row r="107" spans="2:66" x14ac:dyDescent="0.25">
      <c r="B107" s="836" t="s">
        <v>442</v>
      </c>
      <c r="C107" s="268">
        <v>0</v>
      </c>
      <c r="D107" s="268">
        <v>0</v>
      </c>
      <c r="E107" s="268">
        <v>0</v>
      </c>
      <c r="F107" s="268">
        <v>0</v>
      </c>
      <c r="G107" s="178">
        <f>G104</f>
        <v>-540858.38062760234</v>
      </c>
      <c r="H107" s="178">
        <f t="shared" ref="H107:AT107" si="38">H104</f>
        <v>-64782.232445034198</v>
      </c>
      <c r="I107" s="178">
        <f t="shared" si="38"/>
        <v>332103.31441126717</v>
      </c>
      <c r="J107" s="178">
        <f t="shared" si="38"/>
        <v>292608.57705980586</v>
      </c>
      <c r="K107" s="178">
        <f t="shared" si="38"/>
        <v>-4339984.5330461338</v>
      </c>
      <c r="L107" s="178">
        <f t="shared" si="38"/>
        <v>356424.49029756198</v>
      </c>
      <c r="M107" s="178">
        <f t="shared" si="38"/>
        <v>468794.55652260408</v>
      </c>
      <c r="N107" s="178">
        <f t="shared" si="38"/>
        <v>395441.55457072239</v>
      </c>
      <c r="O107" s="178">
        <f t="shared" si="38"/>
        <v>483482.04639904294</v>
      </c>
      <c r="P107" s="178">
        <f t="shared" si="38"/>
        <v>-4799771.3455324862</v>
      </c>
      <c r="Q107" s="178">
        <f t="shared" si="38"/>
        <v>498156.08805806376</v>
      </c>
      <c r="R107" s="178">
        <f t="shared" si="38"/>
        <v>417057.39145994838</v>
      </c>
      <c r="S107" s="178">
        <f t="shared" si="38"/>
        <v>517299.41280800942</v>
      </c>
      <c r="T107" s="178">
        <f t="shared" si="38"/>
        <v>436553.678414464</v>
      </c>
      <c r="U107" s="178">
        <f t="shared" si="38"/>
        <v>-5178824.6937172925</v>
      </c>
      <c r="V107" s="178">
        <f t="shared" si="38"/>
        <v>456446.21100429073</v>
      </c>
      <c r="W107" s="178">
        <f t="shared" si="38"/>
        <v>566105.31386854593</v>
      </c>
      <c r="X107" s="178">
        <f t="shared" si="38"/>
        <v>498938.77559111733</v>
      </c>
      <c r="Y107" s="178">
        <f t="shared" si="38"/>
        <v>637634.46153214294</v>
      </c>
      <c r="Z107" s="178">
        <f t="shared" si="38"/>
        <v>-5718412.6602278706</v>
      </c>
      <c r="AA107" s="178">
        <f t="shared" si="38"/>
        <v>713448.23924949579</v>
      </c>
      <c r="AB107" s="178">
        <f t="shared" si="38"/>
        <v>638522.20172106382</v>
      </c>
      <c r="AC107" s="178">
        <f t="shared" si="38"/>
        <v>746252.1918609757</v>
      </c>
      <c r="AD107" s="178">
        <f t="shared" si="38"/>
        <v>619626.03508040216</v>
      </c>
      <c r="AE107" s="178">
        <f t="shared" si="38"/>
        <v>-6175270.2642481569</v>
      </c>
      <c r="AF107" s="178">
        <f t="shared" si="38"/>
        <v>597506.65694533382</v>
      </c>
      <c r="AG107" s="178">
        <f t="shared" si="38"/>
        <v>711574.23663968034</v>
      </c>
      <c r="AH107" s="178">
        <f t="shared" si="38"/>
        <v>571897.82351905759</v>
      </c>
      <c r="AI107" s="178">
        <f t="shared" si="38"/>
        <v>689222.45909687225</v>
      </c>
      <c r="AJ107" s="178">
        <f t="shared" si="38"/>
        <v>-7045202.0144984527</v>
      </c>
      <c r="AK107" s="178">
        <f t="shared" si="38"/>
        <v>663153.47890958656</v>
      </c>
      <c r="AL107" s="178">
        <f t="shared" si="38"/>
        <v>509054.03612819128</v>
      </c>
      <c r="AM107" s="178">
        <f t="shared" si="38"/>
        <v>633061.37596437894</v>
      </c>
      <c r="AN107" s="178">
        <f t="shared" si="38"/>
        <v>471190.25212963764</v>
      </c>
      <c r="AO107" s="178">
        <f t="shared" si="38"/>
        <v>-7738395.6561468514</v>
      </c>
      <c r="AP107" s="178">
        <f t="shared" si="38"/>
        <v>428576.80774192791</v>
      </c>
      <c r="AQ107" s="178">
        <f t="shared" si="38"/>
        <v>559477.63237400539</v>
      </c>
      <c r="AR107" s="178">
        <f t="shared" si="38"/>
        <v>380843.47294240072</v>
      </c>
      <c r="AS107" s="178">
        <f t="shared" si="38"/>
        <v>515263.57395802438</v>
      </c>
      <c r="AT107" s="265">
        <f t="shared" si="38"/>
        <v>-8832714.7595679518</v>
      </c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66"/>
      <c r="BL107" s="166"/>
      <c r="BM107" s="166"/>
      <c r="BN107" s="166"/>
    </row>
    <row r="108" spans="2:66" x14ac:dyDescent="0.25">
      <c r="B108" s="836" t="s">
        <v>440</v>
      </c>
      <c r="C108" s="268">
        <v>0</v>
      </c>
      <c r="D108" s="268">
        <v>0</v>
      </c>
      <c r="E108" s="268">
        <v>0</v>
      </c>
      <c r="F108" s="268">
        <v>0</v>
      </c>
      <c r="G108" s="178">
        <f>IF(G107&gt;0,-$C$23*G107,0)</f>
        <v>0</v>
      </c>
      <c r="H108" s="178">
        <f t="shared" ref="H108:AT108" si="39">IF(H107&gt;0,-$C$23*H107,0)</f>
        <v>0</v>
      </c>
      <c r="I108" s="178">
        <f t="shared" si="39"/>
        <v>0</v>
      </c>
      <c r="J108" s="178">
        <f t="shared" si="39"/>
        <v>0</v>
      </c>
      <c r="K108" s="178">
        <f t="shared" si="39"/>
        <v>0</v>
      </c>
      <c r="L108" s="178">
        <f t="shared" si="39"/>
        <v>0</v>
      </c>
      <c r="M108" s="178">
        <f t="shared" si="39"/>
        <v>0</v>
      </c>
      <c r="N108" s="178">
        <f t="shared" si="39"/>
        <v>0</v>
      </c>
      <c r="O108" s="178">
        <f t="shared" si="39"/>
        <v>0</v>
      </c>
      <c r="P108" s="178">
        <f t="shared" si="39"/>
        <v>0</v>
      </c>
      <c r="Q108" s="178">
        <f t="shared" si="39"/>
        <v>0</v>
      </c>
      <c r="R108" s="178">
        <f t="shared" si="39"/>
        <v>0</v>
      </c>
      <c r="S108" s="178">
        <f t="shared" si="39"/>
        <v>0</v>
      </c>
      <c r="T108" s="178">
        <f t="shared" si="39"/>
        <v>0</v>
      </c>
      <c r="U108" s="178">
        <f t="shared" si="39"/>
        <v>0</v>
      </c>
      <c r="V108" s="178">
        <f t="shared" si="39"/>
        <v>0</v>
      </c>
      <c r="W108" s="178">
        <f t="shared" si="39"/>
        <v>0</v>
      </c>
      <c r="X108" s="178">
        <f t="shared" si="39"/>
        <v>0</v>
      </c>
      <c r="Y108" s="178">
        <f t="shared" si="39"/>
        <v>0</v>
      </c>
      <c r="Z108" s="178">
        <f t="shared" si="39"/>
        <v>0</v>
      </c>
      <c r="AA108" s="178">
        <f t="shared" si="39"/>
        <v>0</v>
      </c>
      <c r="AB108" s="178">
        <f t="shared" si="39"/>
        <v>0</v>
      </c>
      <c r="AC108" s="178">
        <f t="shared" si="39"/>
        <v>0</v>
      </c>
      <c r="AD108" s="178">
        <f t="shared" si="39"/>
        <v>0</v>
      </c>
      <c r="AE108" s="178">
        <f t="shared" si="39"/>
        <v>0</v>
      </c>
      <c r="AF108" s="178">
        <f t="shared" si="39"/>
        <v>0</v>
      </c>
      <c r="AG108" s="178">
        <f t="shared" si="39"/>
        <v>0</v>
      </c>
      <c r="AH108" s="178">
        <f t="shared" si="39"/>
        <v>0</v>
      </c>
      <c r="AI108" s="178">
        <f t="shared" si="39"/>
        <v>0</v>
      </c>
      <c r="AJ108" s="178">
        <f t="shared" si="39"/>
        <v>0</v>
      </c>
      <c r="AK108" s="178">
        <f t="shared" si="39"/>
        <v>0</v>
      </c>
      <c r="AL108" s="178">
        <f t="shared" si="39"/>
        <v>0</v>
      </c>
      <c r="AM108" s="178">
        <f t="shared" si="39"/>
        <v>0</v>
      </c>
      <c r="AN108" s="178">
        <f t="shared" si="39"/>
        <v>0</v>
      </c>
      <c r="AO108" s="178">
        <f t="shared" si="39"/>
        <v>0</v>
      </c>
      <c r="AP108" s="178">
        <f t="shared" si="39"/>
        <v>0</v>
      </c>
      <c r="AQ108" s="178">
        <f t="shared" si="39"/>
        <v>0</v>
      </c>
      <c r="AR108" s="178">
        <f t="shared" si="39"/>
        <v>0</v>
      </c>
      <c r="AS108" s="178">
        <f t="shared" si="39"/>
        <v>0</v>
      </c>
      <c r="AT108" s="265">
        <f t="shared" si="39"/>
        <v>0</v>
      </c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6"/>
      <c r="BJ108" s="166"/>
      <c r="BK108" s="166"/>
      <c r="BL108" s="166"/>
      <c r="BM108" s="166"/>
      <c r="BN108" s="166"/>
    </row>
    <row r="109" spans="2:66" ht="14.4" x14ac:dyDescent="0.25">
      <c r="B109" s="840" t="s">
        <v>175</v>
      </c>
      <c r="C109" s="800">
        <v>0</v>
      </c>
      <c r="D109" s="800">
        <v>0</v>
      </c>
      <c r="E109" s="800">
        <v>0</v>
      </c>
      <c r="F109" s="800">
        <v>0</v>
      </c>
      <c r="G109" s="261">
        <f>G91</f>
        <v>-3190596.5206691762</v>
      </c>
      <c r="H109" s="261">
        <f t="shared" ref="H109:AT109" si="40">H91</f>
        <v>-3190596.5206691762</v>
      </c>
      <c r="I109" s="261">
        <f t="shared" si="40"/>
        <v>-3190596.5206691762</v>
      </c>
      <c r="J109" s="261">
        <f t="shared" si="40"/>
        <v>-3190596.5206691762</v>
      </c>
      <c r="K109" s="261">
        <f t="shared" si="40"/>
        <v>-3190596.5206691762</v>
      </c>
      <c r="L109" s="261">
        <f t="shared" si="40"/>
        <v>-3018004.6382407546</v>
      </c>
      <c r="M109" s="261">
        <f t="shared" si="40"/>
        <v>-3018004.6382407546</v>
      </c>
      <c r="N109" s="261">
        <f t="shared" si="40"/>
        <v>-3018004.6382407546</v>
      </c>
      <c r="O109" s="261">
        <f t="shared" si="40"/>
        <v>-3018004.6382407546</v>
      </c>
      <c r="P109" s="261">
        <f t="shared" si="40"/>
        <v>-3018004.6382407546</v>
      </c>
      <c r="Q109" s="261">
        <f t="shared" si="40"/>
        <v>-2730297.5196809703</v>
      </c>
      <c r="R109" s="261">
        <f t="shared" si="40"/>
        <v>-3089270.1647581775</v>
      </c>
      <c r="S109" s="261">
        <f t="shared" si="40"/>
        <v>-3089270.1647581775</v>
      </c>
      <c r="T109" s="261">
        <f t="shared" si="40"/>
        <v>-3089270.1647581775</v>
      </c>
      <c r="U109" s="261">
        <f t="shared" si="40"/>
        <v>-3089270.1647581775</v>
      </c>
      <c r="V109" s="261">
        <f t="shared" si="40"/>
        <v>-2321770.1453197817</v>
      </c>
      <c r="W109" s="261">
        <f t="shared" si="40"/>
        <v>-2321770.1453197817</v>
      </c>
      <c r="X109" s="261">
        <f t="shared" si="40"/>
        <v>-3400967.9714049036</v>
      </c>
      <c r="Y109" s="261">
        <f t="shared" si="40"/>
        <v>-3400967.9714049036</v>
      </c>
      <c r="Z109" s="261">
        <f t="shared" si="40"/>
        <v>-3400967.9714049036</v>
      </c>
      <c r="AA109" s="261">
        <f t="shared" si="40"/>
        <v>-3400967.9714049036</v>
      </c>
      <c r="AB109" s="261">
        <f t="shared" si="40"/>
        <v>-3400967.9714049036</v>
      </c>
      <c r="AC109" s="261">
        <f t="shared" si="40"/>
        <v>-3487432.5990548981</v>
      </c>
      <c r="AD109" s="261">
        <f t="shared" si="40"/>
        <v>-3487432.5990548981</v>
      </c>
      <c r="AE109" s="261">
        <f t="shared" si="40"/>
        <v>-3487432.5990548981</v>
      </c>
      <c r="AF109" s="261">
        <f t="shared" si="40"/>
        <v>-3487432.5990548981</v>
      </c>
      <c r="AG109" s="261">
        <f t="shared" si="40"/>
        <v>-3487432.5990548981</v>
      </c>
      <c r="AH109" s="261">
        <f t="shared" si="40"/>
        <v>-3487432.5990548981</v>
      </c>
      <c r="AI109" s="261">
        <f t="shared" si="40"/>
        <v>-3487432.5990548981</v>
      </c>
      <c r="AJ109" s="261">
        <f t="shared" si="40"/>
        <v>-3487432.5990548981</v>
      </c>
      <c r="AK109" s="261">
        <f t="shared" si="40"/>
        <v>-3487432.5990548981</v>
      </c>
      <c r="AL109" s="261">
        <f t="shared" si="40"/>
        <v>-3487432.5990548981</v>
      </c>
      <c r="AM109" s="261">
        <f t="shared" si="40"/>
        <v>-2408234.7729697763</v>
      </c>
      <c r="AN109" s="261">
        <f t="shared" si="40"/>
        <v>-1962797.5002425744</v>
      </c>
      <c r="AO109" s="261">
        <f t="shared" si="40"/>
        <v>-3935665.6732037212</v>
      </c>
      <c r="AP109" s="261">
        <f t="shared" si="40"/>
        <v>-3935665.6732037212</v>
      </c>
      <c r="AQ109" s="261">
        <f t="shared" si="40"/>
        <v>-3935665.6732037212</v>
      </c>
      <c r="AR109" s="261">
        <f t="shared" si="40"/>
        <v>-3935665.6732037212</v>
      </c>
      <c r="AS109" s="261">
        <f t="shared" si="40"/>
        <v>-3935665.6732037212</v>
      </c>
      <c r="AT109" s="266">
        <f t="shared" si="40"/>
        <v>-3935665.6732037212</v>
      </c>
      <c r="AU109" s="166"/>
      <c r="AV109" s="166"/>
      <c r="AW109" s="166"/>
      <c r="AX109" s="166"/>
      <c r="AY109" s="166"/>
      <c r="AZ109" s="166"/>
      <c r="BA109" s="166"/>
      <c r="BB109" s="166"/>
      <c r="BC109" s="166"/>
      <c r="BD109" s="166"/>
      <c r="BE109" s="166"/>
      <c r="BF109" s="166"/>
      <c r="BG109" s="166"/>
      <c r="BH109" s="166"/>
      <c r="BI109" s="166"/>
      <c r="BJ109" s="166"/>
      <c r="BK109" s="166"/>
      <c r="BL109" s="166"/>
      <c r="BM109" s="166"/>
      <c r="BN109" s="166"/>
    </row>
    <row r="110" spans="2:66" x14ac:dyDescent="0.25">
      <c r="B110" s="836" t="s">
        <v>444</v>
      </c>
      <c r="C110" s="268">
        <v>0</v>
      </c>
      <c r="D110" s="268">
        <v>0</v>
      </c>
      <c r="E110" s="268">
        <v>0</v>
      </c>
      <c r="F110" s="268">
        <v>0</v>
      </c>
      <c r="G110" s="178">
        <f t="shared" ref="G110:AT110" si="41">G107+G108+G109</f>
        <v>-3731454.9012967786</v>
      </c>
      <c r="H110" s="178">
        <f t="shared" si="41"/>
        <v>-3255378.7531142104</v>
      </c>
      <c r="I110" s="178">
        <f t="shared" si="41"/>
        <v>-2858493.2062579091</v>
      </c>
      <c r="J110" s="178">
        <f t="shared" si="41"/>
        <v>-2897987.9436093704</v>
      </c>
      <c r="K110" s="178">
        <f t="shared" si="41"/>
        <v>-7530581.0537153101</v>
      </c>
      <c r="L110" s="178">
        <f t="shared" si="41"/>
        <v>-2661580.1479431926</v>
      </c>
      <c r="M110" s="178">
        <f t="shared" si="41"/>
        <v>-2549210.0817181505</v>
      </c>
      <c r="N110" s="178">
        <f t="shared" si="41"/>
        <v>-2622563.0836700322</v>
      </c>
      <c r="O110" s="178">
        <f t="shared" si="41"/>
        <v>-2534522.5918417117</v>
      </c>
      <c r="P110" s="178">
        <f t="shared" si="41"/>
        <v>-7817775.9837732408</v>
      </c>
      <c r="Q110" s="178">
        <f t="shared" si="41"/>
        <v>-2232141.4316229066</v>
      </c>
      <c r="R110" s="178">
        <f t="shared" si="41"/>
        <v>-2672212.7732982291</v>
      </c>
      <c r="S110" s="178">
        <f t="shared" si="41"/>
        <v>-2571970.7519501681</v>
      </c>
      <c r="T110" s="178">
        <f t="shared" si="41"/>
        <v>-2652716.4863437135</v>
      </c>
      <c r="U110" s="178">
        <f t="shared" si="41"/>
        <v>-8268094.85847547</v>
      </c>
      <c r="V110" s="178">
        <f t="shared" si="41"/>
        <v>-1865323.934315491</v>
      </c>
      <c r="W110" s="178">
        <f t="shared" si="41"/>
        <v>-1755664.8314512358</v>
      </c>
      <c r="X110" s="178">
        <f t="shared" si="41"/>
        <v>-2902029.1958137862</v>
      </c>
      <c r="Y110" s="178">
        <f t="shared" si="41"/>
        <v>-2763333.5098727606</v>
      </c>
      <c r="Z110" s="178">
        <f t="shared" si="41"/>
        <v>-9119380.6316327751</v>
      </c>
      <c r="AA110" s="178">
        <f t="shared" si="41"/>
        <v>-2687519.7321554078</v>
      </c>
      <c r="AB110" s="178">
        <f t="shared" si="41"/>
        <v>-2762445.7696838398</v>
      </c>
      <c r="AC110" s="178">
        <f t="shared" si="41"/>
        <v>-2741180.4071939224</v>
      </c>
      <c r="AD110" s="178">
        <f t="shared" si="41"/>
        <v>-2867806.563974496</v>
      </c>
      <c r="AE110" s="178">
        <f t="shared" si="41"/>
        <v>-9662702.8633030541</v>
      </c>
      <c r="AF110" s="178">
        <f t="shared" si="41"/>
        <v>-2889925.9421095643</v>
      </c>
      <c r="AG110" s="178">
        <f t="shared" si="41"/>
        <v>-2775858.3624152178</v>
      </c>
      <c r="AH110" s="178">
        <f t="shared" si="41"/>
        <v>-2915534.7755358405</v>
      </c>
      <c r="AI110" s="178">
        <f t="shared" si="41"/>
        <v>-2798210.1399580259</v>
      </c>
      <c r="AJ110" s="178">
        <f t="shared" si="41"/>
        <v>-10532634.613553351</v>
      </c>
      <c r="AK110" s="178">
        <f t="shared" si="41"/>
        <v>-2824279.1201453116</v>
      </c>
      <c r="AL110" s="178">
        <f t="shared" si="41"/>
        <v>-2978378.5629267069</v>
      </c>
      <c r="AM110" s="178">
        <f t="shared" si="41"/>
        <v>-1775173.3970053974</v>
      </c>
      <c r="AN110" s="178">
        <f t="shared" si="41"/>
        <v>-1491607.2481129367</v>
      </c>
      <c r="AO110" s="178">
        <f t="shared" si="41"/>
        <v>-11674061.329350572</v>
      </c>
      <c r="AP110" s="178">
        <f t="shared" si="41"/>
        <v>-3507088.8654617933</v>
      </c>
      <c r="AQ110" s="178">
        <f t="shared" si="41"/>
        <v>-3376188.0408297158</v>
      </c>
      <c r="AR110" s="178">
        <f t="shared" si="41"/>
        <v>-3554822.2002613205</v>
      </c>
      <c r="AS110" s="178">
        <f t="shared" si="41"/>
        <v>-3420402.0992456968</v>
      </c>
      <c r="AT110" s="265">
        <f t="shared" si="41"/>
        <v>-12768380.432771673</v>
      </c>
      <c r="AU110" s="166"/>
      <c r="AV110" s="166"/>
      <c r="AW110" s="166"/>
      <c r="AX110" s="166"/>
      <c r="AY110" s="166"/>
      <c r="AZ110" s="166"/>
      <c r="BA110" s="166"/>
      <c r="BB110" s="166"/>
      <c r="BC110" s="166"/>
      <c r="BD110" s="166"/>
      <c r="BE110" s="166"/>
      <c r="BF110" s="166"/>
      <c r="BG110" s="166"/>
      <c r="BH110" s="166"/>
      <c r="BI110" s="166"/>
      <c r="BJ110" s="166"/>
      <c r="BK110" s="166"/>
      <c r="BL110" s="166"/>
      <c r="BM110" s="166"/>
      <c r="BN110" s="166"/>
    </row>
    <row r="111" spans="2:66" x14ac:dyDescent="0.25">
      <c r="B111" s="836" t="s">
        <v>443</v>
      </c>
      <c r="C111" s="268">
        <v>0</v>
      </c>
      <c r="D111" s="268">
        <v>0</v>
      </c>
      <c r="E111" s="268">
        <v>0</v>
      </c>
      <c r="F111" s="268">
        <v>0</v>
      </c>
      <c r="G111" s="178">
        <f>IF(G110&gt;0,-$C$24*G110,0)</f>
        <v>0</v>
      </c>
      <c r="H111" s="178">
        <f t="shared" ref="H111:AT111" si="42">IF(H110&gt;0,-$C$24*H110,0)</f>
        <v>0</v>
      </c>
      <c r="I111" s="178">
        <f t="shared" si="42"/>
        <v>0</v>
      </c>
      <c r="J111" s="178">
        <f t="shared" si="42"/>
        <v>0</v>
      </c>
      <c r="K111" s="178">
        <f t="shared" si="42"/>
        <v>0</v>
      </c>
      <c r="L111" s="178">
        <f t="shared" si="42"/>
        <v>0</v>
      </c>
      <c r="M111" s="178">
        <f t="shared" si="42"/>
        <v>0</v>
      </c>
      <c r="N111" s="178">
        <f t="shared" si="42"/>
        <v>0</v>
      </c>
      <c r="O111" s="178">
        <f t="shared" si="42"/>
        <v>0</v>
      </c>
      <c r="P111" s="178">
        <f t="shared" si="42"/>
        <v>0</v>
      </c>
      <c r="Q111" s="178">
        <f t="shared" si="42"/>
        <v>0</v>
      </c>
      <c r="R111" s="178">
        <f t="shared" si="42"/>
        <v>0</v>
      </c>
      <c r="S111" s="178">
        <f t="shared" si="42"/>
        <v>0</v>
      </c>
      <c r="T111" s="178">
        <f t="shared" si="42"/>
        <v>0</v>
      </c>
      <c r="U111" s="178">
        <f t="shared" si="42"/>
        <v>0</v>
      </c>
      <c r="V111" s="178">
        <f t="shared" si="42"/>
        <v>0</v>
      </c>
      <c r="W111" s="178">
        <f t="shared" si="42"/>
        <v>0</v>
      </c>
      <c r="X111" s="178">
        <f t="shared" si="42"/>
        <v>0</v>
      </c>
      <c r="Y111" s="178">
        <f t="shared" si="42"/>
        <v>0</v>
      </c>
      <c r="Z111" s="178">
        <f t="shared" si="42"/>
        <v>0</v>
      </c>
      <c r="AA111" s="178">
        <f t="shared" si="42"/>
        <v>0</v>
      </c>
      <c r="AB111" s="178">
        <f t="shared" si="42"/>
        <v>0</v>
      </c>
      <c r="AC111" s="178">
        <f t="shared" si="42"/>
        <v>0</v>
      </c>
      <c r="AD111" s="178">
        <f t="shared" si="42"/>
        <v>0</v>
      </c>
      <c r="AE111" s="178">
        <f t="shared" si="42"/>
        <v>0</v>
      </c>
      <c r="AF111" s="178">
        <f t="shared" si="42"/>
        <v>0</v>
      </c>
      <c r="AG111" s="178">
        <f t="shared" si="42"/>
        <v>0</v>
      </c>
      <c r="AH111" s="178">
        <f t="shared" si="42"/>
        <v>0</v>
      </c>
      <c r="AI111" s="178">
        <f t="shared" si="42"/>
        <v>0</v>
      </c>
      <c r="AJ111" s="178">
        <f t="shared" si="42"/>
        <v>0</v>
      </c>
      <c r="AK111" s="178">
        <f t="shared" si="42"/>
        <v>0</v>
      </c>
      <c r="AL111" s="178">
        <f t="shared" si="42"/>
        <v>0</v>
      </c>
      <c r="AM111" s="178">
        <f t="shared" si="42"/>
        <v>0</v>
      </c>
      <c r="AN111" s="178">
        <f t="shared" si="42"/>
        <v>0</v>
      </c>
      <c r="AO111" s="178">
        <f t="shared" si="42"/>
        <v>0</v>
      </c>
      <c r="AP111" s="178">
        <f t="shared" si="42"/>
        <v>0</v>
      </c>
      <c r="AQ111" s="178">
        <f t="shared" si="42"/>
        <v>0</v>
      </c>
      <c r="AR111" s="178">
        <f t="shared" si="42"/>
        <v>0</v>
      </c>
      <c r="AS111" s="178">
        <f t="shared" si="42"/>
        <v>0</v>
      </c>
      <c r="AT111" s="265">
        <f t="shared" si="42"/>
        <v>0</v>
      </c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66"/>
      <c r="BI111" s="166"/>
      <c r="BJ111" s="166"/>
      <c r="BK111" s="166"/>
      <c r="BL111" s="166"/>
      <c r="BM111" s="166"/>
      <c r="BN111" s="166"/>
    </row>
    <row r="112" spans="2:66" ht="14.4" x14ac:dyDescent="0.25">
      <c r="B112" s="841" t="s">
        <v>445</v>
      </c>
      <c r="C112" s="801">
        <v>0</v>
      </c>
      <c r="D112" s="801">
        <v>0</v>
      </c>
      <c r="E112" s="801">
        <v>0</v>
      </c>
      <c r="F112" s="801">
        <v>0</v>
      </c>
      <c r="G112" s="262">
        <f>G110+G111</f>
        <v>-3731454.9012967786</v>
      </c>
      <c r="H112" s="262">
        <f t="shared" ref="H112:AT112" si="43">H110+H111</f>
        <v>-3255378.7531142104</v>
      </c>
      <c r="I112" s="262">
        <f t="shared" si="43"/>
        <v>-2858493.2062579091</v>
      </c>
      <c r="J112" s="262">
        <f t="shared" si="43"/>
        <v>-2897987.9436093704</v>
      </c>
      <c r="K112" s="262">
        <f t="shared" si="43"/>
        <v>-7530581.0537153101</v>
      </c>
      <c r="L112" s="262">
        <f t="shared" si="43"/>
        <v>-2661580.1479431926</v>
      </c>
      <c r="M112" s="262">
        <f t="shared" si="43"/>
        <v>-2549210.0817181505</v>
      </c>
      <c r="N112" s="262">
        <f t="shared" si="43"/>
        <v>-2622563.0836700322</v>
      </c>
      <c r="O112" s="262">
        <f t="shared" si="43"/>
        <v>-2534522.5918417117</v>
      </c>
      <c r="P112" s="262">
        <f t="shared" si="43"/>
        <v>-7817775.9837732408</v>
      </c>
      <c r="Q112" s="262">
        <f t="shared" si="43"/>
        <v>-2232141.4316229066</v>
      </c>
      <c r="R112" s="262">
        <f t="shared" si="43"/>
        <v>-2672212.7732982291</v>
      </c>
      <c r="S112" s="262">
        <f t="shared" si="43"/>
        <v>-2571970.7519501681</v>
      </c>
      <c r="T112" s="262">
        <f t="shared" si="43"/>
        <v>-2652716.4863437135</v>
      </c>
      <c r="U112" s="262">
        <f t="shared" si="43"/>
        <v>-8268094.85847547</v>
      </c>
      <c r="V112" s="262">
        <f t="shared" si="43"/>
        <v>-1865323.934315491</v>
      </c>
      <c r="W112" s="262">
        <f t="shared" si="43"/>
        <v>-1755664.8314512358</v>
      </c>
      <c r="X112" s="262">
        <f t="shared" si="43"/>
        <v>-2902029.1958137862</v>
      </c>
      <c r="Y112" s="262">
        <f t="shared" si="43"/>
        <v>-2763333.5098727606</v>
      </c>
      <c r="Z112" s="262">
        <f t="shared" si="43"/>
        <v>-9119380.6316327751</v>
      </c>
      <c r="AA112" s="262">
        <f t="shared" si="43"/>
        <v>-2687519.7321554078</v>
      </c>
      <c r="AB112" s="262">
        <f t="shared" si="43"/>
        <v>-2762445.7696838398</v>
      </c>
      <c r="AC112" s="262">
        <f t="shared" si="43"/>
        <v>-2741180.4071939224</v>
      </c>
      <c r="AD112" s="262">
        <f t="shared" si="43"/>
        <v>-2867806.563974496</v>
      </c>
      <c r="AE112" s="262">
        <f t="shared" si="43"/>
        <v>-9662702.8633030541</v>
      </c>
      <c r="AF112" s="262">
        <f t="shared" si="43"/>
        <v>-2889925.9421095643</v>
      </c>
      <c r="AG112" s="262">
        <f t="shared" si="43"/>
        <v>-2775858.3624152178</v>
      </c>
      <c r="AH112" s="262">
        <f t="shared" si="43"/>
        <v>-2915534.7755358405</v>
      </c>
      <c r="AI112" s="262">
        <f t="shared" si="43"/>
        <v>-2798210.1399580259</v>
      </c>
      <c r="AJ112" s="262">
        <f t="shared" si="43"/>
        <v>-10532634.613553351</v>
      </c>
      <c r="AK112" s="262">
        <f t="shared" si="43"/>
        <v>-2824279.1201453116</v>
      </c>
      <c r="AL112" s="262">
        <f t="shared" si="43"/>
        <v>-2978378.5629267069</v>
      </c>
      <c r="AM112" s="262">
        <f t="shared" si="43"/>
        <v>-1775173.3970053974</v>
      </c>
      <c r="AN112" s="262">
        <f t="shared" si="43"/>
        <v>-1491607.2481129367</v>
      </c>
      <c r="AO112" s="262">
        <f t="shared" si="43"/>
        <v>-11674061.329350572</v>
      </c>
      <c r="AP112" s="262">
        <f t="shared" si="43"/>
        <v>-3507088.8654617933</v>
      </c>
      <c r="AQ112" s="262">
        <f t="shared" si="43"/>
        <v>-3376188.0408297158</v>
      </c>
      <c r="AR112" s="262">
        <f t="shared" si="43"/>
        <v>-3554822.2002613205</v>
      </c>
      <c r="AS112" s="262">
        <f t="shared" si="43"/>
        <v>-3420402.0992456968</v>
      </c>
      <c r="AT112" s="267">
        <f t="shared" si="43"/>
        <v>-12768380.432771673</v>
      </c>
      <c r="AU112" s="166"/>
      <c r="AV112" s="166"/>
      <c r="AW112" s="166"/>
      <c r="AX112" s="166"/>
      <c r="AY112" s="166"/>
      <c r="AZ112" s="166"/>
      <c r="BA112" s="166"/>
      <c r="BB112" s="166"/>
      <c r="BC112" s="166"/>
      <c r="BD112" s="166"/>
      <c r="BE112" s="166"/>
      <c r="BF112" s="166"/>
      <c r="BG112" s="166"/>
      <c r="BH112" s="166"/>
      <c r="BI112" s="166"/>
      <c r="BJ112" s="166"/>
      <c r="BK112" s="166"/>
      <c r="BL112" s="166"/>
      <c r="BM112" s="166"/>
      <c r="BN112" s="166"/>
    </row>
    <row r="113" spans="2:66" x14ac:dyDescent="0.25">
      <c r="B113" s="836" t="s">
        <v>446</v>
      </c>
      <c r="C113" s="268">
        <v>0</v>
      </c>
      <c r="D113" s="268">
        <v>0</v>
      </c>
      <c r="E113" s="268">
        <v>0</v>
      </c>
      <c r="F113" s="268">
        <v>0</v>
      </c>
      <c r="G113" s="178">
        <f>-G109</f>
        <v>3190596.5206691762</v>
      </c>
      <c r="H113" s="178">
        <f t="shared" ref="H113:AT113" si="44">-H109</f>
        <v>3190596.5206691762</v>
      </c>
      <c r="I113" s="178">
        <f t="shared" si="44"/>
        <v>3190596.5206691762</v>
      </c>
      <c r="J113" s="178">
        <f t="shared" si="44"/>
        <v>3190596.5206691762</v>
      </c>
      <c r="K113" s="178">
        <f t="shared" si="44"/>
        <v>3190596.5206691762</v>
      </c>
      <c r="L113" s="178">
        <f t="shared" si="44"/>
        <v>3018004.6382407546</v>
      </c>
      <c r="M113" s="178">
        <f t="shared" si="44"/>
        <v>3018004.6382407546</v>
      </c>
      <c r="N113" s="178">
        <f t="shared" si="44"/>
        <v>3018004.6382407546</v>
      </c>
      <c r="O113" s="178">
        <f t="shared" si="44"/>
        <v>3018004.6382407546</v>
      </c>
      <c r="P113" s="178">
        <f t="shared" si="44"/>
        <v>3018004.6382407546</v>
      </c>
      <c r="Q113" s="178">
        <f t="shared" si="44"/>
        <v>2730297.5196809703</v>
      </c>
      <c r="R113" s="178">
        <f t="shared" si="44"/>
        <v>3089270.1647581775</v>
      </c>
      <c r="S113" s="178">
        <f t="shared" si="44"/>
        <v>3089270.1647581775</v>
      </c>
      <c r="T113" s="178">
        <f t="shared" si="44"/>
        <v>3089270.1647581775</v>
      </c>
      <c r="U113" s="178">
        <f t="shared" si="44"/>
        <v>3089270.1647581775</v>
      </c>
      <c r="V113" s="178">
        <f t="shared" si="44"/>
        <v>2321770.1453197817</v>
      </c>
      <c r="W113" s="178">
        <f t="shared" si="44"/>
        <v>2321770.1453197817</v>
      </c>
      <c r="X113" s="178">
        <f t="shared" si="44"/>
        <v>3400967.9714049036</v>
      </c>
      <c r="Y113" s="178">
        <f t="shared" si="44"/>
        <v>3400967.9714049036</v>
      </c>
      <c r="Z113" s="178">
        <f t="shared" si="44"/>
        <v>3400967.9714049036</v>
      </c>
      <c r="AA113" s="178">
        <f t="shared" si="44"/>
        <v>3400967.9714049036</v>
      </c>
      <c r="AB113" s="178">
        <f t="shared" si="44"/>
        <v>3400967.9714049036</v>
      </c>
      <c r="AC113" s="178">
        <f t="shared" si="44"/>
        <v>3487432.5990548981</v>
      </c>
      <c r="AD113" s="178">
        <f t="shared" si="44"/>
        <v>3487432.5990548981</v>
      </c>
      <c r="AE113" s="178">
        <f t="shared" si="44"/>
        <v>3487432.5990548981</v>
      </c>
      <c r="AF113" s="178">
        <f t="shared" si="44"/>
        <v>3487432.5990548981</v>
      </c>
      <c r="AG113" s="178">
        <f t="shared" si="44"/>
        <v>3487432.5990548981</v>
      </c>
      <c r="AH113" s="178">
        <f t="shared" si="44"/>
        <v>3487432.5990548981</v>
      </c>
      <c r="AI113" s="178">
        <f t="shared" si="44"/>
        <v>3487432.5990548981</v>
      </c>
      <c r="AJ113" s="178">
        <f t="shared" si="44"/>
        <v>3487432.5990548981</v>
      </c>
      <c r="AK113" s="178">
        <f t="shared" si="44"/>
        <v>3487432.5990548981</v>
      </c>
      <c r="AL113" s="178">
        <f t="shared" si="44"/>
        <v>3487432.5990548981</v>
      </c>
      <c r="AM113" s="178">
        <f t="shared" si="44"/>
        <v>2408234.7729697763</v>
      </c>
      <c r="AN113" s="178">
        <f t="shared" si="44"/>
        <v>1962797.5002425744</v>
      </c>
      <c r="AO113" s="178">
        <f t="shared" si="44"/>
        <v>3935665.6732037212</v>
      </c>
      <c r="AP113" s="178">
        <f t="shared" si="44"/>
        <v>3935665.6732037212</v>
      </c>
      <c r="AQ113" s="178">
        <f t="shared" si="44"/>
        <v>3935665.6732037212</v>
      </c>
      <c r="AR113" s="178">
        <f t="shared" si="44"/>
        <v>3935665.6732037212</v>
      </c>
      <c r="AS113" s="178">
        <f t="shared" si="44"/>
        <v>3935665.6732037212</v>
      </c>
      <c r="AT113" s="265">
        <f t="shared" si="44"/>
        <v>3935665.6732037212</v>
      </c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66"/>
      <c r="BL113" s="166"/>
      <c r="BM113" s="166"/>
      <c r="BN113" s="166"/>
    </row>
    <row r="114" spans="2:66" s="809" customFormat="1" ht="15" thickBot="1" x14ac:dyDescent="0.3">
      <c r="B114" s="842" t="s">
        <v>386</v>
      </c>
      <c r="C114" s="828"/>
      <c r="D114" s="828"/>
      <c r="E114" s="828"/>
      <c r="F114" s="828"/>
      <c r="G114" s="828">
        <f>G112+G113</f>
        <v>-540858.38062760234</v>
      </c>
      <c r="H114" s="828">
        <f t="shared" ref="H114:AT114" si="45">H112+H113</f>
        <v>-64782.232445034198</v>
      </c>
      <c r="I114" s="828">
        <f t="shared" si="45"/>
        <v>332103.31441126717</v>
      </c>
      <c r="J114" s="828">
        <f t="shared" si="45"/>
        <v>292608.57705980586</v>
      </c>
      <c r="K114" s="828">
        <f t="shared" si="45"/>
        <v>-4339984.5330461338</v>
      </c>
      <c r="L114" s="828">
        <f t="shared" si="45"/>
        <v>356424.49029756198</v>
      </c>
      <c r="M114" s="828">
        <f t="shared" si="45"/>
        <v>468794.55652260408</v>
      </c>
      <c r="N114" s="828">
        <f t="shared" si="45"/>
        <v>395441.55457072239</v>
      </c>
      <c r="O114" s="828">
        <f t="shared" si="45"/>
        <v>483482.04639904294</v>
      </c>
      <c r="P114" s="828">
        <f t="shared" si="45"/>
        <v>-4799771.3455324862</v>
      </c>
      <c r="Q114" s="828">
        <f t="shared" si="45"/>
        <v>498156.08805806376</v>
      </c>
      <c r="R114" s="828">
        <f t="shared" si="45"/>
        <v>417057.39145994838</v>
      </c>
      <c r="S114" s="828">
        <f t="shared" si="45"/>
        <v>517299.41280800942</v>
      </c>
      <c r="T114" s="828">
        <f t="shared" si="45"/>
        <v>436553.678414464</v>
      </c>
      <c r="U114" s="828">
        <f t="shared" si="45"/>
        <v>-5178824.6937172925</v>
      </c>
      <c r="V114" s="828">
        <f t="shared" si="45"/>
        <v>456446.21100429073</v>
      </c>
      <c r="W114" s="828">
        <f t="shared" si="45"/>
        <v>566105.31386854593</v>
      </c>
      <c r="X114" s="828">
        <f t="shared" si="45"/>
        <v>498938.77559111733</v>
      </c>
      <c r="Y114" s="828">
        <f t="shared" si="45"/>
        <v>637634.46153214294</v>
      </c>
      <c r="Z114" s="828">
        <f t="shared" si="45"/>
        <v>-5718412.6602278715</v>
      </c>
      <c r="AA114" s="828">
        <f t="shared" si="45"/>
        <v>713448.23924949579</v>
      </c>
      <c r="AB114" s="828">
        <f t="shared" si="45"/>
        <v>638522.20172106382</v>
      </c>
      <c r="AC114" s="828">
        <f t="shared" si="45"/>
        <v>746252.1918609757</v>
      </c>
      <c r="AD114" s="828">
        <f t="shared" si="45"/>
        <v>619626.03508040216</v>
      </c>
      <c r="AE114" s="828">
        <f t="shared" si="45"/>
        <v>-6175270.264248156</v>
      </c>
      <c r="AF114" s="828">
        <f t="shared" si="45"/>
        <v>597506.65694533382</v>
      </c>
      <c r="AG114" s="828">
        <f t="shared" si="45"/>
        <v>711574.23663968034</v>
      </c>
      <c r="AH114" s="828">
        <f t="shared" si="45"/>
        <v>571897.82351905759</v>
      </c>
      <c r="AI114" s="828">
        <f t="shared" si="45"/>
        <v>689222.45909687225</v>
      </c>
      <c r="AJ114" s="828">
        <f t="shared" si="45"/>
        <v>-7045202.0144984527</v>
      </c>
      <c r="AK114" s="828">
        <f t="shared" si="45"/>
        <v>663153.47890958656</v>
      </c>
      <c r="AL114" s="828">
        <f t="shared" si="45"/>
        <v>509054.03612819128</v>
      </c>
      <c r="AM114" s="828">
        <f t="shared" si="45"/>
        <v>633061.37596437894</v>
      </c>
      <c r="AN114" s="828">
        <f t="shared" si="45"/>
        <v>471190.25212963764</v>
      </c>
      <c r="AO114" s="828">
        <f t="shared" si="45"/>
        <v>-7738395.6561468504</v>
      </c>
      <c r="AP114" s="828">
        <f t="shared" si="45"/>
        <v>428576.80774192791</v>
      </c>
      <c r="AQ114" s="828">
        <f t="shared" si="45"/>
        <v>559477.63237400539</v>
      </c>
      <c r="AR114" s="828">
        <f t="shared" si="45"/>
        <v>380843.47294240072</v>
      </c>
      <c r="AS114" s="828">
        <f t="shared" si="45"/>
        <v>515263.57395802438</v>
      </c>
      <c r="AT114" s="829">
        <f t="shared" si="45"/>
        <v>-8832714.7595679518</v>
      </c>
      <c r="AU114" s="812"/>
      <c r="AV114" s="812"/>
      <c r="AW114" s="812"/>
      <c r="AX114" s="812"/>
      <c r="AY114" s="812"/>
      <c r="AZ114" s="812"/>
      <c r="BA114" s="812"/>
      <c r="BB114" s="812"/>
      <c r="BC114" s="812"/>
      <c r="BD114" s="812"/>
      <c r="BE114" s="812"/>
      <c r="BF114" s="812"/>
      <c r="BG114" s="812"/>
      <c r="BH114" s="812"/>
      <c r="BI114" s="812"/>
      <c r="BJ114" s="812"/>
      <c r="BK114" s="812"/>
      <c r="BL114" s="812"/>
      <c r="BM114" s="812"/>
      <c r="BN114" s="812"/>
    </row>
    <row r="115" spans="2:66" s="812" customFormat="1" ht="15" thickBot="1" x14ac:dyDescent="0.3">
      <c r="B115" s="839"/>
      <c r="C115" s="811"/>
      <c r="D115" s="811"/>
      <c r="E115" s="811"/>
      <c r="F115" s="811"/>
      <c r="G115" s="811"/>
      <c r="H115" s="811"/>
      <c r="I115" s="811"/>
      <c r="J115" s="811"/>
      <c r="K115" s="811"/>
      <c r="L115" s="811"/>
      <c r="M115" s="811"/>
      <c r="N115" s="811"/>
      <c r="O115" s="811"/>
      <c r="P115" s="811"/>
      <c r="Q115" s="811"/>
      <c r="R115" s="811"/>
      <c r="S115" s="811"/>
      <c r="T115" s="811"/>
      <c r="U115" s="811"/>
      <c r="V115" s="811"/>
      <c r="W115" s="811"/>
      <c r="X115" s="811"/>
      <c r="Y115" s="811"/>
      <c r="Z115" s="811"/>
      <c r="AA115" s="811"/>
      <c r="AB115" s="811"/>
      <c r="AC115" s="811"/>
      <c r="AD115" s="811"/>
      <c r="AE115" s="811"/>
      <c r="AF115" s="811"/>
      <c r="AG115" s="811"/>
      <c r="AH115" s="811"/>
      <c r="AI115" s="811"/>
      <c r="AJ115" s="811"/>
      <c r="AK115" s="811"/>
      <c r="AL115" s="811"/>
      <c r="AM115" s="811"/>
      <c r="AN115" s="811"/>
      <c r="AO115" s="811"/>
      <c r="AP115" s="811"/>
      <c r="AQ115" s="811"/>
      <c r="AR115" s="811"/>
      <c r="AS115" s="811"/>
      <c r="AT115" s="811"/>
    </row>
    <row r="116" spans="2:66" ht="14.4" x14ac:dyDescent="0.25">
      <c r="B116" s="835" t="s">
        <v>447</v>
      </c>
      <c r="C116" s="818"/>
      <c r="D116" s="818"/>
      <c r="E116" s="818"/>
      <c r="F116" s="818"/>
      <c r="G116" s="818"/>
      <c r="H116" s="818"/>
      <c r="I116" s="818"/>
      <c r="J116" s="818"/>
      <c r="K116" s="818"/>
      <c r="L116" s="818"/>
      <c r="M116" s="818"/>
      <c r="N116" s="818"/>
      <c r="O116" s="818"/>
      <c r="P116" s="818"/>
      <c r="Q116" s="818"/>
      <c r="R116" s="818"/>
      <c r="S116" s="818"/>
      <c r="T116" s="818"/>
      <c r="U116" s="818"/>
      <c r="V116" s="818"/>
      <c r="W116" s="818"/>
      <c r="X116" s="818"/>
      <c r="Y116" s="818"/>
      <c r="Z116" s="818"/>
      <c r="AA116" s="818"/>
      <c r="AB116" s="818"/>
      <c r="AC116" s="818"/>
      <c r="AD116" s="818"/>
      <c r="AE116" s="818"/>
      <c r="AF116" s="818"/>
      <c r="AG116" s="818"/>
      <c r="AH116" s="818"/>
      <c r="AI116" s="818"/>
      <c r="AJ116" s="818"/>
      <c r="AK116" s="818"/>
      <c r="AL116" s="818"/>
      <c r="AM116" s="818"/>
      <c r="AN116" s="818"/>
      <c r="AO116" s="818"/>
      <c r="AP116" s="818"/>
      <c r="AQ116" s="818"/>
      <c r="AR116" s="818"/>
      <c r="AS116" s="818"/>
      <c r="AT116" s="819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</row>
    <row r="117" spans="2:66" x14ac:dyDescent="0.25">
      <c r="B117" s="836" t="s">
        <v>448</v>
      </c>
      <c r="C117" s="758">
        <f>-INVERSION_ANUALIZADA_TC_Alt_20!E299</f>
        <v>-5894681.6442265697</v>
      </c>
      <c r="D117" s="758">
        <f>-INVERSION_ANUALIZADA_TC_Alt_20!F299</f>
        <v>-23692439.326687708</v>
      </c>
      <c r="E117" s="758">
        <f>-INVERSION_ANUALIZADA_TC_Alt_20!G299</f>
        <v>-60967175.133836582</v>
      </c>
      <c r="F117" s="758">
        <f>-INVERSION_ANUALIZADA_TC_Alt_20!H299</f>
        <v>-24513713.625024468</v>
      </c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8"/>
      <c r="AE117" s="268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178"/>
      <c r="AP117" s="178"/>
      <c r="AQ117" s="178"/>
      <c r="AR117" s="178"/>
      <c r="AS117" s="178"/>
      <c r="AT117" s="265"/>
      <c r="AU117" s="166"/>
      <c r="AV117" s="166"/>
      <c r="AW117" s="166"/>
      <c r="AX117" s="166"/>
      <c r="AY117" s="166"/>
      <c r="AZ117" s="166"/>
      <c r="BA117" s="166"/>
      <c r="BB117" s="166"/>
      <c r="BC117" s="166"/>
      <c r="BD117" s="166"/>
      <c r="BE117" s="166"/>
      <c r="BF117" s="166"/>
      <c r="BG117" s="166"/>
      <c r="BH117" s="166"/>
      <c r="BI117" s="166"/>
      <c r="BJ117" s="166"/>
      <c r="BK117" s="166"/>
      <c r="BL117" s="166"/>
      <c r="BM117" s="166"/>
      <c r="BN117" s="166"/>
    </row>
    <row r="118" spans="2:66" x14ac:dyDescent="0.25">
      <c r="B118" s="836" t="s">
        <v>383</v>
      </c>
      <c r="C118" s="178"/>
      <c r="D118" s="178"/>
      <c r="E118" s="178"/>
      <c r="F118" s="178"/>
      <c r="G118" s="758">
        <f>-INVERSION_ANUALIZADA_TC_Alt_20!I299</f>
        <v>0</v>
      </c>
      <c r="H118" s="758">
        <f>-INVERSION_ANUALIZADA_TC_Alt_20!J299</f>
        <v>0</v>
      </c>
      <c r="I118" s="758">
        <f>-INVERSION_ANUALIZADA_TC_Alt_20!K299</f>
        <v>0</v>
      </c>
      <c r="J118" s="758">
        <f>-INVERSION_ANUALIZADA_TC_Alt_20!L299</f>
        <v>0</v>
      </c>
      <c r="K118" s="758">
        <f>-INVERSION_ANUALIZADA_TC_Alt_20!M299</f>
        <v>0</v>
      </c>
      <c r="L118" s="758">
        <f>-INVERSION_ANUALIZADA_TC_Alt_20!N299</f>
        <v>0</v>
      </c>
      <c r="M118" s="758">
        <f>-INVERSION_ANUALIZADA_TC_Alt_20!O299</f>
        <v>0</v>
      </c>
      <c r="N118" s="758">
        <f>-INVERSION_ANUALIZADA_TC_Alt_20!P299</f>
        <v>0</v>
      </c>
      <c r="O118" s="758">
        <f>-INVERSION_ANUALIZADA_TC_Alt_20!Q299</f>
        <v>0</v>
      </c>
      <c r="P118" s="758">
        <f>-INVERSION_ANUALIZADA_TC_Alt_20!R299</f>
        <v>-1622325.5979653969</v>
      </c>
      <c r="Q118" s="758">
        <f>-INVERSION_ANUALIZADA_TC_Alt_20!S299</f>
        <v>-1967400.8528066755</v>
      </c>
      <c r="R118" s="758">
        <f>-INVERSION_ANUALIZADA_TC_Alt_20!T299</f>
        <v>0</v>
      </c>
      <c r="S118" s="758">
        <f>-INVERSION_ANUALIZADA_TC_Alt_20!U299</f>
        <v>0</v>
      </c>
      <c r="T118" s="758">
        <f>-INVERSION_ANUALIZADA_TC_Alt_20!V299</f>
        <v>0</v>
      </c>
      <c r="U118" s="758">
        <f>-INVERSION_ANUALIZADA_TC_Alt_20!W299</f>
        <v>-2860937.4426897997</v>
      </c>
      <c r="V118" s="758">
        <f>-INVERSION_ANUALIZADA_TC_Alt_20!X299</f>
        <v>-9092783.3309384733</v>
      </c>
      <c r="W118" s="758">
        <f>-INVERSION_ANUALIZADA_TC_Alt_20!Y299</f>
        <v>-4234246.6176485606</v>
      </c>
      <c r="X118" s="758">
        <f>-INVERSION_ANUALIZADA_TC_Alt_20!Z299</f>
        <v>0</v>
      </c>
      <c r="Y118" s="758">
        <f>-INVERSION_ANUALIZADA_TC_Alt_20!AA299</f>
        <v>0</v>
      </c>
      <c r="Z118" s="758">
        <f>-INVERSION_ANUALIZADA_TC_Alt_20!AB299</f>
        <v>0</v>
      </c>
      <c r="AA118" s="758">
        <f>-INVERSION_ANUALIZADA_TC_Alt_20!AC299</f>
        <v>-2013088.3571152827</v>
      </c>
      <c r="AB118" s="758">
        <f>-INVERSION_ANUALIZADA_TC_Alt_20!AD299</f>
        <v>-2441284.3701567352</v>
      </c>
      <c r="AC118" s="758">
        <f>-INVERSION_ANUALIZADA_TC_Alt_20!AE299</f>
        <v>0</v>
      </c>
      <c r="AD118" s="758">
        <f>-INVERSION_ANUALIZADA_TC_Alt_20!AF299</f>
        <v>0</v>
      </c>
      <c r="AE118" s="758">
        <f>-INVERSION_ANUALIZADA_TC_Alt_20!AG299</f>
        <v>0</v>
      </c>
      <c r="AF118" s="758">
        <f>-INVERSION_ANUALIZADA_TC_Alt_20!AH299</f>
        <v>0</v>
      </c>
      <c r="AG118" s="758">
        <f>-INVERSION_ANUALIZADA_TC_Alt_20!AI299</f>
        <v>0</v>
      </c>
      <c r="AH118" s="758">
        <f>-INVERSION_ANUALIZADA_TC_Alt_20!AJ299</f>
        <v>0</v>
      </c>
      <c r="AI118" s="758">
        <f>-INVERSION_ANUALIZADA_TC_Alt_20!AK299</f>
        <v>0</v>
      </c>
      <c r="AJ118" s="758">
        <f>-INVERSION_ANUALIZADA_TC_Alt_20!AL299</f>
        <v>0</v>
      </c>
      <c r="AK118" s="758">
        <f>-INVERSION_ANUALIZADA_TC_Alt_20!AM299</f>
        <v>0</v>
      </c>
      <c r="AL118" s="758">
        <f>-INVERSION_ANUALIZADA_TC_Alt_20!AN299</f>
        <v>-6452806.6782633755</v>
      </c>
      <c r="AM118" s="758">
        <f>-INVERSION_ANUALIZADA_TC_Alt_20!AO299</f>
        <v>-15383573.173465244</v>
      </c>
      <c r="AN118" s="758">
        <f>-INVERSION_ANUALIZADA_TC_Alt_20!AP299</f>
        <v>-5783774.5697274376</v>
      </c>
      <c r="AO118" s="758">
        <f>-INVERSION_ANUALIZADA_TC_Alt_20!AQ299</f>
        <v>0</v>
      </c>
      <c r="AP118" s="758">
        <f>-INVERSION_ANUALIZADA_TC_Alt_20!AR299</f>
        <v>0</v>
      </c>
      <c r="AQ118" s="758">
        <f>-INVERSION_ANUALIZADA_TC_Alt_20!AS299</f>
        <v>0</v>
      </c>
      <c r="AR118" s="758">
        <f>-INVERSION_ANUALIZADA_TC_Alt_20!AT299</f>
        <v>0</v>
      </c>
      <c r="AS118" s="758">
        <f>-INVERSION_ANUALIZADA_TC_Alt_20!AU299</f>
        <v>0</v>
      </c>
      <c r="AT118" s="847">
        <f>-INVERSION_ANUALIZADA_TC_Alt_20!AV299</f>
        <v>0</v>
      </c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66"/>
      <c r="BI118" s="166"/>
      <c r="BJ118" s="166"/>
      <c r="BK118" s="166"/>
      <c r="BL118" s="166"/>
      <c r="BM118" s="166"/>
      <c r="BN118" s="166"/>
    </row>
    <row r="119" spans="2:66" x14ac:dyDescent="0.25">
      <c r="B119" s="836" t="s">
        <v>384</v>
      </c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758">
        <f>AJ92</f>
        <v>44426261.303533986</v>
      </c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847">
        <f>AT92</f>
        <v>41032260.560367852</v>
      </c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66"/>
      <c r="BI119" s="166"/>
      <c r="BJ119" s="166"/>
      <c r="BK119" s="166"/>
      <c r="BL119" s="166"/>
      <c r="BM119" s="166"/>
      <c r="BN119" s="166"/>
    </row>
    <row r="120" spans="2:66" s="808" customFormat="1" ht="15" thickBot="1" x14ac:dyDescent="0.3">
      <c r="B120" s="842" t="s">
        <v>385</v>
      </c>
      <c r="C120" s="822">
        <f t="shared" ref="C120:AT120" si="46">C117+C118+C119</f>
        <v>-5894681.6442265697</v>
      </c>
      <c r="D120" s="822">
        <f t="shared" si="46"/>
        <v>-23692439.326687708</v>
      </c>
      <c r="E120" s="822">
        <f t="shared" si="46"/>
        <v>-60967175.133836582</v>
      </c>
      <c r="F120" s="822">
        <f t="shared" si="46"/>
        <v>-24513713.625024468</v>
      </c>
      <c r="G120" s="822">
        <f t="shared" si="46"/>
        <v>0</v>
      </c>
      <c r="H120" s="822">
        <f t="shared" si="46"/>
        <v>0</v>
      </c>
      <c r="I120" s="822">
        <f t="shared" si="46"/>
        <v>0</v>
      </c>
      <c r="J120" s="822">
        <f t="shared" si="46"/>
        <v>0</v>
      </c>
      <c r="K120" s="822">
        <f t="shared" si="46"/>
        <v>0</v>
      </c>
      <c r="L120" s="822">
        <f t="shared" si="46"/>
        <v>0</v>
      </c>
      <c r="M120" s="822">
        <f t="shared" si="46"/>
        <v>0</v>
      </c>
      <c r="N120" s="822">
        <f t="shared" si="46"/>
        <v>0</v>
      </c>
      <c r="O120" s="822">
        <f t="shared" si="46"/>
        <v>0</v>
      </c>
      <c r="P120" s="822">
        <f t="shared" si="46"/>
        <v>-1622325.5979653969</v>
      </c>
      <c r="Q120" s="822">
        <f t="shared" si="46"/>
        <v>-1967400.8528066755</v>
      </c>
      <c r="R120" s="822">
        <f t="shared" si="46"/>
        <v>0</v>
      </c>
      <c r="S120" s="822">
        <f t="shared" si="46"/>
        <v>0</v>
      </c>
      <c r="T120" s="822">
        <f t="shared" si="46"/>
        <v>0</v>
      </c>
      <c r="U120" s="822">
        <f t="shared" si="46"/>
        <v>-2860937.4426897997</v>
      </c>
      <c r="V120" s="822">
        <f t="shared" si="46"/>
        <v>-9092783.3309384733</v>
      </c>
      <c r="W120" s="822">
        <f t="shared" si="46"/>
        <v>-4234246.6176485606</v>
      </c>
      <c r="X120" s="822">
        <f t="shared" si="46"/>
        <v>0</v>
      </c>
      <c r="Y120" s="822">
        <f t="shared" si="46"/>
        <v>0</v>
      </c>
      <c r="Z120" s="822">
        <f t="shared" si="46"/>
        <v>0</v>
      </c>
      <c r="AA120" s="822">
        <f t="shared" si="46"/>
        <v>-2013088.3571152827</v>
      </c>
      <c r="AB120" s="822">
        <f t="shared" si="46"/>
        <v>-2441284.3701567352</v>
      </c>
      <c r="AC120" s="822">
        <f t="shared" si="46"/>
        <v>0</v>
      </c>
      <c r="AD120" s="822">
        <f t="shared" si="46"/>
        <v>0</v>
      </c>
      <c r="AE120" s="822">
        <f t="shared" si="46"/>
        <v>0</v>
      </c>
      <c r="AF120" s="822">
        <f t="shared" si="46"/>
        <v>0</v>
      </c>
      <c r="AG120" s="822">
        <f t="shared" si="46"/>
        <v>0</v>
      </c>
      <c r="AH120" s="822">
        <f t="shared" si="46"/>
        <v>0</v>
      </c>
      <c r="AI120" s="822">
        <f t="shared" si="46"/>
        <v>0</v>
      </c>
      <c r="AJ120" s="822">
        <f t="shared" si="46"/>
        <v>44426261.303533986</v>
      </c>
      <c r="AK120" s="822">
        <f t="shared" si="46"/>
        <v>0</v>
      </c>
      <c r="AL120" s="822">
        <f t="shared" si="46"/>
        <v>-6452806.6782633755</v>
      </c>
      <c r="AM120" s="822">
        <f t="shared" si="46"/>
        <v>-15383573.173465244</v>
      </c>
      <c r="AN120" s="822">
        <f t="shared" si="46"/>
        <v>-5783774.5697274376</v>
      </c>
      <c r="AO120" s="822">
        <f t="shared" si="46"/>
        <v>0</v>
      </c>
      <c r="AP120" s="822">
        <f t="shared" si="46"/>
        <v>0</v>
      </c>
      <c r="AQ120" s="822">
        <f t="shared" si="46"/>
        <v>0</v>
      </c>
      <c r="AR120" s="822">
        <f t="shared" si="46"/>
        <v>0</v>
      </c>
      <c r="AS120" s="822">
        <f t="shared" si="46"/>
        <v>0</v>
      </c>
      <c r="AT120" s="823">
        <f t="shared" si="46"/>
        <v>41032260.560367852</v>
      </c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6"/>
    </row>
    <row r="121" spans="2:66" ht="14.4" x14ac:dyDescent="0.25">
      <c r="B121" s="838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66"/>
      <c r="AV121" s="166"/>
      <c r="AW121" s="166"/>
      <c r="AX121" s="166"/>
      <c r="AY121" s="166"/>
      <c r="AZ121" s="166"/>
      <c r="BA121" s="166"/>
      <c r="BB121" s="166"/>
      <c r="BC121" s="166"/>
      <c r="BD121" s="166"/>
      <c r="BE121" s="166"/>
      <c r="BF121" s="166"/>
      <c r="BG121" s="166"/>
      <c r="BH121" s="166"/>
      <c r="BI121" s="166"/>
      <c r="BJ121" s="166"/>
      <c r="BK121" s="166"/>
      <c r="BL121" s="166"/>
      <c r="BM121" s="166"/>
      <c r="BN121" s="166"/>
    </row>
    <row r="122" spans="2:66" ht="14.4" x14ac:dyDescent="0.25">
      <c r="B122" s="838"/>
      <c r="C122" s="178"/>
      <c r="D122" s="178"/>
      <c r="E122" s="884" t="s">
        <v>473</v>
      </c>
      <c r="F122" s="178">
        <f>C120+D120+E120+F120</f>
        <v>-115068009.72977532</v>
      </c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66"/>
      <c r="AV122" s="166"/>
      <c r="AW122" s="166"/>
      <c r="AX122" s="166"/>
      <c r="AY122" s="166"/>
      <c r="AZ122" s="166"/>
      <c r="BA122" s="166"/>
      <c r="BB122" s="166"/>
      <c r="BC122" s="166"/>
      <c r="BD122" s="166"/>
      <c r="BE122" s="166"/>
      <c r="BF122" s="166"/>
      <c r="BG122" s="166"/>
      <c r="BH122" s="166"/>
      <c r="BI122" s="166"/>
      <c r="BJ122" s="166"/>
      <c r="BK122" s="166"/>
      <c r="BL122" s="166"/>
      <c r="BM122" s="166"/>
      <c r="BN122" s="166"/>
    </row>
    <row r="123" spans="2:66" ht="14.4" x14ac:dyDescent="0.25">
      <c r="B123" s="838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66"/>
      <c r="AV123" s="166"/>
      <c r="AW123" s="166"/>
      <c r="AX123" s="166"/>
      <c r="AY123" s="166"/>
      <c r="AZ123" s="166"/>
      <c r="BA123" s="166"/>
      <c r="BB123" s="166"/>
      <c r="BC123" s="166"/>
      <c r="BD123" s="166"/>
      <c r="BE123" s="166"/>
      <c r="BF123" s="166"/>
      <c r="BG123" s="166"/>
      <c r="BH123" s="166"/>
      <c r="BI123" s="166"/>
      <c r="BJ123" s="166"/>
      <c r="BK123" s="166"/>
      <c r="BL123" s="166"/>
      <c r="BM123" s="166"/>
      <c r="BN123" s="166"/>
    </row>
    <row r="124" spans="2:66" ht="14.4" x14ac:dyDescent="0.25">
      <c r="B124" s="844" t="s">
        <v>436</v>
      </c>
      <c r="C124" s="178">
        <f t="shared" ref="C124:AJ124" si="47">C114+C120</f>
        <v>-5894681.6442265697</v>
      </c>
      <c r="D124" s="178">
        <f t="shared" si="47"/>
        <v>-23692439.326687708</v>
      </c>
      <c r="E124" s="178">
        <f t="shared" si="47"/>
        <v>-60967175.133836582</v>
      </c>
      <c r="F124" s="178">
        <f t="shared" si="47"/>
        <v>-24513713.625024468</v>
      </c>
      <c r="G124" s="178">
        <f t="shared" si="47"/>
        <v>-540858.38062760234</v>
      </c>
      <c r="H124" s="178">
        <f t="shared" si="47"/>
        <v>-64782.232445034198</v>
      </c>
      <c r="I124" s="178">
        <f t="shared" si="47"/>
        <v>332103.31441126717</v>
      </c>
      <c r="J124" s="178">
        <f t="shared" si="47"/>
        <v>292608.57705980586</v>
      </c>
      <c r="K124" s="178">
        <f t="shared" si="47"/>
        <v>-4339984.5330461338</v>
      </c>
      <c r="L124" s="178">
        <f t="shared" si="47"/>
        <v>356424.49029756198</v>
      </c>
      <c r="M124" s="178">
        <f t="shared" si="47"/>
        <v>468794.55652260408</v>
      </c>
      <c r="N124" s="178">
        <f t="shared" si="47"/>
        <v>395441.55457072239</v>
      </c>
      <c r="O124" s="178">
        <f t="shared" si="47"/>
        <v>483482.04639904294</v>
      </c>
      <c r="P124" s="178">
        <f t="shared" si="47"/>
        <v>-6422096.9434978832</v>
      </c>
      <c r="Q124" s="178">
        <f t="shared" si="47"/>
        <v>-1469244.7647486117</v>
      </c>
      <c r="R124" s="178">
        <f t="shared" si="47"/>
        <v>417057.39145994838</v>
      </c>
      <c r="S124" s="178">
        <f t="shared" si="47"/>
        <v>517299.41280800942</v>
      </c>
      <c r="T124" s="178">
        <f t="shared" si="47"/>
        <v>436553.678414464</v>
      </c>
      <c r="U124" s="178">
        <f t="shared" si="47"/>
        <v>-8039762.1364070922</v>
      </c>
      <c r="V124" s="178">
        <f t="shared" si="47"/>
        <v>-8636337.1199341826</v>
      </c>
      <c r="W124" s="178">
        <f t="shared" si="47"/>
        <v>-3668141.3037800146</v>
      </c>
      <c r="X124" s="178">
        <f t="shared" si="47"/>
        <v>498938.77559111733</v>
      </c>
      <c r="Y124" s="178">
        <f t="shared" si="47"/>
        <v>637634.46153214294</v>
      </c>
      <c r="Z124" s="178">
        <f t="shared" si="47"/>
        <v>-5718412.6602278715</v>
      </c>
      <c r="AA124" s="178">
        <f t="shared" si="47"/>
        <v>-1299640.1178657869</v>
      </c>
      <c r="AB124" s="178">
        <f t="shared" si="47"/>
        <v>-1802762.1684356714</v>
      </c>
      <c r="AC124" s="178">
        <f t="shared" si="47"/>
        <v>746252.1918609757</v>
      </c>
      <c r="AD124" s="178">
        <f t="shared" si="47"/>
        <v>619626.03508040216</v>
      </c>
      <c r="AE124" s="178">
        <f t="shared" si="47"/>
        <v>-6175270.264248156</v>
      </c>
      <c r="AF124" s="178">
        <f t="shared" si="47"/>
        <v>597506.65694533382</v>
      </c>
      <c r="AG124" s="178">
        <f t="shared" si="47"/>
        <v>711574.23663968034</v>
      </c>
      <c r="AH124" s="178">
        <f t="shared" si="47"/>
        <v>571897.82351905759</v>
      </c>
      <c r="AI124" s="178">
        <f t="shared" si="47"/>
        <v>689222.45909687225</v>
      </c>
      <c r="AJ124" s="178">
        <f t="shared" si="47"/>
        <v>37381059.289035536</v>
      </c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</row>
    <row r="125" spans="2:66" ht="14.4" x14ac:dyDescent="0.25">
      <c r="B125" s="844" t="s">
        <v>438</v>
      </c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848">
        <f>IRR(C124:AJ124)</f>
        <v>-5.5241076023900049E-2</v>
      </c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66"/>
      <c r="BI125" s="166"/>
      <c r="BJ125" s="166"/>
      <c r="BK125" s="166"/>
      <c r="BL125" s="166"/>
      <c r="BM125" s="166"/>
      <c r="BN125" s="166"/>
    </row>
    <row r="126" spans="2:66" ht="14.4" x14ac:dyDescent="0.25">
      <c r="B126" s="844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66"/>
      <c r="BI126" s="166"/>
      <c r="BJ126" s="166"/>
      <c r="BK126" s="166"/>
      <c r="BL126" s="166"/>
      <c r="BM126" s="166"/>
      <c r="BN126" s="166"/>
    </row>
    <row r="127" spans="2:66" ht="14.4" x14ac:dyDescent="0.25">
      <c r="B127" s="844" t="s">
        <v>437</v>
      </c>
      <c r="C127" s="178">
        <f>C114+C120</f>
        <v>-5894681.6442265697</v>
      </c>
      <c r="D127" s="178">
        <f t="shared" ref="D127:AT127" si="48">D114+D120</f>
        <v>-23692439.326687708</v>
      </c>
      <c r="E127" s="178">
        <f t="shared" si="48"/>
        <v>-60967175.133836582</v>
      </c>
      <c r="F127" s="178">
        <f t="shared" si="48"/>
        <v>-24513713.625024468</v>
      </c>
      <c r="G127" s="178">
        <f t="shared" si="48"/>
        <v>-540858.38062760234</v>
      </c>
      <c r="H127" s="178">
        <f t="shared" si="48"/>
        <v>-64782.232445034198</v>
      </c>
      <c r="I127" s="178">
        <f t="shared" si="48"/>
        <v>332103.31441126717</v>
      </c>
      <c r="J127" s="178">
        <f t="shared" si="48"/>
        <v>292608.57705980586</v>
      </c>
      <c r="K127" s="178">
        <f t="shared" si="48"/>
        <v>-4339984.5330461338</v>
      </c>
      <c r="L127" s="178">
        <f t="shared" si="48"/>
        <v>356424.49029756198</v>
      </c>
      <c r="M127" s="178">
        <f t="shared" si="48"/>
        <v>468794.55652260408</v>
      </c>
      <c r="N127" s="178">
        <f t="shared" si="48"/>
        <v>395441.55457072239</v>
      </c>
      <c r="O127" s="178">
        <f t="shared" si="48"/>
        <v>483482.04639904294</v>
      </c>
      <c r="P127" s="178">
        <f t="shared" si="48"/>
        <v>-6422096.9434978832</v>
      </c>
      <c r="Q127" s="178">
        <f t="shared" si="48"/>
        <v>-1469244.7647486117</v>
      </c>
      <c r="R127" s="178">
        <f t="shared" si="48"/>
        <v>417057.39145994838</v>
      </c>
      <c r="S127" s="178">
        <f t="shared" si="48"/>
        <v>517299.41280800942</v>
      </c>
      <c r="T127" s="178">
        <f t="shared" si="48"/>
        <v>436553.678414464</v>
      </c>
      <c r="U127" s="178">
        <f t="shared" si="48"/>
        <v>-8039762.1364070922</v>
      </c>
      <c r="V127" s="178">
        <f t="shared" si="48"/>
        <v>-8636337.1199341826</v>
      </c>
      <c r="W127" s="178">
        <f t="shared" si="48"/>
        <v>-3668141.3037800146</v>
      </c>
      <c r="X127" s="178">
        <f t="shared" si="48"/>
        <v>498938.77559111733</v>
      </c>
      <c r="Y127" s="178">
        <f t="shared" si="48"/>
        <v>637634.46153214294</v>
      </c>
      <c r="Z127" s="178">
        <f t="shared" si="48"/>
        <v>-5718412.6602278715</v>
      </c>
      <c r="AA127" s="178">
        <f t="shared" si="48"/>
        <v>-1299640.1178657869</v>
      </c>
      <c r="AB127" s="178">
        <f t="shared" si="48"/>
        <v>-1802762.1684356714</v>
      </c>
      <c r="AC127" s="178">
        <f t="shared" si="48"/>
        <v>746252.1918609757</v>
      </c>
      <c r="AD127" s="178">
        <f t="shared" si="48"/>
        <v>619626.03508040216</v>
      </c>
      <c r="AE127" s="178">
        <f t="shared" si="48"/>
        <v>-6175270.264248156</v>
      </c>
      <c r="AF127" s="178">
        <f t="shared" si="48"/>
        <v>597506.65694533382</v>
      </c>
      <c r="AG127" s="178">
        <f t="shared" si="48"/>
        <v>711574.23663968034</v>
      </c>
      <c r="AH127" s="178">
        <f t="shared" si="48"/>
        <v>571897.82351905759</v>
      </c>
      <c r="AI127" s="178">
        <f t="shared" si="48"/>
        <v>689222.45909687225</v>
      </c>
      <c r="AJ127" s="178">
        <f>AJ114+AJ118</f>
        <v>-7045202.0144984527</v>
      </c>
      <c r="AK127" s="178">
        <f t="shared" si="48"/>
        <v>663153.47890958656</v>
      </c>
      <c r="AL127" s="178">
        <f t="shared" si="48"/>
        <v>-5943752.6421351843</v>
      </c>
      <c r="AM127" s="178">
        <f t="shared" si="48"/>
        <v>-14750511.797500866</v>
      </c>
      <c r="AN127" s="178">
        <f t="shared" si="48"/>
        <v>-5312584.3175977999</v>
      </c>
      <c r="AO127" s="178">
        <f t="shared" si="48"/>
        <v>-7738395.6561468504</v>
      </c>
      <c r="AP127" s="178">
        <f t="shared" si="48"/>
        <v>428576.80774192791</v>
      </c>
      <c r="AQ127" s="178">
        <f t="shared" si="48"/>
        <v>559477.63237400539</v>
      </c>
      <c r="AR127" s="178">
        <f t="shared" si="48"/>
        <v>380843.47294240072</v>
      </c>
      <c r="AS127" s="178">
        <f t="shared" si="48"/>
        <v>515263.57395802438</v>
      </c>
      <c r="AT127" s="178">
        <f t="shared" si="48"/>
        <v>32199545.800799899</v>
      </c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66"/>
      <c r="BI127" s="166"/>
      <c r="BJ127" s="166"/>
      <c r="BK127" s="166"/>
      <c r="BL127" s="166"/>
      <c r="BM127" s="166"/>
      <c r="BN127" s="166"/>
    </row>
    <row r="128" spans="2:66" ht="14.4" x14ac:dyDescent="0.25">
      <c r="B128" s="844" t="s">
        <v>439</v>
      </c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849">
        <f>IRR(C127:AT127)</f>
        <v>-7.546965570684705E-2</v>
      </c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</row>
    <row r="129" spans="1:66" ht="14.4" x14ac:dyDescent="0.25">
      <c r="B129" s="844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66"/>
      <c r="AV129" s="166"/>
      <c r="AW129" s="166"/>
      <c r="AX129" s="166"/>
      <c r="AY129" s="166"/>
      <c r="AZ129" s="166"/>
      <c r="BA129" s="166"/>
      <c r="BB129" s="166"/>
      <c r="BC129" s="166"/>
      <c r="BD129" s="166"/>
      <c r="BE129" s="166"/>
      <c r="BF129" s="166"/>
      <c r="BG129" s="166"/>
      <c r="BH129" s="166"/>
      <c r="BI129" s="166"/>
      <c r="BJ129" s="166"/>
      <c r="BK129" s="166"/>
      <c r="BL129" s="166"/>
      <c r="BM129" s="166"/>
      <c r="BN129" s="166"/>
    </row>
    <row r="130" spans="1:66" ht="14.4" x14ac:dyDescent="0.25">
      <c r="B130" s="844" t="s">
        <v>450</v>
      </c>
      <c r="C130" s="178">
        <f>C104</f>
        <v>0</v>
      </c>
      <c r="D130" s="178">
        <f t="shared" ref="D130:AT130" si="49">D104</f>
        <v>0</v>
      </c>
      <c r="E130" s="178">
        <f t="shared" si="49"/>
        <v>0</v>
      </c>
      <c r="F130" s="178">
        <f t="shared" si="49"/>
        <v>0</v>
      </c>
      <c r="G130" s="178">
        <f t="shared" si="49"/>
        <v>-540858.38062760234</v>
      </c>
      <c r="H130" s="178">
        <f t="shared" si="49"/>
        <v>-64782.232445034198</v>
      </c>
      <c r="I130" s="178">
        <f t="shared" si="49"/>
        <v>332103.31441126717</v>
      </c>
      <c r="J130" s="178">
        <f t="shared" si="49"/>
        <v>292608.57705980586</v>
      </c>
      <c r="K130" s="178">
        <f t="shared" si="49"/>
        <v>-4339984.5330461338</v>
      </c>
      <c r="L130" s="178">
        <f t="shared" si="49"/>
        <v>356424.49029756198</v>
      </c>
      <c r="M130" s="178">
        <f t="shared" si="49"/>
        <v>468794.55652260408</v>
      </c>
      <c r="N130" s="178">
        <f t="shared" si="49"/>
        <v>395441.55457072239</v>
      </c>
      <c r="O130" s="178">
        <f t="shared" si="49"/>
        <v>483482.04639904294</v>
      </c>
      <c r="P130" s="178">
        <f t="shared" si="49"/>
        <v>-4799771.3455324862</v>
      </c>
      <c r="Q130" s="178">
        <f t="shared" si="49"/>
        <v>498156.08805806376</v>
      </c>
      <c r="R130" s="178">
        <f t="shared" si="49"/>
        <v>417057.39145994838</v>
      </c>
      <c r="S130" s="178">
        <f t="shared" si="49"/>
        <v>517299.41280800942</v>
      </c>
      <c r="T130" s="178">
        <f t="shared" si="49"/>
        <v>436553.678414464</v>
      </c>
      <c r="U130" s="178">
        <f t="shared" si="49"/>
        <v>-5178824.6937172925</v>
      </c>
      <c r="V130" s="178">
        <f t="shared" si="49"/>
        <v>456446.21100429073</v>
      </c>
      <c r="W130" s="178">
        <f t="shared" si="49"/>
        <v>566105.31386854593</v>
      </c>
      <c r="X130" s="178">
        <f t="shared" si="49"/>
        <v>498938.77559111733</v>
      </c>
      <c r="Y130" s="178">
        <f t="shared" si="49"/>
        <v>637634.46153214294</v>
      </c>
      <c r="Z130" s="178">
        <f t="shared" si="49"/>
        <v>-5718412.6602278706</v>
      </c>
      <c r="AA130" s="178">
        <f t="shared" si="49"/>
        <v>713448.23924949579</v>
      </c>
      <c r="AB130" s="178">
        <f t="shared" si="49"/>
        <v>638522.20172106382</v>
      </c>
      <c r="AC130" s="178">
        <f t="shared" si="49"/>
        <v>746252.1918609757</v>
      </c>
      <c r="AD130" s="178">
        <f t="shared" si="49"/>
        <v>619626.03508040216</v>
      </c>
      <c r="AE130" s="178">
        <f t="shared" si="49"/>
        <v>-6175270.2642481569</v>
      </c>
      <c r="AF130" s="178">
        <f t="shared" si="49"/>
        <v>597506.65694533382</v>
      </c>
      <c r="AG130" s="178">
        <f t="shared" si="49"/>
        <v>711574.23663968034</v>
      </c>
      <c r="AH130" s="178">
        <f t="shared" si="49"/>
        <v>571897.82351905759</v>
      </c>
      <c r="AI130" s="178">
        <f t="shared" si="49"/>
        <v>689222.45909687225</v>
      </c>
      <c r="AJ130" s="178">
        <f t="shared" si="49"/>
        <v>-7045202.0144984527</v>
      </c>
      <c r="AK130" s="178">
        <f t="shared" si="49"/>
        <v>663153.47890958656</v>
      </c>
      <c r="AL130" s="178">
        <f t="shared" si="49"/>
        <v>509054.03612819128</v>
      </c>
      <c r="AM130" s="178">
        <f t="shared" si="49"/>
        <v>633061.37596437894</v>
      </c>
      <c r="AN130" s="178">
        <f t="shared" si="49"/>
        <v>471190.25212963764</v>
      </c>
      <c r="AO130" s="178">
        <f t="shared" si="49"/>
        <v>-7738395.6561468514</v>
      </c>
      <c r="AP130" s="178">
        <f t="shared" si="49"/>
        <v>428576.80774192791</v>
      </c>
      <c r="AQ130" s="178">
        <f t="shared" si="49"/>
        <v>559477.63237400539</v>
      </c>
      <c r="AR130" s="178">
        <f t="shared" si="49"/>
        <v>380843.47294240072</v>
      </c>
      <c r="AS130" s="178">
        <f t="shared" si="49"/>
        <v>515263.57395802438</v>
      </c>
      <c r="AT130" s="178">
        <f t="shared" si="49"/>
        <v>-8832714.7595679518</v>
      </c>
      <c r="AU130" s="166"/>
      <c r="AV130" s="166"/>
      <c r="AW130" s="166"/>
      <c r="AX130" s="166"/>
      <c r="AY130" s="166"/>
      <c r="AZ130" s="166"/>
      <c r="BA130" s="166"/>
      <c r="BB130" s="166"/>
      <c r="BC130" s="166"/>
      <c r="BD130" s="166"/>
      <c r="BE130" s="166"/>
      <c r="BF130" s="166"/>
      <c r="BG130" s="166"/>
      <c r="BH130" s="166"/>
      <c r="BI130" s="166"/>
      <c r="BJ130" s="166"/>
      <c r="BK130" s="166"/>
      <c r="BL130" s="166"/>
      <c r="BM130" s="166"/>
      <c r="BN130" s="166"/>
    </row>
    <row r="131" spans="1:66" ht="14.4" x14ac:dyDescent="0.25">
      <c r="B131" s="844" t="s">
        <v>451</v>
      </c>
      <c r="C131" s="178">
        <f>C130+C91</f>
        <v>0</v>
      </c>
      <c r="D131" s="178">
        <f t="shared" ref="D131:AT131" si="50">D130+D91</f>
        <v>0</v>
      </c>
      <c r="E131" s="178">
        <f t="shared" si="50"/>
        <v>0</v>
      </c>
      <c r="F131" s="178">
        <f t="shared" si="50"/>
        <v>0</v>
      </c>
      <c r="G131" s="178">
        <f t="shared" si="50"/>
        <v>-3731454.9012967786</v>
      </c>
      <c r="H131" s="178">
        <f t="shared" si="50"/>
        <v>-3255378.7531142104</v>
      </c>
      <c r="I131" s="178">
        <f t="shared" si="50"/>
        <v>-2858493.2062579091</v>
      </c>
      <c r="J131" s="178">
        <f t="shared" si="50"/>
        <v>-2897987.9436093704</v>
      </c>
      <c r="K131" s="178">
        <f t="shared" si="50"/>
        <v>-7530581.0537153101</v>
      </c>
      <c r="L131" s="178">
        <f t="shared" si="50"/>
        <v>-2661580.1479431926</v>
      </c>
      <c r="M131" s="178">
        <f t="shared" si="50"/>
        <v>-2549210.0817181505</v>
      </c>
      <c r="N131" s="178">
        <f t="shared" si="50"/>
        <v>-2622563.0836700322</v>
      </c>
      <c r="O131" s="178">
        <f t="shared" si="50"/>
        <v>-2534522.5918417117</v>
      </c>
      <c r="P131" s="178">
        <f t="shared" si="50"/>
        <v>-7817775.9837732408</v>
      </c>
      <c r="Q131" s="178">
        <f t="shared" si="50"/>
        <v>-2232141.4316229066</v>
      </c>
      <c r="R131" s="178">
        <f t="shared" si="50"/>
        <v>-2672212.7732982291</v>
      </c>
      <c r="S131" s="178">
        <f t="shared" si="50"/>
        <v>-2571970.7519501681</v>
      </c>
      <c r="T131" s="178">
        <f t="shared" si="50"/>
        <v>-2652716.4863437135</v>
      </c>
      <c r="U131" s="178">
        <f t="shared" si="50"/>
        <v>-8268094.85847547</v>
      </c>
      <c r="V131" s="178">
        <f t="shared" si="50"/>
        <v>-1865323.934315491</v>
      </c>
      <c r="W131" s="178">
        <f t="shared" si="50"/>
        <v>-1755664.8314512358</v>
      </c>
      <c r="X131" s="178">
        <f t="shared" si="50"/>
        <v>-2902029.1958137862</v>
      </c>
      <c r="Y131" s="178">
        <f t="shared" si="50"/>
        <v>-2763333.5098727606</v>
      </c>
      <c r="Z131" s="178">
        <f t="shared" si="50"/>
        <v>-9119380.6316327751</v>
      </c>
      <c r="AA131" s="178">
        <f t="shared" si="50"/>
        <v>-2687519.7321554078</v>
      </c>
      <c r="AB131" s="178">
        <f t="shared" si="50"/>
        <v>-2762445.7696838398</v>
      </c>
      <c r="AC131" s="178">
        <f t="shared" si="50"/>
        <v>-2741180.4071939224</v>
      </c>
      <c r="AD131" s="178">
        <f t="shared" si="50"/>
        <v>-2867806.563974496</v>
      </c>
      <c r="AE131" s="178">
        <f t="shared" si="50"/>
        <v>-9662702.8633030541</v>
      </c>
      <c r="AF131" s="178">
        <f t="shared" si="50"/>
        <v>-2889925.9421095643</v>
      </c>
      <c r="AG131" s="178">
        <f t="shared" si="50"/>
        <v>-2775858.3624152178</v>
      </c>
      <c r="AH131" s="178">
        <f t="shared" si="50"/>
        <v>-2915534.7755358405</v>
      </c>
      <c r="AI131" s="178">
        <f t="shared" si="50"/>
        <v>-2798210.1399580259</v>
      </c>
      <c r="AJ131" s="178">
        <f t="shared" si="50"/>
        <v>-10532634.613553351</v>
      </c>
      <c r="AK131" s="178">
        <f t="shared" si="50"/>
        <v>-2824279.1201453116</v>
      </c>
      <c r="AL131" s="178">
        <f t="shared" si="50"/>
        <v>-2978378.5629267069</v>
      </c>
      <c r="AM131" s="178">
        <f t="shared" si="50"/>
        <v>-1775173.3970053974</v>
      </c>
      <c r="AN131" s="178">
        <f t="shared" si="50"/>
        <v>-1491607.2481129367</v>
      </c>
      <c r="AO131" s="178">
        <f t="shared" si="50"/>
        <v>-11674061.329350572</v>
      </c>
      <c r="AP131" s="178">
        <f t="shared" si="50"/>
        <v>-3507088.8654617933</v>
      </c>
      <c r="AQ131" s="178">
        <f t="shared" si="50"/>
        <v>-3376188.0408297158</v>
      </c>
      <c r="AR131" s="178">
        <f t="shared" si="50"/>
        <v>-3554822.2002613205</v>
      </c>
      <c r="AS131" s="178">
        <f t="shared" si="50"/>
        <v>-3420402.0992456968</v>
      </c>
      <c r="AT131" s="178">
        <f t="shared" si="50"/>
        <v>-12768380.432771673</v>
      </c>
      <c r="AU131" s="166"/>
      <c r="AV131" s="166"/>
      <c r="AW131" s="166"/>
      <c r="AX131" s="166"/>
      <c r="AY131" s="166"/>
      <c r="AZ131" s="166"/>
      <c r="BA131" s="166"/>
      <c r="BB131" s="166"/>
      <c r="BC131" s="166"/>
      <c r="BD131" s="166"/>
      <c r="BE131" s="166"/>
      <c r="BF131" s="166"/>
      <c r="BG131" s="166"/>
      <c r="BH131" s="166"/>
      <c r="BI131" s="166"/>
      <c r="BJ131" s="166"/>
      <c r="BK131" s="166"/>
      <c r="BL131" s="166"/>
      <c r="BM131" s="166"/>
      <c r="BN131" s="166"/>
    </row>
    <row r="132" spans="1:66" ht="14.4" x14ac:dyDescent="0.25">
      <c r="B132" s="844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</row>
    <row r="133" spans="1:66" ht="14.4" x14ac:dyDescent="0.25">
      <c r="B133" s="844" t="s">
        <v>489</v>
      </c>
      <c r="C133" s="908"/>
      <c r="D133" s="908"/>
      <c r="E133" s="908"/>
      <c r="F133" s="908"/>
      <c r="G133" s="909">
        <f>ABS(G102)/ABS(G97)</f>
        <v>0.84500109903957632</v>
      </c>
      <c r="H133" s="909">
        <f t="shared" ref="H133:AT133" si="51">ABS(H102)/ABS(H97)</f>
        <v>0.9832370839128185</v>
      </c>
      <c r="I133" s="909">
        <f t="shared" si="51"/>
        <v>1.0905418168011844</v>
      </c>
      <c r="J133" s="909">
        <f t="shared" si="51"/>
        <v>1.077936560767127</v>
      </c>
      <c r="K133" s="909">
        <f t="shared" si="51"/>
        <v>0.49424793526269184</v>
      </c>
      <c r="L133" s="909">
        <f t="shared" si="51"/>
        <v>1.0906071506916113</v>
      </c>
      <c r="M133" s="909">
        <f t="shared" si="51"/>
        <v>1.1164233389700353</v>
      </c>
      <c r="N133" s="909">
        <f t="shared" si="51"/>
        <v>1.0959394291772169</v>
      </c>
      <c r="O133" s="909">
        <f t="shared" si="51"/>
        <v>1.1145901504381321</v>
      </c>
      <c r="P133" s="909">
        <f t="shared" si="51"/>
        <v>0.49609523480633605</v>
      </c>
      <c r="Q133" s="909">
        <f t="shared" si="51"/>
        <v>1.1126732766568139</v>
      </c>
      <c r="R133" s="909">
        <f t="shared" si="51"/>
        <v>1.0921483852607461</v>
      </c>
      <c r="S133" s="909">
        <f t="shared" si="51"/>
        <v>1.1116516335122042</v>
      </c>
      <c r="T133" s="909">
        <f t="shared" si="51"/>
        <v>1.0920421379931591</v>
      </c>
      <c r="U133" s="909">
        <f t="shared" si="51"/>
        <v>0.51030856768512856</v>
      </c>
      <c r="V133" s="909">
        <f t="shared" si="51"/>
        <v>1.0918279361873127</v>
      </c>
      <c r="W133" s="909">
        <f t="shared" si="51"/>
        <v>1.1112481157718475</v>
      </c>
      <c r="X133" s="909">
        <f t="shared" si="51"/>
        <v>1.0957740060410959</v>
      </c>
      <c r="Y133" s="909">
        <f t="shared" si="51"/>
        <v>1.1195561407412593</v>
      </c>
      <c r="Z133" s="909">
        <f t="shared" si="51"/>
        <v>0.51313047784877674</v>
      </c>
      <c r="AA133" s="909">
        <f t="shared" si="51"/>
        <v>1.1276280767453508</v>
      </c>
      <c r="AB133" s="909">
        <f t="shared" si="51"/>
        <v>1.1115690380845427</v>
      </c>
      <c r="AC133" s="909">
        <f t="shared" si="51"/>
        <v>1.1273596840773548</v>
      </c>
      <c r="AD133" s="909">
        <f t="shared" si="51"/>
        <v>1.1032878911700694</v>
      </c>
      <c r="AE133" s="909">
        <f t="shared" si="51"/>
        <v>0.52671934768912343</v>
      </c>
      <c r="AF133" s="909">
        <f t="shared" si="51"/>
        <v>1.0950152879051755</v>
      </c>
      <c r="AG133" s="909">
        <f t="shared" si="51"/>
        <v>1.1105168603604023</v>
      </c>
      <c r="AH133" s="909">
        <f t="shared" si="51"/>
        <v>1.0867519154050749</v>
      </c>
      <c r="AI133" s="909">
        <f t="shared" si="51"/>
        <v>1.1021097177560579</v>
      </c>
      <c r="AJ133" s="909">
        <f t="shared" si="51"/>
        <v>0.51408618037584652</v>
      </c>
      <c r="AK133" s="909">
        <f t="shared" si="51"/>
        <v>1.093713015332709</v>
      </c>
      <c r="AL133" s="909">
        <f t="shared" si="51"/>
        <v>1.0702555955465027</v>
      </c>
      <c r="AM133" s="909">
        <f t="shared" si="51"/>
        <v>1.0853274443732637</v>
      </c>
      <c r="AN133" s="909">
        <f t="shared" si="51"/>
        <v>1.0620240062649167</v>
      </c>
      <c r="AO133" s="909">
        <f t="shared" si="51"/>
        <v>0.51983055165285807</v>
      </c>
      <c r="AP133" s="909">
        <f t="shared" si="51"/>
        <v>1.0538043635457464</v>
      </c>
      <c r="AQ133" s="909">
        <f t="shared" si="51"/>
        <v>1.06859244380568</v>
      </c>
      <c r="AR133" s="909">
        <f t="shared" si="51"/>
        <v>1.0455973372823972</v>
      </c>
      <c r="AS133" s="909">
        <f t="shared" si="51"/>
        <v>1.0602443780545825</v>
      </c>
      <c r="AT133" s="909">
        <f t="shared" si="51"/>
        <v>0.50706710766190943</v>
      </c>
      <c r="AU133" s="166"/>
      <c r="AV133" s="166"/>
      <c r="AW133" s="166"/>
      <c r="AX133" s="166"/>
      <c r="AY133" s="166"/>
      <c r="AZ133" s="166"/>
      <c r="BA133" s="166"/>
      <c r="BB133" s="166"/>
      <c r="BC133" s="166"/>
      <c r="BD133" s="166"/>
      <c r="BE133" s="166"/>
      <c r="BF133" s="166"/>
      <c r="BG133" s="166"/>
      <c r="BH133" s="166"/>
      <c r="BI133" s="166"/>
      <c r="BJ133" s="166"/>
      <c r="BK133" s="166"/>
      <c r="BL133" s="166"/>
      <c r="BM133" s="166"/>
      <c r="BN133" s="166"/>
    </row>
    <row r="134" spans="1:66" ht="14.4" x14ac:dyDescent="0.25">
      <c r="B134" s="844" t="s">
        <v>490</v>
      </c>
      <c r="C134" s="908"/>
      <c r="D134" s="908"/>
      <c r="E134" s="908"/>
      <c r="F134" s="908"/>
      <c r="G134" s="909">
        <f>G133-1</f>
        <v>-0.15499890096042368</v>
      </c>
      <c r="H134" s="909">
        <f t="shared" ref="H134:AT134" si="52">H133-1</f>
        <v>-1.6762916087181501E-2</v>
      </c>
      <c r="I134" s="909">
        <f t="shared" si="52"/>
        <v>9.0541816801184449E-2</v>
      </c>
      <c r="J134" s="909">
        <f t="shared" si="52"/>
        <v>7.7936560767126961E-2</v>
      </c>
      <c r="K134" s="909">
        <f t="shared" si="52"/>
        <v>-0.50575206473730816</v>
      </c>
      <c r="L134" s="909">
        <f t="shared" si="52"/>
        <v>9.0607150691611293E-2</v>
      </c>
      <c r="M134" s="909">
        <f t="shared" si="52"/>
        <v>0.11642333897003532</v>
      </c>
      <c r="N134" s="909">
        <f t="shared" si="52"/>
        <v>9.5939429177216873E-2</v>
      </c>
      <c r="O134" s="909">
        <f t="shared" si="52"/>
        <v>0.11459015043813214</v>
      </c>
      <c r="P134" s="909">
        <f t="shared" si="52"/>
        <v>-0.50390476519366389</v>
      </c>
      <c r="Q134" s="909">
        <f t="shared" si="52"/>
        <v>0.11267327665681393</v>
      </c>
      <c r="R134" s="909">
        <f t="shared" si="52"/>
        <v>9.2148385260746091E-2</v>
      </c>
      <c r="S134" s="909">
        <f t="shared" si="52"/>
        <v>0.1116516335122042</v>
      </c>
      <c r="T134" s="909">
        <f t="shared" si="52"/>
        <v>9.2042137993159079E-2</v>
      </c>
      <c r="U134" s="909">
        <f t="shared" si="52"/>
        <v>-0.48969143231487144</v>
      </c>
      <c r="V134" s="909">
        <f t="shared" si="52"/>
        <v>9.1827936187312664E-2</v>
      </c>
      <c r="W134" s="909">
        <f t="shared" si="52"/>
        <v>0.11124811577184746</v>
      </c>
      <c r="X134" s="909">
        <f t="shared" si="52"/>
        <v>9.5774006041095872E-2</v>
      </c>
      <c r="Y134" s="909">
        <f t="shared" si="52"/>
        <v>0.11955614074125931</v>
      </c>
      <c r="Z134" s="909">
        <f t="shared" si="52"/>
        <v>-0.48686952215122326</v>
      </c>
      <c r="AA134" s="909">
        <f t="shared" si="52"/>
        <v>0.12762807674535082</v>
      </c>
      <c r="AB134" s="909">
        <f t="shared" si="52"/>
        <v>0.11156903808454266</v>
      </c>
      <c r="AC134" s="909">
        <f t="shared" si="52"/>
        <v>0.12735968407735476</v>
      </c>
      <c r="AD134" s="909">
        <f t="shared" si="52"/>
        <v>0.10328789117006942</v>
      </c>
      <c r="AE134" s="909">
        <f t="shared" si="52"/>
        <v>-0.47328065231087657</v>
      </c>
      <c r="AF134" s="909">
        <f t="shared" si="52"/>
        <v>9.5015287905175549E-2</v>
      </c>
      <c r="AG134" s="909">
        <f t="shared" si="52"/>
        <v>0.11051686036040231</v>
      </c>
      <c r="AH134" s="909">
        <f t="shared" si="52"/>
        <v>8.6751915405074875E-2</v>
      </c>
      <c r="AI134" s="909">
        <f t="shared" si="52"/>
        <v>0.10210971775605793</v>
      </c>
      <c r="AJ134" s="909">
        <f t="shared" si="52"/>
        <v>-0.48591381962415348</v>
      </c>
      <c r="AK134" s="909">
        <f t="shared" si="52"/>
        <v>9.3713015332709038E-2</v>
      </c>
      <c r="AL134" s="909">
        <f t="shared" si="52"/>
        <v>7.0255595546502736E-2</v>
      </c>
      <c r="AM134" s="909">
        <f t="shared" si="52"/>
        <v>8.5327444373263672E-2</v>
      </c>
      <c r="AN134" s="909">
        <f t="shared" si="52"/>
        <v>6.2024006264916665E-2</v>
      </c>
      <c r="AO134" s="909">
        <f t="shared" si="52"/>
        <v>-0.48016944834714193</v>
      </c>
      <c r="AP134" s="909">
        <f t="shared" si="52"/>
        <v>5.3804363545746359E-2</v>
      </c>
      <c r="AQ134" s="909">
        <f t="shared" si="52"/>
        <v>6.859244380567997E-2</v>
      </c>
      <c r="AR134" s="909">
        <f t="shared" si="52"/>
        <v>4.5597337282397232E-2</v>
      </c>
      <c r="AS134" s="909">
        <f t="shared" si="52"/>
        <v>6.0244378054582493E-2</v>
      </c>
      <c r="AT134" s="909">
        <f t="shared" si="52"/>
        <v>-0.49293289233809057</v>
      </c>
      <c r="AU134" s="166"/>
      <c r="AV134" s="166"/>
      <c r="AW134" s="166"/>
      <c r="AX134" s="166"/>
      <c r="AY134" s="166"/>
      <c r="AZ134" s="166"/>
      <c r="BA134" s="166"/>
      <c r="BB134" s="166"/>
      <c r="BC134" s="166"/>
      <c r="BD134" s="166"/>
      <c r="BE134" s="166"/>
      <c r="BF134" s="166"/>
      <c r="BG134" s="166"/>
      <c r="BH134" s="166"/>
      <c r="BI134" s="166"/>
      <c r="BJ134" s="166"/>
      <c r="BK134" s="166"/>
      <c r="BL134" s="166"/>
      <c r="BM134" s="166"/>
      <c r="BN134" s="166"/>
    </row>
    <row r="135" spans="1:66" ht="14.4" x14ac:dyDescent="0.25">
      <c r="B135" s="844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66"/>
      <c r="AV135" s="166"/>
      <c r="AW135" s="166"/>
      <c r="AX135" s="166"/>
      <c r="AY135" s="166"/>
      <c r="AZ135" s="166"/>
      <c r="BA135" s="166"/>
      <c r="BB135" s="166"/>
      <c r="BC135" s="166"/>
      <c r="BD135" s="166"/>
      <c r="BE135" s="166"/>
      <c r="BF135" s="166"/>
      <c r="BG135" s="166"/>
      <c r="BH135" s="166"/>
      <c r="BI135" s="166"/>
      <c r="BJ135" s="166"/>
      <c r="BK135" s="166"/>
      <c r="BL135" s="166"/>
      <c r="BM135" s="166"/>
      <c r="BN135" s="166"/>
    </row>
    <row r="136" spans="1:66" ht="14.4" x14ac:dyDescent="0.25">
      <c r="B136" s="907" t="s">
        <v>404</v>
      </c>
      <c r="C136" s="268">
        <f>C127/((1+$C$26)^C68)</f>
        <v>-5894681.6442265697</v>
      </c>
      <c r="D136" s="268">
        <f>D127/((1+$C$26)^D68)</f>
        <v>-20966760.466095321</v>
      </c>
      <c r="E136" s="268">
        <f t="shared" ref="E136:AT136" si="53">E127/((1+$C$26)^E68)</f>
        <v>-47746241.000733495</v>
      </c>
      <c r="F136" s="268">
        <f t="shared" si="53"/>
        <v>-16989233.20585217</v>
      </c>
      <c r="G136" s="268">
        <f t="shared" si="53"/>
        <v>-331718.5738612492</v>
      </c>
      <c r="H136" s="268">
        <f t="shared" si="53"/>
        <v>-35161.200335768161</v>
      </c>
      <c r="I136" s="268">
        <f t="shared" si="53"/>
        <v>159515.37493368509</v>
      </c>
      <c r="J136" s="268">
        <f t="shared" si="53"/>
        <v>124376.39013068368</v>
      </c>
      <c r="K136" s="268">
        <f t="shared" si="53"/>
        <v>-1632527.9818273357</v>
      </c>
      <c r="L136" s="268">
        <f t="shared" si="53"/>
        <v>118648.30706615417</v>
      </c>
      <c r="M136" s="268">
        <f t="shared" si="53"/>
        <v>138101.4140165135</v>
      </c>
      <c r="N136" s="268">
        <f t="shared" si="53"/>
        <v>103090.68525789048</v>
      </c>
      <c r="O136" s="268">
        <f t="shared" si="53"/>
        <v>111542.15474769588</v>
      </c>
      <c r="P136" s="268">
        <f t="shared" si="53"/>
        <v>-1311164.2273085893</v>
      </c>
      <c r="Q136" s="268">
        <f t="shared" si="53"/>
        <v>-265458.07646666031</v>
      </c>
      <c r="R136" s="268">
        <f t="shared" si="53"/>
        <v>66683.620354370185</v>
      </c>
      <c r="S136" s="268">
        <f t="shared" si="53"/>
        <v>73195.922679167823</v>
      </c>
      <c r="T136" s="268">
        <f t="shared" si="53"/>
        <v>54664.340477521095</v>
      </c>
      <c r="U136" s="268">
        <f t="shared" si="53"/>
        <v>-890904.63264597754</v>
      </c>
      <c r="V136" s="268">
        <f t="shared" si="53"/>
        <v>-846913.70445011323</v>
      </c>
      <c r="W136" s="268">
        <f t="shared" si="53"/>
        <v>-318329.72018226061</v>
      </c>
      <c r="X136" s="268">
        <f t="shared" si="53"/>
        <v>38317.745076357707</v>
      </c>
      <c r="Y136" s="268">
        <f t="shared" si="53"/>
        <v>43335.720767698505</v>
      </c>
      <c r="Z136" s="268">
        <f t="shared" si="53"/>
        <v>-343930.97605960182</v>
      </c>
      <c r="AA136" s="268">
        <f t="shared" si="53"/>
        <v>-69173.613861619029</v>
      </c>
      <c r="AB136" s="268">
        <f t="shared" si="53"/>
        <v>-84913.618566530422</v>
      </c>
      <c r="AC136" s="268">
        <f t="shared" si="53"/>
        <v>31106.137626213138</v>
      </c>
      <c r="AD136" s="268">
        <f t="shared" si="53"/>
        <v>22856.602911543356</v>
      </c>
      <c r="AE136" s="268">
        <f t="shared" si="53"/>
        <v>-201585.62150401837</v>
      </c>
      <c r="AF136" s="268">
        <f t="shared" si="53"/>
        <v>17261.076892177116</v>
      </c>
      <c r="AG136" s="268">
        <f t="shared" si="53"/>
        <v>18191.432992684913</v>
      </c>
      <c r="AH136" s="268">
        <f t="shared" si="53"/>
        <v>12938.582393094368</v>
      </c>
      <c r="AI136" s="268">
        <f t="shared" si="53"/>
        <v>13799.051309958237</v>
      </c>
      <c r="AJ136" s="268">
        <f t="shared" si="53"/>
        <v>-124825.93151133016</v>
      </c>
      <c r="AK136" s="268">
        <f t="shared" si="53"/>
        <v>10397.932022026933</v>
      </c>
      <c r="AL136" s="268">
        <f t="shared" si="53"/>
        <v>-82473.648110035458</v>
      </c>
      <c r="AM136" s="268">
        <f t="shared" si="53"/>
        <v>-181126.9707571936</v>
      </c>
      <c r="AN136" s="268">
        <f t="shared" si="53"/>
        <v>-57730.248515743122</v>
      </c>
      <c r="AO136" s="268">
        <f t="shared" si="53"/>
        <v>-74416.643666029384</v>
      </c>
      <c r="AP136" s="268">
        <f t="shared" si="53"/>
        <v>3647.2822224961315</v>
      </c>
      <c r="AQ136" s="268">
        <f t="shared" si="53"/>
        <v>4213.5193141754271</v>
      </c>
      <c r="AR136" s="268">
        <f t="shared" si="53"/>
        <v>2538.2262665760823</v>
      </c>
      <c r="AS136" s="268">
        <f t="shared" si="53"/>
        <v>3039.0287961260465</v>
      </c>
      <c r="AT136" s="268">
        <f t="shared" si="53"/>
        <v>168064.76628700164</v>
      </c>
      <c r="AU136" s="166"/>
      <c r="AV136" s="166"/>
      <c r="AW136" s="166"/>
      <c r="AX136" s="166"/>
      <c r="AY136" s="166"/>
      <c r="AZ136" s="166"/>
      <c r="BA136" s="166"/>
      <c r="BB136" s="166"/>
      <c r="BC136" s="166"/>
      <c r="BD136" s="166"/>
      <c r="BE136" s="166"/>
      <c r="BF136" s="166"/>
      <c r="BG136" s="166"/>
      <c r="BH136" s="166"/>
      <c r="BI136" s="166"/>
      <c r="BJ136" s="166"/>
      <c r="BK136" s="166"/>
      <c r="BL136" s="166"/>
      <c r="BM136" s="166"/>
      <c r="BN136" s="166"/>
    </row>
    <row r="137" spans="1:66" ht="14.4" x14ac:dyDescent="0.25">
      <c r="B137" s="907" t="s">
        <v>403</v>
      </c>
      <c r="C137" s="824">
        <f>SUM(C136)</f>
        <v>-5894681.6442265697</v>
      </c>
      <c r="D137" s="824">
        <f>SUM(C136:D136)</f>
        <v>-26861442.110321891</v>
      </c>
      <c r="E137" s="824">
        <f>SUM(C136:E136)</f>
        <v>-74607683.111055389</v>
      </c>
      <c r="F137" s="824">
        <f>SUM(C136:F136)</f>
        <v>-91596916.316907555</v>
      </c>
      <c r="G137" s="824">
        <f>SUM(C136:G136)</f>
        <v>-91928634.890768811</v>
      </c>
      <c r="H137" s="824">
        <f>SUM(C136:H136)</f>
        <v>-91963796.091104582</v>
      </c>
      <c r="I137" s="824">
        <f>SUM(C136:I136)</f>
        <v>-91804280.716170892</v>
      </c>
      <c r="J137" s="824">
        <f>SUM(C136:J136)</f>
        <v>-91679904.326040208</v>
      </c>
      <c r="K137" s="824">
        <f>SUM(C136:K136)</f>
        <v>-93312432.307867542</v>
      </c>
      <c r="L137" s="824">
        <f>SUM(C136:L136)</f>
        <v>-93193784.000801384</v>
      </c>
      <c r="M137" s="824">
        <f>SUM(C136:M136)</f>
        <v>-93055682.586784869</v>
      </c>
      <c r="N137" s="824">
        <f>SUM(C136:N136)</f>
        <v>-92952591.901526973</v>
      </c>
      <c r="O137" s="824">
        <f>SUM(C136:O136)</f>
        <v>-92841049.746779278</v>
      </c>
      <c r="P137" s="824">
        <f>SUM(C136:P136)</f>
        <v>-94152213.974087864</v>
      </c>
      <c r="Q137" s="824">
        <f>SUM(C136:Q136)</f>
        <v>-94417672.050554529</v>
      </c>
      <c r="R137" s="824">
        <f>SUM(C136:R136)</f>
        <v>-94350988.43020016</v>
      </c>
      <c r="S137" s="824">
        <f>SUM(C136:S136)</f>
        <v>-94277792.507520989</v>
      </c>
      <c r="T137" s="824">
        <f>SUM(C136:T136)</f>
        <v>-94223128.167043462</v>
      </c>
      <c r="U137" s="824">
        <f>SUM(C136:U136)</f>
        <v>-95114032.799689442</v>
      </c>
      <c r="V137" s="824">
        <f>SUM(C136:V136)</f>
        <v>-95960946.504139557</v>
      </c>
      <c r="W137" s="824">
        <f>SUM(C136:W136)</f>
        <v>-96279276.224321812</v>
      </c>
      <c r="X137" s="824">
        <f>SUM(C136:X136)</f>
        <v>-96240958.479245454</v>
      </c>
      <c r="Y137" s="824">
        <f>SUM(C136:Y136)</f>
        <v>-96197622.758477762</v>
      </c>
      <c r="Z137" s="824">
        <f>SUM(C136:Z136)</f>
        <v>-96541553.734537363</v>
      </c>
      <c r="AA137" s="824">
        <f>SUM(C136:AA136)</f>
        <v>-96610727.348398983</v>
      </c>
      <c r="AB137" s="824">
        <f>SUM(C136:AB136)</f>
        <v>-96695640.966965511</v>
      </c>
      <c r="AC137" s="824">
        <f>SUM(C136:AC136)</f>
        <v>-96664534.829339296</v>
      </c>
      <c r="AD137" s="824">
        <f>SUM(C136:AD136)</f>
        <v>-96641678.226427749</v>
      </c>
      <c r="AE137" s="824">
        <f>SUM(C136:AE136)</f>
        <v>-96843263.847931772</v>
      </c>
      <c r="AF137" s="824">
        <f>SUM(C136:AF136)</f>
        <v>-96826002.77103959</v>
      </c>
      <c r="AG137" s="824">
        <f>SUM(C136:AG136)</f>
        <v>-96807811.338046908</v>
      </c>
      <c r="AH137" s="824">
        <f>SUM(C136:AH136)</f>
        <v>-96794872.755653813</v>
      </c>
      <c r="AI137" s="824">
        <f>SUM(C136:AI136)</f>
        <v>-96781073.704343855</v>
      </c>
      <c r="AJ137" s="824">
        <f>SUM(C136:AJ136)</f>
        <v>-96905899.635855183</v>
      </c>
      <c r="AK137" s="824">
        <f>SUM(C136:AK136)</f>
        <v>-96895501.703833163</v>
      </c>
      <c r="AL137" s="824">
        <f>SUM(C136:AL136)</f>
        <v>-96977975.351943195</v>
      </c>
      <c r="AM137" s="824">
        <f>SUM(C136:AM136)</f>
        <v>-97159102.322700381</v>
      </c>
      <c r="AN137" s="824">
        <f>SUM(C136:AN136)</f>
        <v>-97216832.571216121</v>
      </c>
      <c r="AO137" s="824">
        <f>SUM(C136:AO136)</f>
        <v>-97291249.21488215</v>
      </c>
      <c r="AP137" s="824">
        <f>SUM(C136:AP136)</f>
        <v>-97287601.932659656</v>
      </c>
      <c r="AQ137" s="824">
        <f>SUM(C136:AQ136)</f>
        <v>-97283388.413345486</v>
      </c>
      <c r="AR137" s="824">
        <f>SUM(C136:AR136)</f>
        <v>-97280850.187078908</v>
      </c>
      <c r="AS137" s="824">
        <f>SUM(C136:AS136)</f>
        <v>-97277811.158282787</v>
      </c>
      <c r="AT137" s="824">
        <f>SUM(C136:AT136)</f>
        <v>-97109746.391995788</v>
      </c>
      <c r="AU137" s="166"/>
      <c r="AV137" s="166"/>
      <c r="AW137" s="166"/>
      <c r="AX137" s="166"/>
      <c r="AY137" s="166"/>
      <c r="AZ137" s="166"/>
      <c r="BA137" s="166"/>
      <c r="BB137" s="166"/>
      <c r="BC137" s="166"/>
      <c r="BD137" s="166"/>
      <c r="BE137" s="166"/>
      <c r="BF137" s="166"/>
      <c r="BG137" s="166"/>
      <c r="BH137" s="166"/>
      <c r="BI137" s="166"/>
      <c r="BJ137" s="166"/>
      <c r="BK137" s="166"/>
      <c r="BL137" s="166"/>
      <c r="BM137" s="166"/>
      <c r="BN137" s="166"/>
    </row>
    <row r="138" spans="1:66" ht="14.4" x14ac:dyDescent="0.3">
      <c r="B138" s="180"/>
      <c r="C138" s="263"/>
      <c r="D138" s="263"/>
      <c r="E138" s="263"/>
      <c r="F138" s="263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263"/>
      <c r="AG138" s="263"/>
      <c r="AH138" s="263"/>
      <c r="AI138" s="263"/>
      <c r="AK138" s="263"/>
      <c r="AL138" s="263"/>
      <c r="AM138" s="263"/>
      <c r="AN138" s="263"/>
      <c r="AO138" s="263"/>
      <c r="AP138" s="263"/>
      <c r="AQ138" s="263"/>
      <c r="AR138" s="264"/>
      <c r="AS138" s="264"/>
      <c r="AU138" s="166"/>
      <c r="AV138" s="166"/>
      <c r="AW138" s="166"/>
      <c r="AX138" s="166"/>
      <c r="AY138" s="166"/>
      <c r="AZ138" s="166"/>
      <c r="BA138" s="166"/>
      <c r="BB138" s="166"/>
      <c r="BC138" s="166"/>
      <c r="BD138" s="166"/>
      <c r="BE138" s="166"/>
      <c r="BF138" s="166"/>
      <c r="BG138" s="166"/>
      <c r="BH138" s="166"/>
      <c r="BI138" s="166"/>
      <c r="BJ138" s="166"/>
      <c r="BK138" s="166"/>
      <c r="BL138" s="166"/>
      <c r="BM138" s="166"/>
      <c r="BN138" s="166"/>
    </row>
    <row r="139" spans="1:66" x14ac:dyDescent="0.25">
      <c r="AU139" s="166"/>
      <c r="AV139" s="166"/>
      <c r="AW139" s="166"/>
      <c r="AX139" s="166"/>
      <c r="AY139" s="166"/>
      <c r="AZ139" s="166"/>
      <c r="BA139" s="166"/>
      <c r="BB139" s="166"/>
      <c r="BC139" s="166"/>
      <c r="BD139" s="166"/>
      <c r="BE139" s="166"/>
      <c r="BF139" s="166"/>
      <c r="BG139" s="166"/>
      <c r="BH139" s="166"/>
      <c r="BI139" s="166"/>
      <c r="BJ139" s="166"/>
      <c r="BK139" s="166"/>
      <c r="BL139" s="166"/>
      <c r="BM139" s="166"/>
      <c r="BN139" s="166"/>
    </row>
    <row r="140" spans="1:66" s="304" customFormat="1" ht="14.4" x14ac:dyDescent="0.3">
      <c r="A140" s="306"/>
      <c r="B140" s="759" t="s">
        <v>530</v>
      </c>
      <c r="C140" s="759"/>
      <c r="D140" s="759"/>
      <c r="E140" s="759"/>
      <c r="F140" s="759"/>
      <c r="G140" s="759"/>
      <c r="H140" s="759"/>
      <c r="I140" s="759"/>
      <c r="J140" s="759"/>
      <c r="K140" s="759"/>
      <c r="L140" s="759"/>
      <c r="M140" s="759"/>
      <c r="N140" s="759"/>
      <c r="O140" s="759"/>
      <c r="P140" s="759"/>
      <c r="Q140" s="759"/>
      <c r="R140" s="759"/>
      <c r="S140" s="759"/>
      <c r="T140" s="759"/>
      <c r="U140" s="759"/>
      <c r="V140" s="759"/>
      <c r="W140" s="759"/>
      <c r="X140" s="759"/>
      <c r="Y140" s="759"/>
      <c r="Z140" s="759"/>
      <c r="AA140" s="759"/>
      <c r="AB140" s="759"/>
      <c r="AC140" s="759"/>
      <c r="AD140" s="759"/>
      <c r="AE140" s="759"/>
      <c r="AF140" s="759"/>
      <c r="AG140" s="759"/>
      <c r="AH140" s="759"/>
      <c r="AI140" s="759"/>
      <c r="AJ140" s="759"/>
      <c r="AK140" s="759"/>
      <c r="AL140" s="759"/>
      <c r="AM140" s="759"/>
      <c r="AN140" s="759"/>
      <c r="AO140" s="759"/>
      <c r="AP140" s="759"/>
      <c r="AQ140" s="759"/>
      <c r="AR140" s="759"/>
      <c r="AS140" s="759"/>
      <c r="AT140" s="760"/>
    </row>
    <row r="141" spans="1:66" x14ac:dyDescent="0.25"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  <c r="AF141" s="177"/>
      <c r="AG141" s="177"/>
      <c r="AH141" s="177"/>
      <c r="AI141" s="177"/>
      <c r="AJ141" s="13"/>
      <c r="AK141" s="38"/>
      <c r="AL141" s="38"/>
      <c r="AM141" s="38"/>
      <c r="AN141" s="38"/>
      <c r="AO141" s="38"/>
      <c r="AP141" s="38"/>
      <c r="AQ141" s="38"/>
      <c r="AR141" s="38"/>
      <c r="AS141" s="38"/>
      <c r="AT141" s="13"/>
      <c r="AU141" s="166"/>
      <c r="AV141" s="166"/>
      <c r="AW141" s="166"/>
      <c r="AX141" s="166"/>
      <c r="AY141" s="166"/>
      <c r="AZ141" s="166"/>
      <c r="BA141" s="166"/>
      <c r="BB141" s="166"/>
      <c r="BC141" s="166"/>
      <c r="BD141" s="166"/>
      <c r="BE141" s="166"/>
      <c r="BF141" s="166"/>
      <c r="BG141" s="166"/>
      <c r="BH141" s="166"/>
      <c r="BI141" s="166"/>
      <c r="BJ141" s="166"/>
      <c r="BK141" s="166"/>
      <c r="BL141" s="166"/>
      <c r="BM141" s="166"/>
      <c r="BN141" s="166"/>
    </row>
    <row r="142" spans="1:66" ht="14.4" x14ac:dyDescent="0.3">
      <c r="B142" s="813" t="s">
        <v>378</v>
      </c>
      <c r="C142" s="179">
        <v>2015</v>
      </c>
      <c r="D142" s="179">
        <v>2016</v>
      </c>
      <c r="E142" s="179">
        <v>2017</v>
      </c>
      <c r="F142" s="179">
        <v>2018</v>
      </c>
      <c r="G142" s="179">
        <v>2019</v>
      </c>
      <c r="H142" s="179">
        <v>2020</v>
      </c>
      <c r="I142" s="179">
        <v>2021</v>
      </c>
      <c r="J142" s="179">
        <v>2022</v>
      </c>
      <c r="K142" s="179">
        <v>2023</v>
      </c>
      <c r="L142" s="179">
        <v>2024</v>
      </c>
      <c r="M142" s="179">
        <v>2025</v>
      </c>
      <c r="N142" s="179">
        <v>2026</v>
      </c>
      <c r="O142" s="179">
        <v>2027</v>
      </c>
      <c r="P142" s="179">
        <v>2028</v>
      </c>
      <c r="Q142" s="179">
        <v>2029</v>
      </c>
      <c r="R142" s="179">
        <v>2030</v>
      </c>
      <c r="S142" s="179">
        <v>2031</v>
      </c>
      <c r="T142" s="179">
        <v>2032</v>
      </c>
      <c r="U142" s="179">
        <v>2033</v>
      </c>
      <c r="V142" s="179">
        <v>2034</v>
      </c>
      <c r="W142" s="179">
        <v>2035</v>
      </c>
      <c r="X142" s="179">
        <v>2036</v>
      </c>
      <c r="Y142" s="179">
        <v>2037</v>
      </c>
      <c r="Z142" s="179">
        <v>2038</v>
      </c>
      <c r="AA142" s="179">
        <v>2039</v>
      </c>
      <c r="AB142" s="179">
        <v>2040</v>
      </c>
      <c r="AC142" s="179">
        <v>2041</v>
      </c>
      <c r="AD142" s="179">
        <v>2042</v>
      </c>
      <c r="AE142" s="179">
        <v>2043</v>
      </c>
      <c r="AF142" s="179">
        <v>2044</v>
      </c>
      <c r="AG142" s="179">
        <v>2045</v>
      </c>
      <c r="AH142" s="179">
        <v>2046</v>
      </c>
      <c r="AI142" s="179">
        <v>2047</v>
      </c>
      <c r="AJ142" s="179">
        <v>2048</v>
      </c>
      <c r="AK142" s="179">
        <v>2049</v>
      </c>
      <c r="AL142" s="179">
        <v>2050</v>
      </c>
      <c r="AM142" s="179">
        <v>2051</v>
      </c>
      <c r="AN142" s="179">
        <v>2052</v>
      </c>
      <c r="AO142" s="179">
        <v>2053</v>
      </c>
      <c r="AP142" s="179">
        <v>2054</v>
      </c>
      <c r="AQ142" s="179">
        <v>2055</v>
      </c>
      <c r="AR142" s="179">
        <v>2056</v>
      </c>
      <c r="AS142" s="179">
        <v>2057</v>
      </c>
      <c r="AT142" s="179">
        <v>2058</v>
      </c>
      <c r="AU142" s="166"/>
      <c r="AV142" s="166"/>
      <c r="AW142" s="166"/>
      <c r="AX142" s="166"/>
      <c r="AY142" s="166"/>
      <c r="AZ142" s="166"/>
      <c r="BA142" s="166"/>
      <c r="BB142" s="166"/>
      <c r="BC142" s="166"/>
      <c r="BD142" s="166"/>
      <c r="BE142" s="166"/>
      <c r="BF142" s="166"/>
      <c r="BG142" s="166"/>
      <c r="BH142" s="166"/>
      <c r="BI142" s="166"/>
      <c r="BJ142" s="166"/>
      <c r="BK142" s="166"/>
      <c r="BL142" s="166"/>
      <c r="BM142" s="166"/>
      <c r="BN142" s="166"/>
    </row>
    <row r="143" spans="1:66" ht="14.4" x14ac:dyDescent="0.3">
      <c r="B143" s="813"/>
      <c r="C143" s="816" t="s">
        <v>134</v>
      </c>
      <c r="D143" s="816" t="s">
        <v>135</v>
      </c>
      <c r="E143" s="816" t="s">
        <v>136</v>
      </c>
      <c r="F143" s="816" t="s">
        <v>137</v>
      </c>
      <c r="G143" s="816" t="s">
        <v>138</v>
      </c>
      <c r="H143" s="816" t="s">
        <v>139</v>
      </c>
      <c r="I143" s="816" t="s">
        <v>140</v>
      </c>
      <c r="J143" s="816" t="s">
        <v>141</v>
      </c>
      <c r="K143" s="816" t="s">
        <v>142</v>
      </c>
      <c r="L143" s="816" t="s">
        <v>143</v>
      </c>
      <c r="M143" s="816" t="s">
        <v>144</v>
      </c>
      <c r="N143" s="816" t="s">
        <v>145</v>
      </c>
      <c r="O143" s="816" t="s">
        <v>146</v>
      </c>
      <c r="P143" s="816" t="s">
        <v>147</v>
      </c>
      <c r="Q143" s="816" t="s">
        <v>148</v>
      </c>
      <c r="R143" s="816" t="s">
        <v>149</v>
      </c>
      <c r="S143" s="816" t="s">
        <v>150</v>
      </c>
      <c r="T143" s="816" t="s">
        <v>151</v>
      </c>
      <c r="U143" s="816" t="s">
        <v>152</v>
      </c>
      <c r="V143" s="816" t="s">
        <v>153</v>
      </c>
      <c r="W143" s="816" t="s">
        <v>154</v>
      </c>
      <c r="X143" s="816" t="s">
        <v>155</v>
      </c>
      <c r="Y143" s="816" t="s">
        <v>156</v>
      </c>
      <c r="Z143" s="816" t="s">
        <v>157</v>
      </c>
      <c r="AA143" s="816" t="s">
        <v>158</v>
      </c>
      <c r="AB143" s="816" t="s">
        <v>159</v>
      </c>
      <c r="AC143" s="816" t="s">
        <v>160</v>
      </c>
      <c r="AD143" s="816" t="s">
        <v>161</v>
      </c>
      <c r="AE143" s="816" t="s">
        <v>162</v>
      </c>
      <c r="AF143" s="816" t="s">
        <v>163</v>
      </c>
      <c r="AG143" s="816" t="s">
        <v>164</v>
      </c>
      <c r="AH143" s="816" t="s">
        <v>165</v>
      </c>
      <c r="AI143" s="816" t="s">
        <v>166</v>
      </c>
      <c r="AJ143" s="816" t="s">
        <v>167</v>
      </c>
      <c r="AK143" s="816" t="s">
        <v>168</v>
      </c>
      <c r="AL143" s="816" t="s">
        <v>169</v>
      </c>
      <c r="AM143" s="816" t="s">
        <v>170</v>
      </c>
      <c r="AN143" s="816" t="s">
        <v>171</v>
      </c>
      <c r="AO143" s="816" t="s">
        <v>172</v>
      </c>
      <c r="AP143" s="816" t="s">
        <v>173</v>
      </c>
      <c r="AQ143" s="816" t="s">
        <v>174</v>
      </c>
      <c r="AR143" s="816" t="s">
        <v>224</v>
      </c>
      <c r="AS143" s="816" t="s">
        <v>225</v>
      </c>
      <c r="AT143" s="816" t="s">
        <v>226</v>
      </c>
      <c r="AU143" s="166"/>
      <c r="AV143" s="166"/>
      <c r="AW143" s="166"/>
      <c r="AX143" s="166"/>
      <c r="AY143" s="166"/>
      <c r="AZ143" s="166"/>
      <c r="BA143" s="166"/>
      <c r="BB143" s="166"/>
      <c r="BC143" s="166"/>
      <c r="BD143" s="166"/>
      <c r="BE143" s="166"/>
      <c r="BF143" s="166"/>
      <c r="BG143" s="166"/>
      <c r="BH143" s="166"/>
      <c r="BI143" s="166"/>
      <c r="BJ143" s="166"/>
      <c r="BK143" s="166"/>
      <c r="BL143" s="166"/>
      <c r="BM143" s="166"/>
      <c r="BN143" s="166"/>
    </row>
    <row r="144" spans="1:66" ht="14.4" x14ac:dyDescent="0.3">
      <c r="B144" s="813"/>
      <c r="C144" s="816">
        <v>0</v>
      </c>
      <c r="D144" s="816">
        <v>1</v>
      </c>
      <c r="E144" s="816">
        <v>2</v>
      </c>
      <c r="F144" s="816">
        <v>3</v>
      </c>
      <c r="G144" s="816">
        <v>4</v>
      </c>
      <c r="H144" s="816">
        <v>5</v>
      </c>
      <c r="I144" s="816">
        <v>6</v>
      </c>
      <c r="J144" s="816">
        <v>7</v>
      </c>
      <c r="K144" s="816">
        <v>8</v>
      </c>
      <c r="L144" s="816">
        <v>9</v>
      </c>
      <c r="M144" s="816">
        <v>10</v>
      </c>
      <c r="N144" s="816">
        <v>11</v>
      </c>
      <c r="O144" s="816">
        <v>12</v>
      </c>
      <c r="P144" s="816">
        <v>13</v>
      </c>
      <c r="Q144" s="816">
        <v>14</v>
      </c>
      <c r="R144" s="816">
        <v>15</v>
      </c>
      <c r="S144" s="816">
        <v>16</v>
      </c>
      <c r="T144" s="816">
        <v>17</v>
      </c>
      <c r="U144" s="816">
        <v>18</v>
      </c>
      <c r="V144" s="816">
        <v>19</v>
      </c>
      <c r="W144" s="816">
        <v>20</v>
      </c>
      <c r="X144" s="816">
        <v>21</v>
      </c>
      <c r="Y144" s="816">
        <v>22</v>
      </c>
      <c r="Z144" s="816">
        <v>23</v>
      </c>
      <c r="AA144" s="816">
        <v>24</v>
      </c>
      <c r="AB144" s="816">
        <v>25</v>
      </c>
      <c r="AC144" s="816">
        <v>26</v>
      </c>
      <c r="AD144" s="816">
        <v>27</v>
      </c>
      <c r="AE144" s="816">
        <v>28</v>
      </c>
      <c r="AF144" s="816">
        <v>29</v>
      </c>
      <c r="AG144" s="816">
        <v>30</v>
      </c>
      <c r="AH144" s="816">
        <v>31</v>
      </c>
      <c r="AI144" s="816">
        <v>32</v>
      </c>
      <c r="AJ144" s="816">
        <v>33</v>
      </c>
      <c r="AK144" s="816">
        <v>34</v>
      </c>
      <c r="AL144" s="816">
        <v>35</v>
      </c>
      <c r="AM144" s="816">
        <v>36</v>
      </c>
      <c r="AN144" s="816">
        <v>37</v>
      </c>
      <c r="AO144" s="816">
        <v>38</v>
      </c>
      <c r="AP144" s="816">
        <v>39</v>
      </c>
      <c r="AQ144" s="816">
        <v>40</v>
      </c>
      <c r="AR144" s="816">
        <v>41</v>
      </c>
      <c r="AS144" s="816">
        <v>42</v>
      </c>
      <c r="AT144" s="816">
        <v>43</v>
      </c>
      <c r="AU144" s="166"/>
      <c r="AV144" s="166"/>
      <c r="AW144" s="166"/>
      <c r="AX144" s="166"/>
      <c r="AY144" s="166"/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66"/>
      <c r="BM144" s="166"/>
      <c r="BN144" s="166"/>
    </row>
    <row r="145" spans="2:66" ht="14.4" x14ac:dyDescent="0.3">
      <c r="B145" s="813"/>
      <c r="C145" s="816">
        <v>0</v>
      </c>
      <c r="D145" s="816">
        <v>0</v>
      </c>
      <c r="E145" s="816">
        <v>0</v>
      </c>
      <c r="F145" s="816">
        <v>0</v>
      </c>
      <c r="G145" s="816">
        <v>1</v>
      </c>
      <c r="H145" s="816">
        <v>2</v>
      </c>
      <c r="I145" s="816">
        <v>3</v>
      </c>
      <c r="J145" s="816">
        <v>4</v>
      </c>
      <c r="K145" s="816">
        <v>5</v>
      </c>
      <c r="L145" s="816">
        <v>6</v>
      </c>
      <c r="M145" s="816">
        <v>7</v>
      </c>
      <c r="N145" s="816">
        <v>8</v>
      </c>
      <c r="O145" s="816">
        <v>9</v>
      </c>
      <c r="P145" s="816">
        <v>10</v>
      </c>
      <c r="Q145" s="816">
        <v>11</v>
      </c>
      <c r="R145" s="816">
        <v>12</v>
      </c>
      <c r="S145" s="816">
        <v>13</v>
      </c>
      <c r="T145" s="816">
        <v>14</v>
      </c>
      <c r="U145" s="816">
        <v>15</v>
      </c>
      <c r="V145" s="816">
        <v>16</v>
      </c>
      <c r="W145" s="816">
        <v>17</v>
      </c>
      <c r="X145" s="816">
        <v>18</v>
      </c>
      <c r="Y145" s="816">
        <v>19</v>
      </c>
      <c r="Z145" s="816">
        <v>20</v>
      </c>
      <c r="AA145" s="816">
        <v>21</v>
      </c>
      <c r="AB145" s="816">
        <v>22</v>
      </c>
      <c r="AC145" s="816">
        <v>23</v>
      </c>
      <c r="AD145" s="816">
        <v>24</v>
      </c>
      <c r="AE145" s="816">
        <v>25</v>
      </c>
      <c r="AF145" s="816">
        <v>26</v>
      </c>
      <c r="AG145" s="816">
        <v>27</v>
      </c>
      <c r="AH145" s="816">
        <v>28</v>
      </c>
      <c r="AI145" s="816">
        <v>29</v>
      </c>
      <c r="AJ145" s="816">
        <v>30</v>
      </c>
      <c r="AK145" s="816">
        <v>31</v>
      </c>
      <c r="AL145" s="816">
        <v>32</v>
      </c>
      <c r="AM145" s="816">
        <v>33</v>
      </c>
      <c r="AN145" s="816">
        <v>34</v>
      </c>
      <c r="AO145" s="816">
        <v>35</v>
      </c>
      <c r="AP145" s="816">
        <v>36</v>
      </c>
      <c r="AQ145" s="816">
        <v>37</v>
      </c>
      <c r="AR145" s="816">
        <v>38</v>
      </c>
      <c r="AS145" s="816">
        <v>39</v>
      </c>
      <c r="AT145" s="816">
        <v>40</v>
      </c>
      <c r="AU145" s="166"/>
      <c r="AV145" s="166"/>
      <c r="AW145" s="166"/>
      <c r="AX145" s="166"/>
      <c r="AY145" s="166"/>
      <c r="AZ145" s="166"/>
      <c r="BA145" s="166"/>
      <c r="BB145" s="166"/>
      <c r="BC145" s="166"/>
      <c r="BD145" s="166"/>
      <c r="BE145" s="166"/>
      <c r="BF145" s="166"/>
      <c r="BG145" s="166"/>
      <c r="BH145" s="166"/>
      <c r="BI145" s="166"/>
      <c r="BJ145" s="166"/>
      <c r="BK145" s="166"/>
      <c r="BL145" s="166"/>
      <c r="BM145" s="166"/>
      <c r="BN145" s="166"/>
    </row>
    <row r="146" spans="2:66" ht="14.4" x14ac:dyDescent="0.3">
      <c r="B146" s="813"/>
      <c r="C146" s="798"/>
      <c r="D146" s="798"/>
      <c r="E146" s="798"/>
      <c r="F146" s="798"/>
      <c r="G146" s="798"/>
      <c r="H146" s="798"/>
      <c r="I146" s="798"/>
      <c r="J146" s="798"/>
      <c r="K146" s="798"/>
      <c r="L146" s="798"/>
      <c r="M146" s="798"/>
      <c r="N146" s="798"/>
      <c r="O146" s="798"/>
      <c r="P146" s="798"/>
      <c r="Q146" s="798"/>
      <c r="R146" s="798"/>
      <c r="S146" s="798"/>
      <c r="T146" s="798"/>
      <c r="U146" s="798"/>
      <c r="V146" s="798"/>
      <c r="W146" s="798"/>
      <c r="X146" s="798"/>
      <c r="Y146" s="798"/>
      <c r="Z146" s="798"/>
      <c r="AA146" s="798"/>
      <c r="AB146" s="798"/>
      <c r="AC146" s="798"/>
      <c r="AD146" s="798"/>
      <c r="AE146" s="798"/>
      <c r="AF146" s="798"/>
      <c r="AG146" s="798"/>
      <c r="AH146" s="798"/>
      <c r="AI146" s="798"/>
      <c r="AJ146" s="798"/>
      <c r="AK146" s="798"/>
      <c r="AL146" s="798"/>
      <c r="AM146" s="798"/>
      <c r="AN146" s="798"/>
      <c r="AO146" s="798"/>
      <c r="AP146" s="798"/>
      <c r="AQ146" s="798"/>
      <c r="AR146" s="798"/>
      <c r="AS146" s="798"/>
      <c r="AT146" s="798"/>
      <c r="AU146" s="166"/>
      <c r="AV146" s="166"/>
      <c r="AW146" s="166"/>
      <c r="AX146" s="166"/>
      <c r="AY146" s="166"/>
      <c r="AZ146" s="166"/>
      <c r="BA146" s="166"/>
      <c r="BB146" s="166"/>
      <c r="BC146" s="166"/>
      <c r="BD146" s="166"/>
      <c r="BE146" s="166"/>
      <c r="BF146" s="166"/>
      <c r="BG146" s="166"/>
      <c r="BH146" s="166"/>
      <c r="BI146" s="166"/>
      <c r="BJ146" s="166"/>
      <c r="BK146" s="166"/>
      <c r="BL146" s="166"/>
      <c r="BM146" s="166"/>
      <c r="BN146" s="166"/>
    </row>
    <row r="147" spans="2:66" ht="14.4" x14ac:dyDescent="0.25">
      <c r="B147" s="830" t="s">
        <v>434</v>
      </c>
      <c r="C147" s="807"/>
      <c r="D147" s="807"/>
      <c r="E147" s="807"/>
      <c r="F147" s="807"/>
      <c r="G147" s="807"/>
      <c r="H147" s="807"/>
      <c r="I147" s="807"/>
      <c r="J147" s="807"/>
      <c r="K147" s="807"/>
      <c r="L147" s="807"/>
      <c r="M147" s="807"/>
      <c r="N147" s="807"/>
      <c r="O147" s="807"/>
      <c r="P147" s="807"/>
      <c r="Q147" s="807"/>
      <c r="R147" s="807"/>
      <c r="S147" s="807"/>
      <c r="T147" s="807"/>
      <c r="U147" s="807"/>
      <c r="V147" s="807"/>
      <c r="W147" s="807"/>
      <c r="X147" s="807"/>
      <c r="Y147" s="807"/>
      <c r="Z147" s="807"/>
      <c r="AA147" s="807"/>
      <c r="AB147" s="807"/>
      <c r="AC147" s="807"/>
      <c r="AD147" s="807"/>
      <c r="AE147" s="807"/>
      <c r="AF147" s="807"/>
      <c r="AG147" s="807"/>
      <c r="AH147" s="807"/>
      <c r="AI147" s="807"/>
      <c r="AJ147" s="807"/>
      <c r="AK147" s="807"/>
      <c r="AL147" s="807"/>
      <c r="AM147" s="807"/>
      <c r="AN147" s="807"/>
      <c r="AO147" s="807"/>
      <c r="AP147" s="807"/>
      <c r="AQ147" s="807"/>
      <c r="AR147" s="807"/>
      <c r="AS147" s="807"/>
      <c r="AT147" s="807"/>
      <c r="AU147" s="166"/>
      <c r="AV147" s="166"/>
      <c r="AW147" s="166"/>
      <c r="AX147" s="166"/>
      <c r="AY147" s="166"/>
      <c r="AZ147" s="166"/>
      <c r="BA147" s="166"/>
      <c r="BB147" s="166"/>
      <c r="BC147" s="166"/>
      <c r="BD147" s="166"/>
      <c r="BE147" s="166"/>
      <c r="BF147" s="166"/>
      <c r="BG147" s="166"/>
      <c r="BH147" s="166"/>
      <c r="BI147" s="166"/>
      <c r="BJ147" s="166"/>
      <c r="BK147" s="166"/>
      <c r="BL147" s="166"/>
      <c r="BM147" s="166"/>
      <c r="BN147" s="166"/>
    </row>
    <row r="148" spans="2:66" x14ac:dyDescent="0.25">
      <c r="B148" s="831" t="s">
        <v>449</v>
      </c>
      <c r="C148" s="178">
        <v>0</v>
      </c>
      <c r="D148" s="178">
        <v>0</v>
      </c>
      <c r="E148" s="178">
        <v>0</v>
      </c>
      <c r="F148" s="178">
        <v>0</v>
      </c>
      <c r="G148" s="268">
        <f>G72</f>
        <v>3489433.6493760138</v>
      </c>
      <c r="H148" s="268">
        <f t="shared" ref="H148:AT148" si="54">H72</f>
        <v>3864615.9241095837</v>
      </c>
      <c r="I148" s="268">
        <f t="shared" si="54"/>
        <v>3667955.0526417415</v>
      </c>
      <c r="J148" s="268">
        <f t="shared" si="54"/>
        <v>3754445.5924109258</v>
      </c>
      <c r="K148" s="268">
        <f t="shared" si="54"/>
        <v>8581249.2635108829</v>
      </c>
      <c r="L148" s="268">
        <f t="shared" si="54"/>
        <v>3933734.6730025862</v>
      </c>
      <c r="M148" s="268">
        <f t="shared" si="54"/>
        <v>4026637.2762531824</v>
      </c>
      <c r="N148" s="268">
        <f t="shared" si="54"/>
        <v>4121783.4832045212</v>
      </c>
      <c r="O148" s="268">
        <f t="shared" si="54"/>
        <v>4219228.6557829175</v>
      </c>
      <c r="P148" s="268">
        <f t="shared" si="54"/>
        <v>9525155.6981958821</v>
      </c>
      <c r="Q148" s="268">
        <f t="shared" si="54"/>
        <v>4421244.3521579085</v>
      </c>
      <c r="R148" s="268">
        <f t="shared" si="54"/>
        <v>4525932.7147169104</v>
      </c>
      <c r="S148" s="268">
        <f t="shared" si="54"/>
        <v>4633155.7948184023</v>
      </c>
      <c r="T148" s="268">
        <f t="shared" si="54"/>
        <v>4742976.2925206041</v>
      </c>
      <c r="U148" s="268">
        <f t="shared" si="54"/>
        <v>10575689.81600501</v>
      </c>
      <c r="V148" s="268">
        <f t="shared" si="54"/>
        <v>4970668.2950297529</v>
      </c>
      <c r="W148" s="268">
        <f t="shared" si="54"/>
        <v>5088673.2772134263</v>
      </c>
      <c r="X148" s="268">
        <f t="shared" si="54"/>
        <v>5209542.7163924491</v>
      </c>
      <c r="Y148" s="268">
        <f t="shared" si="54"/>
        <v>5333347.6438662987</v>
      </c>
      <c r="Z148" s="268">
        <f t="shared" si="54"/>
        <v>11745267.263724331</v>
      </c>
      <c r="AA148" s="268">
        <f t="shared" si="54"/>
        <v>5590057.1209969632</v>
      </c>
      <c r="AB148" s="268">
        <f t="shared" si="54"/>
        <v>5723112.9055465749</v>
      </c>
      <c r="AC148" s="268">
        <f t="shared" si="54"/>
        <v>5859406.7445057584</v>
      </c>
      <c r="AD148" s="268">
        <f t="shared" si="54"/>
        <v>5999019.1305208495</v>
      </c>
      <c r="AE148" s="268">
        <f t="shared" si="54"/>
        <v>13047797.821644107</v>
      </c>
      <c r="AF148" s="268">
        <f t="shared" si="54"/>
        <v>6288531.773346208</v>
      </c>
      <c r="AG148" s="268">
        <f t="shared" si="54"/>
        <v>6438603.4340750668</v>
      </c>
      <c r="AH148" s="268">
        <f t="shared" si="54"/>
        <v>6592336.5593562629</v>
      </c>
      <c r="AI148" s="268">
        <f t="shared" si="54"/>
        <v>6749822.3895147499</v>
      </c>
      <c r="AJ148" s="268">
        <f t="shared" si="54"/>
        <v>14498871.466441935</v>
      </c>
      <c r="AK148" s="268">
        <f t="shared" si="54"/>
        <v>7076428.7815859448</v>
      </c>
      <c r="AL148" s="268">
        <f t="shared" si="54"/>
        <v>7245743.6616738085</v>
      </c>
      <c r="AM148" s="268">
        <f t="shared" si="54"/>
        <v>7419200.0078551713</v>
      </c>
      <c r="AN148" s="268">
        <f t="shared" si="54"/>
        <v>7596901.2726635616</v>
      </c>
      <c r="AO148" s="268">
        <f t="shared" si="54"/>
        <v>16115968.399872713</v>
      </c>
      <c r="AP148" s="268">
        <f t="shared" si="54"/>
        <v>7965465.6146529177</v>
      </c>
      <c r="AQ148" s="268">
        <f t="shared" si="54"/>
        <v>8156549.0501983799</v>
      </c>
      <c r="AR148" s="268">
        <f t="shared" si="54"/>
        <v>8352318.2633171976</v>
      </c>
      <c r="AS148" s="268">
        <f t="shared" si="54"/>
        <v>8552890.5865902863</v>
      </c>
      <c r="AT148" s="268">
        <f t="shared" si="54"/>
        <v>17918696.229972437</v>
      </c>
      <c r="AU148" s="166"/>
      <c r="AV148" s="166"/>
      <c r="AW148" s="166"/>
      <c r="AX148" s="166"/>
      <c r="AY148" s="166"/>
      <c r="AZ148" s="166"/>
      <c r="BA148" s="166"/>
      <c r="BB148" s="166"/>
      <c r="BC148" s="166"/>
      <c r="BD148" s="166"/>
      <c r="BE148" s="166"/>
      <c r="BF148" s="166"/>
      <c r="BG148" s="166"/>
      <c r="BH148" s="166"/>
      <c r="BI148" s="166"/>
      <c r="BJ148" s="166"/>
      <c r="BK148" s="166"/>
      <c r="BL148" s="166"/>
      <c r="BM148" s="166"/>
      <c r="BN148" s="166"/>
    </row>
    <row r="149" spans="2:66" x14ac:dyDescent="0.25">
      <c r="B149" s="832" t="s">
        <v>379</v>
      </c>
      <c r="C149" s="178">
        <v>0</v>
      </c>
      <c r="D149" s="178">
        <v>0</v>
      </c>
      <c r="E149" s="178">
        <v>0</v>
      </c>
      <c r="F149" s="178">
        <v>0</v>
      </c>
      <c r="G149" s="758">
        <f>DEMANDA!C73*PARAMETROS!$C$61</f>
        <v>5132520.8545108009</v>
      </c>
      <c r="H149" s="758">
        <f>DEMANDA!D73*PARAMETROS!$C$61</f>
        <v>6843361.1393477339</v>
      </c>
      <c r="I149" s="758">
        <f>DEMANDA!E73*PARAMETROS!$C$61</f>
        <v>6919861.5036001699</v>
      </c>
      <c r="J149" s="758">
        <f>DEMANDA!F73*PARAMETROS!$C$61</f>
        <v>6996361.8678526059</v>
      </c>
      <c r="K149" s="758">
        <f>DEMANDA!G73*PARAMETROS!$C$61</f>
        <v>7072862.2321050419</v>
      </c>
      <c r="L149" s="758">
        <f>DEMANDA!H73*PARAMETROS!$C$61</f>
        <v>7149362.5963574778</v>
      </c>
      <c r="M149" s="758">
        <f>DEMANDA!I73*PARAMETROS!$C$61</f>
        <v>7225862.9606099119</v>
      </c>
      <c r="N149" s="758">
        <f>DEMANDA!J73*PARAMETROS!$C$61</f>
        <v>7266809.1980833132</v>
      </c>
      <c r="O149" s="758">
        <f>DEMANDA!K73*PARAMETROS!$C$61</f>
        <v>7307755.4355567154</v>
      </c>
      <c r="P149" s="758">
        <f>DEMANDA!L73*PARAMETROS!$C$61</f>
        <v>7348701.6730301166</v>
      </c>
      <c r="Q149" s="758">
        <f>DEMANDA!M73*PARAMETROS!$C$61</f>
        <v>7389647.9105035188</v>
      </c>
      <c r="R149" s="758">
        <f>DEMANDA!N73*PARAMETROS!$C$61</f>
        <v>7430594.1479769228</v>
      </c>
      <c r="S149" s="758">
        <f>DEMANDA!O73*PARAMETROS!$C$61</f>
        <v>7439665.891394347</v>
      </c>
      <c r="T149" s="758">
        <f>DEMANDA!P73*PARAMETROS!$C$61</f>
        <v>7448737.6348117739</v>
      </c>
      <c r="U149" s="758">
        <f>DEMANDA!Q73*PARAMETROS!$C$61</f>
        <v>7457809.378229198</v>
      </c>
      <c r="V149" s="758">
        <f>DEMANDA!R73*PARAMETROS!$C$61</f>
        <v>7466881.1216466231</v>
      </c>
      <c r="W149" s="758">
        <f>DEMANDA!S73*PARAMETROS!$C$61</f>
        <v>7475952.865064051</v>
      </c>
      <c r="X149" s="758">
        <f>DEMANDA!T73*PARAMETROS!$C$61</f>
        <v>7533024.527777561</v>
      </c>
      <c r="Y149" s="758">
        <f>DEMANDA!U73*PARAMETROS!$C$61</f>
        <v>7590096.1904910719</v>
      </c>
      <c r="Z149" s="758">
        <f>DEMANDA!V73*PARAMETROS!$C$61</f>
        <v>7647167.8532045837</v>
      </c>
      <c r="AA149" s="758">
        <f>DEMANDA!W73*PARAMETROS!$C$61</f>
        <v>7704239.5159180947</v>
      </c>
      <c r="AB149" s="758">
        <f>DEMANDA!X73*PARAMETROS!$C$61</f>
        <v>7761311.1786316037</v>
      </c>
      <c r="AC149" s="758">
        <f>DEMANDA!Y73*PARAMETROS!$C$61</f>
        <v>7761311.1786316037</v>
      </c>
      <c r="AD149" s="758">
        <f>DEMANDA!Z73*PARAMETROS!$C$61</f>
        <v>7761311.1786316037</v>
      </c>
      <c r="AE149" s="758">
        <f>DEMANDA!AA73*PARAMETROS!$C$61</f>
        <v>7761311.1786316037</v>
      </c>
      <c r="AF149" s="758">
        <f>DEMANDA!AB73*PARAMETROS!$C$61</f>
        <v>7761311.1786316037</v>
      </c>
      <c r="AG149" s="758">
        <f>DEMANDA!AC73*PARAMETROS!$C$61</f>
        <v>7761311.1786316037</v>
      </c>
      <c r="AH149" s="758">
        <f>DEMANDA!AD73*PARAMETROS!$C$61</f>
        <v>7761311.1786316037</v>
      </c>
      <c r="AI149" s="758">
        <f>DEMANDA!AE73*PARAMETROS!$C$61</f>
        <v>7761311.1786316037</v>
      </c>
      <c r="AJ149" s="758">
        <f>DEMANDA!AF73*PARAMETROS!$C$61</f>
        <v>7761311.1786316037</v>
      </c>
      <c r="AK149" s="758">
        <f>DEMANDA!AG73*PARAMETROS!$C$61</f>
        <v>7761311.1786316037</v>
      </c>
      <c r="AL149" s="758">
        <f>DEMANDA!AH73*PARAMETROS!$C$61</f>
        <v>7761311.1786316037</v>
      </c>
      <c r="AM149" s="758">
        <f>DEMANDA!AI73*PARAMETROS!$C$61</f>
        <v>7761311.1786316037</v>
      </c>
      <c r="AN149" s="758">
        <f>DEMANDA!AJ73*PARAMETROS!$C$61</f>
        <v>7761311.1786316037</v>
      </c>
      <c r="AO149" s="758">
        <f>DEMANDA!AK73*PARAMETROS!$C$61</f>
        <v>7761311.1786316037</v>
      </c>
      <c r="AP149" s="758">
        <f>DEMANDA!AL73*PARAMETROS!$C$61</f>
        <v>7761311.1786316037</v>
      </c>
      <c r="AQ149" s="758">
        <f>DEMANDA!AM73*PARAMETROS!$C$61</f>
        <v>7761311.1786316037</v>
      </c>
      <c r="AR149" s="758">
        <f>DEMANDA!AN73*PARAMETROS!$C$61</f>
        <v>7761311.1786316037</v>
      </c>
      <c r="AS149" s="758">
        <f>DEMANDA!AO73*PARAMETROS!$C$61</f>
        <v>7761311.1786316037</v>
      </c>
      <c r="AT149" s="758">
        <f>DEMANDA!AP73*PARAMETROS!$C$61</f>
        <v>7761311.1786316037</v>
      </c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</row>
    <row r="150" spans="2:66" x14ac:dyDescent="0.25">
      <c r="B150" s="832" t="s">
        <v>395</v>
      </c>
      <c r="C150" s="178">
        <v>0</v>
      </c>
      <c r="D150" s="178">
        <v>0</v>
      </c>
      <c r="E150" s="178">
        <v>0</v>
      </c>
      <c r="F150" s="178">
        <v>0</v>
      </c>
      <c r="G150" s="758">
        <f>'INGRESOS de pasajeros'!C87*PARAMETROS!$C$61</f>
        <v>3133403.9816788435</v>
      </c>
      <c r="H150" s="758">
        <f>'INGRESOS de pasajeros'!D87*PARAMETROS!$C$61</f>
        <v>4177871.9755717926</v>
      </c>
      <c r="I150" s="758">
        <f>'INGRESOS de pasajeros'!E87*PARAMETROS!$C$61</f>
        <v>4416793.6308295326</v>
      </c>
      <c r="J150" s="758">
        <f>'INGRESOS de pasajeros'!F87*PARAMETROS!$C$61</f>
        <v>4465622.1111987578</v>
      </c>
      <c r="K150" s="758">
        <f>'INGRESOS de pasajeros'!G87*PARAMETROS!$C$61</f>
        <v>4696834.3954673298</v>
      </c>
      <c r="L150" s="758">
        <f>'INGRESOS de pasajeros'!H87*PARAMETROS!$C$61</f>
        <v>4747635.5464434726</v>
      </c>
      <c r="M150" s="758">
        <f>'INGRESOS de pasajeros'!I87*PARAMETROS!$C$61</f>
        <v>4992293.5399953648</v>
      </c>
      <c r="N150" s="758">
        <f>'INGRESOS de pasajeros'!J87*PARAMETROS!$C$61</f>
        <v>5020582.9827843998</v>
      </c>
      <c r="O150" s="758">
        <f>'INGRESOS de pasajeros'!K87*PARAMETROS!$C$61</f>
        <v>5252846.8715666011</v>
      </c>
      <c r="P150" s="758">
        <f>'INGRESOS de pasajeros'!L87*PARAMETROS!$C$61</f>
        <v>5282279.2078443123</v>
      </c>
      <c r="Q150" s="758">
        <f>'INGRESOS de pasajeros'!M87*PARAMETROS!$C$61</f>
        <v>5526304.6905045547</v>
      </c>
      <c r="R150" s="758">
        <f>'INGRESOS de pasajeros'!N87*PARAMETROS!$C$61</f>
        <v>5556926.093167888</v>
      </c>
      <c r="S150" s="758">
        <f>'INGRESOS de pasajeros'!O87*PARAMETROS!$C$61</f>
        <v>5788484.2409420349</v>
      </c>
      <c r="T150" s="758">
        <f>'INGRESOS de pasajeros'!P87*PARAMETROS!$C$61</f>
        <v>5795542.5745522017</v>
      </c>
      <c r="U150" s="758">
        <f>'INGRESOS de pasajeros'!Q87*PARAMETROS!$C$61</f>
        <v>6037025.9848521277</v>
      </c>
      <c r="V150" s="758">
        <f>'INGRESOS de pasajeros'!R87*PARAMETROS!$C$61</f>
        <v>6044369.4751401441</v>
      </c>
      <c r="W150" s="758">
        <f>'INGRESOS de pasajeros'!S87*PARAMETROS!$C$61</f>
        <v>6296202.1692314604</v>
      </c>
      <c r="X150" s="758">
        <f>'INGRESOS de pasajeros'!T87*PARAMETROS!$C$61</f>
        <v>6344267.5774896713</v>
      </c>
      <c r="Y150" s="758">
        <f>'INGRESOS de pasajeros'!U87*PARAMETROS!$C$61</f>
        <v>6650583.2383721014</v>
      </c>
      <c r="Z150" s="758">
        <f>'INGRESOS de pasajeros'!V87*PARAMETROS!$C$61</f>
        <v>6700590.4891239451</v>
      </c>
      <c r="AA150" s="758">
        <f>'INGRESOS de pasajeros'!W87*PARAMETROS!$C$61</f>
        <v>7023321.8885667687</v>
      </c>
      <c r="AB150" s="758">
        <f>'INGRESOS de pasajeros'!X87*PARAMETROS!$C$61</f>
        <v>7075349.4322489845</v>
      </c>
      <c r="AC150" s="758">
        <f>'INGRESOS de pasajeros'!Y87*PARAMETROS!$C$61</f>
        <v>7361193.5493118437</v>
      </c>
      <c r="AD150" s="758">
        <f>'INGRESOS de pasajeros'!Z87*PARAMETROS!$C$61</f>
        <v>7361193.5493118437</v>
      </c>
      <c r="AE150" s="758">
        <f>'INGRESOS de pasajeros'!AA87*PARAMETROS!$C$61</f>
        <v>7658585.7687040409</v>
      </c>
      <c r="AF150" s="758">
        <f>'INGRESOS de pasajeros'!AB87*PARAMETROS!$C$61</f>
        <v>7658585.7687040409</v>
      </c>
      <c r="AG150" s="758">
        <f>'INGRESOS de pasajeros'!AC87*PARAMETROS!$C$61</f>
        <v>7967992.6337596849</v>
      </c>
      <c r="AH150" s="758">
        <f>'INGRESOS de pasajeros'!AD87*PARAMETROS!$C$61</f>
        <v>7967992.6337596849</v>
      </c>
      <c r="AI150" s="758">
        <f>'INGRESOS de pasajeros'!AE87*PARAMETROS!$C$61</f>
        <v>8289899.536163575</v>
      </c>
      <c r="AJ150" s="758">
        <f>'INGRESOS de pasajeros'!AF87*PARAMETROS!$C$61</f>
        <v>8289899.536163575</v>
      </c>
      <c r="AK150" s="758">
        <f>'INGRESOS de pasajeros'!AG87*PARAMETROS!$C$61</f>
        <v>8624811.4774245843</v>
      </c>
      <c r="AL150" s="758">
        <f>'INGRESOS de pasajeros'!AH87*PARAMETROS!$C$61</f>
        <v>8624811.4774245843</v>
      </c>
      <c r="AM150" s="758">
        <f>'INGRESOS de pasajeros'!AI87*PARAMETROS!$C$61</f>
        <v>8973253.861112535</v>
      </c>
      <c r="AN150" s="758">
        <f>'INGRESOS de pasajeros'!AJ87*PARAMETROS!$C$61</f>
        <v>8973253.861112535</v>
      </c>
      <c r="AO150" s="758">
        <f>'INGRESOS de pasajeros'!AK87*PARAMETROS!$C$61</f>
        <v>9335773.317101486</v>
      </c>
      <c r="AP150" s="758">
        <f>'INGRESOS de pasajeros'!AL87*PARAMETROS!$C$61</f>
        <v>9335773.317101486</v>
      </c>
      <c r="AQ150" s="758">
        <f>'INGRESOS de pasajeros'!AM87*PARAMETROS!$C$61</f>
        <v>9712938.5591123849</v>
      </c>
      <c r="AR150" s="758">
        <f>'INGRESOS de pasajeros'!AN87*PARAMETROS!$C$61</f>
        <v>9712938.5591123849</v>
      </c>
      <c r="AS150" s="758">
        <f>'INGRESOS de pasajeros'!AO87*PARAMETROS!$C$61</f>
        <v>10105341.276900526</v>
      </c>
      <c r="AT150" s="758">
        <f>'INGRESOS de pasajeros'!AP87*PARAMETROS!$C$61</f>
        <v>10105341.276900526</v>
      </c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  <c r="BN150" s="166"/>
    </row>
    <row r="151" spans="2:66" x14ac:dyDescent="0.25">
      <c r="B151" s="832" t="s">
        <v>396</v>
      </c>
      <c r="C151" s="178">
        <v>0</v>
      </c>
      <c r="D151" s="178">
        <v>0</v>
      </c>
      <c r="E151" s="178">
        <v>0</v>
      </c>
      <c r="F151" s="178">
        <v>0</v>
      </c>
      <c r="G151" s="178">
        <f>$C$14*$C$15*12</f>
        <v>420000</v>
      </c>
      <c r="H151" s="178">
        <f t="shared" ref="H151:AT151" si="55">$G$75*((1+$C$25)^G145)</f>
        <v>428400</v>
      </c>
      <c r="I151" s="178">
        <f t="shared" si="55"/>
        <v>436968</v>
      </c>
      <c r="J151" s="178">
        <f t="shared" si="55"/>
        <v>445707.36</v>
      </c>
      <c r="K151" s="178">
        <f t="shared" si="55"/>
        <v>454621.50719999999</v>
      </c>
      <c r="L151" s="178">
        <f t="shared" si="55"/>
        <v>463713.93734400003</v>
      </c>
      <c r="M151" s="178">
        <f t="shared" si="55"/>
        <v>472988.21609088004</v>
      </c>
      <c r="N151" s="178">
        <f t="shared" si="55"/>
        <v>482447.98041269754</v>
      </c>
      <c r="O151" s="178">
        <f t="shared" si="55"/>
        <v>492096.9400209515</v>
      </c>
      <c r="P151" s="178">
        <f t="shared" si="55"/>
        <v>501938.87882137054</v>
      </c>
      <c r="Q151" s="178">
        <f t="shared" si="55"/>
        <v>511977.65639779798</v>
      </c>
      <c r="R151" s="178">
        <f t="shared" si="55"/>
        <v>522217.20952575386</v>
      </c>
      <c r="S151" s="178">
        <f t="shared" si="55"/>
        <v>532661.55371626897</v>
      </c>
      <c r="T151" s="178">
        <f t="shared" si="55"/>
        <v>543314.78479059436</v>
      </c>
      <c r="U151" s="178">
        <f t="shared" si="55"/>
        <v>554181.08048640634</v>
      </c>
      <c r="V151" s="178">
        <f t="shared" si="55"/>
        <v>565264.70209613431</v>
      </c>
      <c r="W151" s="178">
        <f t="shared" si="55"/>
        <v>576569.99613805709</v>
      </c>
      <c r="X151" s="178">
        <f t="shared" si="55"/>
        <v>588101.39606081822</v>
      </c>
      <c r="Y151" s="178">
        <f t="shared" si="55"/>
        <v>599863.42398203455</v>
      </c>
      <c r="Z151" s="178">
        <f t="shared" si="55"/>
        <v>611860.69246167527</v>
      </c>
      <c r="AA151" s="178">
        <f t="shared" si="55"/>
        <v>624097.90631090873</v>
      </c>
      <c r="AB151" s="178">
        <f t="shared" si="55"/>
        <v>636579.8644371269</v>
      </c>
      <c r="AC151" s="178">
        <f t="shared" si="55"/>
        <v>649311.46172586945</v>
      </c>
      <c r="AD151" s="178">
        <f t="shared" si="55"/>
        <v>662297.69096038677</v>
      </c>
      <c r="AE151" s="178">
        <f t="shared" si="55"/>
        <v>675543.6447795945</v>
      </c>
      <c r="AF151" s="178">
        <f t="shared" si="55"/>
        <v>689054.51767518639</v>
      </c>
      <c r="AG151" s="178">
        <f t="shared" si="55"/>
        <v>702835.60802869021</v>
      </c>
      <c r="AH151" s="178">
        <f t="shared" si="55"/>
        <v>716892.3201892639</v>
      </c>
      <c r="AI151" s="178">
        <f t="shared" si="55"/>
        <v>731230.1665930493</v>
      </c>
      <c r="AJ151" s="178">
        <f t="shared" si="55"/>
        <v>745854.76992491016</v>
      </c>
      <c r="AK151" s="178">
        <f t="shared" si="55"/>
        <v>760771.86532340851</v>
      </c>
      <c r="AL151" s="178">
        <f t="shared" si="55"/>
        <v>775987.30262987642</v>
      </c>
      <c r="AM151" s="178">
        <f t="shared" si="55"/>
        <v>791507.04868247418</v>
      </c>
      <c r="AN151" s="178">
        <f t="shared" si="55"/>
        <v>807337.18965612364</v>
      </c>
      <c r="AO151" s="178">
        <f t="shared" si="55"/>
        <v>823483.93344924611</v>
      </c>
      <c r="AP151" s="178">
        <f t="shared" si="55"/>
        <v>839953.61211823102</v>
      </c>
      <c r="AQ151" s="178">
        <f t="shared" si="55"/>
        <v>856752.68436059554</v>
      </c>
      <c r="AR151" s="178">
        <f t="shared" si="55"/>
        <v>873887.73804780759</v>
      </c>
      <c r="AS151" s="178">
        <f t="shared" si="55"/>
        <v>891365.49280876387</v>
      </c>
      <c r="AT151" s="178">
        <f t="shared" si="55"/>
        <v>909192.80266493873</v>
      </c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  <c r="BN151" s="166"/>
    </row>
    <row r="152" spans="2:66" x14ac:dyDescent="0.25">
      <c r="B152" s="832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66"/>
      <c r="AV152" s="166"/>
      <c r="AW152" s="166"/>
      <c r="AX152" s="166"/>
      <c r="AY152" s="166"/>
      <c r="AZ152" s="166"/>
      <c r="BA152" s="166"/>
      <c r="BB152" s="166"/>
      <c r="BC152" s="166"/>
      <c r="BD152" s="166"/>
      <c r="BE152" s="166"/>
      <c r="BF152" s="166"/>
      <c r="BG152" s="166"/>
      <c r="BH152" s="166"/>
      <c r="BI152" s="166"/>
      <c r="BJ152" s="166"/>
      <c r="BK152" s="166"/>
      <c r="BL152" s="166"/>
      <c r="BM152" s="166"/>
      <c r="BN152" s="166"/>
    </row>
    <row r="153" spans="2:66" x14ac:dyDescent="0.25">
      <c r="B153" s="831" t="str">
        <f>B77</f>
        <v>Activos iniciales - Depreciacion 50 años</v>
      </c>
      <c r="C153" s="965">
        <f t="shared" ref="C153:AT159" si="56">C77</f>
        <v>0</v>
      </c>
      <c r="D153" s="965">
        <f t="shared" si="56"/>
        <v>0</v>
      </c>
      <c r="E153" s="965">
        <f t="shared" si="56"/>
        <v>0</v>
      </c>
      <c r="F153" s="965">
        <f t="shared" si="56"/>
        <v>0</v>
      </c>
      <c r="G153" s="965">
        <f t="shared" si="56"/>
        <v>-617417.83808159526</v>
      </c>
      <c r="H153" s="965">
        <f t="shared" si="56"/>
        <v>-617417.83808159526</v>
      </c>
      <c r="I153" s="965">
        <f t="shared" si="56"/>
        <v>-617417.83808159526</v>
      </c>
      <c r="J153" s="965">
        <f t="shared" si="56"/>
        <v>-617417.83808159526</v>
      </c>
      <c r="K153" s="965">
        <f t="shared" si="56"/>
        <v>-617417.83808159526</v>
      </c>
      <c r="L153" s="965">
        <f t="shared" si="56"/>
        <v>-617417.83808159526</v>
      </c>
      <c r="M153" s="965">
        <f t="shared" si="56"/>
        <v>-617417.83808159526</v>
      </c>
      <c r="N153" s="965">
        <f t="shared" si="56"/>
        <v>-617417.83808159526</v>
      </c>
      <c r="O153" s="965">
        <f t="shared" si="56"/>
        <v>-617417.83808159526</v>
      </c>
      <c r="P153" s="965">
        <f t="shared" si="56"/>
        <v>-617417.83808159526</v>
      </c>
      <c r="Q153" s="965">
        <f t="shared" si="56"/>
        <v>-617417.83808159526</v>
      </c>
      <c r="R153" s="965">
        <f t="shared" si="56"/>
        <v>-617417.83808159526</v>
      </c>
      <c r="S153" s="965">
        <f t="shared" si="56"/>
        <v>-617417.83808159526</v>
      </c>
      <c r="T153" s="965">
        <f t="shared" si="56"/>
        <v>-617417.83808159526</v>
      </c>
      <c r="U153" s="965">
        <f t="shared" si="56"/>
        <v>-617417.83808159526</v>
      </c>
      <c r="V153" s="965">
        <f t="shared" si="56"/>
        <v>-617417.83808159526</v>
      </c>
      <c r="W153" s="965">
        <f t="shared" si="56"/>
        <v>-617417.83808159526</v>
      </c>
      <c r="X153" s="965">
        <f t="shared" si="56"/>
        <v>-617417.83808159526</v>
      </c>
      <c r="Y153" s="965">
        <f t="shared" si="56"/>
        <v>-617417.83808159526</v>
      </c>
      <c r="Z153" s="965">
        <f t="shared" si="56"/>
        <v>-617417.83808159526</v>
      </c>
      <c r="AA153" s="965">
        <f t="shared" si="56"/>
        <v>-617417.83808159526</v>
      </c>
      <c r="AB153" s="965">
        <f t="shared" si="56"/>
        <v>-617417.83808159526</v>
      </c>
      <c r="AC153" s="965">
        <f t="shared" si="56"/>
        <v>-617417.83808159526</v>
      </c>
      <c r="AD153" s="965">
        <f t="shared" si="56"/>
        <v>-617417.83808159526</v>
      </c>
      <c r="AE153" s="965">
        <f t="shared" si="56"/>
        <v>-617417.83808159526</v>
      </c>
      <c r="AF153" s="965">
        <f t="shared" si="56"/>
        <v>-617417.83808159526</v>
      </c>
      <c r="AG153" s="965">
        <f t="shared" si="56"/>
        <v>-617417.83808159526</v>
      </c>
      <c r="AH153" s="965">
        <f t="shared" si="56"/>
        <v>-617417.83808159526</v>
      </c>
      <c r="AI153" s="965">
        <f t="shared" si="56"/>
        <v>-617417.83808159526</v>
      </c>
      <c r="AJ153" s="965">
        <f t="shared" si="56"/>
        <v>-617417.83808159526</v>
      </c>
      <c r="AK153" s="965">
        <f t="shared" si="56"/>
        <v>-617417.83808159526</v>
      </c>
      <c r="AL153" s="965">
        <f t="shared" si="56"/>
        <v>-617417.83808159526</v>
      </c>
      <c r="AM153" s="965">
        <f t="shared" si="56"/>
        <v>-617417.83808159526</v>
      </c>
      <c r="AN153" s="965">
        <f t="shared" si="56"/>
        <v>-617417.83808159526</v>
      </c>
      <c r="AO153" s="965">
        <f t="shared" si="56"/>
        <v>-617417.83808159526</v>
      </c>
      <c r="AP153" s="965">
        <f t="shared" si="56"/>
        <v>-617417.83808159526</v>
      </c>
      <c r="AQ153" s="965">
        <f t="shared" si="56"/>
        <v>-617417.83808159526</v>
      </c>
      <c r="AR153" s="965">
        <f t="shared" si="56"/>
        <v>-617417.83808159526</v>
      </c>
      <c r="AS153" s="965">
        <f t="shared" si="56"/>
        <v>-617417.83808159526</v>
      </c>
      <c r="AT153" s="965">
        <f t="shared" si="56"/>
        <v>-617417.83808159526</v>
      </c>
      <c r="AU153" s="166"/>
      <c r="AV153" s="166"/>
      <c r="AW153" s="166"/>
      <c r="AX153" s="166"/>
      <c r="AY153" s="166"/>
      <c r="AZ153" s="166"/>
      <c r="BA153" s="166"/>
      <c r="BB153" s="166"/>
      <c r="BC153" s="166"/>
      <c r="BD153" s="166"/>
      <c r="BE153" s="166"/>
      <c r="BF153" s="166"/>
      <c r="BG153" s="166"/>
      <c r="BH153" s="166"/>
      <c r="BI153" s="166"/>
      <c r="BJ153" s="166"/>
      <c r="BK153" s="166"/>
      <c r="BL153" s="166"/>
      <c r="BM153" s="166"/>
      <c r="BN153" s="166"/>
    </row>
    <row r="154" spans="2:66" x14ac:dyDescent="0.25">
      <c r="B154" s="831" t="str">
        <f t="shared" ref="B154:Q166" si="57">B78</f>
        <v>Activos iniciales - Depreciacion 40 años</v>
      </c>
      <c r="C154" s="965">
        <f t="shared" si="57"/>
        <v>0</v>
      </c>
      <c r="D154" s="965">
        <f t="shared" si="57"/>
        <v>0</v>
      </c>
      <c r="E154" s="965">
        <f t="shared" si="57"/>
        <v>0</v>
      </c>
      <c r="F154" s="965">
        <f t="shared" si="57"/>
        <v>0</v>
      </c>
      <c r="G154" s="965">
        <f t="shared" si="57"/>
        <v>-1345379.6621609791</v>
      </c>
      <c r="H154" s="965">
        <f t="shared" si="57"/>
        <v>-1345379.6621609791</v>
      </c>
      <c r="I154" s="965">
        <f t="shared" si="57"/>
        <v>-1345379.6621609791</v>
      </c>
      <c r="J154" s="965">
        <f t="shared" si="57"/>
        <v>-1345379.6621609791</v>
      </c>
      <c r="K154" s="965">
        <f t="shared" si="57"/>
        <v>-1345379.6621609791</v>
      </c>
      <c r="L154" s="965">
        <f t="shared" si="57"/>
        <v>-1345379.6621609791</v>
      </c>
      <c r="M154" s="965">
        <f t="shared" si="57"/>
        <v>-1345379.6621609791</v>
      </c>
      <c r="N154" s="965">
        <f t="shared" si="57"/>
        <v>-1345379.6621609791</v>
      </c>
      <c r="O154" s="965">
        <f t="shared" si="57"/>
        <v>-1345379.6621609791</v>
      </c>
      <c r="P154" s="965">
        <f t="shared" si="57"/>
        <v>-1345379.6621609791</v>
      </c>
      <c r="Q154" s="965">
        <f t="shared" si="57"/>
        <v>-1345379.6621609791</v>
      </c>
      <c r="R154" s="965">
        <f t="shared" si="56"/>
        <v>-1345379.6621609791</v>
      </c>
      <c r="S154" s="965">
        <f t="shared" si="56"/>
        <v>-1345379.6621609791</v>
      </c>
      <c r="T154" s="965">
        <f t="shared" si="56"/>
        <v>-1345379.6621609791</v>
      </c>
      <c r="U154" s="965">
        <f t="shared" si="56"/>
        <v>-1345379.6621609791</v>
      </c>
      <c r="V154" s="965">
        <f t="shared" si="56"/>
        <v>-1345379.6621609791</v>
      </c>
      <c r="W154" s="965">
        <f t="shared" si="56"/>
        <v>-1345379.6621609791</v>
      </c>
      <c r="X154" s="965">
        <f t="shared" si="56"/>
        <v>-1345379.6621609791</v>
      </c>
      <c r="Y154" s="965">
        <f t="shared" si="56"/>
        <v>-1345379.6621609791</v>
      </c>
      <c r="Z154" s="965">
        <f t="shared" si="56"/>
        <v>-1345379.6621609791</v>
      </c>
      <c r="AA154" s="965">
        <f t="shared" si="56"/>
        <v>-1345379.6621609791</v>
      </c>
      <c r="AB154" s="965">
        <f t="shared" si="56"/>
        <v>-1345379.6621609791</v>
      </c>
      <c r="AC154" s="965">
        <f t="shared" si="56"/>
        <v>-1345379.6621609791</v>
      </c>
      <c r="AD154" s="965">
        <f t="shared" si="56"/>
        <v>-1345379.6621609791</v>
      </c>
      <c r="AE154" s="965">
        <f t="shared" si="56"/>
        <v>-1345379.6621609791</v>
      </c>
      <c r="AF154" s="965">
        <f t="shared" si="56"/>
        <v>-1345379.6621609791</v>
      </c>
      <c r="AG154" s="965">
        <f t="shared" si="56"/>
        <v>-1345379.6621609791</v>
      </c>
      <c r="AH154" s="965">
        <f t="shared" si="56"/>
        <v>-1345379.6621609791</v>
      </c>
      <c r="AI154" s="965">
        <f t="shared" si="56"/>
        <v>-1345379.6621609791</v>
      </c>
      <c r="AJ154" s="965">
        <f t="shared" si="56"/>
        <v>-1345379.6621609791</v>
      </c>
      <c r="AK154" s="965">
        <f t="shared" si="56"/>
        <v>-1345379.6621609791</v>
      </c>
      <c r="AL154" s="965">
        <f t="shared" si="56"/>
        <v>-1345379.6621609791</v>
      </c>
      <c r="AM154" s="965">
        <f t="shared" si="56"/>
        <v>-1345379.6621609791</v>
      </c>
      <c r="AN154" s="965">
        <f t="shared" si="56"/>
        <v>-1345379.6621609791</v>
      </c>
      <c r="AO154" s="965">
        <f t="shared" si="56"/>
        <v>-1345379.6621609791</v>
      </c>
      <c r="AP154" s="965">
        <f t="shared" si="56"/>
        <v>-1345379.6621609791</v>
      </c>
      <c r="AQ154" s="965">
        <f t="shared" si="56"/>
        <v>-1345379.6621609791</v>
      </c>
      <c r="AR154" s="965">
        <f t="shared" si="56"/>
        <v>-1345379.6621609791</v>
      </c>
      <c r="AS154" s="965">
        <f t="shared" si="56"/>
        <v>-1345379.6621609791</v>
      </c>
      <c r="AT154" s="965">
        <f t="shared" si="56"/>
        <v>-1345379.6621609791</v>
      </c>
      <c r="AU154" s="166"/>
      <c r="AV154" s="166"/>
      <c r="AW154" s="166"/>
      <c r="AX154" s="166"/>
      <c r="AY154" s="166"/>
      <c r="AZ154" s="166"/>
      <c r="BA154" s="166"/>
      <c r="BB154" s="166"/>
      <c r="BC154" s="166"/>
      <c r="BD154" s="166"/>
      <c r="BE154" s="166"/>
      <c r="BF154" s="166"/>
      <c r="BG154" s="166"/>
      <c r="BH154" s="166"/>
      <c r="BI154" s="166"/>
      <c r="BJ154" s="166"/>
      <c r="BK154" s="166"/>
      <c r="BL154" s="166"/>
      <c r="BM154" s="166"/>
      <c r="BN154" s="166"/>
    </row>
    <row r="155" spans="2:66" x14ac:dyDescent="0.25">
      <c r="B155" s="831" t="str">
        <f t="shared" si="57"/>
        <v>Activos iniciales - Depreciacion 15 años</v>
      </c>
      <c r="C155" s="965">
        <f t="shared" si="56"/>
        <v>0</v>
      </c>
      <c r="D155" s="965">
        <f t="shared" si="56"/>
        <v>0</v>
      </c>
      <c r="E155" s="965">
        <f t="shared" si="56"/>
        <v>0</v>
      </c>
      <c r="F155" s="965">
        <f t="shared" si="56"/>
        <v>0</v>
      </c>
      <c r="G155" s="965">
        <f t="shared" si="56"/>
        <v>-767500.01943839586</v>
      </c>
      <c r="H155" s="965">
        <f t="shared" si="56"/>
        <v>-767500.01943839586</v>
      </c>
      <c r="I155" s="965">
        <f t="shared" si="56"/>
        <v>-767500.01943839586</v>
      </c>
      <c r="J155" s="965">
        <f t="shared" si="56"/>
        <v>-767500.01943839586</v>
      </c>
      <c r="K155" s="965">
        <f t="shared" si="56"/>
        <v>-767500.01943839586</v>
      </c>
      <c r="L155" s="965">
        <f t="shared" si="56"/>
        <v>-767500.01943839586</v>
      </c>
      <c r="M155" s="965">
        <f t="shared" si="56"/>
        <v>-767500.01943839586</v>
      </c>
      <c r="N155" s="965">
        <f t="shared" si="56"/>
        <v>-767500.01943839586</v>
      </c>
      <c r="O155" s="965">
        <f t="shared" si="56"/>
        <v>-767500.01943839586</v>
      </c>
      <c r="P155" s="965">
        <f t="shared" si="56"/>
        <v>-767500.01943839586</v>
      </c>
      <c r="Q155" s="965">
        <f t="shared" si="56"/>
        <v>-767500.01943839586</v>
      </c>
      <c r="R155" s="965">
        <f t="shared" si="56"/>
        <v>-767500.01943839586</v>
      </c>
      <c r="S155" s="965">
        <f t="shared" si="56"/>
        <v>-767500.01943839586</v>
      </c>
      <c r="T155" s="965">
        <f t="shared" si="56"/>
        <v>-767500.01943839586</v>
      </c>
      <c r="U155" s="965">
        <f t="shared" si="56"/>
        <v>-767500.01943839586</v>
      </c>
      <c r="V155" s="965">
        <f t="shared" si="56"/>
        <v>0</v>
      </c>
      <c r="W155" s="965">
        <f t="shared" si="56"/>
        <v>0</v>
      </c>
      <c r="X155" s="965">
        <f t="shared" si="56"/>
        <v>0</v>
      </c>
      <c r="Y155" s="965">
        <f t="shared" si="56"/>
        <v>0</v>
      </c>
      <c r="Z155" s="965">
        <f t="shared" si="56"/>
        <v>0</v>
      </c>
      <c r="AA155" s="965">
        <f t="shared" si="56"/>
        <v>0</v>
      </c>
      <c r="AB155" s="965">
        <f t="shared" si="56"/>
        <v>0</v>
      </c>
      <c r="AC155" s="965">
        <f t="shared" si="56"/>
        <v>0</v>
      </c>
      <c r="AD155" s="965">
        <f t="shared" si="56"/>
        <v>0</v>
      </c>
      <c r="AE155" s="965">
        <f t="shared" si="56"/>
        <v>0</v>
      </c>
      <c r="AF155" s="965">
        <f t="shared" si="56"/>
        <v>0</v>
      </c>
      <c r="AG155" s="965">
        <f t="shared" si="56"/>
        <v>0</v>
      </c>
      <c r="AH155" s="965">
        <f t="shared" si="56"/>
        <v>0</v>
      </c>
      <c r="AI155" s="965">
        <f t="shared" si="56"/>
        <v>0</v>
      </c>
      <c r="AJ155" s="965">
        <f t="shared" si="56"/>
        <v>0</v>
      </c>
      <c r="AK155" s="965">
        <f t="shared" si="56"/>
        <v>0</v>
      </c>
      <c r="AL155" s="965">
        <f t="shared" si="56"/>
        <v>0</v>
      </c>
      <c r="AM155" s="965">
        <f t="shared" si="56"/>
        <v>0</v>
      </c>
      <c r="AN155" s="965">
        <f t="shared" si="56"/>
        <v>0</v>
      </c>
      <c r="AO155" s="965">
        <f t="shared" si="56"/>
        <v>0</v>
      </c>
      <c r="AP155" s="965">
        <f t="shared" si="56"/>
        <v>0</v>
      </c>
      <c r="AQ155" s="965">
        <f t="shared" si="56"/>
        <v>0</v>
      </c>
      <c r="AR155" s="965">
        <f t="shared" si="56"/>
        <v>0</v>
      </c>
      <c r="AS155" s="965">
        <f t="shared" si="56"/>
        <v>0</v>
      </c>
      <c r="AT155" s="965">
        <f t="shared" si="56"/>
        <v>0</v>
      </c>
      <c r="AU155" s="166"/>
      <c r="AV155" s="166"/>
      <c r="AW155" s="166"/>
      <c r="AX155" s="166"/>
      <c r="AY155" s="166"/>
      <c r="AZ155" s="166"/>
      <c r="BA155" s="166"/>
      <c r="BB155" s="166"/>
      <c r="BC155" s="166"/>
      <c r="BD155" s="166"/>
      <c r="BE155" s="166"/>
      <c r="BF155" s="166"/>
      <c r="BG155" s="166"/>
      <c r="BH155" s="166"/>
      <c r="BI155" s="166"/>
      <c r="BJ155" s="166"/>
      <c r="BK155" s="166"/>
      <c r="BL155" s="166"/>
      <c r="BM155" s="166"/>
      <c r="BN155" s="166"/>
    </row>
    <row r="156" spans="2:66" x14ac:dyDescent="0.25">
      <c r="B156" s="831" t="str">
        <f t="shared" si="57"/>
        <v>Activos iniciales - Depreciacion 10 años</v>
      </c>
      <c r="C156" s="965">
        <f t="shared" si="56"/>
        <v>0</v>
      </c>
      <c r="D156" s="965">
        <f t="shared" si="56"/>
        <v>0</v>
      </c>
      <c r="E156" s="965">
        <f t="shared" si="56"/>
        <v>0</v>
      </c>
      <c r="F156" s="965">
        <f t="shared" si="56"/>
        <v>0</v>
      </c>
      <c r="G156" s="965">
        <f t="shared" si="56"/>
        <v>-287707.11855978414</v>
      </c>
      <c r="H156" s="965">
        <f t="shared" si="56"/>
        <v>-287707.11855978414</v>
      </c>
      <c r="I156" s="965">
        <f t="shared" si="56"/>
        <v>-287707.11855978414</v>
      </c>
      <c r="J156" s="965">
        <f t="shared" si="56"/>
        <v>-287707.11855978414</v>
      </c>
      <c r="K156" s="965">
        <f t="shared" si="56"/>
        <v>-287707.11855978414</v>
      </c>
      <c r="L156" s="965">
        <f t="shared" si="56"/>
        <v>-287707.11855978414</v>
      </c>
      <c r="M156" s="965">
        <f t="shared" si="56"/>
        <v>-287707.11855978414</v>
      </c>
      <c r="N156" s="965">
        <f t="shared" si="56"/>
        <v>-287707.11855978414</v>
      </c>
      <c r="O156" s="965">
        <f t="shared" si="56"/>
        <v>-287707.11855978414</v>
      </c>
      <c r="P156" s="965">
        <f t="shared" si="56"/>
        <v>-287707.11855978414</v>
      </c>
      <c r="Q156" s="965">
        <f t="shared" si="56"/>
        <v>0</v>
      </c>
      <c r="R156" s="965">
        <f t="shared" si="56"/>
        <v>0</v>
      </c>
      <c r="S156" s="965">
        <f t="shared" si="56"/>
        <v>0</v>
      </c>
      <c r="T156" s="965">
        <f t="shared" si="56"/>
        <v>0</v>
      </c>
      <c r="U156" s="965">
        <f t="shared" si="56"/>
        <v>0</v>
      </c>
      <c r="V156" s="965">
        <f t="shared" si="56"/>
        <v>0</v>
      </c>
      <c r="W156" s="965">
        <f t="shared" si="56"/>
        <v>0</v>
      </c>
      <c r="X156" s="965">
        <f t="shared" si="56"/>
        <v>0</v>
      </c>
      <c r="Y156" s="965">
        <f t="shared" si="56"/>
        <v>0</v>
      </c>
      <c r="Z156" s="965">
        <f t="shared" si="56"/>
        <v>0</v>
      </c>
      <c r="AA156" s="965">
        <f t="shared" si="56"/>
        <v>0</v>
      </c>
      <c r="AB156" s="965">
        <f t="shared" si="56"/>
        <v>0</v>
      </c>
      <c r="AC156" s="965">
        <f t="shared" si="56"/>
        <v>0</v>
      </c>
      <c r="AD156" s="965">
        <f t="shared" si="56"/>
        <v>0</v>
      </c>
      <c r="AE156" s="965">
        <f t="shared" si="56"/>
        <v>0</v>
      </c>
      <c r="AF156" s="965">
        <f t="shared" si="56"/>
        <v>0</v>
      </c>
      <c r="AG156" s="965">
        <f t="shared" si="56"/>
        <v>0</v>
      </c>
      <c r="AH156" s="965">
        <f t="shared" si="56"/>
        <v>0</v>
      </c>
      <c r="AI156" s="965">
        <f t="shared" si="56"/>
        <v>0</v>
      </c>
      <c r="AJ156" s="965">
        <f t="shared" si="56"/>
        <v>0</v>
      </c>
      <c r="AK156" s="965">
        <f t="shared" si="56"/>
        <v>0</v>
      </c>
      <c r="AL156" s="965">
        <f t="shared" si="56"/>
        <v>0</v>
      </c>
      <c r="AM156" s="965">
        <f t="shared" si="56"/>
        <v>0</v>
      </c>
      <c r="AN156" s="965">
        <f t="shared" si="56"/>
        <v>0</v>
      </c>
      <c r="AO156" s="965">
        <f t="shared" si="56"/>
        <v>0</v>
      </c>
      <c r="AP156" s="965">
        <f t="shared" si="56"/>
        <v>0</v>
      </c>
      <c r="AQ156" s="965">
        <f t="shared" si="56"/>
        <v>0</v>
      </c>
      <c r="AR156" s="965">
        <f t="shared" si="56"/>
        <v>0</v>
      </c>
      <c r="AS156" s="965">
        <f t="shared" si="56"/>
        <v>0</v>
      </c>
      <c r="AT156" s="965">
        <f t="shared" si="56"/>
        <v>0</v>
      </c>
      <c r="AU156" s="166"/>
      <c r="AV156" s="166"/>
      <c r="AW156" s="166"/>
      <c r="AX156" s="166"/>
      <c r="AY156" s="166"/>
      <c r="AZ156" s="166"/>
      <c r="BA156" s="166"/>
      <c r="BB156" s="166"/>
      <c r="BC156" s="166"/>
      <c r="BD156" s="166"/>
      <c r="BE156" s="166"/>
      <c r="BF156" s="166"/>
      <c r="BG156" s="166"/>
      <c r="BH156" s="166"/>
      <c r="BI156" s="166"/>
      <c r="BJ156" s="166"/>
      <c r="BK156" s="166"/>
      <c r="BL156" s="166"/>
      <c r="BM156" s="166"/>
      <c r="BN156" s="166"/>
    </row>
    <row r="157" spans="2:66" x14ac:dyDescent="0.25">
      <c r="B157" s="831" t="str">
        <f t="shared" si="57"/>
        <v>Activos iniciales - Depreciacion 5 años</v>
      </c>
      <c r="C157" s="965">
        <f t="shared" si="56"/>
        <v>0</v>
      </c>
      <c r="D157" s="965">
        <f t="shared" si="56"/>
        <v>0</v>
      </c>
      <c r="E157" s="965">
        <f t="shared" si="56"/>
        <v>0</v>
      </c>
      <c r="F157" s="965">
        <f t="shared" si="56"/>
        <v>0</v>
      </c>
      <c r="G157" s="965">
        <f t="shared" si="56"/>
        <v>-172591.88242842152</v>
      </c>
      <c r="H157" s="965">
        <f t="shared" si="56"/>
        <v>-172591.88242842152</v>
      </c>
      <c r="I157" s="965">
        <f t="shared" si="56"/>
        <v>-172591.88242842152</v>
      </c>
      <c r="J157" s="965">
        <f t="shared" si="56"/>
        <v>-172591.88242842152</v>
      </c>
      <c r="K157" s="965">
        <f t="shared" si="56"/>
        <v>-172591.88242842152</v>
      </c>
      <c r="L157" s="965">
        <f t="shared" si="56"/>
        <v>0</v>
      </c>
      <c r="M157" s="965">
        <f t="shared" si="56"/>
        <v>0</v>
      </c>
      <c r="N157" s="965">
        <f t="shared" si="56"/>
        <v>0</v>
      </c>
      <c r="O157" s="965">
        <f t="shared" si="56"/>
        <v>0</v>
      </c>
      <c r="P157" s="965">
        <f t="shared" si="56"/>
        <v>0</v>
      </c>
      <c r="Q157" s="965">
        <f t="shared" si="56"/>
        <v>0</v>
      </c>
      <c r="R157" s="965">
        <f t="shared" si="56"/>
        <v>0</v>
      </c>
      <c r="S157" s="965">
        <f t="shared" si="56"/>
        <v>0</v>
      </c>
      <c r="T157" s="965">
        <f t="shared" si="56"/>
        <v>0</v>
      </c>
      <c r="U157" s="965">
        <f t="shared" si="56"/>
        <v>0</v>
      </c>
      <c r="V157" s="965">
        <f t="shared" si="56"/>
        <v>0</v>
      </c>
      <c r="W157" s="965">
        <f t="shared" si="56"/>
        <v>0</v>
      </c>
      <c r="X157" s="965">
        <f t="shared" si="56"/>
        <v>0</v>
      </c>
      <c r="Y157" s="965">
        <f t="shared" si="56"/>
        <v>0</v>
      </c>
      <c r="Z157" s="965">
        <f t="shared" si="56"/>
        <v>0</v>
      </c>
      <c r="AA157" s="965">
        <f t="shared" si="56"/>
        <v>0</v>
      </c>
      <c r="AB157" s="965">
        <f t="shared" si="56"/>
        <v>0</v>
      </c>
      <c r="AC157" s="965">
        <f t="shared" si="56"/>
        <v>0</v>
      </c>
      <c r="AD157" s="965">
        <f t="shared" si="56"/>
        <v>0</v>
      </c>
      <c r="AE157" s="965">
        <f t="shared" si="56"/>
        <v>0</v>
      </c>
      <c r="AF157" s="965">
        <f t="shared" si="56"/>
        <v>0</v>
      </c>
      <c r="AG157" s="965">
        <f t="shared" si="56"/>
        <v>0</v>
      </c>
      <c r="AH157" s="965">
        <f t="shared" si="56"/>
        <v>0</v>
      </c>
      <c r="AI157" s="965">
        <f t="shared" si="56"/>
        <v>0</v>
      </c>
      <c r="AJ157" s="965">
        <f t="shared" si="56"/>
        <v>0</v>
      </c>
      <c r="AK157" s="965">
        <f t="shared" si="56"/>
        <v>0</v>
      </c>
      <c r="AL157" s="965">
        <f t="shared" si="56"/>
        <v>0</v>
      </c>
      <c r="AM157" s="965">
        <f t="shared" si="56"/>
        <v>0</v>
      </c>
      <c r="AN157" s="965">
        <f t="shared" si="56"/>
        <v>0</v>
      </c>
      <c r="AO157" s="965">
        <f t="shared" si="56"/>
        <v>0</v>
      </c>
      <c r="AP157" s="965">
        <f t="shared" si="56"/>
        <v>0</v>
      </c>
      <c r="AQ157" s="965">
        <f t="shared" si="56"/>
        <v>0</v>
      </c>
      <c r="AR157" s="965">
        <f t="shared" si="56"/>
        <v>0</v>
      </c>
      <c r="AS157" s="965">
        <f t="shared" si="56"/>
        <v>0</v>
      </c>
      <c r="AT157" s="965">
        <f t="shared" si="56"/>
        <v>0</v>
      </c>
      <c r="AU157" s="166"/>
      <c r="AV157" s="166"/>
      <c r="AW157" s="166"/>
      <c r="AX157" s="166"/>
      <c r="AY157" s="166"/>
      <c r="AZ157" s="166"/>
      <c r="BA157" s="166"/>
      <c r="BB157" s="166"/>
      <c r="BC157" s="166"/>
      <c r="BD157" s="166"/>
      <c r="BE157" s="166"/>
      <c r="BF157" s="166"/>
      <c r="BG157" s="166"/>
      <c r="BH157" s="166"/>
      <c r="BI157" s="166"/>
      <c r="BJ157" s="166"/>
      <c r="BK157" s="166"/>
      <c r="BL157" s="166"/>
      <c r="BM157" s="166"/>
      <c r="BN157" s="166"/>
    </row>
    <row r="158" spans="2:66" x14ac:dyDescent="0.25">
      <c r="B158" s="831" t="str">
        <f t="shared" si="57"/>
        <v>Activos iniciales - Valor residual</v>
      </c>
      <c r="C158" s="965">
        <f t="shared" si="56"/>
        <v>0</v>
      </c>
      <c r="D158" s="965">
        <f t="shared" si="56"/>
        <v>0</v>
      </c>
      <c r="E158" s="965">
        <f t="shared" si="56"/>
        <v>0</v>
      </c>
      <c r="F158" s="965">
        <f t="shared" si="56"/>
        <v>0</v>
      </c>
      <c r="G158" s="965">
        <f t="shared" si="56"/>
        <v>111877413.20910615</v>
      </c>
      <c r="H158" s="965">
        <f t="shared" si="56"/>
        <v>108686816.68843697</v>
      </c>
      <c r="I158" s="965">
        <f t="shared" si="56"/>
        <v>105496220.16776779</v>
      </c>
      <c r="J158" s="965">
        <f t="shared" si="56"/>
        <v>102305623.64709862</v>
      </c>
      <c r="K158" s="965">
        <f t="shared" si="56"/>
        <v>99115027.126429439</v>
      </c>
      <c r="L158" s="965">
        <f t="shared" si="56"/>
        <v>96097022.488188684</v>
      </c>
      <c r="M158" s="965">
        <f t="shared" si="56"/>
        <v>93079017.849947929</v>
      </c>
      <c r="N158" s="965">
        <f t="shared" si="56"/>
        <v>90061013.211707175</v>
      </c>
      <c r="O158" s="965">
        <f t="shared" si="56"/>
        <v>87043008.57346642</v>
      </c>
      <c r="P158" s="965">
        <f t="shared" si="56"/>
        <v>84025003.935225666</v>
      </c>
      <c r="Q158" s="965">
        <f t="shared" si="56"/>
        <v>81294706.415544689</v>
      </c>
      <c r="R158" s="965">
        <f t="shared" si="56"/>
        <v>78564408.895863712</v>
      </c>
      <c r="S158" s="965">
        <f t="shared" si="56"/>
        <v>75834111.376182735</v>
      </c>
      <c r="T158" s="965">
        <f t="shared" si="56"/>
        <v>73103813.856501758</v>
      </c>
      <c r="U158" s="965">
        <f t="shared" si="56"/>
        <v>70373516.336820781</v>
      </c>
      <c r="V158" s="965">
        <f t="shared" si="56"/>
        <v>68410718.836578205</v>
      </c>
      <c r="W158" s="965">
        <f t="shared" si="56"/>
        <v>66447921.336335629</v>
      </c>
      <c r="X158" s="965">
        <f t="shared" si="56"/>
        <v>64485123.836093053</v>
      </c>
      <c r="Y158" s="965">
        <f t="shared" si="56"/>
        <v>62522326.335850477</v>
      </c>
      <c r="Z158" s="965">
        <f t="shared" si="56"/>
        <v>60559528.835607901</v>
      </c>
      <c r="AA158" s="965">
        <f t="shared" si="56"/>
        <v>58596731.335365325</v>
      </c>
      <c r="AB158" s="965">
        <f t="shared" si="56"/>
        <v>56633933.835122749</v>
      </c>
      <c r="AC158" s="965">
        <f t="shared" si="56"/>
        <v>54671136.334880173</v>
      </c>
      <c r="AD158" s="965">
        <f t="shared" si="56"/>
        <v>52708338.834637597</v>
      </c>
      <c r="AE158" s="965">
        <f t="shared" si="56"/>
        <v>50745541.334395021</v>
      </c>
      <c r="AF158" s="965">
        <f t="shared" si="56"/>
        <v>48782743.834152445</v>
      </c>
      <c r="AG158" s="965">
        <f t="shared" si="56"/>
        <v>46819946.333909869</v>
      </c>
      <c r="AH158" s="965">
        <f t="shared" si="56"/>
        <v>44857148.833667293</v>
      </c>
      <c r="AI158" s="965">
        <f t="shared" si="56"/>
        <v>42894351.333424717</v>
      </c>
      <c r="AJ158" s="965">
        <f t="shared" si="56"/>
        <v>40931553.833182141</v>
      </c>
      <c r="AK158" s="965">
        <f t="shared" si="56"/>
        <v>38968756.332939565</v>
      </c>
      <c r="AL158" s="965">
        <f t="shared" si="56"/>
        <v>37005958.832696989</v>
      </c>
      <c r="AM158" s="965">
        <f t="shared" si="56"/>
        <v>35043161.332454413</v>
      </c>
      <c r="AN158" s="965">
        <f t="shared" si="56"/>
        <v>33080363.832211837</v>
      </c>
      <c r="AO158" s="965">
        <f t="shared" si="56"/>
        <v>31117566.331969261</v>
      </c>
      <c r="AP158" s="965">
        <f t="shared" si="56"/>
        <v>29154768.831726685</v>
      </c>
      <c r="AQ158" s="965">
        <f t="shared" si="56"/>
        <v>27191971.331484109</v>
      </c>
      <c r="AR158" s="965">
        <f t="shared" si="56"/>
        <v>25229173.831241533</v>
      </c>
      <c r="AS158" s="965">
        <f t="shared" si="56"/>
        <v>23266376.330998957</v>
      </c>
      <c r="AT158" s="965">
        <f t="shared" si="56"/>
        <v>21303578.830756381</v>
      </c>
      <c r="AU158" s="166"/>
      <c r="AV158" s="166"/>
      <c r="AW158" s="166"/>
      <c r="AX158" s="166"/>
      <c r="AY158" s="166"/>
      <c r="AZ158" s="166"/>
      <c r="BA158" s="166"/>
      <c r="BB158" s="166"/>
      <c r="BC158" s="166"/>
      <c r="BD158" s="166"/>
      <c r="BE158" s="166"/>
      <c r="BF158" s="166"/>
      <c r="BG158" s="166"/>
      <c r="BH158" s="166"/>
      <c r="BI158" s="166"/>
      <c r="BJ158" s="166"/>
      <c r="BK158" s="166"/>
      <c r="BL158" s="166"/>
      <c r="BM158" s="166"/>
      <c r="BN158" s="166"/>
    </row>
    <row r="159" spans="2:66" x14ac:dyDescent="0.25">
      <c r="B159" s="831" t="str">
        <f t="shared" si="57"/>
        <v>Activos nuevos 1 - Depreciacion 10 años</v>
      </c>
      <c r="C159" s="965">
        <f t="shared" si="56"/>
        <v>0</v>
      </c>
      <c r="D159" s="965">
        <f t="shared" si="56"/>
        <v>0</v>
      </c>
      <c r="E159" s="965">
        <f t="shared" si="56"/>
        <v>0</v>
      </c>
      <c r="F159" s="965">
        <f t="shared" si="56"/>
        <v>0</v>
      </c>
      <c r="G159" s="965">
        <f t="shared" si="56"/>
        <v>0</v>
      </c>
      <c r="H159" s="965">
        <f t="shared" si="56"/>
        <v>0</v>
      </c>
      <c r="I159" s="965">
        <f t="shared" ref="C159:AT164" si="58">I83</f>
        <v>0</v>
      </c>
      <c r="J159" s="965">
        <f t="shared" si="58"/>
        <v>0</v>
      </c>
      <c r="K159" s="965">
        <f t="shared" si="58"/>
        <v>0</v>
      </c>
      <c r="L159" s="965">
        <f t="shared" si="58"/>
        <v>0</v>
      </c>
      <c r="M159" s="965">
        <f t="shared" si="58"/>
        <v>0</v>
      </c>
      <c r="N159" s="965">
        <f t="shared" si="58"/>
        <v>0</v>
      </c>
      <c r="O159" s="965">
        <f t="shared" si="58"/>
        <v>0</v>
      </c>
      <c r="P159" s="965">
        <f t="shared" si="58"/>
        <v>0</v>
      </c>
      <c r="Q159" s="965">
        <f t="shared" si="58"/>
        <v>0</v>
      </c>
      <c r="R159" s="965">
        <f t="shared" si="58"/>
        <v>-358972.64507720724</v>
      </c>
      <c r="S159" s="965">
        <f t="shared" si="58"/>
        <v>-358972.64507720724</v>
      </c>
      <c r="T159" s="965">
        <f t="shared" si="58"/>
        <v>-358972.64507720724</v>
      </c>
      <c r="U159" s="965">
        <f t="shared" si="58"/>
        <v>-358972.64507720724</v>
      </c>
      <c r="V159" s="965">
        <f t="shared" si="58"/>
        <v>-358972.64507720724</v>
      </c>
      <c r="W159" s="965">
        <f t="shared" si="58"/>
        <v>-358972.64507720724</v>
      </c>
      <c r="X159" s="965">
        <f t="shared" si="58"/>
        <v>-358972.64507720724</v>
      </c>
      <c r="Y159" s="965">
        <f t="shared" si="58"/>
        <v>-358972.64507720724</v>
      </c>
      <c r="Z159" s="965">
        <f t="shared" si="58"/>
        <v>-358972.64507720724</v>
      </c>
      <c r="AA159" s="965">
        <f t="shared" si="58"/>
        <v>-358972.64507720724</v>
      </c>
      <c r="AB159" s="965">
        <f t="shared" si="58"/>
        <v>-358972.64507720724</v>
      </c>
      <c r="AC159" s="965">
        <f t="shared" si="58"/>
        <v>0</v>
      </c>
      <c r="AD159" s="965">
        <f t="shared" si="58"/>
        <v>0</v>
      </c>
      <c r="AE159" s="965">
        <f t="shared" si="58"/>
        <v>0</v>
      </c>
      <c r="AF159" s="965">
        <f t="shared" si="58"/>
        <v>0</v>
      </c>
      <c r="AG159" s="965">
        <f t="shared" si="58"/>
        <v>0</v>
      </c>
      <c r="AH159" s="965">
        <f t="shared" si="58"/>
        <v>0</v>
      </c>
      <c r="AI159" s="965">
        <f t="shared" si="58"/>
        <v>0</v>
      </c>
      <c r="AJ159" s="965">
        <f t="shared" si="58"/>
        <v>0</v>
      </c>
      <c r="AK159" s="965">
        <f t="shared" si="58"/>
        <v>0</v>
      </c>
      <c r="AL159" s="965">
        <f t="shared" si="58"/>
        <v>0</v>
      </c>
      <c r="AM159" s="965">
        <f t="shared" si="58"/>
        <v>0</v>
      </c>
      <c r="AN159" s="965">
        <f t="shared" si="58"/>
        <v>0</v>
      </c>
      <c r="AO159" s="965">
        <f t="shared" si="58"/>
        <v>0</v>
      </c>
      <c r="AP159" s="965">
        <f t="shared" si="58"/>
        <v>0</v>
      </c>
      <c r="AQ159" s="965">
        <f t="shared" si="58"/>
        <v>0</v>
      </c>
      <c r="AR159" s="965">
        <f t="shared" si="58"/>
        <v>0</v>
      </c>
      <c r="AS159" s="965">
        <f t="shared" si="58"/>
        <v>0</v>
      </c>
      <c r="AT159" s="965">
        <f t="shared" si="58"/>
        <v>0</v>
      </c>
      <c r="AU159" s="166"/>
      <c r="AV159" s="166"/>
      <c r="AW159" s="166"/>
      <c r="AX159" s="166"/>
      <c r="AY159" s="166"/>
      <c r="AZ159" s="166"/>
      <c r="BA159" s="166"/>
      <c r="BB159" s="166"/>
      <c r="BC159" s="166"/>
      <c r="BD159" s="166"/>
      <c r="BE159" s="166"/>
      <c r="BF159" s="166"/>
      <c r="BG159" s="166"/>
      <c r="BH159" s="166"/>
      <c r="BI159" s="166"/>
      <c r="BJ159" s="166"/>
      <c r="BK159" s="166"/>
      <c r="BL159" s="166"/>
      <c r="BM159" s="166"/>
      <c r="BN159" s="166"/>
    </row>
    <row r="160" spans="2:66" x14ac:dyDescent="0.25">
      <c r="B160" s="831" t="str">
        <f t="shared" si="57"/>
        <v>Activos nuevos 1 - Valor residual</v>
      </c>
      <c r="C160" s="965">
        <f t="shared" si="58"/>
        <v>0</v>
      </c>
      <c r="D160" s="965">
        <f t="shared" si="58"/>
        <v>0</v>
      </c>
      <c r="E160" s="965">
        <f t="shared" si="58"/>
        <v>0</v>
      </c>
      <c r="F160" s="965">
        <f t="shared" si="58"/>
        <v>0</v>
      </c>
      <c r="G160" s="965">
        <f t="shared" si="58"/>
        <v>0</v>
      </c>
      <c r="H160" s="965">
        <f t="shared" si="58"/>
        <v>0</v>
      </c>
      <c r="I160" s="965">
        <f t="shared" si="58"/>
        <v>0</v>
      </c>
      <c r="J160" s="965">
        <f t="shared" si="58"/>
        <v>0</v>
      </c>
      <c r="K160" s="965">
        <f t="shared" si="58"/>
        <v>0</v>
      </c>
      <c r="L160" s="965">
        <f t="shared" si="58"/>
        <v>0</v>
      </c>
      <c r="M160" s="965">
        <f t="shared" si="58"/>
        <v>0</v>
      </c>
      <c r="N160" s="965">
        <f t="shared" si="58"/>
        <v>0</v>
      </c>
      <c r="O160" s="965">
        <f t="shared" si="58"/>
        <v>0</v>
      </c>
      <c r="P160" s="965">
        <f t="shared" si="58"/>
        <v>0</v>
      </c>
      <c r="Q160" s="965">
        <f t="shared" si="58"/>
        <v>0</v>
      </c>
      <c r="R160" s="965">
        <f t="shared" si="58"/>
        <v>3589726.4507720722</v>
      </c>
      <c r="S160" s="965">
        <f t="shared" si="58"/>
        <v>3230753.8056948651</v>
      </c>
      <c r="T160" s="965">
        <f t="shared" si="58"/>
        <v>2871781.1606176579</v>
      </c>
      <c r="U160" s="965">
        <f t="shared" si="58"/>
        <v>2512808.5155404508</v>
      </c>
      <c r="V160" s="965">
        <f t="shared" si="58"/>
        <v>2153835.8704632437</v>
      </c>
      <c r="W160" s="965">
        <f t="shared" si="58"/>
        <v>1794863.2253860366</v>
      </c>
      <c r="X160" s="965">
        <f t="shared" si="58"/>
        <v>1435890.5803088294</v>
      </c>
      <c r="Y160" s="965">
        <f t="shared" si="58"/>
        <v>1076917.9352316223</v>
      </c>
      <c r="Z160" s="965">
        <f t="shared" si="58"/>
        <v>717945.29015441507</v>
      </c>
      <c r="AA160" s="965">
        <f t="shared" si="58"/>
        <v>358972.64507720782</v>
      </c>
      <c r="AB160" s="965">
        <f t="shared" si="58"/>
        <v>5.8207660913467407E-10</v>
      </c>
      <c r="AC160" s="965">
        <f t="shared" si="58"/>
        <v>0</v>
      </c>
      <c r="AD160" s="965">
        <f t="shared" si="58"/>
        <v>0</v>
      </c>
      <c r="AE160" s="965">
        <f t="shared" si="58"/>
        <v>0</v>
      </c>
      <c r="AF160" s="965">
        <f t="shared" si="58"/>
        <v>0</v>
      </c>
      <c r="AG160" s="965">
        <f t="shared" si="58"/>
        <v>0</v>
      </c>
      <c r="AH160" s="965">
        <f t="shared" si="58"/>
        <v>0</v>
      </c>
      <c r="AI160" s="965">
        <f t="shared" si="58"/>
        <v>0</v>
      </c>
      <c r="AJ160" s="965">
        <f t="shared" si="58"/>
        <v>0</v>
      </c>
      <c r="AK160" s="965">
        <f t="shared" si="58"/>
        <v>0</v>
      </c>
      <c r="AL160" s="965">
        <f t="shared" si="58"/>
        <v>0</v>
      </c>
      <c r="AM160" s="965">
        <f t="shared" si="58"/>
        <v>0</v>
      </c>
      <c r="AN160" s="965">
        <f t="shared" si="58"/>
        <v>0</v>
      </c>
      <c r="AO160" s="965">
        <f t="shared" si="58"/>
        <v>0</v>
      </c>
      <c r="AP160" s="965">
        <f t="shared" si="58"/>
        <v>0</v>
      </c>
      <c r="AQ160" s="965">
        <f t="shared" si="58"/>
        <v>0</v>
      </c>
      <c r="AR160" s="965">
        <f t="shared" si="58"/>
        <v>0</v>
      </c>
      <c r="AS160" s="965">
        <f t="shared" si="58"/>
        <v>0</v>
      </c>
      <c r="AT160" s="965">
        <f t="shared" si="58"/>
        <v>0</v>
      </c>
      <c r="AU160" s="166"/>
      <c r="AV160" s="166"/>
      <c r="AW160" s="166"/>
      <c r="AX160" s="166"/>
      <c r="AY160" s="166"/>
      <c r="AZ160" s="166"/>
      <c r="BA160" s="166"/>
      <c r="BB160" s="166"/>
      <c r="BC160" s="166"/>
      <c r="BD160" s="166"/>
      <c r="BE160" s="166"/>
      <c r="BF160" s="166"/>
      <c r="BG160" s="166"/>
      <c r="BH160" s="166"/>
      <c r="BI160" s="166"/>
      <c r="BJ160" s="166"/>
      <c r="BK160" s="166"/>
      <c r="BL160" s="166"/>
      <c r="BM160" s="166"/>
      <c r="BN160" s="166"/>
    </row>
    <row r="161" spans="2:66" x14ac:dyDescent="0.25">
      <c r="B161" s="831" t="str">
        <f t="shared" si="57"/>
        <v>Activos nuevos 2 - Depreciacion 15 años</v>
      </c>
      <c r="C161" s="965">
        <f t="shared" si="58"/>
        <v>0</v>
      </c>
      <c r="D161" s="965">
        <f t="shared" si="58"/>
        <v>0</v>
      </c>
      <c r="E161" s="965">
        <f t="shared" si="58"/>
        <v>0</v>
      </c>
      <c r="F161" s="965">
        <f t="shared" si="58"/>
        <v>0</v>
      </c>
      <c r="G161" s="965">
        <f t="shared" si="58"/>
        <v>0</v>
      </c>
      <c r="H161" s="965">
        <f t="shared" si="58"/>
        <v>0</v>
      </c>
      <c r="I161" s="965">
        <f t="shared" si="58"/>
        <v>0</v>
      </c>
      <c r="J161" s="965">
        <f t="shared" si="58"/>
        <v>0</v>
      </c>
      <c r="K161" s="965">
        <f t="shared" si="58"/>
        <v>0</v>
      </c>
      <c r="L161" s="965">
        <f t="shared" si="58"/>
        <v>0</v>
      </c>
      <c r="M161" s="965">
        <f t="shared" si="58"/>
        <v>0</v>
      </c>
      <c r="N161" s="965">
        <f t="shared" si="58"/>
        <v>0</v>
      </c>
      <c r="O161" s="965">
        <f t="shared" si="58"/>
        <v>0</v>
      </c>
      <c r="P161" s="965">
        <f t="shared" si="58"/>
        <v>0</v>
      </c>
      <c r="Q161" s="965">
        <f t="shared" si="58"/>
        <v>0</v>
      </c>
      <c r="R161" s="965">
        <f t="shared" si="58"/>
        <v>0</v>
      </c>
      <c r="S161" s="965">
        <f t="shared" si="58"/>
        <v>0</v>
      </c>
      <c r="T161" s="965">
        <f t="shared" si="58"/>
        <v>0</v>
      </c>
      <c r="U161" s="965">
        <f t="shared" si="58"/>
        <v>0</v>
      </c>
      <c r="V161" s="965">
        <f t="shared" si="58"/>
        <v>0</v>
      </c>
      <c r="W161" s="965">
        <f t="shared" si="58"/>
        <v>0</v>
      </c>
      <c r="X161" s="965">
        <f t="shared" si="58"/>
        <v>-1079197.8260851221</v>
      </c>
      <c r="Y161" s="965">
        <f t="shared" si="58"/>
        <v>-1079197.8260851221</v>
      </c>
      <c r="Z161" s="965">
        <f t="shared" si="58"/>
        <v>-1079197.8260851221</v>
      </c>
      <c r="AA161" s="965">
        <f t="shared" si="58"/>
        <v>-1079197.8260851221</v>
      </c>
      <c r="AB161" s="965">
        <f t="shared" si="58"/>
        <v>-1079197.8260851221</v>
      </c>
      <c r="AC161" s="965">
        <f t="shared" si="58"/>
        <v>-1079197.8260851221</v>
      </c>
      <c r="AD161" s="965">
        <f t="shared" si="58"/>
        <v>-1079197.8260851221</v>
      </c>
      <c r="AE161" s="965">
        <f t="shared" si="58"/>
        <v>-1079197.8260851221</v>
      </c>
      <c r="AF161" s="965">
        <f t="shared" si="58"/>
        <v>-1079197.8260851221</v>
      </c>
      <c r="AG161" s="965">
        <f t="shared" si="58"/>
        <v>-1079197.8260851221</v>
      </c>
      <c r="AH161" s="965">
        <f t="shared" si="58"/>
        <v>-1079197.8260851221</v>
      </c>
      <c r="AI161" s="965">
        <f t="shared" si="58"/>
        <v>-1079197.8260851221</v>
      </c>
      <c r="AJ161" s="965">
        <f t="shared" si="58"/>
        <v>-1079197.8260851221</v>
      </c>
      <c r="AK161" s="965">
        <f t="shared" si="58"/>
        <v>-1079197.8260851221</v>
      </c>
      <c r="AL161" s="965">
        <f t="shared" si="58"/>
        <v>-1079197.8260851221</v>
      </c>
      <c r="AM161" s="965">
        <f t="shared" si="58"/>
        <v>0</v>
      </c>
      <c r="AN161" s="965">
        <f t="shared" si="58"/>
        <v>0</v>
      </c>
      <c r="AO161" s="965">
        <f t="shared" si="58"/>
        <v>0</v>
      </c>
      <c r="AP161" s="965">
        <f t="shared" si="58"/>
        <v>0</v>
      </c>
      <c r="AQ161" s="965">
        <f t="shared" si="58"/>
        <v>0</v>
      </c>
      <c r="AR161" s="965">
        <f t="shared" si="58"/>
        <v>0</v>
      </c>
      <c r="AS161" s="965">
        <f t="shared" si="58"/>
        <v>0</v>
      </c>
      <c r="AT161" s="965">
        <f t="shared" si="58"/>
        <v>0</v>
      </c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/>
      <c r="BK161" s="166"/>
      <c r="BL161" s="166"/>
      <c r="BM161" s="166"/>
      <c r="BN161" s="166"/>
    </row>
    <row r="162" spans="2:66" x14ac:dyDescent="0.25">
      <c r="B162" s="831" t="str">
        <f t="shared" si="57"/>
        <v>Activos nuevos 2 - Valor residual</v>
      </c>
      <c r="C162" s="965">
        <f t="shared" si="58"/>
        <v>0</v>
      </c>
      <c r="D162" s="965">
        <f t="shared" si="58"/>
        <v>0</v>
      </c>
      <c r="E162" s="965">
        <f t="shared" si="58"/>
        <v>0</v>
      </c>
      <c r="F162" s="965">
        <f t="shared" si="58"/>
        <v>0</v>
      </c>
      <c r="G162" s="965">
        <f t="shared" si="58"/>
        <v>0</v>
      </c>
      <c r="H162" s="965">
        <f t="shared" si="58"/>
        <v>0</v>
      </c>
      <c r="I162" s="965">
        <f t="shared" si="58"/>
        <v>0</v>
      </c>
      <c r="J162" s="965">
        <f t="shared" si="58"/>
        <v>0</v>
      </c>
      <c r="K162" s="965">
        <f t="shared" si="58"/>
        <v>0</v>
      </c>
      <c r="L162" s="965">
        <f t="shared" si="58"/>
        <v>0</v>
      </c>
      <c r="M162" s="965">
        <f t="shared" si="58"/>
        <v>0</v>
      </c>
      <c r="N162" s="965">
        <f t="shared" si="58"/>
        <v>0</v>
      </c>
      <c r="O162" s="965">
        <f t="shared" si="58"/>
        <v>0</v>
      </c>
      <c r="P162" s="965">
        <f t="shared" si="58"/>
        <v>0</v>
      </c>
      <c r="Q162" s="965">
        <f t="shared" si="58"/>
        <v>0</v>
      </c>
      <c r="R162" s="965">
        <f t="shared" si="58"/>
        <v>0</v>
      </c>
      <c r="S162" s="965">
        <f t="shared" si="58"/>
        <v>0</v>
      </c>
      <c r="T162" s="965">
        <f t="shared" si="58"/>
        <v>0</v>
      </c>
      <c r="U162" s="965">
        <f t="shared" si="58"/>
        <v>0</v>
      </c>
      <c r="V162" s="965">
        <f t="shared" si="58"/>
        <v>0</v>
      </c>
      <c r="W162" s="965">
        <f t="shared" si="58"/>
        <v>0</v>
      </c>
      <c r="X162" s="965">
        <f t="shared" si="58"/>
        <v>15108769.56519171</v>
      </c>
      <c r="Y162" s="965">
        <f t="shared" si="58"/>
        <v>14029571.739106588</v>
      </c>
      <c r="Z162" s="965">
        <f t="shared" si="58"/>
        <v>12950373.913021466</v>
      </c>
      <c r="AA162" s="965">
        <f t="shared" si="58"/>
        <v>11871176.086936343</v>
      </c>
      <c r="AB162" s="965">
        <f t="shared" si="58"/>
        <v>10791978.260851221</v>
      </c>
      <c r="AC162" s="965">
        <f t="shared" si="58"/>
        <v>9712780.4347660989</v>
      </c>
      <c r="AD162" s="965">
        <f t="shared" si="58"/>
        <v>8633582.6086809766</v>
      </c>
      <c r="AE162" s="965">
        <f t="shared" si="58"/>
        <v>7554384.7825958543</v>
      </c>
      <c r="AF162" s="965">
        <f t="shared" si="58"/>
        <v>6475186.956510732</v>
      </c>
      <c r="AG162" s="965">
        <f t="shared" si="58"/>
        <v>5395989.1304256096</v>
      </c>
      <c r="AH162" s="965">
        <f t="shared" si="58"/>
        <v>4316791.3043404873</v>
      </c>
      <c r="AI162" s="965">
        <f t="shared" si="58"/>
        <v>3237593.478255365</v>
      </c>
      <c r="AJ162" s="965">
        <f t="shared" si="58"/>
        <v>2158395.6521702427</v>
      </c>
      <c r="AK162" s="965">
        <f t="shared" si="58"/>
        <v>1079197.8260851207</v>
      </c>
      <c r="AL162" s="965">
        <f t="shared" si="58"/>
        <v>0</v>
      </c>
      <c r="AM162" s="965">
        <f t="shared" si="58"/>
        <v>0</v>
      </c>
      <c r="AN162" s="965">
        <f t="shared" si="58"/>
        <v>0</v>
      </c>
      <c r="AO162" s="965">
        <f t="shared" si="58"/>
        <v>0</v>
      </c>
      <c r="AP162" s="965">
        <f t="shared" si="58"/>
        <v>0</v>
      </c>
      <c r="AQ162" s="965">
        <f t="shared" si="58"/>
        <v>0</v>
      </c>
      <c r="AR162" s="965">
        <f t="shared" si="58"/>
        <v>0</v>
      </c>
      <c r="AS162" s="965">
        <f t="shared" si="58"/>
        <v>0</v>
      </c>
      <c r="AT162" s="965">
        <f t="shared" si="58"/>
        <v>0</v>
      </c>
      <c r="AU162" s="166"/>
      <c r="AV162" s="166"/>
      <c r="AW162" s="166"/>
      <c r="AX162" s="166"/>
      <c r="AY162" s="166"/>
      <c r="AZ162" s="166"/>
      <c r="BA162" s="166"/>
      <c r="BB162" s="166"/>
      <c r="BC162" s="166"/>
      <c r="BD162" s="166"/>
      <c r="BE162" s="166"/>
      <c r="BF162" s="166"/>
      <c r="BG162" s="166"/>
      <c r="BH162" s="166"/>
      <c r="BI162" s="166"/>
      <c r="BJ162" s="166"/>
      <c r="BK162" s="166"/>
      <c r="BL162" s="166"/>
      <c r="BM162" s="166"/>
      <c r="BN162" s="166"/>
    </row>
    <row r="163" spans="2:66" x14ac:dyDescent="0.25">
      <c r="B163" s="831" t="str">
        <f t="shared" si="57"/>
        <v>Activos nuevos 3 - Depreciacion 10 años</v>
      </c>
      <c r="C163" s="965">
        <f t="shared" si="58"/>
        <v>0</v>
      </c>
      <c r="D163" s="965">
        <f t="shared" si="58"/>
        <v>0</v>
      </c>
      <c r="E163" s="965">
        <f t="shared" si="58"/>
        <v>0</v>
      </c>
      <c r="F163" s="965">
        <f t="shared" si="58"/>
        <v>0</v>
      </c>
      <c r="G163" s="965">
        <f t="shared" si="58"/>
        <v>0</v>
      </c>
      <c r="H163" s="965">
        <f t="shared" si="58"/>
        <v>0</v>
      </c>
      <c r="I163" s="965">
        <f t="shared" si="58"/>
        <v>0</v>
      </c>
      <c r="J163" s="965">
        <f t="shared" si="58"/>
        <v>0</v>
      </c>
      <c r="K163" s="965">
        <f t="shared" si="58"/>
        <v>0</v>
      </c>
      <c r="L163" s="965">
        <f t="shared" si="58"/>
        <v>0</v>
      </c>
      <c r="M163" s="965">
        <f t="shared" si="58"/>
        <v>0</v>
      </c>
      <c r="N163" s="965">
        <f t="shared" si="58"/>
        <v>0</v>
      </c>
      <c r="O163" s="965">
        <f t="shared" si="58"/>
        <v>0</v>
      </c>
      <c r="P163" s="965">
        <f t="shared" si="58"/>
        <v>0</v>
      </c>
      <c r="Q163" s="965">
        <f t="shared" si="58"/>
        <v>0</v>
      </c>
      <c r="R163" s="965">
        <f t="shared" si="58"/>
        <v>0</v>
      </c>
      <c r="S163" s="965">
        <f t="shared" si="58"/>
        <v>0</v>
      </c>
      <c r="T163" s="965">
        <f t="shared" si="58"/>
        <v>0</v>
      </c>
      <c r="U163" s="965">
        <f t="shared" si="58"/>
        <v>0</v>
      </c>
      <c r="V163" s="965">
        <f t="shared" si="58"/>
        <v>0</v>
      </c>
      <c r="W163" s="965">
        <f t="shared" si="58"/>
        <v>0</v>
      </c>
      <c r="X163" s="965">
        <f t="shared" si="58"/>
        <v>0</v>
      </c>
      <c r="Y163" s="965">
        <f t="shared" si="58"/>
        <v>0</v>
      </c>
      <c r="Z163" s="965">
        <f t="shared" si="58"/>
        <v>0</v>
      </c>
      <c r="AA163" s="965">
        <f t="shared" si="58"/>
        <v>0</v>
      </c>
      <c r="AB163" s="965">
        <f t="shared" si="58"/>
        <v>0</v>
      </c>
      <c r="AC163" s="965">
        <f t="shared" si="58"/>
        <v>-445437.27272720181</v>
      </c>
      <c r="AD163" s="965">
        <f t="shared" si="58"/>
        <v>-445437.27272720181</v>
      </c>
      <c r="AE163" s="965">
        <f t="shared" si="58"/>
        <v>-445437.27272720181</v>
      </c>
      <c r="AF163" s="965">
        <f t="shared" si="58"/>
        <v>-445437.27272720181</v>
      </c>
      <c r="AG163" s="965">
        <f t="shared" si="58"/>
        <v>-445437.27272720181</v>
      </c>
      <c r="AH163" s="965">
        <f t="shared" si="58"/>
        <v>-445437.27272720181</v>
      </c>
      <c r="AI163" s="965">
        <f t="shared" si="58"/>
        <v>-445437.27272720181</v>
      </c>
      <c r="AJ163" s="965">
        <f t="shared" si="58"/>
        <v>-445437.27272720181</v>
      </c>
      <c r="AK163" s="965">
        <f t="shared" si="58"/>
        <v>-445437.27272720181</v>
      </c>
      <c r="AL163" s="965">
        <f t="shared" si="58"/>
        <v>-445437.27272720181</v>
      </c>
      <c r="AM163" s="965">
        <f t="shared" si="58"/>
        <v>-445437.27272720181</v>
      </c>
      <c r="AN163" s="965">
        <f t="shared" si="58"/>
        <v>0</v>
      </c>
      <c r="AO163" s="965">
        <f t="shared" si="58"/>
        <v>0</v>
      </c>
      <c r="AP163" s="965">
        <f t="shared" si="58"/>
        <v>0</v>
      </c>
      <c r="AQ163" s="965">
        <f t="shared" si="58"/>
        <v>0</v>
      </c>
      <c r="AR163" s="965">
        <f t="shared" si="58"/>
        <v>0</v>
      </c>
      <c r="AS163" s="965">
        <f t="shared" si="58"/>
        <v>0</v>
      </c>
      <c r="AT163" s="965">
        <f t="shared" si="58"/>
        <v>0</v>
      </c>
      <c r="AU163" s="166"/>
      <c r="AV163" s="166"/>
      <c r="AW163" s="166"/>
      <c r="AX163" s="166"/>
      <c r="AY163" s="166"/>
      <c r="AZ163" s="166"/>
      <c r="BA163" s="166"/>
      <c r="BB163" s="166"/>
      <c r="BC163" s="166"/>
      <c r="BD163" s="166"/>
      <c r="BE163" s="166"/>
      <c r="BF163" s="166"/>
      <c r="BG163" s="166"/>
      <c r="BH163" s="166"/>
      <c r="BI163" s="166"/>
      <c r="BJ163" s="166"/>
      <c r="BK163" s="166"/>
      <c r="BL163" s="166"/>
      <c r="BM163" s="166"/>
      <c r="BN163" s="166"/>
    </row>
    <row r="164" spans="2:66" x14ac:dyDescent="0.25">
      <c r="B164" s="831" t="str">
        <f t="shared" si="57"/>
        <v>Activos nuevos 3 - Valor residual</v>
      </c>
      <c r="C164" s="965">
        <f t="shared" si="58"/>
        <v>0</v>
      </c>
      <c r="D164" s="965">
        <f t="shared" si="58"/>
        <v>0</v>
      </c>
      <c r="E164" s="965">
        <f t="shared" si="58"/>
        <v>0</v>
      </c>
      <c r="F164" s="965">
        <f t="shared" si="58"/>
        <v>0</v>
      </c>
      <c r="G164" s="965">
        <f t="shared" si="58"/>
        <v>0</v>
      </c>
      <c r="H164" s="965">
        <f t="shared" si="58"/>
        <v>0</v>
      </c>
      <c r="I164" s="965">
        <f t="shared" si="58"/>
        <v>0</v>
      </c>
      <c r="J164" s="965">
        <f t="shared" si="58"/>
        <v>0</v>
      </c>
      <c r="K164" s="965">
        <f t="shared" si="58"/>
        <v>0</v>
      </c>
      <c r="L164" s="965">
        <f t="shared" si="58"/>
        <v>0</v>
      </c>
      <c r="M164" s="965">
        <f t="shared" si="58"/>
        <v>0</v>
      </c>
      <c r="N164" s="965">
        <f t="shared" si="58"/>
        <v>0</v>
      </c>
      <c r="O164" s="965">
        <f t="shared" si="58"/>
        <v>0</v>
      </c>
      <c r="P164" s="965">
        <f t="shared" si="58"/>
        <v>0</v>
      </c>
      <c r="Q164" s="965">
        <f t="shared" si="58"/>
        <v>0</v>
      </c>
      <c r="R164" s="965">
        <f t="shared" si="58"/>
        <v>0</v>
      </c>
      <c r="S164" s="965">
        <f t="shared" si="58"/>
        <v>0</v>
      </c>
      <c r="T164" s="965">
        <f t="shared" si="58"/>
        <v>0</v>
      </c>
      <c r="U164" s="965">
        <f t="shared" si="58"/>
        <v>0</v>
      </c>
      <c r="V164" s="965">
        <f t="shared" si="58"/>
        <v>0</v>
      </c>
      <c r="W164" s="965">
        <f t="shared" si="58"/>
        <v>0</v>
      </c>
      <c r="X164" s="965">
        <f t="shared" si="58"/>
        <v>0</v>
      </c>
      <c r="Y164" s="965">
        <f t="shared" si="58"/>
        <v>0</v>
      </c>
      <c r="Z164" s="965">
        <f t="shared" si="58"/>
        <v>0</v>
      </c>
      <c r="AA164" s="965">
        <f t="shared" si="58"/>
        <v>0</v>
      </c>
      <c r="AB164" s="965">
        <f t="shared" si="58"/>
        <v>0</v>
      </c>
      <c r="AC164" s="965">
        <f t="shared" si="58"/>
        <v>4454372.7272720179</v>
      </c>
      <c r="AD164" s="965">
        <f t="shared" si="58"/>
        <v>4008935.4545448162</v>
      </c>
      <c r="AE164" s="965">
        <f t="shared" si="58"/>
        <v>3563498.1818176145</v>
      </c>
      <c r="AF164" s="965">
        <f t="shared" si="58"/>
        <v>3118060.9090904128</v>
      </c>
      <c r="AG164" s="965">
        <f t="shared" si="58"/>
        <v>2672623.6363632111</v>
      </c>
      <c r="AH164" s="965">
        <f t="shared" si="58"/>
        <v>2227186.3636360094</v>
      </c>
      <c r="AI164" s="965">
        <f t="shared" si="58"/>
        <v>1781749.0909088077</v>
      </c>
      <c r="AJ164" s="965">
        <f t="shared" si="58"/>
        <v>1336311.818181606</v>
      </c>
      <c r="AK164" s="965">
        <f t="shared" si="58"/>
        <v>890874.5454544042</v>
      </c>
      <c r="AL164" s="965">
        <f t="shared" si="58"/>
        <v>445437.27272720239</v>
      </c>
      <c r="AM164" s="965">
        <f t="shared" si="58"/>
        <v>5.8207660913467407E-10</v>
      </c>
      <c r="AN164" s="965">
        <f t="shared" si="58"/>
        <v>0</v>
      </c>
      <c r="AO164" s="965">
        <f t="shared" si="58"/>
        <v>0</v>
      </c>
      <c r="AP164" s="965">
        <f t="shared" si="58"/>
        <v>0</v>
      </c>
      <c r="AQ164" s="965">
        <f t="shared" si="58"/>
        <v>0</v>
      </c>
      <c r="AR164" s="965">
        <f t="shared" ref="C164:AT166" si="59">AR88</f>
        <v>0</v>
      </c>
      <c r="AS164" s="965">
        <f t="shared" si="59"/>
        <v>0</v>
      </c>
      <c r="AT164" s="965">
        <f t="shared" si="59"/>
        <v>0</v>
      </c>
      <c r="AU164" s="166"/>
      <c r="AV164" s="166"/>
      <c r="AW164" s="166"/>
      <c r="AX164" s="166"/>
      <c r="AY164" s="166"/>
      <c r="AZ164" s="166"/>
      <c r="BA164" s="166"/>
      <c r="BB164" s="166"/>
      <c r="BC164" s="166"/>
      <c r="BD164" s="166"/>
      <c r="BE164" s="166"/>
      <c r="BF164" s="166"/>
      <c r="BG164" s="166"/>
      <c r="BH164" s="166"/>
      <c r="BI164" s="166"/>
      <c r="BJ164" s="166"/>
      <c r="BK164" s="166"/>
      <c r="BL164" s="166"/>
      <c r="BM164" s="166"/>
      <c r="BN164" s="166"/>
    </row>
    <row r="165" spans="2:66" x14ac:dyDescent="0.25">
      <c r="B165" s="831" t="str">
        <f t="shared" si="57"/>
        <v>Activos nuevos 4 - Depreciacion 15 años</v>
      </c>
      <c r="C165" s="965">
        <f t="shared" si="59"/>
        <v>0</v>
      </c>
      <c r="D165" s="965">
        <f t="shared" si="59"/>
        <v>0</v>
      </c>
      <c r="E165" s="965">
        <f t="shared" si="59"/>
        <v>0</v>
      </c>
      <c r="F165" s="965">
        <f t="shared" si="59"/>
        <v>0</v>
      </c>
      <c r="G165" s="965">
        <f t="shared" si="59"/>
        <v>0</v>
      </c>
      <c r="H165" s="965">
        <f t="shared" si="59"/>
        <v>0</v>
      </c>
      <c r="I165" s="965">
        <f t="shared" si="59"/>
        <v>0</v>
      </c>
      <c r="J165" s="965">
        <f t="shared" si="59"/>
        <v>0</v>
      </c>
      <c r="K165" s="965">
        <f t="shared" si="59"/>
        <v>0</v>
      </c>
      <c r="L165" s="965">
        <f t="shared" si="59"/>
        <v>0</v>
      </c>
      <c r="M165" s="965">
        <f t="shared" si="59"/>
        <v>0</v>
      </c>
      <c r="N165" s="965">
        <f t="shared" si="59"/>
        <v>0</v>
      </c>
      <c r="O165" s="965">
        <f t="shared" si="59"/>
        <v>0</v>
      </c>
      <c r="P165" s="965">
        <f t="shared" si="59"/>
        <v>0</v>
      </c>
      <c r="Q165" s="965">
        <f t="shared" si="59"/>
        <v>0</v>
      </c>
      <c r="R165" s="965">
        <f t="shared" si="59"/>
        <v>0</v>
      </c>
      <c r="S165" s="965">
        <f t="shared" si="59"/>
        <v>0</v>
      </c>
      <c r="T165" s="965">
        <f t="shared" si="59"/>
        <v>0</v>
      </c>
      <c r="U165" s="965">
        <f t="shared" si="59"/>
        <v>0</v>
      </c>
      <c r="V165" s="965">
        <f t="shared" si="59"/>
        <v>0</v>
      </c>
      <c r="W165" s="965">
        <f t="shared" si="59"/>
        <v>0</v>
      </c>
      <c r="X165" s="965">
        <f t="shared" si="59"/>
        <v>0</v>
      </c>
      <c r="Y165" s="965">
        <f t="shared" si="59"/>
        <v>0</v>
      </c>
      <c r="Z165" s="965">
        <f t="shared" si="59"/>
        <v>0</v>
      </c>
      <c r="AA165" s="965">
        <f t="shared" si="59"/>
        <v>0</v>
      </c>
      <c r="AB165" s="965">
        <f t="shared" si="59"/>
        <v>0</v>
      </c>
      <c r="AC165" s="965">
        <f t="shared" si="59"/>
        <v>0</v>
      </c>
      <c r="AD165" s="965">
        <f t="shared" si="59"/>
        <v>0</v>
      </c>
      <c r="AE165" s="965">
        <f t="shared" si="59"/>
        <v>0</v>
      </c>
      <c r="AF165" s="965">
        <f t="shared" si="59"/>
        <v>0</v>
      </c>
      <c r="AG165" s="965">
        <f t="shared" si="59"/>
        <v>0</v>
      </c>
      <c r="AH165" s="965">
        <f t="shared" si="59"/>
        <v>0</v>
      </c>
      <c r="AI165" s="965">
        <f t="shared" si="59"/>
        <v>0</v>
      </c>
      <c r="AJ165" s="965">
        <f t="shared" si="59"/>
        <v>0</v>
      </c>
      <c r="AK165" s="965">
        <f t="shared" si="59"/>
        <v>0</v>
      </c>
      <c r="AL165" s="965">
        <f t="shared" si="59"/>
        <v>0</v>
      </c>
      <c r="AM165" s="965">
        <f t="shared" si="59"/>
        <v>0</v>
      </c>
      <c r="AN165" s="965">
        <f t="shared" si="59"/>
        <v>0</v>
      </c>
      <c r="AO165" s="965">
        <f t="shared" si="59"/>
        <v>-1972868.1729611468</v>
      </c>
      <c r="AP165" s="965">
        <f t="shared" si="59"/>
        <v>-1972868.1729611468</v>
      </c>
      <c r="AQ165" s="965">
        <f t="shared" si="59"/>
        <v>-1972868.1729611468</v>
      </c>
      <c r="AR165" s="965">
        <f t="shared" si="59"/>
        <v>-1972868.1729611468</v>
      </c>
      <c r="AS165" s="965">
        <f t="shared" si="59"/>
        <v>-1972868.1729611468</v>
      </c>
      <c r="AT165" s="965">
        <f t="shared" si="59"/>
        <v>-1972868.1729611468</v>
      </c>
      <c r="AU165" s="166"/>
      <c r="AV165" s="166"/>
      <c r="AW165" s="166"/>
      <c r="AX165" s="166"/>
      <c r="AY165" s="166"/>
      <c r="AZ165" s="166"/>
      <c r="BA165" s="166"/>
      <c r="BB165" s="166"/>
      <c r="BC165" s="166"/>
      <c r="BD165" s="166"/>
      <c r="BE165" s="166"/>
      <c r="BF165" s="166"/>
      <c r="BG165" s="166"/>
      <c r="BH165" s="166"/>
      <c r="BI165" s="166"/>
      <c r="BJ165" s="166"/>
      <c r="BK165" s="166"/>
      <c r="BL165" s="166"/>
      <c r="BM165" s="166"/>
      <c r="BN165" s="166"/>
    </row>
    <row r="166" spans="2:66" x14ac:dyDescent="0.25">
      <c r="B166" s="846" t="str">
        <f t="shared" si="57"/>
        <v>Activos nuevos 4 - Valor residual</v>
      </c>
      <c r="C166" s="968">
        <f t="shared" si="59"/>
        <v>0</v>
      </c>
      <c r="D166" s="968">
        <f t="shared" si="59"/>
        <v>0</v>
      </c>
      <c r="E166" s="968">
        <f t="shared" si="59"/>
        <v>0</v>
      </c>
      <c r="F166" s="968">
        <f t="shared" si="59"/>
        <v>0</v>
      </c>
      <c r="G166" s="968">
        <f t="shared" si="59"/>
        <v>0</v>
      </c>
      <c r="H166" s="968">
        <f t="shared" si="59"/>
        <v>0</v>
      </c>
      <c r="I166" s="968">
        <f t="shared" si="59"/>
        <v>0</v>
      </c>
      <c r="J166" s="968">
        <f t="shared" si="59"/>
        <v>0</v>
      </c>
      <c r="K166" s="968">
        <f t="shared" si="59"/>
        <v>0</v>
      </c>
      <c r="L166" s="968">
        <f t="shared" si="59"/>
        <v>0</v>
      </c>
      <c r="M166" s="968">
        <f t="shared" si="59"/>
        <v>0</v>
      </c>
      <c r="N166" s="968">
        <f t="shared" si="59"/>
        <v>0</v>
      </c>
      <c r="O166" s="968">
        <f t="shared" si="59"/>
        <v>0</v>
      </c>
      <c r="P166" s="968">
        <f t="shared" si="59"/>
        <v>0</v>
      </c>
      <c r="Q166" s="968">
        <f t="shared" si="59"/>
        <v>0</v>
      </c>
      <c r="R166" s="968">
        <f t="shared" si="59"/>
        <v>0</v>
      </c>
      <c r="S166" s="968">
        <f t="shared" si="59"/>
        <v>0</v>
      </c>
      <c r="T166" s="968">
        <f t="shared" si="59"/>
        <v>0</v>
      </c>
      <c r="U166" s="968">
        <f t="shared" si="59"/>
        <v>0</v>
      </c>
      <c r="V166" s="968">
        <f t="shared" si="59"/>
        <v>0</v>
      </c>
      <c r="W166" s="968">
        <f t="shared" si="59"/>
        <v>0</v>
      </c>
      <c r="X166" s="968">
        <f t="shared" si="59"/>
        <v>0</v>
      </c>
      <c r="Y166" s="968">
        <f t="shared" si="59"/>
        <v>0</v>
      </c>
      <c r="Z166" s="968">
        <f t="shared" si="59"/>
        <v>0</v>
      </c>
      <c r="AA166" s="968">
        <f t="shared" si="59"/>
        <v>0</v>
      </c>
      <c r="AB166" s="968">
        <f t="shared" si="59"/>
        <v>0</v>
      </c>
      <c r="AC166" s="968">
        <f t="shared" si="59"/>
        <v>0</v>
      </c>
      <c r="AD166" s="968">
        <f t="shared" si="59"/>
        <v>0</v>
      </c>
      <c r="AE166" s="968">
        <f t="shared" si="59"/>
        <v>0</v>
      </c>
      <c r="AF166" s="968">
        <f t="shared" si="59"/>
        <v>0</v>
      </c>
      <c r="AG166" s="968">
        <f t="shared" si="59"/>
        <v>0</v>
      </c>
      <c r="AH166" s="968">
        <f t="shared" si="59"/>
        <v>0</v>
      </c>
      <c r="AI166" s="968">
        <f t="shared" si="59"/>
        <v>0</v>
      </c>
      <c r="AJ166" s="968">
        <f t="shared" si="59"/>
        <v>0</v>
      </c>
      <c r="AK166" s="968">
        <f t="shared" si="59"/>
        <v>0</v>
      </c>
      <c r="AL166" s="968">
        <f t="shared" si="59"/>
        <v>0</v>
      </c>
      <c r="AM166" s="968">
        <f t="shared" si="59"/>
        <v>0</v>
      </c>
      <c r="AN166" s="968">
        <f t="shared" si="59"/>
        <v>0</v>
      </c>
      <c r="AO166" s="968">
        <f t="shared" si="59"/>
        <v>29593022.594417199</v>
      </c>
      <c r="AP166" s="968">
        <f t="shared" si="59"/>
        <v>27620154.421456054</v>
      </c>
      <c r="AQ166" s="968">
        <f t="shared" si="59"/>
        <v>25647286.248494908</v>
      </c>
      <c r="AR166" s="968">
        <f t="shared" si="59"/>
        <v>23674418.075533763</v>
      </c>
      <c r="AS166" s="968">
        <f t="shared" si="59"/>
        <v>21701549.902572617</v>
      </c>
      <c r="AT166" s="968">
        <f t="shared" si="59"/>
        <v>19728681.729611471</v>
      </c>
      <c r="AU166" s="166"/>
      <c r="AV166" s="166"/>
      <c r="AW166" s="166"/>
      <c r="AX166" s="166"/>
      <c r="AY166" s="166"/>
      <c r="AZ166" s="166"/>
      <c r="BA166" s="166"/>
      <c r="BB166" s="166"/>
      <c r="BC166" s="166"/>
      <c r="BD166" s="166"/>
      <c r="BE166" s="166"/>
      <c r="BF166" s="166"/>
      <c r="BG166" s="166"/>
      <c r="BH166" s="166"/>
      <c r="BI166" s="166"/>
      <c r="BJ166" s="166"/>
      <c r="BK166" s="166"/>
      <c r="BL166" s="166"/>
      <c r="BM166" s="166"/>
      <c r="BN166" s="166"/>
    </row>
    <row r="167" spans="2:66" x14ac:dyDescent="0.25">
      <c r="B167" s="845" t="s">
        <v>441</v>
      </c>
      <c r="C167" s="824">
        <v>0</v>
      </c>
      <c r="D167" s="824">
        <v>0</v>
      </c>
      <c r="E167" s="824">
        <v>0</v>
      </c>
      <c r="F167" s="824">
        <v>0</v>
      </c>
      <c r="G167" s="824">
        <f>SUM(G153:G157)+G159+G161+G163+G165</f>
        <v>-3190596.5206691762</v>
      </c>
      <c r="H167" s="824">
        <f t="shared" ref="H167:AT167" si="60">SUM(H153:H157)+H159+H161+H163+H165</f>
        <v>-3190596.5206691762</v>
      </c>
      <c r="I167" s="824">
        <f t="shared" si="60"/>
        <v>-3190596.5206691762</v>
      </c>
      <c r="J167" s="824">
        <f t="shared" si="60"/>
        <v>-3190596.5206691762</v>
      </c>
      <c r="K167" s="824">
        <f t="shared" si="60"/>
        <v>-3190596.5206691762</v>
      </c>
      <c r="L167" s="824">
        <f t="shared" si="60"/>
        <v>-3018004.6382407546</v>
      </c>
      <c r="M167" s="824">
        <f t="shared" si="60"/>
        <v>-3018004.6382407546</v>
      </c>
      <c r="N167" s="824">
        <f t="shared" si="60"/>
        <v>-3018004.6382407546</v>
      </c>
      <c r="O167" s="824">
        <f t="shared" si="60"/>
        <v>-3018004.6382407546</v>
      </c>
      <c r="P167" s="824">
        <f t="shared" si="60"/>
        <v>-3018004.6382407546</v>
      </c>
      <c r="Q167" s="824">
        <f t="shared" si="60"/>
        <v>-2730297.5196809703</v>
      </c>
      <c r="R167" s="824">
        <f t="shared" si="60"/>
        <v>-3089270.1647581775</v>
      </c>
      <c r="S167" s="824">
        <f t="shared" si="60"/>
        <v>-3089270.1647581775</v>
      </c>
      <c r="T167" s="824">
        <f t="shared" si="60"/>
        <v>-3089270.1647581775</v>
      </c>
      <c r="U167" s="824">
        <f t="shared" si="60"/>
        <v>-3089270.1647581775</v>
      </c>
      <c r="V167" s="824">
        <f t="shared" si="60"/>
        <v>-2321770.1453197817</v>
      </c>
      <c r="W167" s="824">
        <f t="shared" si="60"/>
        <v>-2321770.1453197817</v>
      </c>
      <c r="X167" s="824">
        <f t="shared" si="60"/>
        <v>-3400967.9714049036</v>
      </c>
      <c r="Y167" s="824">
        <f t="shared" si="60"/>
        <v>-3400967.9714049036</v>
      </c>
      <c r="Z167" s="824">
        <f t="shared" si="60"/>
        <v>-3400967.9714049036</v>
      </c>
      <c r="AA167" s="824">
        <f t="shared" si="60"/>
        <v>-3400967.9714049036</v>
      </c>
      <c r="AB167" s="824">
        <f t="shared" si="60"/>
        <v>-3400967.9714049036</v>
      </c>
      <c r="AC167" s="824">
        <f t="shared" si="60"/>
        <v>-3487432.5990548981</v>
      </c>
      <c r="AD167" s="824">
        <f t="shared" si="60"/>
        <v>-3487432.5990548981</v>
      </c>
      <c r="AE167" s="824">
        <f t="shared" si="60"/>
        <v>-3487432.5990548981</v>
      </c>
      <c r="AF167" s="824">
        <f t="shared" si="60"/>
        <v>-3487432.5990548981</v>
      </c>
      <c r="AG167" s="824">
        <f t="shared" si="60"/>
        <v>-3487432.5990548981</v>
      </c>
      <c r="AH167" s="824">
        <f t="shared" si="60"/>
        <v>-3487432.5990548981</v>
      </c>
      <c r="AI167" s="824">
        <f t="shared" si="60"/>
        <v>-3487432.5990548981</v>
      </c>
      <c r="AJ167" s="824">
        <f t="shared" si="60"/>
        <v>-3487432.5990548981</v>
      </c>
      <c r="AK167" s="824">
        <f t="shared" si="60"/>
        <v>-3487432.5990548981</v>
      </c>
      <c r="AL167" s="824">
        <f t="shared" si="60"/>
        <v>-3487432.5990548981</v>
      </c>
      <c r="AM167" s="824">
        <f t="shared" si="60"/>
        <v>-2408234.7729697763</v>
      </c>
      <c r="AN167" s="824">
        <f t="shared" si="60"/>
        <v>-1962797.5002425744</v>
      </c>
      <c r="AO167" s="824">
        <f t="shared" si="60"/>
        <v>-3935665.6732037212</v>
      </c>
      <c r="AP167" s="824">
        <f t="shared" si="60"/>
        <v>-3935665.6732037212</v>
      </c>
      <c r="AQ167" s="824">
        <f t="shared" si="60"/>
        <v>-3935665.6732037212</v>
      </c>
      <c r="AR167" s="824">
        <f t="shared" si="60"/>
        <v>-3935665.6732037212</v>
      </c>
      <c r="AS167" s="824">
        <f t="shared" si="60"/>
        <v>-3935665.6732037212</v>
      </c>
      <c r="AT167" s="824">
        <f t="shared" si="60"/>
        <v>-3935665.6732037212</v>
      </c>
      <c r="AU167" s="166"/>
      <c r="AV167" s="166"/>
      <c r="AW167" s="166"/>
      <c r="AX167" s="166"/>
      <c r="AY167" s="166"/>
      <c r="AZ167" s="166"/>
      <c r="BA167" s="166"/>
      <c r="BB167" s="166"/>
      <c r="BC167" s="166"/>
      <c r="BD167" s="166"/>
      <c r="BE167" s="166"/>
      <c r="BF167" s="166"/>
      <c r="BG167" s="166"/>
      <c r="BH167" s="166"/>
      <c r="BI167" s="166"/>
      <c r="BJ167" s="166"/>
      <c r="BK167" s="166"/>
      <c r="BL167" s="166"/>
      <c r="BM167" s="166"/>
      <c r="BN167" s="166"/>
    </row>
    <row r="168" spans="2:66" x14ac:dyDescent="0.25">
      <c r="B168" s="833" t="s">
        <v>435</v>
      </c>
      <c r="C168" s="824">
        <f>C158+C162+C166</f>
        <v>0</v>
      </c>
      <c r="D168" s="824">
        <f t="shared" ref="D168:F168" si="61">D158+D162+D166</f>
        <v>0</v>
      </c>
      <c r="E168" s="824">
        <f t="shared" si="61"/>
        <v>0</v>
      </c>
      <c r="F168" s="824">
        <f t="shared" si="61"/>
        <v>0</v>
      </c>
      <c r="G168" s="824">
        <f>G158+G160+G162+G164+G166</f>
        <v>111877413.20910615</v>
      </c>
      <c r="H168" s="824">
        <f t="shared" ref="H168:AT168" si="62">H158+H160+H162+H164+H166</f>
        <v>108686816.68843697</v>
      </c>
      <c r="I168" s="824">
        <f t="shared" si="62"/>
        <v>105496220.16776779</v>
      </c>
      <c r="J168" s="824">
        <f t="shared" si="62"/>
        <v>102305623.64709862</v>
      </c>
      <c r="K168" s="824">
        <f t="shared" si="62"/>
        <v>99115027.126429439</v>
      </c>
      <c r="L168" s="824">
        <f t="shared" si="62"/>
        <v>96097022.488188684</v>
      </c>
      <c r="M168" s="824">
        <f t="shared" si="62"/>
        <v>93079017.849947929</v>
      </c>
      <c r="N168" s="824">
        <f t="shared" si="62"/>
        <v>90061013.211707175</v>
      </c>
      <c r="O168" s="824">
        <f t="shared" si="62"/>
        <v>87043008.57346642</v>
      </c>
      <c r="P168" s="824">
        <f t="shared" si="62"/>
        <v>84025003.935225666</v>
      </c>
      <c r="Q168" s="824">
        <f t="shared" si="62"/>
        <v>81294706.415544689</v>
      </c>
      <c r="R168" s="824">
        <f t="shared" si="62"/>
        <v>82154135.346635789</v>
      </c>
      <c r="S168" s="824">
        <f t="shared" si="62"/>
        <v>79064865.181877598</v>
      </c>
      <c r="T168" s="824">
        <f t="shared" si="62"/>
        <v>75975595.017119423</v>
      </c>
      <c r="U168" s="824">
        <f t="shared" si="62"/>
        <v>72886324.852361232</v>
      </c>
      <c r="V168" s="824">
        <f t="shared" si="62"/>
        <v>70564554.707041442</v>
      </c>
      <c r="W168" s="824">
        <f t="shared" si="62"/>
        <v>68242784.561721668</v>
      </c>
      <c r="X168" s="824">
        <f t="shared" si="62"/>
        <v>81029783.981593594</v>
      </c>
      <c r="Y168" s="824">
        <f t="shared" si="62"/>
        <v>77628816.010188699</v>
      </c>
      <c r="Z168" s="824">
        <f t="shared" si="62"/>
        <v>74227848.038783774</v>
      </c>
      <c r="AA168" s="824">
        <f t="shared" si="62"/>
        <v>70826880.067378879</v>
      </c>
      <c r="AB168" s="824">
        <f t="shared" si="62"/>
        <v>67425912.095973969</v>
      </c>
      <c r="AC168" s="824">
        <f t="shared" si="62"/>
        <v>68838289.496918291</v>
      </c>
      <c r="AD168" s="824">
        <f t="shared" si="62"/>
        <v>65350856.897863388</v>
      </c>
      <c r="AE168" s="824">
        <f t="shared" si="62"/>
        <v>61863424.298808493</v>
      </c>
      <c r="AF168" s="824">
        <f t="shared" si="62"/>
        <v>58375991.69975359</v>
      </c>
      <c r="AG168" s="824">
        <f t="shared" si="62"/>
        <v>54888559.100698687</v>
      </c>
      <c r="AH168" s="824">
        <f t="shared" si="62"/>
        <v>51401126.501643792</v>
      </c>
      <c r="AI168" s="824">
        <f t="shared" si="62"/>
        <v>47913693.902588889</v>
      </c>
      <c r="AJ168" s="824">
        <f t="shared" si="62"/>
        <v>44426261.303533986</v>
      </c>
      <c r="AK168" s="824">
        <f t="shared" si="62"/>
        <v>40938828.704479091</v>
      </c>
      <c r="AL168" s="824">
        <f t="shared" si="62"/>
        <v>37451396.105424188</v>
      </c>
      <c r="AM168" s="824">
        <f t="shared" si="62"/>
        <v>35043161.332454413</v>
      </c>
      <c r="AN168" s="824">
        <f t="shared" si="62"/>
        <v>33080363.832211837</v>
      </c>
      <c r="AO168" s="824">
        <f t="shared" si="62"/>
        <v>60710588.926386461</v>
      </c>
      <c r="AP168" s="824">
        <f t="shared" si="62"/>
        <v>56774923.253182739</v>
      </c>
      <c r="AQ168" s="824">
        <f t="shared" si="62"/>
        <v>52839257.579979017</v>
      </c>
      <c r="AR168" s="824">
        <f t="shared" si="62"/>
        <v>48903591.906775296</v>
      </c>
      <c r="AS168" s="824">
        <f t="shared" si="62"/>
        <v>44967926.233571574</v>
      </c>
      <c r="AT168" s="824">
        <f t="shared" si="62"/>
        <v>41032260.560367852</v>
      </c>
      <c r="AU168" s="166"/>
      <c r="AV168" s="166"/>
      <c r="AW168" s="166"/>
      <c r="AX168" s="166"/>
      <c r="AY168" s="166"/>
      <c r="AZ168" s="166"/>
      <c r="BA168" s="166"/>
      <c r="BB168" s="166"/>
      <c r="BC168" s="166"/>
      <c r="BD168" s="166"/>
      <c r="BE168" s="166"/>
      <c r="BF168" s="166"/>
      <c r="BG168" s="166"/>
      <c r="BH168" s="166"/>
      <c r="BI168" s="166"/>
      <c r="BJ168" s="166"/>
      <c r="BK168" s="166"/>
      <c r="BL168" s="166"/>
      <c r="BM168" s="166"/>
      <c r="BN168" s="166"/>
    </row>
    <row r="169" spans="2:66" x14ac:dyDescent="0.25">
      <c r="B169" s="481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  <c r="R169" s="382"/>
      <c r="S169" s="382"/>
      <c r="T169" s="382"/>
      <c r="U169" s="382"/>
      <c r="V169" s="382"/>
      <c r="W169" s="382"/>
      <c r="X169" s="382"/>
      <c r="Y169" s="382"/>
      <c r="Z169" s="382"/>
      <c r="AA169" s="382"/>
      <c r="AB169" s="382"/>
      <c r="AC169" s="382"/>
      <c r="AD169" s="382"/>
      <c r="AE169" s="382"/>
      <c r="AF169" s="382"/>
      <c r="AG169" s="382"/>
      <c r="AH169" s="382"/>
      <c r="AI169" s="382"/>
      <c r="AJ169" s="382"/>
      <c r="AK169" s="382"/>
      <c r="AL169" s="382"/>
      <c r="AM169" s="382"/>
      <c r="AN169" s="382"/>
      <c r="AO169" s="382"/>
      <c r="AP169" s="382"/>
      <c r="AQ169" s="382"/>
      <c r="AR169" s="382"/>
      <c r="AS169" s="382"/>
      <c r="AT169" s="382"/>
      <c r="AU169" s="166"/>
      <c r="AV169" s="166"/>
      <c r="AW169" s="166"/>
      <c r="AX169" s="166"/>
      <c r="AY169" s="166"/>
      <c r="AZ169" s="166"/>
      <c r="BA169" s="166"/>
      <c r="BB169" s="166"/>
      <c r="BC169" s="166"/>
      <c r="BD169" s="166"/>
      <c r="BE169" s="166"/>
      <c r="BF169" s="166"/>
      <c r="BG169" s="166"/>
      <c r="BH169" s="166"/>
      <c r="BI169" s="166"/>
      <c r="BJ169" s="166"/>
      <c r="BK169" s="166"/>
      <c r="BL169" s="166"/>
      <c r="BM169" s="166"/>
      <c r="BN169" s="166"/>
    </row>
    <row r="170" spans="2:66" ht="13.8" thickBot="1" x14ac:dyDescent="0.3">
      <c r="B170" s="834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66"/>
      <c r="AV170" s="166"/>
      <c r="AW170" s="166"/>
      <c r="AX170" s="166"/>
      <c r="AY170" s="166"/>
      <c r="AZ170" s="166"/>
      <c r="BA170" s="166"/>
      <c r="BB170" s="166"/>
      <c r="BC170" s="166"/>
      <c r="BD170" s="166"/>
      <c r="BE170" s="166"/>
      <c r="BF170" s="166"/>
      <c r="BG170" s="166"/>
      <c r="BH170" s="166"/>
      <c r="BI170" s="166"/>
      <c r="BJ170" s="166"/>
      <c r="BK170" s="166"/>
      <c r="BL170" s="166"/>
      <c r="BM170" s="166"/>
      <c r="BN170" s="166"/>
    </row>
    <row r="171" spans="2:66" ht="14.4" x14ac:dyDescent="0.25">
      <c r="B171" s="835" t="s">
        <v>390</v>
      </c>
      <c r="C171" s="818"/>
      <c r="D171" s="818"/>
      <c r="E171" s="818"/>
      <c r="F171" s="818"/>
      <c r="G171" s="818"/>
      <c r="H171" s="818"/>
      <c r="I171" s="818"/>
      <c r="J171" s="818"/>
      <c r="K171" s="818"/>
      <c r="L171" s="818"/>
      <c r="M171" s="818"/>
      <c r="N171" s="818"/>
      <c r="O171" s="818"/>
      <c r="P171" s="818"/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  <c r="AA171" s="818"/>
      <c r="AB171" s="818"/>
      <c r="AC171" s="818"/>
      <c r="AD171" s="818"/>
      <c r="AE171" s="818"/>
      <c r="AF171" s="818"/>
      <c r="AG171" s="818"/>
      <c r="AH171" s="818"/>
      <c r="AI171" s="818"/>
      <c r="AJ171" s="818"/>
      <c r="AK171" s="818"/>
      <c r="AL171" s="818"/>
      <c r="AM171" s="818"/>
      <c r="AN171" s="818"/>
      <c r="AO171" s="818"/>
      <c r="AP171" s="818"/>
      <c r="AQ171" s="818"/>
      <c r="AR171" s="818"/>
      <c r="AS171" s="818"/>
      <c r="AT171" s="819"/>
      <c r="AU171" s="166"/>
      <c r="AV171" s="166"/>
      <c r="AW171" s="166"/>
      <c r="AX171" s="166"/>
      <c r="AY171" s="166"/>
      <c r="AZ171" s="166"/>
      <c r="BA171" s="166"/>
      <c r="BB171" s="166"/>
      <c r="BC171" s="166"/>
      <c r="BD171" s="166"/>
      <c r="BE171" s="166"/>
      <c r="BF171" s="166"/>
      <c r="BG171" s="166"/>
      <c r="BH171" s="166"/>
      <c r="BI171" s="166"/>
      <c r="BJ171" s="166"/>
      <c r="BK171" s="166"/>
      <c r="BL171" s="166"/>
      <c r="BM171" s="166"/>
      <c r="BN171" s="166"/>
    </row>
    <row r="172" spans="2:66" x14ac:dyDescent="0.25">
      <c r="B172" s="836" t="s">
        <v>391</v>
      </c>
      <c r="C172" s="268">
        <v>0</v>
      </c>
      <c r="D172" s="268">
        <v>0</v>
      </c>
      <c r="E172" s="268">
        <v>0</v>
      </c>
      <c r="F172" s="268">
        <v>0</v>
      </c>
      <c r="G172" s="268">
        <f>-G148</f>
        <v>-3489433.6493760138</v>
      </c>
      <c r="H172" s="268">
        <f t="shared" ref="H172:AT172" si="63">-H148</f>
        <v>-3864615.9241095837</v>
      </c>
      <c r="I172" s="268">
        <f t="shared" si="63"/>
        <v>-3667955.0526417415</v>
      </c>
      <c r="J172" s="268">
        <f t="shared" si="63"/>
        <v>-3754445.5924109258</v>
      </c>
      <c r="K172" s="268">
        <f t="shared" si="63"/>
        <v>-8581249.2635108829</v>
      </c>
      <c r="L172" s="268">
        <f t="shared" si="63"/>
        <v>-3933734.6730025862</v>
      </c>
      <c r="M172" s="268">
        <f t="shared" si="63"/>
        <v>-4026637.2762531824</v>
      </c>
      <c r="N172" s="268">
        <f t="shared" si="63"/>
        <v>-4121783.4832045212</v>
      </c>
      <c r="O172" s="268">
        <f t="shared" si="63"/>
        <v>-4219228.6557829175</v>
      </c>
      <c r="P172" s="268">
        <f t="shared" si="63"/>
        <v>-9525155.6981958821</v>
      </c>
      <c r="Q172" s="268">
        <f t="shared" si="63"/>
        <v>-4421244.3521579085</v>
      </c>
      <c r="R172" s="268">
        <f t="shared" si="63"/>
        <v>-4525932.7147169104</v>
      </c>
      <c r="S172" s="268">
        <f t="shared" si="63"/>
        <v>-4633155.7948184023</v>
      </c>
      <c r="T172" s="268">
        <f t="shared" si="63"/>
        <v>-4742976.2925206041</v>
      </c>
      <c r="U172" s="268">
        <f t="shared" si="63"/>
        <v>-10575689.81600501</v>
      </c>
      <c r="V172" s="268">
        <f t="shared" si="63"/>
        <v>-4970668.2950297529</v>
      </c>
      <c r="W172" s="268">
        <f t="shared" si="63"/>
        <v>-5088673.2772134263</v>
      </c>
      <c r="X172" s="268">
        <f t="shared" si="63"/>
        <v>-5209542.7163924491</v>
      </c>
      <c r="Y172" s="268">
        <f t="shared" si="63"/>
        <v>-5333347.6438662987</v>
      </c>
      <c r="Z172" s="268">
        <f t="shared" si="63"/>
        <v>-11745267.263724331</v>
      </c>
      <c r="AA172" s="268">
        <f t="shared" si="63"/>
        <v>-5590057.1209969632</v>
      </c>
      <c r="AB172" s="268">
        <f t="shared" si="63"/>
        <v>-5723112.9055465749</v>
      </c>
      <c r="AC172" s="268">
        <f t="shared" si="63"/>
        <v>-5859406.7445057584</v>
      </c>
      <c r="AD172" s="268">
        <f t="shared" si="63"/>
        <v>-5999019.1305208495</v>
      </c>
      <c r="AE172" s="268">
        <f t="shared" si="63"/>
        <v>-13047797.821644107</v>
      </c>
      <c r="AF172" s="268">
        <f t="shared" si="63"/>
        <v>-6288531.773346208</v>
      </c>
      <c r="AG172" s="268">
        <f t="shared" si="63"/>
        <v>-6438603.4340750668</v>
      </c>
      <c r="AH172" s="268">
        <f t="shared" si="63"/>
        <v>-6592336.5593562629</v>
      </c>
      <c r="AI172" s="268">
        <f t="shared" si="63"/>
        <v>-6749822.3895147499</v>
      </c>
      <c r="AJ172" s="268">
        <f t="shared" si="63"/>
        <v>-14498871.466441935</v>
      </c>
      <c r="AK172" s="268">
        <f t="shared" si="63"/>
        <v>-7076428.7815859448</v>
      </c>
      <c r="AL172" s="268">
        <f t="shared" si="63"/>
        <v>-7245743.6616738085</v>
      </c>
      <c r="AM172" s="268">
        <f t="shared" si="63"/>
        <v>-7419200.0078551713</v>
      </c>
      <c r="AN172" s="268">
        <f t="shared" si="63"/>
        <v>-7596901.2726635616</v>
      </c>
      <c r="AO172" s="268">
        <f t="shared" si="63"/>
        <v>-16115968.399872713</v>
      </c>
      <c r="AP172" s="268">
        <f t="shared" si="63"/>
        <v>-7965465.6146529177</v>
      </c>
      <c r="AQ172" s="268">
        <f t="shared" si="63"/>
        <v>-8156549.0501983799</v>
      </c>
      <c r="AR172" s="268">
        <f t="shared" si="63"/>
        <v>-8352318.2633171976</v>
      </c>
      <c r="AS172" s="268">
        <f t="shared" si="63"/>
        <v>-8552890.5865902863</v>
      </c>
      <c r="AT172" s="799">
        <f t="shared" si="63"/>
        <v>-17918696.229972437</v>
      </c>
      <c r="AU172" s="166"/>
      <c r="AV172" s="166"/>
      <c r="AW172" s="166"/>
      <c r="AX172" s="166"/>
      <c r="AY172" s="166"/>
      <c r="AZ172" s="166"/>
      <c r="BA172" s="166"/>
      <c r="BB172" s="166"/>
      <c r="BC172" s="166"/>
      <c r="BD172" s="166"/>
      <c r="BE172" s="166"/>
      <c r="BF172" s="166"/>
      <c r="BG172" s="166"/>
      <c r="BH172" s="166"/>
      <c r="BI172" s="166"/>
      <c r="BJ172" s="166"/>
      <c r="BK172" s="166"/>
      <c r="BL172" s="166"/>
      <c r="BM172" s="166"/>
      <c r="BN172" s="166"/>
    </row>
    <row r="173" spans="2:66" ht="15" thickBot="1" x14ac:dyDescent="0.3">
      <c r="B173" s="842" t="s">
        <v>389</v>
      </c>
      <c r="C173" s="820"/>
      <c r="D173" s="820"/>
      <c r="E173" s="820"/>
      <c r="F173" s="820"/>
      <c r="G173" s="820">
        <f>G172</f>
        <v>-3489433.6493760138</v>
      </c>
      <c r="H173" s="820">
        <f t="shared" ref="H173:AT173" si="64">H172</f>
        <v>-3864615.9241095837</v>
      </c>
      <c r="I173" s="820">
        <f t="shared" si="64"/>
        <v>-3667955.0526417415</v>
      </c>
      <c r="J173" s="820">
        <f t="shared" si="64"/>
        <v>-3754445.5924109258</v>
      </c>
      <c r="K173" s="820">
        <f t="shared" si="64"/>
        <v>-8581249.2635108829</v>
      </c>
      <c r="L173" s="820">
        <f t="shared" si="64"/>
        <v>-3933734.6730025862</v>
      </c>
      <c r="M173" s="820">
        <f t="shared" si="64"/>
        <v>-4026637.2762531824</v>
      </c>
      <c r="N173" s="820">
        <f t="shared" si="64"/>
        <v>-4121783.4832045212</v>
      </c>
      <c r="O173" s="820">
        <f t="shared" si="64"/>
        <v>-4219228.6557829175</v>
      </c>
      <c r="P173" s="820">
        <f t="shared" si="64"/>
        <v>-9525155.6981958821</v>
      </c>
      <c r="Q173" s="820">
        <f t="shared" si="64"/>
        <v>-4421244.3521579085</v>
      </c>
      <c r="R173" s="820">
        <f t="shared" si="64"/>
        <v>-4525932.7147169104</v>
      </c>
      <c r="S173" s="820">
        <f t="shared" si="64"/>
        <v>-4633155.7948184023</v>
      </c>
      <c r="T173" s="820">
        <f t="shared" si="64"/>
        <v>-4742976.2925206041</v>
      </c>
      <c r="U173" s="820">
        <f t="shared" si="64"/>
        <v>-10575689.81600501</v>
      </c>
      <c r="V173" s="820">
        <f t="shared" si="64"/>
        <v>-4970668.2950297529</v>
      </c>
      <c r="W173" s="820">
        <f t="shared" si="64"/>
        <v>-5088673.2772134263</v>
      </c>
      <c r="X173" s="820">
        <f t="shared" si="64"/>
        <v>-5209542.7163924491</v>
      </c>
      <c r="Y173" s="820">
        <f t="shared" si="64"/>
        <v>-5333347.6438662987</v>
      </c>
      <c r="Z173" s="820">
        <f t="shared" si="64"/>
        <v>-11745267.263724331</v>
      </c>
      <c r="AA173" s="820">
        <f t="shared" si="64"/>
        <v>-5590057.1209969632</v>
      </c>
      <c r="AB173" s="820">
        <f t="shared" si="64"/>
        <v>-5723112.9055465749</v>
      </c>
      <c r="AC173" s="820">
        <f t="shared" si="64"/>
        <v>-5859406.7445057584</v>
      </c>
      <c r="AD173" s="820">
        <f t="shared" si="64"/>
        <v>-5999019.1305208495</v>
      </c>
      <c r="AE173" s="820">
        <f t="shared" si="64"/>
        <v>-13047797.821644107</v>
      </c>
      <c r="AF173" s="820">
        <f t="shared" si="64"/>
        <v>-6288531.773346208</v>
      </c>
      <c r="AG173" s="820">
        <f t="shared" si="64"/>
        <v>-6438603.4340750668</v>
      </c>
      <c r="AH173" s="820">
        <f t="shared" si="64"/>
        <v>-6592336.5593562629</v>
      </c>
      <c r="AI173" s="820">
        <f t="shared" si="64"/>
        <v>-6749822.3895147499</v>
      </c>
      <c r="AJ173" s="820">
        <f t="shared" si="64"/>
        <v>-14498871.466441935</v>
      </c>
      <c r="AK173" s="820">
        <f t="shared" si="64"/>
        <v>-7076428.7815859448</v>
      </c>
      <c r="AL173" s="820">
        <f t="shared" si="64"/>
        <v>-7245743.6616738085</v>
      </c>
      <c r="AM173" s="820">
        <f t="shared" si="64"/>
        <v>-7419200.0078551713</v>
      </c>
      <c r="AN173" s="820">
        <f t="shared" si="64"/>
        <v>-7596901.2726635616</v>
      </c>
      <c r="AO173" s="820">
        <f t="shared" si="64"/>
        <v>-16115968.399872713</v>
      </c>
      <c r="AP173" s="820">
        <f t="shared" si="64"/>
        <v>-7965465.6146529177</v>
      </c>
      <c r="AQ173" s="820">
        <f t="shared" si="64"/>
        <v>-8156549.0501983799</v>
      </c>
      <c r="AR173" s="820">
        <f t="shared" si="64"/>
        <v>-8352318.2633171976</v>
      </c>
      <c r="AS173" s="820">
        <f t="shared" si="64"/>
        <v>-8552890.5865902863</v>
      </c>
      <c r="AT173" s="821">
        <f t="shared" si="64"/>
        <v>-17918696.229972437</v>
      </c>
      <c r="AU173" s="166"/>
      <c r="AV173" s="166"/>
      <c r="AW173" s="166"/>
      <c r="AX173" s="166"/>
      <c r="AY173" s="166"/>
      <c r="AZ173" s="166"/>
      <c r="BA173" s="166"/>
      <c r="BB173" s="166"/>
      <c r="BC173" s="166"/>
      <c r="BD173" s="166"/>
      <c r="BE173" s="166"/>
      <c r="BF173" s="166"/>
      <c r="BG173" s="166"/>
      <c r="BH173" s="166"/>
      <c r="BI173" s="166"/>
      <c r="BJ173" s="166"/>
      <c r="BK173" s="166"/>
      <c r="BL173" s="166"/>
      <c r="BM173" s="166"/>
      <c r="BN173" s="166"/>
    </row>
    <row r="174" spans="2:66" ht="15" thickBot="1" x14ac:dyDescent="0.3">
      <c r="B174" s="837"/>
      <c r="C174" s="824"/>
      <c r="D174" s="824"/>
      <c r="E174" s="824"/>
      <c r="F174" s="824"/>
      <c r="G174" s="824"/>
      <c r="H174" s="824"/>
      <c r="I174" s="824"/>
      <c r="J174" s="824"/>
      <c r="K174" s="824"/>
      <c r="L174" s="824"/>
      <c r="M174" s="824"/>
      <c r="N174" s="824"/>
      <c r="O174" s="824"/>
      <c r="P174" s="824"/>
      <c r="Q174" s="824"/>
      <c r="R174" s="824"/>
      <c r="S174" s="824"/>
      <c r="T174" s="824"/>
      <c r="U174" s="824"/>
      <c r="V174" s="824"/>
      <c r="W174" s="824"/>
      <c r="X174" s="824"/>
      <c r="Y174" s="824"/>
      <c r="Z174" s="824"/>
      <c r="AA174" s="824"/>
      <c r="AB174" s="824"/>
      <c r="AC174" s="824"/>
      <c r="AD174" s="824"/>
      <c r="AE174" s="824"/>
      <c r="AF174" s="824"/>
      <c r="AG174" s="824"/>
      <c r="AH174" s="824"/>
      <c r="AI174" s="824"/>
      <c r="AJ174" s="824"/>
      <c r="AK174" s="824"/>
      <c r="AL174" s="824"/>
      <c r="AM174" s="824"/>
      <c r="AN174" s="824"/>
      <c r="AO174" s="824"/>
      <c r="AP174" s="824"/>
      <c r="AQ174" s="824"/>
      <c r="AR174" s="824"/>
      <c r="AS174" s="824"/>
      <c r="AT174" s="824"/>
      <c r="AU174" s="166"/>
      <c r="AV174" s="166"/>
      <c r="AW174" s="166"/>
      <c r="AX174" s="166"/>
      <c r="AY174" s="166"/>
      <c r="AZ174" s="166"/>
      <c r="BA174" s="166"/>
      <c r="BB174" s="166"/>
      <c r="BC174" s="166"/>
      <c r="BD174" s="166"/>
      <c r="BE174" s="166"/>
      <c r="BF174" s="166"/>
      <c r="BG174" s="166"/>
      <c r="BH174" s="166"/>
      <c r="BI174" s="166"/>
      <c r="BJ174" s="166"/>
      <c r="BK174" s="166"/>
      <c r="BL174" s="166"/>
      <c r="BM174" s="166"/>
      <c r="BN174" s="166"/>
    </row>
    <row r="175" spans="2:66" ht="14.4" x14ac:dyDescent="0.25">
      <c r="B175" s="835" t="s">
        <v>392</v>
      </c>
      <c r="C175" s="818"/>
      <c r="D175" s="818"/>
      <c r="E175" s="818"/>
      <c r="F175" s="818"/>
      <c r="G175" s="818"/>
      <c r="H175" s="818"/>
      <c r="I175" s="818"/>
      <c r="J175" s="818"/>
      <c r="K175" s="818"/>
      <c r="L175" s="818"/>
      <c r="M175" s="818"/>
      <c r="N175" s="818"/>
      <c r="O175" s="818"/>
      <c r="P175" s="818"/>
      <c r="Q175" s="818"/>
      <c r="R175" s="818"/>
      <c r="S175" s="818"/>
      <c r="T175" s="818"/>
      <c r="U175" s="818"/>
      <c r="V175" s="818"/>
      <c r="W175" s="818"/>
      <c r="X175" s="818"/>
      <c r="Y175" s="818"/>
      <c r="Z175" s="818"/>
      <c r="AA175" s="818"/>
      <c r="AB175" s="818"/>
      <c r="AC175" s="818"/>
      <c r="AD175" s="818"/>
      <c r="AE175" s="818"/>
      <c r="AF175" s="818"/>
      <c r="AG175" s="818"/>
      <c r="AH175" s="818"/>
      <c r="AI175" s="818"/>
      <c r="AJ175" s="818"/>
      <c r="AK175" s="818"/>
      <c r="AL175" s="818"/>
      <c r="AM175" s="818"/>
      <c r="AN175" s="818"/>
      <c r="AO175" s="818"/>
      <c r="AP175" s="818"/>
      <c r="AQ175" s="818"/>
      <c r="AR175" s="818"/>
      <c r="AS175" s="818"/>
      <c r="AT175" s="819"/>
      <c r="AU175" s="166"/>
      <c r="AV175" s="166"/>
      <c r="AW175" s="166"/>
      <c r="AX175" s="166"/>
      <c r="AY175" s="166"/>
      <c r="AZ175" s="166"/>
      <c r="BA175" s="166"/>
      <c r="BB175" s="166"/>
      <c r="BC175" s="166"/>
      <c r="BD175" s="166"/>
      <c r="BE175" s="166"/>
      <c r="BF175" s="166"/>
      <c r="BG175" s="166"/>
      <c r="BH175" s="166"/>
      <c r="BI175" s="166"/>
      <c r="BJ175" s="166"/>
      <c r="BK175" s="166"/>
      <c r="BL175" s="166"/>
      <c r="BM175" s="166"/>
      <c r="BN175" s="166"/>
    </row>
    <row r="176" spans="2:66" x14ac:dyDescent="0.25">
      <c r="B176" s="836" t="s">
        <v>393</v>
      </c>
      <c r="C176" s="268">
        <v>0</v>
      </c>
      <c r="D176" s="268">
        <v>0</v>
      </c>
      <c r="E176" s="268">
        <v>0</v>
      </c>
      <c r="F176" s="268">
        <v>0</v>
      </c>
      <c r="G176" s="178">
        <f t="shared" ref="G176:AT176" si="65">G150</f>
        <v>3133403.9816788435</v>
      </c>
      <c r="H176" s="178">
        <f t="shared" si="65"/>
        <v>4177871.9755717926</v>
      </c>
      <c r="I176" s="178">
        <f t="shared" si="65"/>
        <v>4416793.6308295326</v>
      </c>
      <c r="J176" s="178">
        <f t="shared" si="65"/>
        <v>4465622.1111987578</v>
      </c>
      <c r="K176" s="178">
        <f t="shared" si="65"/>
        <v>4696834.3954673298</v>
      </c>
      <c r="L176" s="178">
        <f t="shared" si="65"/>
        <v>4747635.5464434726</v>
      </c>
      <c r="M176" s="178">
        <f t="shared" si="65"/>
        <v>4992293.5399953648</v>
      </c>
      <c r="N176" s="178">
        <f t="shared" si="65"/>
        <v>5020582.9827843998</v>
      </c>
      <c r="O176" s="178">
        <f t="shared" si="65"/>
        <v>5252846.8715666011</v>
      </c>
      <c r="P176" s="178">
        <f t="shared" si="65"/>
        <v>5282279.2078443123</v>
      </c>
      <c r="Q176" s="178">
        <f t="shared" si="65"/>
        <v>5526304.6905045547</v>
      </c>
      <c r="R176" s="178">
        <f t="shared" si="65"/>
        <v>5556926.093167888</v>
      </c>
      <c r="S176" s="178">
        <f t="shared" si="65"/>
        <v>5788484.2409420349</v>
      </c>
      <c r="T176" s="178">
        <f t="shared" si="65"/>
        <v>5795542.5745522017</v>
      </c>
      <c r="U176" s="178">
        <f t="shared" si="65"/>
        <v>6037025.9848521277</v>
      </c>
      <c r="V176" s="178">
        <f t="shared" si="65"/>
        <v>6044369.4751401441</v>
      </c>
      <c r="W176" s="178">
        <f t="shared" si="65"/>
        <v>6296202.1692314604</v>
      </c>
      <c r="X176" s="178">
        <f t="shared" si="65"/>
        <v>6344267.5774896713</v>
      </c>
      <c r="Y176" s="178">
        <f t="shared" si="65"/>
        <v>6650583.2383721014</v>
      </c>
      <c r="Z176" s="178">
        <f t="shared" si="65"/>
        <v>6700590.4891239451</v>
      </c>
      <c r="AA176" s="178">
        <f t="shared" si="65"/>
        <v>7023321.8885667687</v>
      </c>
      <c r="AB176" s="178">
        <f t="shared" si="65"/>
        <v>7075349.4322489845</v>
      </c>
      <c r="AC176" s="178">
        <f t="shared" si="65"/>
        <v>7361193.5493118437</v>
      </c>
      <c r="AD176" s="178">
        <f t="shared" si="65"/>
        <v>7361193.5493118437</v>
      </c>
      <c r="AE176" s="178">
        <f t="shared" si="65"/>
        <v>7658585.7687040409</v>
      </c>
      <c r="AF176" s="178">
        <f t="shared" si="65"/>
        <v>7658585.7687040409</v>
      </c>
      <c r="AG176" s="178">
        <f t="shared" si="65"/>
        <v>7967992.6337596849</v>
      </c>
      <c r="AH176" s="178">
        <f t="shared" si="65"/>
        <v>7967992.6337596849</v>
      </c>
      <c r="AI176" s="178">
        <f t="shared" si="65"/>
        <v>8289899.536163575</v>
      </c>
      <c r="AJ176" s="178">
        <f t="shared" si="65"/>
        <v>8289899.536163575</v>
      </c>
      <c r="AK176" s="178">
        <f t="shared" si="65"/>
        <v>8624811.4774245843</v>
      </c>
      <c r="AL176" s="178">
        <f t="shared" si="65"/>
        <v>8624811.4774245843</v>
      </c>
      <c r="AM176" s="178">
        <f t="shared" si="65"/>
        <v>8973253.861112535</v>
      </c>
      <c r="AN176" s="178">
        <f t="shared" si="65"/>
        <v>8973253.861112535</v>
      </c>
      <c r="AO176" s="178">
        <f t="shared" si="65"/>
        <v>9335773.317101486</v>
      </c>
      <c r="AP176" s="178">
        <f t="shared" si="65"/>
        <v>9335773.317101486</v>
      </c>
      <c r="AQ176" s="178">
        <f t="shared" si="65"/>
        <v>9712938.5591123849</v>
      </c>
      <c r="AR176" s="178">
        <f t="shared" si="65"/>
        <v>9712938.5591123849</v>
      </c>
      <c r="AS176" s="178">
        <f t="shared" si="65"/>
        <v>10105341.276900526</v>
      </c>
      <c r="AT176" s="265">
        <f t="shared" si="65"/>
        <v>10105341.276900526</v>
      </c>
      <c r="AU176" s="166"/>
      <c r="AV176" s="166"/>
      <c r="AW176" s="166"/>
      <c r="AX176" s="166"/>
      <c r="AY176" s="166"/>
      <c r="AZ176" s="166"/>
      <c r="BA176" s="166"/>
      <c r="BB176" s="166"/>
      <c r="BC176" s="166"/>
      <c r="BD176" s="166"/>
      <c r="BE176" s="166"/>
      <c r="BF176" s="166"/>
      <c r="BG176" s="166"/>
      <c r="BH176" s="166"/>
      <c r="BI176" s="166"/>
      <c r="BJ176" s="166"/>
      <c r="BK176" s="166"/>
      <c r="BL176" s="166"/>
      <c r="BM176" s="166"/>
      <c r="BN176" s="166"/>
    </row>
    <row r="177" spans="2:66" x14ac:dyDescent="0.25">
      <c r="B177" s="836" t="s">
        <v>394</v>
      </c>
      <c r="C177" s="268">
        <v>0</v>
      </c>
      <c r="D177" s="268">
        <v>0</v>
      </c>
      <c r="E177" s="268">
        <v>0</v>
      </c>
      <c r="F177" s="268">
        <v>0</v>
      </c>
      <c r="G177" s="178">
        <f t="shared" ref="G177:AT177" si="66">G151</f>
        <v>420000</v>
      </c>
      <c r="H177" s="178">
        <f t="shared" si="66"/>
        <v>428400</v>
      </c>
      <c r="I177" s="178">
        <f t="shared" si="66"/>
        <v>436968</v>
      </c>
      <c r="J177" s="178">
        <f t="shared" si="66"/>
        <v>445707.36</v>
      </c>
      <c r="K177" s="178">
        <f t="shared" si="66"/>
        <v>454621.50719999999</v>
      </c>
      <c r="L177" s="178">
        <f t="shared" si="66"/>
        <v>463713.93734400003</v>
      </c>
      <c r="M177" s="178">
        <f t="shared" si="66"/>
        <v>472988.21609088004</v>
      </c>
      <c r="N177" s="178">
        <f t="shared" si="66"/>
        <v>482447.98041269754</v>
      </c>
      <c r="O177" s="178">
        <f t="shared" si="66"/>
        <v>492096.9400209515</v>
      </c>
      <c r="P177" s="178">
        <f t="shared" si="66"/>
        <v>501938.87882137054</v>
      </c>
      <c r="Q177" s="178">
        <f t="shared" si="66"/>
        <v>511977.65639779798</v>
      </c>
      <c r="R177" s="178">
        <f t="shared" si="66"/>
        <v>522217.20952575386</v>
      </c>
      <c r="S177" s="178">
        <f t="shared" si="66"/>
        <v>532661.55371626897</v>
      </c>
      <c r="T177" s="178">
        <f t="shared" si="66"/>
        <v>543314.78479059436</v>
      </c>
      <c r="U177" s="178">
        <f t="shared" si="66"/>
        <v>554181.08048640634</v>
      </c>
      <c r="V177" s="178">
        <f t="shared" si="66"/>
        <v>565264.70209613431</v>
      </c>
      <c r="W177" s="178">
        <f t="shared" si="66"/>
        <v>576569.99613805709</v>
      </c>
      <c r="X177" s="178">
        <f t="shared" si="66"/>
        <v>588101.39606081822</v>
      </c>
      <c r="Y177" s="178">
        <f t="shared" si="66"/>
        <v>599863.42398203455</v>
      </c>
      <c r="Z177" s="178">
        <f t="shared" si="66"/>
        <v>611860.69246167527</v>
      </c>
      <c r="AA177" s="178">
        <f t="shared" si="66"/>
        <v>624097.90631090873</v>
      </c>
      <c r="AB177" s="178">
        <f t="shared" si="66"/>
        <v>636579.8644371269</v>
      </c>
      <c r="AC177" s="178">
        <f t="shared" si="66"/>
        <v>649311.46172586945</v>
      </c>
      <c r="AD177" s="178">
        <f t="shared" si="66"/>
        <v>662297.69096038677</v>
      </c>
      <c r="AE177" s="178">
        <f t="shared" si="66"/>
        <v>675543.6447795945</v>
      </c>
      <c r="AF177" s="178">
        <f t="shared" si="66"/>
        <v>689054.51767518639</v>
      </c>
      <c r="AG177" s="178">
        <f t="shared" si="66"/>
        <v>702835.60802869021</v>
      </c>
      <c r="AH177" s="178">
        <f t="shared" si="66"/>
        <v>716892.3201892639</v>
      </c>
      <c r="AI177" s="178">
        <f t="shared" si="66"/>
        <v>731230.1665930493</v>
      </c>
      <c r="AJ177" s="178">
        <f t="shared" si="66"/>
        <v>745854.76992491016</v>
      </c>
      <c r="AK177" s="178">
        <f t="shared" si="66"/>
        <v>760771.86532340851</v>
      </c>
      <c r="AL177" s="178">
        <f t="shared" si="66"/>
        <v>775987.30262987642</v>
      </c>
      <c r="AM177" s="178">
        <f t="shared" si="66"/>
        <v>791507.04868247418</v>
      </c>
      <c r="AN177" s="178">
        <f t="shared" si="66"/>
        <v>807337.18965612364</v>
      </c>
      <c r="AO177" s="178">
        <f t="shared" si="66"/>
        <v>823483.93344924611</v>
      </c>
      <c r="AP177" s="178">
        <f t="shared" si="66"/>
        <v>839953.61211823102</v>
      </c>
      <c r="AQ177" s="178">
        <f t="shared" si="66"/>
        <v>856752.68436059554</v>
      </c>
      <c r="AR177" s="178">
        <f t="shared" si="66"/>
        <v>873887.73804780759</v>
      </c>
      <c r="AS177" s="178">
        <f t="shared" si="66"/>
        <v>891365.49280876387</v>
      </c>
      <c r="AT177" s="265">
        <f t="shared" si="66"/>
        <v>909192.80266493873</v>
      </c>
      <c r="AU177" s="166"/>
      <c r="AV177" s="166"/>
      <c r="AW177" s="166"/>
      <c r="AX177" s="166"/>
      <c r="AY177" s="166"/>
      <c r="AZ177" s="166"/>
      <c r="BA177" s="166"/>
      <c r="BB177" s="166"/>
      <c r="BC177" s="166"/>
      <c r="BD177" s="166"/>
      <c r="BE177" s="166"/>
      <c r="BF177" s="166"/>
      <c r="BG177" s="166"/>
      <c r="BH177" s="166"/>
      <c r="BI177" s="166"/>
      <c r="BJ177" s="166"/>
      <c r="BK177" s="166"/>
      <c r="BL177" s="166"/>
      <c r="BM177" s="166"/>
      <c r="BN177" s="166"/>
    </row>
    <row r="178" spans="2:66" ht="15" thickBot="1" x14ac:dyDescent="0.3">
      <c r="B178" s="842" t="s">
        <v>388</v>
      </c>
      <c r="C178" s="822">
        <v>0</v>
      </c>
      <c r="D178" s="822">
        <v>0</v>
      </c>
      <c r="E178" s="822">
        <v>0</v>
      </c>
      <c r="F178" s="822">
        <v>0</v>
      </c>
      <c r="G178" s="822">
        <f>G176+G177</f>
        <v>3553403.9816788435</v>
      </c>
      <c r="H178" s="822">
        <f t="shared" ref="H178:AT178" si="67">H176+H177</f>
        <v>4606271.9755717926</v>
      </c>
      <c r="I178" s="822">
        <f t="shared" si="67"/>
        <v>4853761.6308295326</v>
      </c>
      <c r="J178" s="822">
        <f t="shared" si="67"/>
        <v>4911329.4711987581</v>
      </c>
      <c r="K178" s="822">
        <f t="shared" si="67"/>
        <v>5151455.9026673296</v>
      </c>
      <c r="L178" s="822">
        <f t="shared" si="67"/>
        <v>5211349.4837874724</v>
      </c>
      <c r="M178" s="822">
        <f t="shared" si="67"/>
        <v>5465281.7560862452</v>
      </c>
      <c r="N178" s="822">
        <f t="shared" si="67"/>
        <v>5503030.9631970972</v>
      </c>
      <c r="O178" s="822">
        <f t="shared" si="67"/>
        <v>5744943.8115875525</v>
      </c>
      <c r="P178" s="822">
        <f t="shared" si="67"/>
        <v>5784218.0866656825</v>
      </c>
      <c r="Q178" s="822">
        <f t="shared" si="67"/>
        <v>6038282.3469023528</v>
      </c>
      <c r="R178" s="822">
        <f t="shared" si="67"/>
        <v>6079143.3026936417</v>
      </c>
      <c r="S178" s="822">
        <f t="shared" si="67"/>
        <v>6321145.7946583042</v>
      </c>
      <c r="T178" s="822">
        <f t="shared" si="67"/>
        <v>6338857.3593427958</v>
      </c>
      <c r="U178" s="822">
        <f t="shared" si="67"/>
        <v>6591207.0653385343</v>
      </c>
      <c r="V178" s="822">
        <f t="shared" si="67"/>
        <v>6609634.1772362785</v>
      </c>
      <c r="W178" s="822">
        <f t="shared" si="67"/>
        <v>6872772.1653695172</v>
      </c>
      <c r="X178" s="822">
        <f t="shared" si="67"/>
        <v>6932368.9735504892</v>
      </c>
      <c r="Y178" s="822">
        <f t="shared" si="67"/>
        <v>7250446.6623541359</v>
      </c>
      <c r="Z178" s="822">
        <f t="shared" si="67"/>
        <v>7312451.1815856202</v>
      </c>
      <c r="AA178" s="822">
        <f t="shared" si="67"/>
        <v>7647419.7948776772</v>
      </c>
      <c r="AB178" s="822">
        <f t="shared" si="67"/>
        <v>7711929.296686111</v>
      </c>
      <c r="AC178" s="822">
        <f t="shared" si="67"/>
        <v>8010505.0110377129</v>
      </c>
      <c r="AD178" s="822">
        <f t="shared" si="67"/>
        <v>8023491.2402722305</v>
      </c>
      <c r="AE178" s="822">
        <f t="shared" si="67"/>
        <v>8334129.4134836355</v>
      </c>
      <c r="AF178" s="822">
        <f t="shared" si="67"/>
        <v>8347640.2863792274</v>
      </c>
      <c r="AG178" s="822">
        <f t="shared" si="67"/>
        <v>8670828.2417883743</v>
      </c>
      <c r="AH178" s="822">
        <f t="shared" si="67"/>
        <v>8684884.9539489485</v>
      </c>
      <c r="AI178" s="822">
        <f t="shared" si="67"/>
        <v>9021129.7027566247</v>
      </c>
      <c r="AJ178" s="822">
        <f t="shared" si="67"/>
        <v>9035754.3060884848</v>
      </c>
      <c r="AK178" s="822">
        <f t="shared" si="67"/>
        <v>9385583.3427479938</v>
      </c>
      <c r="AL178" s="822">
        <f t="shared" si="67"/>
        <v>9400798.7800544612</v>
      </c>
      <c r="AM178" s="822">
        <f t="shared" si="67"/>
        <v>9764760.9097950086</v>
      </c>
      <c r="AN178" s="822">
        <f t="shared" si="67"/>
        <v>9780591.0507686585</v>
      </c>
      <c r="AO178" s="822">
        <f t="shared" si="67"/>
        <v>10159257.250550732</v>
      </c>
      <c r="AP178" s="822">
        <f t="shared" si="67"/>
        <v>10175726.929219717</v>
      </c>
      <c r="AQ178" s="822">
        <f t="shared" si="67"/>
        <v>10569691.24347298</v>
      </c>
      <c r="AR178" s="822">
        <f t="shared" si="67"/>
        <v>10586826.297160193</v>
      </c>
      <c r="AS178" s="822">
        <f t="shared" si="67"/>
        <v>10996706.769709289</v>
      </c>
      <c r="AT178" s="823">
        <f t="shared" si="67"/>
        <v>11014534.079565465</v>
      </c>
      <c r="AU178" s="166"/>
      <c r="AV178" s="166"/>
      <c r="AW178" s="166"/>
      <c r="AX178" s="166"/>
      <c r="AY178" s="166"/>
      <c r="AZ178" s="166"/>
      <c r="BA178" s="166"/>
      <c r="BB178" s="166"/>
      <c r="BC178" s="166"/>
      <c r="BD178" s="166"/>
      <c r="BE178" s="166"/>
      <c r="BF178" s="166"/>
      <c r="BG178" s="166"/>
      <c r="BH178" s="166"/>
      <c r="BI178" s="166"/>
      <c r="BJ178" s="166"/>
      <c r="BK178" s="166"/>
      <c r="BL178" s="166"/>
      <c r="BM178" s="166"/>
      <c r="BN178" s="166"/>
    </row>
    <row r="179" spans="2:66" ht="15" thickBot="1" x14ac:dyDescent="0.3">
      <c r="B179" s="838"/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66"/>
      <c r="AV179" s="166"/>
      <c r="AW179" s="166"/>
      <c r="AX179" s="166"/>
      <c r="AY179" s="166"/>
      <c r="AZ179" s="166"/>
      <c r="BA179" s="166"/>
      <c r="BB179" s="166"/>
      <c r="BC179" s="166"/>
      <c r="BD179" s="166"/>
      <c r="BE179" s="166"/>
      <c r="BF179" s="166"/>
      <c r="BG179" s="166"/>
      <c r="BH179" s="166"/>
      <c r="BI179" s="166"/>
      <c r="BJ179" s="166"/>
      <c r="BK179" s="166"/>
      <c r="BL179" s="166"/>
      <c r="BM179" s="166"/>
      <c r="BN179" s="166"/>
    </row>
    <row r="180" spans="2:66" ht="15" thickBot="1" x14ac:dyDescent="0.3">
      <c r="B180" s="843" t="s">
        <v>387</v>
      </c>
      <c r="C180" s="825"/>
      <c r="D180" s="825"/>
      <c r="E180" s="825"/>
      <c r="F180" s="825"/>
      <c r="G180" s="826">
        <f>G178+G173</f>
        <v>63970.332302829716</v>
      </c>
      <c r="H180" s="826">
        <f t="shared" ref="H180:AT180" si="68">H178+H173</f>
        <v>741656.05146220885</v>
      </c>
      <c r="I180" s="826">
        <f t="shared" si="68"/>
        <v>1185806.5781877912</v>
      </c>
      <c r="J180" s="826">
        <f t="shared" si="68"/>
        <v>1156883.8787878323</v>
      </c>
      <c r="K180" s="826">
        <f t="shared" si="68"/>
        <v>-3429793.3608435532</v>
      </c>
      <c r="L180" s="826">
        <f t="shared" si="68"/>
        <v>1277614.8107848861</v>
      </c>
      <c r="M180" s="826">
        <f t="shared" si="68"/>
        <v>1438644.4798330627</v>
      </c>
      <c r="N180" s="826">
        <f t="shared" si="68"/>
        <v>1381247.4799925759</v>
      </c>
      <c r="O180" s="826">
        <f t="shared" si="68"/>
        <v>1525715.155804635</v>
      </c>
      <c r="P180" s="826">
        <f t="shared" si="68"/>
        <v>-3740937.6115301996</v>
      </c>
      <c r="Q180" s="826">
        <f t="shared" si="68"/>
        <v>1617037.9947444443</v>
      </c>
      <c r="R180" s="826">
        <f t="shared" si="68"/>
        <v>1553210.5879767314</v>
      </c>
      <c r="S180" s="826">
        <f t="shared" si="68"/>
        <v>1687989.9998399019</v>
      </c>
      <c r="T180" s="826">
        <f t="shared" si="68"/>
        <v>1595881.0668221917</v>
      </c>
      <c r="U180" s="826">
        <f t="shared" si="68"/>
        <v>-3984482.7506664759</v>
      </c>
      <c r="V180" s="826">
        <f t="shared" si="68"/>
        <v>1638965.8822065257</v>
      </c>
      <c r="W180" s="826">
        <f t="shared" si="68"/>
        <v>1784098.8881560909</v>
      </c>
      <c r="X180" s="826">
        <f t="shared" si="68"/>
        <v>1722826.2571580401</v>
      </c>
      <c r="Y180" s="826">
        <f t="shared" si="68"/>
        <v>1917099.0184878372</v>
      </c>
      <c r="Z180" s="826">
        <f t="shared" si="68"/>
        <v>-4432816.0821387107</v>
      </c>
      <c r="AA180" s="826">
        <f t="shared" si="68"/>
        <v>2057362.673880714</v>
      </c>
      <c r="AB180" s="826">
        <f t="shared" si="68"/>
        <v>1988816.3911395362</v>
      </c>
      <c r="AC180" s="826">
        <f t="shared" si="68"/>
        <v>2151098.2665319545</v>
      </c>
      <c r="AD180" s="826">
        <f t="shared" si="68"/>
        <v>2024472.109751381</v>
      </c>
      <c r="AE180" s="826">
        <f t="shared" si="68"/>
        <v>-4713668.4081604714</v>
      </c>
      <c r="AF180" s="826">
        <f t="shared" si="68"/>
        <v>2059108.5130330194</v>
      </c>
      <c r="AG180" s="826">
        <f t="shared" si="68"/>
        <v>2232224.8077133074</v>
      </c>
      <c r="AH180" s="826">
        <f t="shared" si="68"/>
        <v>2092548.3945926856</v>
      </c>
      <c r="AI180" s="826">
        <f t="shared" si="68"/>
        <v>2271307.3132418748</v>
      </c>
      <c r="AJ180" s="826">
        <f t="shared" si="68"/>
        <v>-5463117.1603534501</v>
      </c>
      <c r="AK180" s="826">
        <f t="shared" si="68"/>
        <v>2309154.561162049</v>
      </c>
      <c r="AL180" s="826">
        <f t="shared" si="68"/>
        <v>2155055.1183806527</v>
      </c>
      <c r="AM180" s="826">
        <f t="shared" si="68"/>
        <v>2345560.9019398373</v>
      </c>
      <c r="AN180" s="826">
        <f t="shared" si="68"/>
        <v>2183689.7781050969</v>
      </c>
      <c r="AO180" s="826">
        <f t="shared" si="68"/>
        <v>-5956711.1493219808</v>
      </c>
      <c r="AP180" s="826">
        <f t="shared" si="68"/>
        <v>2210261.3145667994</v>
      </c>
      <c r="AQ180" s="826">
        <f t="shared" si="68"/>
        <v>2413142.1932746004</v>
      </c>
      <c r="AR180" s="826">
        <f t="shared" si="68"/>
        <v>2234508.0338429958</v>
      </c>
      <c r="AS180" s="826">
        <f t="shared" si="68"/>
        <v>2443816.1831190027</v>
      </c>
      <c r="AT180" s="827">
        <f t="shared" si="68"/>
        <v>-6904162.1504069716</v>
      </c>
      <c r="AU180" s="166"/>
      <c r="AV180" s="166"/>
      <c r="AW180" s="166"/>
      <c r="AX180" s="166"/>
      <c r="AY180" s="166"/>
      <c r="AZ180" s="166"/>
      <c r="BA180" s="166"/>
      <c r="BB180" s="166"/>
      <c r="BC180" s="166"/>
      <c r="BD180" s="166"/>
      <c r="BE180" s="166"/>
      <c r="BF180" s="166"/>
      <c r="BG180" s="166"/>
      <c r="BH180" s="166"/>
      <c r="BI180" s="166"/>
      <c r="BJ180" s="166"/>
      <c r="BK180" s="166"/>
      <c r="BL180" s="166"/>
      <c r="BM180" s="166"/>
      <c r="BN180" s="166"/>
    </row>
    <row r="181" spans="2:66" ht="15" thickBot="1" x14ac:dyDescent="0.3">
      <c r="B181" s="839"/>
      <c r="C181" s="801"/>
      <c r="D181" s="801"/>
      <c r="E181" s="801"/>
      <c r="F181" s="801"/>
      <c r="G181" s="824"/>
      <c r="H181" s="824"/>
      <c r="I181" s="824"/>
      <c r="J181" s="824"/>
      <c r="K181" s="824"/>
      <c r="L181" s="824"/>
      <c r="M181" s="824"/>
      <c r="N181" s="824"/>
      <c r="O181" s="824"/>
      <c r="P181" s="824"/>
      <c r="Q181" s="824"/>
      <c r="R181" s="824"/>
      <c r="S181" s="824"/>
      <c r="T181" s="824"/>
      <c r="U181" s="824"/>
      <c r="V181" s="824"/>
      <c r="W181" s="824"/>
      <c r="X181" s="824"/>
      <c r="Y181" s="824"/>
      <c r="Z181" s="824"/>
      <c r="AA181" s="824"/>
      <c r="AB181" s="824"/>
      <c r="AC181" s="824"/>
      <c r="AD181" s="824"/>
      <c r="AE181" s="824"/>
      <c r="AF181" s="824"/>
      <c r="AG181" s="824"/>
      <c r="AH181" s="824"/>
      <c r="AI181" s="824"/>
      <c r="AJ181" s="824"/>
      <c r="AK181" s="824"/>
      <c r="AL181" s="824"/>
      <c r="AM181" s="824"/>
      <c r="AN181" s="824"/>
      <c r="AO181" s="824"/>
      <c r="AP181" s="824"/>
      <c r="AQ181" s="824"/>
      <c r="AR181" s="824"/>
      <c r="AS181" s="824"/>
      <c r="AT181" s="824"/>
      <c r="AU181" s="166"/>
      <c r="AV181" s="166"/>
      <c r="AW181" s="166"/>
      <c r="AX181" s="166"/>
      <c r="AY181" s="166"/>
      <c r="AZ181" s="166"/>
      <c r="BA181" s="166"/>
      <c r="BB181" s="166"/>
      <c r="BC181" s="166"/>
      <c r="BD181" s="166"/>
      <c r="BE181" s="166"/>
      <c r="BF181" s="166"/>
      <c r="BG181" s="166"/>
      <c r="BH181" s="166"/>
      <c r="BI181" s="166"/>
      <c r="BJ181" s="166"/>
      <c r="BK181" s="166"/>
      <c r="BL181" s="166"/>
      <c r="BM181" s="166"/>
      <c r="BN181" s="166"/>
    </row>
    <row r="182" spans="2:66" ht="14.4" x14ac:dyDescent="0.25">
      <c r="B182" s="835" t="s">
        <v>397</v>
      </c>
      <c r="C182" s="818"/>
      <c r="D182" s="818"/>
      <c r="E182" s="818"/>
      <c r="F182" s="818"/>
      <c r="G182" s="818"/>
      <c r="H182" s="818"/>
      <c r="I182" s="818"/>
      <c r="J182" s="818"/>
      <c r="K182" s="818"/>
      <c r="L182" s="818"/>
      <c r="M182" s="818"/>
      <c r="N182" s="818"/>
      <c r="O182" s="818"/>
      <c r="P182" s="818"/>
      <c r="Q182" s="818"/>
      <c r="R182" s="818"/>
      <c r="S182" s="818"/>
      <c r="T182" s="818"/>
      <c r="U182" s="818"/>
      <c r="V182" s="818"/>
      <c r="W182" s="818"/>
      <c r="X182" s="818"/>
      <c r="Y182" s="818"/>
      <c r="Z182" s="818"/>
      <c r="AA182" s="818"/>
      <c r="AB182" s="818"/>
      <c r="AC182" s="818"/>
      <c r="AD182" s="818"/>
      <c r="AE182" s="818"/>
      <c r="AF182" s="818"/>
      <c r="AG182" s="818"/>
      <c r="AH182" s="818"/>
      <c r="AI182" s="818"/>
      <c r="AJ182" s="818"/>
      <c r="AK182" s="818"/>
      <c r="AL182" s="818"/>
      <c r="AM182" s="818"/>
      <c r="AN182" s="818"/>
      <c r="AO182" s="818"/>
      <c r="AP182" s="818"/>
      <c r="AQ182" s="818"/>
      <c r="AR182" s="818"/>
      <c r="AS182" s="818"/>
      <c r="AT182" s="819"/>
      <c r="AU182" s="166"/>
      <c r="AV182" s="166"/>
      <c r="AW182" s="166"/>
      <c r="AX182" s="166"/>
      <c r="AY182" s="166"/>
      <c r="AZ182" s="166"/>
      <c r="BA182" s="166"/>
      <c r="BB182" s="166"/>
      <c r="BC182" s="166"/>
      <c r="BD182" s="166"/>
      <c r="BE182" s="166"/>
      <c r="BF182" s="166"/>
      <c r="BG182" s="166"/>
      <c r="BH182" s="166"/>
      <c r="BI182" s="166"/>
      <c r="BJ182" s="166"/>
      <c r="BK182" s="166"/>
      <c r="BL182" s="166"/>
      <c r="BM182" s="166"/>
      <c r="BN182" s="166"/>
    </row>
    <row r="183" spans="2:66" x14ac:dyDescent="0.25">
      <c r="B183" s="836" t="s">
        <v>442</v>
      </c>
      <c r="C183" s="268">
        <v>0</v>
      </c>
      <c r="D183" s="268">
        <v>0</v>
      </c>
      <c r="E183" s="268">
        <v>0</v>
      </c>
      <c r="F183" s="268">
        <v>0</v>
      </c>
      <c r="G183" s="178">
        <f>G180</f>
        <v>63970.332302829716</v>
      </c>
      <c r="H183" s="178">
        <f t="shared" ref="H183:AT183" si="69">H180</f>
        <v>741656.05146220885</v>
      </c>
      <c r="I183" s="178">
        <f t="shared" si="69"/>
        <v>1185806.5781877912</v>
      </c>
      <c r="J183" s="178">
        <f t="shared" si="69"/>
        <v>1156883.8787878323</v>
      </c>
      <c r="K183" s="178">
        <f t="shared" si="69"/>
        <v>-3429793.3608435532</v>
      </c>
      <c r="L183" s="178">
        <f t="shared" si="69"/>
        <v>1277614.8107848861</v>
      </c>
      <c r="M183" s="178">
        <f t="shared" si="69"/>
        <v>1438644.4798330627</v>
      </c>
      <c r="N183" s="178">
        <f t="shared" si="69"/>
        <v>1381247.4799925759</v>
      </c>
      <c r="O183" s="178">
        <f t="shared" si="69"/>
        <v>1525715.155804635</v>
      </c>
      <c r="P183" s="178">
        <f t="shared" si="69"/>
        <v>-3740937.6115301996</v>
      </c>
      <c r="Q183" s="178">
        <f t="shared" si="69"/>
        <v>1617037.9947444443</v>
      </c>
      <c r="R183" s="178">
        <f t="shared" si="69"/>
        <v>1553210.5879767314</v>
      </c>
      <c r="S183" s="178">
        <f t="shared" si="69"/>
        <v>1687989.9998399019</v>
      </c>
      <c r="T183" s="178">
        <f t="shared" si="69"/>
        <v>1595881.0668221917</v>
      </c>
      <c r="U183" s="178">
        <f t="shared" si="69"/>
        <v>-3984482.7506664759</v>
      </c>
      <c r="V183" s="178">
        <f t="shared" si="69"/>
        <v>1638965.8822065257</v>
      </c>
      <c r="W183" s="178">
        <f t="shared" si="69"/>
        <v>1784098.8881560909</v>
      </c>
      <c r="X183" s="178">
        <f t="shared" si="69"/>
        <v>1722826.2571580401</v>
      </c>
      <c r="Y183" s="178">
        <f t="shared" si="69"/>
        <v>1917099.0184878372</v>
      </c>
      <c r="Z183" s="178">
        <f t="shared" si="69"/>
        <v>-4432816.0821387107</v>
      </c>
      <c r="AA183" s="178">
        <f t="shared" si="69"/>
        <v>2057362.673880714</v>
      </c>
      <c r="AB183" s="178">
        <f t="shared" si="69"/>
        <v>1988816.3911395362</v>
      </c>
      <c r="AC183" s="178">
        <f t="shared" si="69"/>
        <v>2151098.2665319545</v>
      </c>
      <c r="AD183" s="178">
        <f t="shared" si="69"/>
        <v>2024472.109751381</v>
      </c>
      <c r="AE183" s="178">
        <f t="shared" si="69"/>
        <v>-4713668.4081604714</v>
      </c>
      <c r="AF183" s="178">
        <f t="shared" si="69"/>
        <v>2059108.5130330194</v>
      </c>
      <c r="AG183" s="178">
        <f t="shared" si="69"/>
        <v>2232224.8077133074</v>
      </c>
      <c r="AH183" s="178">
        <f t="shared" si="69"/>
        <v>2092548.3945926856</v>
      </c>
      <c r="AI183" s="178">
        <f t="shared" si="69"/>
        <v>2271307.3132418748</v>
      </c>
      <c r="AJ183" s="178">
        <f t="shared" si="69"/>
        <v>-5463117.1603534501</v>
      </c>
      <c r="AK183" s="178">
        <f t="shared" si="69"/>
        <v>2309154.561162049</v>
      </c>
      <c r="AL183" s="178">
        <f t="shared" si="69"/>
        <v>2155055.1183806527</v>
      </c>
      <c r="AM183" s="178">
        <f t="shared" si="69"/>
        <v>2345560.9019398373</v>
      </c>
      <c r="AN183" s="178">
        <f t="shared" si="69"/>
        <v>2183689.7781050969</v>
      </c>
      <c r="AO183" s="178">
        <f t="shared" si="69"/>
        <v>-5956711.1493219808</v>
      </c>
      <c r="AP183" s="178">
        <f t="shared" si="69"/>
        <v>2210261.3145667994</v>
      </c>
      <c r="AQ183" s="178">
        <f t="shared" si="69"/>
        <v>2413142.1932746004</v>
      </c>
      <c r="AR183" s="178">
        <f t="shared" si="69"/>
        <v>2234508.0338429958</v>
      </c>
      <c r="AS183" s="178">
        <f t="shared" si="69"/>
        <v>2443816.1831190027</v>
      </c>
      <c r="AT183" s="265">
        <f t="shared" si="69"/>
        <v>-6904162.1504069716</v>
      </c>
      <c r="AU183" s="166"/>
      <c r="AV183" s="166"/>
      <c r="AW183" s="166"/>
      <c r="AX183" s="166"/>
      <c r="AY183" s="166"/>
      <c r="AZ183" s="166"/>
      <c r="BA183" s="166"/>
      <c r="BB183" s="166"/>
      <c r="BC183" s="166"/>
      <c r="BD183" s="166"/>
      <c r="BE183" s="166"/>
      <c r="BF183" s="166"/>
      <c r="BG183" s="166"/>
      <c r="BH183" s="166"/>
      <c r="BI183" s="166"/>
      <c r="BJ183" s="166"/>
      <c r="BK183" s="166"/>
      <c r="BL183" s="166"/>
      <c r="BM183" s="166"/>
      <c r="BN183" s="166"/>
    </row>
    <row r="184" spans="2:66" x14ac:dyDescent="0.25">
      <c r="B184" s="836" t="s">
        <v>440</v>
      </c>
      <c r="C184" s="268">
        <v>0</v>
      </c>
      <c r="D184" s="268">
        <v>0</v>
      </c>
      <c r="E184" s="268">
        <v>0</v>
      </c>
      <c r="F184" s="268">
        <v>0</v>
      </c>
      <c r="G184" s="178">
        <f>IF(G183&gt;0,-$C$23*G183,0)</f>
        <v>0</v>
      </c>
      <c r="H184" s="178">
        <f t="shared" ref="H184:AT184" si="70">IF(H183&gt;0,-$C$23*H183,0)</f>
        <v>0</v>
      </c>
      <c r="I184" s="178">
        <f t="shared" si="70"/>
        <v>0</v>
      </c>
      <c r="J184" s="178">
        <f t="shared" si="70"/>
        <v>0</v>
      </c>
      <c r="K184" s="178">
        <f t="shared" si="70"/>
        <v>0</v>
      </c>
      <c r="L184" s="178">
        <f t="shared" si="70"/>
        <v>0</v>
      </c>
      <c r="M184" s="178">
        <f t="shared" si="70"/>
        <v>0</v>
      </c>
      <c r="N184" s="178">
        <f t="shared" si="70"/>
        <v>0</v>
      </c>
      <c r="O184" s="178">
        <f t="shared" si="70"/>
        <v>0</v>
      </c>
      <c r="P184" s="178">
        <f t="shared" si="70"/>
        <v>0</v>
      </c>
      <c r="Q184" s="178">
        <f t="shared" si="70"/>
        <v>0</v>
      </c>
      <c r="R184" s="178">
        <f t="shared" si="70"/>
        <v>0</v>
      </c>
      <c r="S184" s="178">
        <f t="shared" si="70"/>
        <v>0</v>
      </c>
      <c r="T184" s="178">
        <f t="shared" si="70"/>
        <v>0</v>
      </c>
      <c r="U184" s="178">
        <f t="shared" si="70"/>
        <v>0</v>
      </c>
      <c r="V184" s="178">
        <f t="shared" si="70"/>
        <v>0</v>
      </c>
      <c r="W184" s="178">
        <f t="shared" si="70"/>
        <v>0</v>
      </c>
      <c r="X184" s="178">
        <f t="shared" si="70"/>
        <v>0</v>
      </c>
      <c r="Y184" s="178">
        <f t="shared" si="70"/>
        <v>0</v>
      </c>
      <c r="Z184" s="178">
        <f t="shared" si="70"/>
        <v>0</v>
      </c>
      <c r="AA184" s="178">
        <f t="shared" si="70"/>
        <v>0</v>
      </c>
      <c r="AB184" s="178">
        <f t="shared" si="70"/>
        <v>0</v>
      </c>
      <c r="AC184" s="178">
        <f t="shared" si="70"/>
        <v>0</v>
      </c>
      <c r="AD184" s="178">
        <f t="shared" si="70"/>
        <v>0</v>
      </c>
      <c r="AE184" s="178">
        <f t="shared" si="70"/>
        <v>0</v>
      </c>
      <c r="AF184" s="178">
        <f t="shared" si="70"/>
        <v>0</v>
      </c>
      <c r="AG184" s="178">
        <f t="shared" si="70"/>
        <v>0</v>
      </c>
      <c r="AH184" s="178">
        <f t="shared" si="70"/>
        <v>0</v>
      </c>
      <c r="AI184" s="178">
        <f t="shared" si="70"/>
        <v>0</v>
      </c>
      <c r="AJ184" s="178">
        <f t="shared" si="70"/>
        <v>0</v>
      </c>
      <c r="AK184" s="178">
        <f t="shared" si="70"/>
        <v>0</v>
      </c>
      <c r="AL184" s="178">
        <f t="shared" si="70"/>
        <v>0</v>
      </c>
      <c r="AM184" s="178">
        <f t="shared" si="70"/>
        <v>0</v>
      </c>
      <c r="AN184" s="178">
        <f t="shared" si="70"/>
        <v>0</v>
      </c>
      <c r="AO184" s="178">
        <f t="shared" si="70"/>
        <v>0</v>
      </c>
      <c r="AP184" s="178">
        <f t="shared" si="70"/>
        <v>0</v>
      </c>
      <c r="AQ184" s="178">
        <f t="shared" si="70"/>
        <v>0</v>
      </c>
      <c r="AR184" s="178">
        <f t="shared" si="70"/>
        <v>0</v>
      </c>
      <c r="AS184" s="178">
        <f t="shared" si="70"/>
        <v>0</v>
      </c>
      <c r="AT184" s="265">
        <f t="shared" si="70"/>
        <v>0</v>
      </c>
      <c r="AU184" s="166"/>
      <c r="AV184" s="166"/>
      <c r="AW184" s="166"/>
      <c r="AX184" s="166"/>
      <c r="AY184" s="166"/>
      <c r="AZ184" s="166"/>
      <c r="BA184" s="166"/>
      <c r="BB184" s="166"/>
      <c r="BC184" s="166"/>
      <c r="BD184" s="166"/>
      <c r="BE184" s="166"/>
      <c r="BF184" s="166"/>
      <c r="BG184" s="166"/>
      <c r="BH184" s="166"/>
      <c r="BI184" s="166"/>
      <c r="BJ184" s="166"/>
      <c r="BK184" s="166"/>
      <c r="BL184" s="166"/>
      <c r="BM184" s="166"/>
      <c r="BN184" s="166"/>
    </row>
    <row r="185" spans="2:66" ht="14.4" x14ac:dyDescent="0.25">
      <c r="B185" s="840" t="s">
        <v>175</v>
      </c>
      <c r="C185" s="800">
        <v>0</v>
      </c>
      <c r="D185" s="800">
        <v>0</v>
      </c>
      <c r="E185" s="800">
        <v>0</v>
      </c>
      <c r="F185" s="800">
        <v>0</v>
      </c>
      <c r="G185" s="261">
        <f>G167</f>
        <v>-3190596.5206691762</v>
      </c>
      <c r="H185" s="261">
        <f t="shared" ref="H185:AT185" si="71">H167</f>
        <v>-3190596.5206691762</v>
      </c>
      <c r="I185" s="261">
        <f t="shared" si="71"/>
        <v>-3190596.5206691762</v>
      </c>
      <c r="J185" s="261">
        <f t="shared" si="71"/>
        <v>-3190596.5206691762</v>
      </c>
      <c r="K185" s="261">
        <f t="shared" si="71"/>
        <v>-3190596.5206691762</v>
      </c>
      <c r="L185" s="261">
        <f t="shared" si="71"/>
        <v>-3018004.6382407546</v>
      </c>
      <c r="M185" s="261">
        <f t="shared" si="71"/>
        <v>-3018004.6382407546</v>
      </c>
      <c r="N185" s="261">
        <f t="shared" si="71"/>
        <v>-3018004.6382407546</v>
      </c>
      <c r="O185" s="261">
        <f t="shared" si="71"/>
        <v>-3018004.6382407546</v>
      </c>
      <c r="P185" s="261">
        <f t="shared" si="71"/>
        <v>-3018004.6382407546</v>
      </c>
      <c r="Q185" s="261">
        <f t="shared" si="71"/>
        <v>-2730297.5196809703</v>
      </c>
      <c r="R185" s="261">
        <f t="shared" si="71"/>
        <v>-3089270.1647581775</v>
      </c>
      <c r="S185" s="261">
        <f t="shared" si="71"/>
        <v>-3089270.1647581775</v>
      </c>
      <c r="T185" s="261">
        <f t="shared" si="71"/>
        <v>-3089270.1647581775</v>
      </c>
      <c r="U185" s="261">
        <f t="shared" si="71"/>
        <v>-3089270.1647581775</v>
      </c>
      <c r="V185" s="261">
        <f t="shared" si="71"/>
        <v>-2321770.1453197817</v>
      </c>
      <c r="W185" s="261">
        <f t="shared" si="71"/>
        <v>-2321770.1453197817</v>
      </c>
      <c r="X185" s="261">
        <f t="shared" si="71"/>
        <v>-3400967.9714049036</v>
      </c>
      <c r="Y185" s="261">
        <f t="shared" si="71"/>
        <v>-3400967.9714049036</v>
      </c>
      <c r="Z185" s="261">
        <f t="shared" si="71"/>
        <v>-3400967.9714049036</v>
      </c>
      <c r="AA185" s="261">
        <f t="shared" si="71"/>
        <v>-3400967.9714049036</v>
      </c>
      <c r="AB185" s="261">
        <f t="shared" si="71"/>
        <v>-3400967.9714049036</v>
      </c>
      <c r="AC185" s="261">
        <f t="shared" si="71"/>
        <v>-3487432.5990548981</v>
      </c>
      <c r="AD185" s="261">
        <f t="shared" si="71"/>
        <v>-3487432.5990548981</v>
      </c>
      <c r="AE185" s="261">
        <f t="shared" si="71"/>
        <v>-3487432.5990548981</v>
      </c>
      <c r="AF185" s="261">
        <f t="shared" si="71"/>
        <v>-3487432.5990548981</v>
      </c>
      <c r="AG185" s="261">
        <f t="shared" si="71"/>
        <v>-3487432.5990548981</v>
      </c>
      <c r="AH185" s="261">
        <f t="shared" si="71"/>
        <v>-3487432.5990548981</v>
      </c>
      <c r="AI185" s="261">
        <f t="shared" si="71"/>
        <v>-3487432.5990548981</v>
      </c>
      <c r="AJ185" s="261">
        <f t="shared" si="71"/>
        <v>-3487432.5990548981</v>
      </c>
      <c r="AK185" s="261">
        <f t="shared" si="71"/>
        <v>-3487432.5990548981</v>
      </c>
      <c r="AL185" s="261">
        <f t="shared" si="71"/>
        <v>-3487432.5990548981</v>
      </c>
      <c r="AM185" s="261">
        <f t="shared" si="71"/>
        <v>-2408234.7729697763</v>
      </c>
      <c r="AN185" s="261">
        <f t="shared" si="71"/>
        <v>-1962797.5002425744</v>
      </c>
      <c r="AO185" s="261">
        <f t="shared" si="71"/>
        <v>-3935665.6732037212</v>
      </c>
      <c r="AP185" s="261">
        <f t="shared" si="71"/>
        <v>-3935665.6732037212</v>
      </c>
      <c r="AQ185" s="261">
        <f t="shared" si="71"/>
        <v>-3935665.6732037212</v>
      </c>
      <c r="AR185" s="261">
        <f t="shared" si="71"/>
        <v>-3935665.6732037212</v>
      </c>
      <c r="AS185" s="261">
        <f t="shared" si="71"/>
        <v>-3935665.6732037212</v>
      </c>
      <c r="AT185" s="266">
        <f t="shared" si="71"/>
        <v>-3935665.6732037212</v>
      </c>
      <c r="AU185" s="166"/>
      <c r="AV185" s="166"/>
      <c r="AW185" s="166"/>
      <c r="AX185" s="166"/>
      <c r="AY185" s="166"/>
      <c r="AZ185" s="166"/>
      <c r="BA185" s="166"/>
      <c r="BB185" s="166"/>
      <c r="BC185" s="166"/>
      <c r="BD185" s="166"/>
      <c r="BE185" s="166"/>
      <c r="BF185" s="166"/>
      <c r="BG185" s="166"/>
      <c r="BH185" s="166"/>
      <c r="BI185" s="166"/>
      <c r="BJ185" s="166"/>
      <c r="BK185" s="166"/>
      <c r="BL185" s="166"/>
      <c r="BM185" s="166"/>
      <c r="BN185" s="166"/>
    </row>
    <row r="186" spans="2:66" x14ac:dyDescent="0.25">
      <c r="B186" s="836" t="s">
        <v>444</v>
      </c>
      <c r="C186" s="268">
        <v>0</v>
      </c>
      <c r="D186" s="268">
        <v>0</v>
      </c>
      <c r="E186" s="268">
        <v>0</v>
      </c>
      <c r="F186" s="268">
        <v>0</v>
      </c>
      <c r="G186" s="178">
        <f t="shared" ref="G186:AT186" si="72">G183+G184+G185</f>
        <v>-3126626.1883663465</v>
      </c>
      <c r="H186" s="178">
        <f t="shared" si="72"/>
        <v>-2448940.4692069674</v>
      </c>
      <c r="I186" s="178">
        <f t="shared" si="72"/>
        <v>-2004789.9424813851</v>
      </c>
      <c r="J186" s="178">
        <f t="shared" si="72"/>
        <v>-2033712.6418813439</v>
      </c>
      <c r="K186" s="178">
        <f t="shared" si="72"/>
        <v>-6620389.8815127295</v>
      </c>
      <c r="L186" s="178">
        <f t="shared" si="72"/>
        <v>-1740389.8274558685</v>
      </c>
      <c r="M186" s="178">
        <f t="shared" si="72"/>
        <v>-1579360.1584076919</v>
      </c>
      <c r="N186" s="178">
        <f t="shared" si="72"/>
        <v>-1636757.1582481787</v>
      </c>
      <c r="O186" s="178">
        <f t="shared" si="72"/>
        <v>-1492289.4824361196</v>
      </c>
      <c r="P186" s="178">
        <f t="shared" si="72"/>
        <v>-6758942.2497709543</v>
      </c>
      <c r="Q186" s="178">
        <f t="shared" si="72"/>
        <v>-1113259.5249365261</v>
      </c>
      <c r="R186" s="178">
        <f t="shared" si="72"/>
        <v>-1536059.5767814461</v>
      </c>
      <c r="S186" s="178">
        <f t="shared" si="72"/>
        <v>-1401280.1649182756</v>
      </c>
      <c r="T186" s="178">
        <f t="shared" si="72"/>
        <v>-1493389.0979359858</v>
      </c>
      <c r="U186" s="178">
        <f t="shared" si="72"/>
        <v>-7073752.9154246533</v>
      </c>
      <c r="V186" s="178">
        <f t="shared" si="72"/>
        <v>-682804.26311325608</v>
      </c>
      <c r="W186" s="178">
        <f t="shared" si="72"/>
        <v>-537671.25716369087</v>
      </c>
      <c r="X186" s="178">
        <f t="shared" si="72"/>
        <v>-1678141.7142468635</v>
      </c>
      <c r="Y186" s="178">
        <f t="shared" si="72"/>
        <v>-1483868.9529170664</v>
      </c>
      <c r="Z186" s="178">
        <f t="shared" si="72"/>
        <v>-7833784.0535436142</v>
      </c>
      <c r="AA186" s="178">
        <f t="shared" si="72"/>
        <v>-1343605.2975241896</v>
      </c>
      <c r="AB186" s="178">
        <f t="shared" si="72"/>
        <v>-1412151.5802653674</v>
      </c>
      <c r="AC186" s="178">
        <f t="shared" si="72"/>
        <v>-1336334.3325229436</v>
      </c>
      <c r="AD186" s="178">
        <f t="shared" si="72"/>
        <v>-1462960.4893035172</v>
      </c>
      <c r="AE186" s="178">
        <f t="shared" si="72"/>
        <v>-8201101.0072153695</v>
      </c>
      <c r="AF186" s="178">
        <f t="shared" si="72"/>
        <v>-1428324.0860218788</v>
      </c>
      <c r="AG186" s="178">
        <f t="shared" si="72"/>
        <v>-1255207.7913415907</v>
      </c>
      <c r="AH186" s="178">
        <f t="shared" si="72"/>
        <v>-1394884.2044622125</v>
      </c>
      <c r="AI186" s="178">
        <f t="shared" si="72"/>
        <v>-1216125.2858130233</v>
      </c>
      <c r="AJ186" s="178">
        <f t="shared" si="72"/>
        <v>-8950549.7594083473</v>
      </c>
      <c r="AK186" s="178">
        <f t="shared" si="72"/>
        <v>-1178278.0378928492</v>
      </c>
      <c r="AL186" s="178">
        <f t="shared" si="72"/>
        <v>-1332377.4806742454</v>
      </c>
      <c r="AM186" s="178">
        <f t="shared" si="72"/>
        <v>-62673.871029939037</v>
      </c>
      <c r="AN186" s="178">
        <f t="shared" si="72"/>
        <v>220892.27786252252</v>
      </c>
      <c r="AO186" s="178">
        <f t="shared" si="72"/>
        <v>-9892376.8225257024</v>
      </c>
      <c r="AP186" s="178">
        <f t="shared" si="72"/>
        <v>-1725404.3586369217</v>
      </c>
      <c r="AQ186" s="178">
        <f t="shared" si="72"/>
        <v>-1522523.4799291207</v>
      </c>
      <c r="AR186" s="178">
        <f t="shared" si="72"/>
        <v>-1701157.6393607254</v>
      </c>
      <c r="AS186" s="178">
        <f t="shared" si="72"/>
        <v>-1491849.4900847184</v>
      </c>
      <c r="AT186" s="265">
        <f t="shared" si="72"/>
        <v>-10839827.823610693</v>
      </c>
      <c r="AU186" s="166"/>
      <c r="AV186" s="166"/>
      <c r="AW186" s="166"/>
      <c r="AX186" s="166"/>
      <c r="AY186" s="166"/>
      <c r="AZ186" s="166"/>
      <c r="BA186" s="166"/>
      <c r="BB186" s="166"/>
      <c r="BC186" s="166"/>
      <c r="BD186" s="166"/>
      <c r="BE186" s="166"/>
      <c r="BF186" s="166"/>
      <c r="BG186" s="166"/>
      <c r="BH186" s="166"/>
      <c r="BI186" s="166"/>
      <c r="BJ186" s="166"/>
      <c r="BK186" s="166"/>
      <c r="BL186" s="166"/>
      <c r="BM186" s="166"/>
      <c r="BN186" s="166"/>
    </row>
    <row r="187" spans="2:66" x14ac:dyDescent="0.25">
      <c r="B187" s="836" t="s">
        <v>443</v>
      </c>
      <c r="C187" s="268">
        <v>0</v>
      </c>
      <c r="D187" s="268">
        <v>0</v>
      </c>
      <c r="E187" s="268">
        <v>0</v>
      </c>
      <c r="F187" s="268">
        <v>0</v>
      </c>
      <c r="G187" s="178">
        <f>IF(G186&gt;0,-$C$24*G186,0)</f>
        <v>0</v>
      </c>
      <c r="H187" s="178">
        <f t="shared" ref="H187:AT187" si="73">IF(H186&gt;0,-$C$24*H186,0)</f>
        <v>0</v>
      </c>
      <c r="I187" s="178">
        <f t="shared" si="73"/>
        <v>0</v>
      </c>
      <c r="J187" s="178">
        <f t="shared" si="73"/>
        <v>0</v>
      </c>
      <c r="K187" s="178">
        <f t="shared" si="73"/>
        <v>0</v>
      </c>
      <c r="L187" s="178">
        <f t="shared" si="73"/>
        <v>0</v>
      </c>
      <c r="M187" s="178">
        <f t="shared" si="73"/>
        <v>0</v>
      </c>
      <c r="N187" s="178">
        <f t="shared" si="73"/>
        <v>0</v>
      </c>
      <c r="O187" s="178">
        <f t="shared" si="73"/>
        <v>0</v>
      </c>
      <c r="P187" s="178">
        <f t="shared" si="73"/>
        <v>0</v>
      </c>
      <c r="Q187" s="178">
        <f t="shared" si="73"/>
        <v>0</v>
      </c>
      <c r="R187" s="178">
        <f t="shared" si="73"/>
        <v>0</v>
      </c>
      <c r="S187" s="178">
        <f t="shared" si="73"/>
        <v>0</v>
      </c>
      <c r="T187" s="178">
        <f t="shared" si="73"/>
        <v>0</v>
      </c>
      <c r="U187" s="178">
        <f t="shared" si="73"/>
        <v>0</v>
      </c>
      <c r="V187" s="178">
        <f t="shared" si="73"/>
        <v>0</v>
      </c>
      <c r="W187" s="178">
        <f t="shared" si="73"/>
        <v>0</v>
      </c>
      <c r="X187" s="178">
        <f t="shared" si="73"/>
        <v>0</v>
      </c>
      <c r="Y187" s="178">
        <f t="shared" si="73"/>
        <v>0</v>
      </c>
      <c r="Z187" s="178">
        <f t="shared" si="73"/>
        <v>0</v>
      </c>
      <c r="AA187" s="178">
        <f t="shared" si="73"/>
        <v>0</v>
      </c>
      <c r="AB187" s="178">
        <f t="shared" si="73"/>
        <v>0</v>
      </c>
      <c r="AC187" s="178">
        <f t="shared" si="73"/>
        <v>0</v>
      </c>
      <c r="AD187" s="178">
        <f t="shared" si="73"/>
        <v>0</v>
      </c>
      <c r="AE187" s="178">
        <f t="shared" si="73"/>
        <v>0</v>
      </c>
      <c r="AF187" s="178">
        <f t="shared" si="73"/>
        <v>0</v>
      </c>
      <c r="AG187" s="178">
        <f t="shared" si="73"/>
        <v>0</v>
      </c>
      <c r="AH187" s="178">
        <f t="shared" si="73"/>
        <v>0</v>
      </c>
      <c r="AI187" s="178">
        <f t="shared" si="73"/>
        <v>0</v>
      </c>
      <c r="AJ187" s="178">
        <f t="shared" si="73"/>
        <v>0</v>
      </c>
      <c r="AK187" s="178">
        <f t="shared" si="73"/>
        <v>0</v>
      </c>
      <c r="AL187" s="178">
        <f t="shared" si="73"/>
        <v>0</v>
      </c>
      <c r="AM187" s="178">
        <f t="shared" si="73"/>
        <v>0</v>
      </c>
      <c r="AN187" s="178">
        <f t="shared" si="73"/>
        <v>-77312.297251882876</v>
      </c>
      <c r="AO187" s="178">
        <f t="shared" si="73"/>
        <v>0</v>
      </c>
      <c r="AP187" s="178">
        <f t="shared" si="73"/>
        <v>0</v>
      </c>
      <c r="AQ187" s="178">
        <f t="shared" si="73"/>
        <v>0</v>
      </c>
      <c r="AR187" s="178">
        <f t="shared" si="73"/>
        <v>0</v>
      </c>
      <c r="AS187" s="178">
        <f t="shared" si="73"/>
        <v>0</v>
      </c>
      <c r="AT187" s="265">
        <f t="shared" si="73"/>
        <v>0</v>
      </c>
      <c r="AU187" s="166"/>
      <c r="AV187" s="166"/>
      <c r="AW187" s="166"/>
      <c r="AX187" s="166"/>
      <c r="AY187" s="166"/>
      <c r="AZ187" s="166"/>
      <c r="BA187" s="166"/>
      <c r="BB187" s="166"/>
      <c r="BC187" s="166"/>
      <c r="BD187" s="166"/>
      <c r="BE187" s="166"/>
      <c r="BF187" s="166"/>
      <c r="BG187" s="166"/>
      <c r="BH187" s="166"/>
      <c r="BI187" s="166"/>
      <c r="BJ187" s="166"/>
      <c r="BK187" s="166"/>
      <c r="BL187" s="166"/>
      <c r="BM187" s="166"/>
      <c r="BN187" s="166"/>
    </row>
    <row r="188" spans="2:66" ht="14.4" x14ac:dyDescent="0.25">
      <c r="B188" s="841" t="s">
        <v>445</v>
      </c>
      <c r="C188" s="801">
        <v>0</v>
      </c>
      <c r="D188" s="801">
        <v>0</v>
      </c>
      <c r="E188" s="801">
        <v>0</v>
      </c>
      <c r="F188" s="801">
        <v>0</v>
      </c>
      <c r="G188" s="262">
        <f>G186+G187</f>
        <v>-3126626.1883663465</v>
      </c>
      <c r="H188" s="262">
        <f t="shared" ref="H188:AT188" si="74">H186+H187</f>
        <v>-2448940.4692069674</v>
      </c>
      <c r="I188" s="262">
        <f t="shared" si="74"/>
        <v>-2004789.9424813851</v>
      </c>
      <c r="J188" s="262">
        <f t="shared" si="74"/>
        <v>-2033712.6418813439</v>
      </c>
      <c r="K188" s="262">
        <f t="shared" si="74"/>
        <v>-6620389.8815127295</v>
      </c>
      <c r="L188" s="262">
        <f t="shared" si="74"/>
        <v>-1740389.8274558685</v>
      </c>
      <c r="M188" s="262">
        <f t="shared" si="74"/>
        <v>-1579360.1584076919</v>
      </c>
      <c r="N188" s="262">
        <f t="shared" si="74"/>
        <v>-1636757.1582481787</v>
      </c>
      <c r="O188" s="262">
        <f t="shared" si="74"/>
        <v>-1492289.4824361196</v>
      </c>
      <c r="P188" s="262">
        <f t="shared" si="74"/>
        <v>-6758942.2497709543</v>
      </c>
      <c r="Q188" s="262">
        <f t="shared" si="74"/>
        <v>-1113259.5249365261</v>
      </c>
      <c r="R188" s="262">
        <f t="shared" si="74"/>
        <v>-1536059.5767814461</v>
      </c>
      <c r="S188" s="262">
        <f t="shared" si="74"/>
        <v>-1401280.1649182756</v>
      </c>
      <c r="T188" s="262">
        <f t="shared" si="74"/>
        <v>-1493389.0979359858</v>
      </c>
      <c r="U188" s="262">
        <f t="shared" si="74"/>
        <v>-7073752.9154246533</v>
      </c>
      <c r="V188" s="262">
        <f t="shared" si="74"/>
        <v>-682804.26311325608</v>
      </c>
      <c r="W188" s="262">
        <f t="shared" si="74"/>
        <v>-537671.25716369087</v>
      </c>
      <c r="X188" s="262">
        <f t="shared" si="74"/>
        <v>-1678141.7142468635</v>
      </c>
      <c r="Y188" s="262">
        <f t="shared" si="74"/>
        <v>-1483868.9529170664</v>
      </c>
      <c r="Z188" s="262">
        <f t="shared" si="74"/>
        <v>-7833784.0535436142</v>
      </c>
      <c r="AA188" s="262">
        <f t="shared" si="74"/>
        <v>-1343605.2975241896</v>
      </c>
      <c r="AB188" s="262">
        <f t="shared" si="74"/>
        <v>-1412151.5802653674</v>
      </c>
      <c r="AC188" s="262">
        <f t="shared" si="74"/>
        <v>-1336334.3325229436</v>
      </c>
      <c r="AD188" s="262">
        <f t="shared" si="74"/>
        <v>-1462960.4893035172</v>
      </c>
      <c r="AE188" s="262">
        <f t="shared" si="74"/>
        <v>-8201101.0072153695</v>
      </c>
      <c r="AF188" s="262">
        <f t="shared" si="74"/>
        <v>-1428324.0860218788</v>
      </c>
      <c r="AG188" s="262">
        <f t="shared" si="74"/>
        <v>-1255207.7913415907</v>
      </c>
      <c r="AH188" s="262">
        <f t="shared" si="74"/>
        <v>-1394884.2044622125</v>
      </c>
      <c r="AI188" s="262">
        <f t="shared" si="74"/>
        <v>-1216125.2858130233</v>
      </c>
      <c r="AJ188" s="262">
        <f t="shared" si="74"/>
        <v>-8950549.7594083473</v>
      </c>
      <c r="AK188" s="262">
        <f t="shared" si="74"/>
        <v>-1178278.0378928492</v>
      </c>
      <c r="AL188" s="262">
        <f t="shared" si="74"/>
        <v>-1332377.4806742454</v>
      </c>
      <c r="AM188" s="262">
        <f t="shared" si="74"/>
        <v>-62673.871029939037</v>
      </c>
      <c r="AN188" s="262">
        <f t="shared" si="74"/>
        <v>143579.98061063964</v>
      </c>
      <c r="AO188" s="262">
        <f t="shared" si="74"/>
        <v>-9892376.8225257024</v>
      </c>
      <c r="AP188" s="262">
        <f t="shared" si="74"/>
        <v>-1725404.3586369217</v>
      </c>
      <c r="AQ188" s="262">
        <f t="shared" si="74"/>
        <v>-1522523.4799291207</v>
      </c>
      <c r="AR188" s="262">
        <f t="shared" si="74"/>
        <v>-1701157.6393607254</v>
      </c>
      <c r="AS188" s="262">
        <f t="shared" si="74"/>
        <v>-1491849.4900847184</v>
      </c>
      <c r="AT188" s="267">
        <f t="shared" si="74"/>
        <v>-10839827.823610693</v>
      </c>
      <c r="AU188" s="166"/>
      <c r="AV188" s="166"/>
      <c r="AW188" s="166"/>
      <c r="AX188" s="166"/>
      <c r="AY188" s="166"/>
      <c r="AZ188" s="166"/>
      <c r="BA188" s="166"/>
      <c r="BB188" s="166"/>
      <c r="BC188" s="166"/>
      <c r="BD188" s="166"/>
      <c r="BE188" s="166"/>
      <c r="BF188" s="166"/>
      <c r="BG188" s="166"/>
      <c r="BH188" s="166"/>
      <c r="BI188" s="166"/>
      <c r="BJ188" s="166"/>
      <c r="BK188" s="166"/>
      <c r="BL188" s="166"/>
      <c r="BM188" s="166"/>
      <c r="BN188" s="166"/>
    </row>
    <row r="189" spans="2:66" x14ac:dyDescent="0.25">
      <c r="B189" s="836" t="s">
        <v>446</v>
      </c>
      <c r="C189" s="268">
        <v>0</v>
      </c>
      <c r="D189" s="268">
        <v>0</v>
      </c>
      <c r="E189" s="268">
        <v>0</v>
      </c>
      <c r="F189" s="268">
        <v>0</v>
      </c>
      <c r="G189" s="178">
        <f>-G185</f>
        <v>3190596.5206691762</v>
      </c>
      <c r="H189" s="178">
        <f t="shared" ref="H189:AT189" si="75">-H185</f>
        <v>3190596.5206691762</v>
      </c>
      <c r="I189" s="178">
        <f t="shared" si="75"/>
        <v>3190596.5206691762</v>
      </c>
      <c r="J189" s="178">
        <f t="shared" si="75"/>
        <v>3190596.5206691762</v>
      </c>
      <c r="K189" s="178">
        <f t="shared" si="75"/>
        <v>3190596.5206691762</v>
      </c>
      <c r="L189" s="178">
        <f t="shared" si="75"/>
        <v>3018004.6382407546</v>
      </c>
      <c r="M189" s="178">
        <f t="shared" si="75"/>
        <v>3018004.6382407546</v>
      </c>
      <c r="N189" s="178">
        <f t="shared" si="75"/>
        <v>3018004.6382407546</v>
      </c>
      <c r="O189" s="178">
        <f t="shared" si="75"/>
        <v>3018004.6382407546</v>
      </c>
      <c r="P189" s="178">
        <f t="shared" si="75"/>
        <v>3018004.6382407546</v>
      </c>
      <c r="Q189" s="178">
        <f t="shared" si="75"/>
        <v>2730297.5196809703</v>
      </c>
      <c r="R189" s="178">
        <f t="shared" si="75"/>
        <v>3089270.1647581775</v>
      </c>
      <c r="S189" s="178">
        <f t="shared" si="75"/>
        <v>3089270.1647581775</v>
      </c>
      <c r="T189" s="178">
        <f t="shared" si="75"/>
        <v>3089270.1647581775</v>
      </c>
      <c r="U189" s="178">
        <f t="shared" si="75"/>
        <v>3089270.1647581775</v>
      </c>
      <c r="V189" s="178">
        <f t="shared" si="75"/>
        <v>2321770.1453197817</v>
      </c>
      <c r="W189" s="178">
        <f t="shared" si="75"/>
        <v>2321770.1453197817</v>
      </c>
      <c r="X189" s="178">
        <f t="shared" si="75"/>
        <v>3400967.9714049036</v>
      </c>
      <c r="Y189" s="178">
        <f t="shared" si="75"/>
        <v>3400967.9714049036</v>
      </c>
      <c r="Z189" s="178">
        <f t="shared" si="75"/>
        <v>3400967.9714049036</v>
      </c>
      <c r="AA189" s="178">
        <f t="shared" si="75"/>
        <v>3400967.9714049036</v>
      </c>
      <c r="AB189" s="178">
        <f t="shared" si="75"/>
        <v>3400967.9714049036</v>
      </c>
      <c r="AC189" s="178">
        <f t="shared" si="75"/>
        <v>3487432.5990548981</v>
      </c>
      <c r="AD189" s="178">
        <f t="shared" si="75"/>
        <v>3487432.5990548981</v>
      </c>
      <c r="AE189" s="178">
        <f t="shared" si="75"/>
        <v>3487432.5990548981</v>
      </c>
      <c r="AF189" s="178">
        <f t="shared" si="75"/>
        <v>3487432.5990548981</v>
      </c>
      <c r="AG189" s="178">
        <f t="shared" si="75"/>
        <v>3487432.5990548981</v>
      </c>
      <c r="AH189" s="178">
        <f t="shared" si="75"/>
        <v>3487432.5990548981</v>
      </c>
      <c r="AI189" s="178">
        <f t="shared" si="75"/>
        <v>3487432.5990548981</v>
      </c>
      <c r="AJ189" s="178">
        <f t="shared" si="75"/>
        <v>3487432.5990548981</v>
      </c>
      <c r="AK189" s="178">
        <f t="shared" si="75"/>
        <v>3487432.5990548981</v>
      </c>
      <c r="AL189" s="178">
        <f t="shared" si="75"/>
        <v>3487432.5990548981</v>
      </c>
      <c r="AM189" s="178">
        <f t="shared" si="75"/>
        <v>2408234.7729697763</v>
      </c>
      <c r="AN189" s="178">
        <f t="shared" si="75"/>
        <v>1962797.5002425744</v>
      </c>
      <c r="AO189" s="178">
        <f t="shared" si="75"/>
        <v>3935665.6732037212</v>
      </c>
      <c r="AP189" s="178">
        <f t="shared" si="75"/>
        <v>3935665.6732037212</v>
      </c>
      <c r="AQ189" s="178">
        <f t="shared" si="75"/>
        <v>3935665.6732037212</v>
      </c>
      <c r="AR189" s="178">
        <f t="shared" si="75"/>
        <v>3935665.6732037212</v>
      </c>
      <c r="AS189" s="178">
        <f t="shared" si="75"/>
        <v>3935665.6732037212</v>
      </c>
      <c r="AT189" s="265">
        <f t="shared" si="75"/>
        <v>3935665.6732037212</v>
      </c>
      <c r="AU189" s="166"/>
      <c r="AV189" s="166"/>
      <c r="AW189" s="166"/>
      <c r="AX189" s="166"/>
      <c r="AY189" s="166"/>
      <c r="AZ189" s="166"/>
      <c r="BA189" s="166"/>
      <c r="BB189" s="166"/>
      <c r="BC189" s="166"/>
      <c r="BD189" s="166"/>
      <c r="BE189" s="166"/>
      <c r="BF189" s="166"/>
      <c r="BG189" s="166"/>
      <c r="BH189" s="166"/>
      <c r="BI189" s="166"/>
      <c r="BJ189" s="166"/>
      <c r="BK189" s="166"/>
      <c r="BL189" s="166"/>
      <c r="BM189" s="166"/>
      <c r="BN189" s="166"/>
    </row>
    <row r="190" spans="2:66" ht="15" thickBot="1" x14ac:dyDescent="0.3">
      <c r="B190" s="842" t="s">
        <v>386</v>
      </c>
      <c r="C190" s="828"/>
      <c r="D190" s="828"/>
      <c r="E190" s="828"/>
      <c r="F190" s="828"/>
      <c r="G190" s="828">
        <f>G188+G189</f>
        <v>63970.332302829716</v>
      </c>
      <c r="H190" s="828">
        <f t="shared" ref="H190:AT190" si="76">H188+H189</f>
        <v>741656.05146220885</v>
      </c>
      <c r="I190" s="828">
        <f t="shared" si="76"/>
        <v>1185806.5781877912</v>
      </c>
      <c r="J190" s="828">
        <f t="shared" si="76"/>
        <v>1156883.8787878323</v>
      </c>
      <c r="K190" s="828">
        <f t="shared" si="76"/>
        <v>-3429793.3608435532</v>
      </c>
      <c r="L190" s="828">
        <f t="shared" si="76"/>
        <v>1277614.8107848861</v>
      </c>
      <c r="M190" s="828">
        <f t="shared" si="76"/>
        <v>1438644.4798330627</v>
      </c>
      <c r="N190" s="828">
        <f t="shared" si="76"/>
        <v>1381247.4799925759</v>
      </c>
      <c r="O190" s="828">
        <f t="shared" si="76"/>
        <v>1525715.155804635</v>
      </c>
      <c r="P190" s="828">
        <f t="shared" si="76"/>
        <v>-3740937.6115301996</v>
      </c>
      <c r="Q190" s="828">
        <f t="shared" si="76"/>
        <v>1617037.9947444443</v>
      </c>
      <c r="R190" s="828">
        <f t="shared" si="76"/>
        <v>1553210.5879767314</v>
      </c>
      <c r="S190" s="828">
        <f t="shared" si="76"/>
        <v>1687989.9998399019</v>
      </c>
      <c r="T190" s="828">
        <f t="shared" si="76"/>
        <v>1595881.0668221917</v>
      </c>
      <c r="U190" s="828">
        <f t="shared" si="76"/>
        <v>-3984482.7506664759</v>
      </c>
      <c r="V190" s="828">
        <f t="shared" si="76"/>
        <v>1638965.8822065257</v>
      </c>
      <c r="W190" s="828">
        <f t="shared" si="76"/>
        <v>1784098.8881560909</v>
      </c>
      <c r="X190" s="828">
        <f t="shared" si="76"/>
        <v>1722826.2571580401</v>
      </c>
      <c r="Y190" s="828">
        <f t="shared" si="76"/>
        <v>1917099.0184878372</v>
      </c>
      <c r="Z190" s="828">
        <f t="shared" si="76"/>
        <v>-4432816.0821387107</v>
      </c>
      <c r="AA190" s="828">
        <f t="shared" si="76"/>
        <v>2057362.673880714</v>
      </c>
      <c r="AB190" s="828">
        <f t="shared" si="76"/>
        <v>1988816.3911395362</v>
      </c>
      <c r="AC190" s="828">
        <f t="shared" si="76"/>
        <v>2151098.2665319545</v>
      </c>
      <c r="AD190" s="828">
        <f t="shared" si="76"/>
        <v>2024472.109751381</v>
      </c>
      <c r="AE190" s="828">
        <f t="shared" si="76"/>
        <v>-4713668.4081604714</v>
      </c>
      <c r="AF190" s="828">
        <f t="shared" si="76"/>
        <v>2059108.5130330194</v>
      </c>
      <c r="AG190" s="828">
        <f t="shared" si="76"/>
        <v>2232224.8077133074</v>
      </c>
      <c r="AH190" s="828">
        <f t="shared" si="76"/>
        <v>2092548.3945926856</v>
      </c>
      <c r="AI190" s="828">
        <f t="shared" si="76"/>
        <v>2271307.3132418748</v>
      </c>
      <c r="AJ190" s="828">
        <f t="shared" si="76"/>
        <v>-5463117.1603534492</v>
      </c>
      <c r="AK190" s="828">
        <f t="shared" si="76"/>
        <v>2309154.561162049</v>
      </c>
      <c r="AL190" s="828">
        <f t="shared" si="76"/>
        <v>2155055.1183806527</v>
      </c>
      <c r="AM190" s="828">
        <f t="shared" si="76"/>
        <v>2345560.9019398373</v>
      </c>
      <c r="AN190" s="828">
        <f t="shared" si="76"/>
        <v>2106377.4808532139</v>
      </c>
      <c r="AO190" s="828">
        <f t="shared" si="76"/>
        <v>-5956711.1493219808</v>
      </c>
      <c r="AP190" s="828">
        <f t="shared" si="76"/>
        <v>2210261.3145667994</v>
      </c>
      <c r="AQ190" s="828">
        <f t="shared" si="76"/>
        <v>2413142.1932746004</v>
      </c>
      <c r="AR190" s="828">
        <f t="shared" si="76"/>
        <v>2234508.0338429958</v>
      </c>
      <c r="AS190" s="828">
        <f t="shared" si="76"/>
        <v>2443816.1831190027</v>
      </c>
      <c r="AT190" s="829">
        <f t="shared" si="76"/>
        <v>-6904162.1504069716</v>
      </c>
      <c r="AU190" s="166"/>
      <c r="AV190" s="166"/>
      <c r="AW190" s="166"/>
      <c r="AX190" s="166"/>
      <c r="AY190" s="166"/>
      <c r="AZ190" s="166"/>
      <c r="BA190" s="166"/>
      <c r="BB190" s="166"/>
      <c r="BC190" s="166"/>
      <c r="BD190" s="166"/>
      <c r="BE190" s="166"/>
      <c r="BF190" s="166"/>
      <c r="BG190" s="166"/>
      <c r="BH190" s="166"/>
      <c r="BI190" s="166"/>
      <c r="BJ190" s="166"/>
      <c r="BK190" s="166"/>
      <c r="BL190" s="166"/>
      <c r="BM190" s="166"/>
      <c r="BN190" s="166"/>
    </row>
    <row r="191" spans="2:66" ht="15" thickBot="1" x14ac:dyDescent="0.3">
      <c r="B191" s="839"/>
      <c r="C191" s="811"/>
      <c r="D191" s="811"/>
      <c r="E191" s="811"/>
      <c r="F191" s="811"/>
      <c r="G191" s="811"/>
      <c r="H191" s="811"/>
      <c r="I191" s="811"/>
      <c r="J191" s="811"/>
      <c r="K191" s="811"/>
      <c r="L191" s="811"/>
      <c r="M191" s="811"/>
      <c r="N191" s="811"/>
      <c r="O191" s="811"/>
      <c r="P191" s="811"/>
      <c r="Q191" s="811"/>
      <c r="R191" s="811"/>
      <c r="S191" s="811"/>
      <c r="T191" s="811"/>
      <c r="U191" s="811"/>
      <c r="V191" s="811"/>
      <c r="W191" s="811"/>
      <c r="X191" s="811"/>
      <c r="Y191" s="811"/>
      <c r="Z191" s="811"/>
      <c r="AA191" s="811"/>
      <c r="AB191" s="811"/>
      <c r="AC191" s="811"/>
      <c r="AD191" s="811"/>
      <c r="AE191" s="811"/>
      <c r="AF191" s="811"/>
      <c r="AG191" s="811"/>
      <c r="AH191" s="811"/>
      <c r="AI191" s="811"/>
      <c r="AJ191" s="811"/>
      <c r="AK191" s="811"/>
      <c r="AL191" s="811"/>
      <c r="AM191" s="811"/>
      <c r="AN191" s="811"/>
      <c r="AO191" s="811"/>
      <c r="AP191" s="811"/>
      <c r="AQ191" s="811"/>
      <c r="AR191" s="811"/>
      <c r="AS191" s="811"/>
      <c r="AT191" s="811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6"/>
      <c r="BN191" s="166"/>
    </row>
    <row r="192" spans="2:66" ht="14.4" x14ac:dyDescent="0.25">
      <c r="B192" s="835" t="s">
        <v>447</v>
      </c>
      <c r="C192" s="818"/>
      <c r="D192" s="818"/>
      <c r="E192" s="818"/>
      <c r="F192" s="818"/>
      <c r="G192" s="818"/>
      <c r="H192" s="818"/>
      <c r="I192" s="818"/>
      <c r="J192" s="818"/>
      <c r="K192" s="818"/>
      <c r="L192" s="818"/>
      <c r="M192" s="818"/>
      <c r="N192" s="818"/>
      <c r="O192" s="818"/>
      <c r="P192" s="818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  <c r="AA192" s="818"/>
      <c r="AB192" s="818"/>
      <c r="AC192" s="818"/>
      <c r="AD192" s="818"/>
      <c r="AE192" s="818"/>
      <c r="AF192" s="818"/>
      <c r="AG192" s="818"/>
      <c r="AH192" s="818"/>
      <c r="AI192" s="818"/>
      <c r="AJ192" s="818"/>
      <c r="AK192" s="818"/>
      <c r="AL192" s="818"/>
      <c r="AM192" s="818"/>
      <c r="AN192" s="818"/>
      <c r="AO192" s="818"/>
      <c r="AP192" s="818"/>
      <c r="AQ192" s="818"/>
      <c r="AR192" s="818"/>
      <c r="AS192" s="818"/>
      <c r="AT192" s="819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  <c r="BN192" s="166"/>
    </row>
    <row r="193" spans="2:66" x14ac:dyDescent="0.25">
      <c r="B193" s="836" t="s">
        <v>448</v>
      </c>
      <c r="C193" s="268">
        <f>C117</f>
        <v>-5894681.6442265697</v>
      </c>
      <c r="D193" s="268">
        <f t="shared" ref="D193:F193" si="77">D117</f>
        <v>-23692439.326687708</v>
      </c>
      <c r="E193" s="268">
        <f t="shared" si="77"/>
        <v>-60967175.133836582</v>
      </c>
      <c r="F193" s="268">
        <f t="shared" si="77"/>
        <v>-24513713.625024468</v>
      </c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265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66"/>
      <c r="BI193" s="166"/>
      <c r="BJ193" s="166"/>
      <c r="BK193" s="166"/>
      <c r="BL193" s="166"/>
      <c r="BM193" s="166"/>
      <c r="BN193" s="166"/>
    </row>
    <row r="194" spans="2:66" x14ac:dyDescent="0.25">
      <c r="B194" s="836" t="s">
        <v>383</v>
      </c>
      <c r="C194" s="178"/>
      <c r="D194" s="178"/>
      <c r="E194" s="178"/>
      <c r="F194" s="178"/>
      <c r="G194" s="268">
        <f t="shared" ref="G194:AT194" si="78">G118</f>
        <v>0</v>
      </c>
      <c r="H194" s="268">
        <f t="shared" si="78"/>
        <v>0</v>
      </c>
      <c r="I194" s="268">
        <f t="shared" si="78"/>
        <v>0</v>
      </c>
      <c r="J194" s="268">
        <f t="shared" si="78"/>
        <v>0</v>
      </c>
      <c r="K194" s="268">
        <f t="shared" si="78"/>
        <v>0</v>
      </c>
      <c r="L194" s="268">
        <f t="shared" si="78"/>
        <v>0</v>
      </c>
      <c r="M194" s="268">
        <f t="shared" si="78"/>
        <v>0</v>
      </c>
      <c r="N194" s="268">
        <f t="shared" si="78"/>
        <v>0</v>
      </c>
      <c r="O194" s="268">
        <f t="shared" si="78"/>
        <v>0</v>
      </c>
      <c r="P194" s="268">
        <f t="shared" si="78"/>
        <v>-1622325.5979653969</v>
      </c>
      <c r="Q194" s="268">
        <f t="shared" si="78"/>
        <v>-1967400.8528066755</v>
      </c>
      <c r="R194" s="268">
        <f t="shared" si="78"/>
        <v>0</v>
      </c>
      <c r="S194" s="268">
        <f t="shared" si="78"/>
        <v>0</v>
      </c>
      <c r="T194" s="268">
        <f t="shared" si="78"/>
        <v>0</v>
      </c>
      <c r="U194" s="268">
        <f t="shared" si="78"/>
        <v>-2860937.4426897997</v>
      </c>
      <c r="V194" s="268">
        <f t="shared" si="78"/>
        <v>-9092783.3309384733</v>
      </c>
      <c r="W194" s="268">
        <f t="shared" si="78"/>
        <v>-4234246.6176485606</v>
      </c>
      <c r="X194" s="268">
        <f t="shared" si="78"/>
        <v>0</v>
      </c>
      <c r="Y194" s="268">
        <f t="shared" si="78"/>
        <v>0</v>
      </c>
      <c r="Z194" s="268">
        <f t="shared" si="78"/>
        <v>0</v>
      </c>
      <c r="AA194" s="268">
        <f t="shared" si="78"/>
        <v>-2013088.3571152827</v>
      </c>
      <c r="AB194" s="268">
        <f t="shared" si="78"/>
        <v>-2441284.3701567352</v>
      </c>
      <c r="AC194" s="268">
        <f t="shared" si="78"/>
        <v>0</v>
      </c>
      <c r="AD194" s="268">
        <f t="shared" si="78"/>
        <v>0</v>
      </c>
      <c r="AE194" s="268">
        <f t="shared" si="78"/>
        <v>0</v>
      </c>
      <c r="AF194" s="268">
        <f t="shared" si="78"/>
        <v>0</v>
      </c>
      <c r="AG194" s="268">
        <f t="shared" si="78"/>
        <v>0</v>
      </c>
      <c r="AH194" s="268">
        <f t="shared" si="78"/>
        <v>0</v>
      </c>
      <c r="AI194" s="268">
        <f t="shared" si="78"/>
        <v>0</v>
      </c>
      <c r="AJ194" s="268">
        <f t="shared" si="78"/>
        <v>0</v>
      </c>
      <c r="AK194" s="268">
        <f t="shared" si="78"/>
        <v>0</v>
      </c>
      <c r="AL194" s="268">
        <f t="shared" si="78"/>
        <v>-6452806.6782633755</v>
      </c>
      <c r="AM194" s="268">
        <f t="shared" si="78"/>
        <v>-15383573.173465244</v>
      </c>
      <c r="AN194" s="268">
        <f t="shared" si="78"/>
        <v>-5783774.5697274376</v>
      </c>
      <c r="AO194" s="268">
        <f t="shared" si="78"/>
        <v>0</v>
      </c>
      <c r="AP194" s="268">
        <f t="shared" si="78"/>
        <v>0</v>
      </c>
      <c r="AQ194" s="268">
        <f t="shared" si="78"/>
        <v>0</v>
      </c>
      <c r="AR194" s="268">
        <f t="shared" si="78"/>
        <v>0</v>
      </c>
      <c r="AS194" s="268">
        <f t="shared" si="78"/>
        <v>0</v>
      </c>
      <c r="AT194" s="799">
        <f t="shared" si="78"/>
        <v>0</v>
      </c>
      <c r="AU194" s="166"/>
      <c r="AV194" s="166"/>
      <c r="AW194" s="166"/>
      <c r="AX194" s="166"/>
      <c r="AY194" s="166"/>
      <c r="AZ194" s="166"/>
      <c r="BA194" s="166"/>
      <c r="BB194" s="166"/>
      <c r="BC194" s="166"/>
      <c r="BD194" s="166"/>
      <c r="BE194" s="166"/>
      <c r="BF194" s="166"/>
      <c r="BG194" s="166"/>
      <c r="BH194" s="166"/>
      <c r="BI194" s="166"/>
      <c r="BJ194" s="166"/>
      <c r="BK194" s="166"/>
      <c r="BL194" s="166"/>
      <c r="BM194" s="166"/>
      <c r="BN194" s="166"/>
    </row>
    <row r="195" spans="2:66" x14ac:dyDescent="0.25">
      <c r="B195" s="836" t="s">
        <v>384</v>
      </c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758">
        <f>AJ168</f>
        <v>44426261.303533986</v>
      </c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847">
        <f>AT168</f>
        <v>41032260.560367852</v>
      </c>
      <c r="AU195" s="166"/>
      <c r="AV195" s="166"/>
      <c r="AW195" s="166"/>
      <c r="AX195" s="166"/>
      <c r="AY195" s="166"/>
      <c r="AZ195" s="166"/>
      <c r="BA195" s="166"/>
      <c r="BB195" s="166"/>
      <c r="BC195" s="166"/>
      <c r="BD195" s="166"/>
      <c r="BE195" s="166"/>
      <c r="BF195" s="166"/>
      <c r="BG195" s="166"/>
      <c r="BH195" s="166"/>
      <c r="BI195" s="166"/>
      <c r="BJ195" s="166"/>
      <c r="BK195" s="166"/>
      <c r="BL195" s="166"/>
      <c r="BM195" s="166"/>
      <c r="BN195" s="166"/>
    </row>
    <row r="196" spans="2:66" ht="15" thickBot="1" x14ac:dyDescent="0.3">
      <c r="B196" s="842" t="s">
        <v>385</v>
      </c>
      <c r="C196" s="822">
        <f t="shared" ref="C196:AT196" si="79">C193+C194+C195</f>
        <v>-5894681.6442265697</v>
      </c>
      <c r="D196" s="822">
        <f t="shared" si="79"/>
        <v>-23692439.326687708</v>
      </c>
      <c r="E196" s="822">
        <f t="shared" si="79"/>
        <v>-60967175.133836582</v>
      </c>
      <c r="F196" s="822">
        <f t="shared" si="79"/>
        <v>-24513713.625024468</v>
      </c>
      <c r="G196" s="822">
        <f t="shared" si="79"/>
        <v>0</v>
      </c>
      <c r="H196" s="822">
        <f t="shared" si="79"/>
        <v>0</v>
      </c>
      <c r="I196" s="822">
        <f t="shared" si="79"/>
        <v>0</v>
      </c>
      <c r="J196" s="822">
        <f t="shared" si="79"/>
        <v>0</v>
      </c>
      <c r="K196" s="822">
        <f t="shared" si="79"/>
        <v>0</v>
      </c>
      <c r="L196" s="822">
        <f t="shared" si="79"/>
        <v>0</v>
      </c>
      <c r="M196" s="822">
        <f t="shared" si="79"/>
        <v>0</v>
      </c>
      <c r="N196" s="822">
        <f t="shared" si="79"/>
        <v>0</v>
      </c>
      <c r="O196" s="822">
        <f t="shared" si="79"/>
        <v>0</v>
      </c>
      <c r="P196" s="822">
        <f t="shared" si="79"/>
        <v>-1622325.5979653969</v>
      </c>
      <c r="Q196" s="822">
        <f t="shared" si="79"/>
        <v>-1967400.8528066755</v>
      </c>
      <c r="R196" s="822">
        <f t="shared" si="79"/>
        <v>0</v>
      </c>
      <c r="S196" s="822">
        <f t="shared" si="79"/>
        <v>0</v>
      </c>
      <c r="T196" s="822">
        <f t="shared" si="79"/>
        <v>0</v>
      </c>
      <c r="U196" s="822">
        <f t="shared" si="79"/>
        <v>-2860937.4426897997</v>
      </c>
      <c r="V196" s="822">
        <f t="shared" si="79"/>
        <v>-9092783.3309384733</v>
      </c>
      <c r="W196" s="822">
        <f t="shared" si="79"/>
        <v>-4234246.6176485606</v>
      </c>
      <c r="X196" s="822">
        <f t="shared" si="79"/>
        <v>0</v>
      </c>
      <c r="Y196" s="822">
        <f t="shared" si="79"/>
        <v>0</v>
      </c>
      <c r="Z196" s="822">
        <f t="shared" si="79"/>
        <v>0</v>
      </c>
      <c r="AA196" s="822">
        <f t="shared" si="79"/>
        <v>-2013088.3571152827</v>
      </c>
      <c r="AB196" s="822">
        <f t="shared" si="79"/>
        <v>-2441284.3701567352</v>
      </c>
      <c r="AC196" s="822">
        <f t="shared" si="79"/>
        <v>0</v>
      </c>
      <c r="AD196" s="822">
        <f t="shared" si="79"/>
        <v>0</v>
      </c>
      <c r="AE196" s="822">
        <f t="shared" si="79"/>
        <v>0</v>
      </c>
      <c r="AF196" s="822">
        <f t="shared" si="79"/>
        <v>0</v>
      </c>
      <c r="AG196" s="822">
        <f t="shared" si="79"/>
        <v>0</v>
      </c>
      <c r="AH196" s="822">
        <f t="shared" si="79"/>
        <v>0</v>
      </c>
      <c r="AI196" s="822">
        <f t="shared" si="79"/>
        <v>0</v>
      </c>
      <c r="AJ196" s="822">
        <f t="shared" si="79"/>
        <v>44426261.303533986</v>
      </c>
      <c r="AK196" s="822">
        <f t="shared" si="79"/>
        <v>0</v>
      </c>
      <c r="AL196" s="822">
        <f t="shared" si="79"/>
        <v>-6452806.6782633755</v>
      </c>
      <c r="AM196" s="822">
        <f t="shared" si="79"/>
        <v>-15383573.173465244</v>
      </c>
      <c r="AN196" s="822">
        <f t="shared" si="79"/>
        <v>-5783774.5697274376</v>
      </c>
      <c r="AO196" s="822">
        <f t="shared" si="79"/>
        <v>0</v>
      </c>
      <c r="AP196" s="822">
        <f t="shared" si="79"/>
        <v>0</v>
      </c>
      <c r="AQ196" s="822">
        <f t="shared" si="79"/>
        <v>0</v>
      </c>
      <c r="AR196" s="822">
        <f t="shared" si="79"/>
        <v>0</v>
      </c>
      <c r="AS196" s="822">
        <f t="shared" si="79"/>
        <v>0</v>
      </c>
      <c r="AT196" s="823">
        <f t="shared" si="79"/>
        <v>41032260.560367852</v>
      </c>
      <c r="AU196" s="166"/>
      <c r="AV196" s="166"/>
      <c r="AW196" s="166"/>
      <c r="AX196" s="166"/>
      <c r="AY196" s="166"/>
      <c r="AZ196" s="166"/>
      <c r="BA196" s="166"/>
      <c r="BB196" s="166"/>
      <c r="BC196" s="166"/>
      <c r="BD196" s="166"/>
      <c r="BE196" s="166"/>
      <c r="BF196" s="166"/>
      <c r="BG196" s="166"/>
      <c r="BH196" s="166"/>
      <c r="BI196" s="166"/>
      <c r="BJ196" s="166"/>
      <c r="BK196" s="166"/>
      <c r="BL196" s="166"/>
      <c r="BM196" s="166"/>
      <c r="BN196" s="166"/>
    </row>
    <row r="197" spans="2:66" ht="14.4" x14ac:dyDescent="0.25">
      <c r="B197" s="838"/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66"/>
      <c r="AV197" s="166"/>
      <c r="AW197" s="166"/>
      <c r="AX197" s="166"/>
      <c r="AY197" s="166"/>
      <c r="AZ197" s="166"/>
      <c r="BA197" s="166"/>
      <c r="BB197" s="166"/>
      <c r="BC197" s="166"/>
      <c r="BD197" s="166"/>
      <c r="BE197" s="166"/>
      <c r="BF197" s="166"/>
      <c r="BG197" s="166"/>
      <c r="BH197" s="166"/>
      <c r="BI197" s="166"/>
      <c r="BJ197" s="166"/>
      <c r="BK197" s="166"/>
      <c r="BL197" s="166"/>
      <c r="BM197" s="166"/>
      <c r="BN197" s="166"/>
    </row>
    <row r="198" spans="2:66" ht="14.4" x14ac:dyDescent="0.25">
      <c r="B198" s="838"/>
      <c r="C198" s="178"/>
      <c r="D198" s="178"/>
      <c r="E198" s="884" t="s">
        <v>473</v>
      </c>
      <c r="F198" s="178">
        <f>C196+D196+E196+F196</f>
        <v>-115068009.72977532</v>
      </c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66"/>
      <c r="AV198" s="166"/>
      <c r="AW198" s="166"/>
      <c r="AX198" s="166"/>
      <c r="AY198" s="166"/>
      <c r="AZ198" s="166"/>
      <c r="BA198" s="166"/>
      <c r="BB198" s="166"/>
      <c r="BC198" s="166"/>
      <c r="BD198" s="166"/>
      <c r="BE198" s="166"/>
      <c r="BF198" s="166"/>
      <c r="BG198" s="166"/>
      <c r="BH198" s="166"/>
      <c r="BI198" s="166"/>
      <c r="BJ198" s="166"/>
      <c r="BK198" s="166"/>
      <c r="BL198" s="166"/>
      <c r="BM198" s="166"/>
      <c r="BN198" s="166"/>
    </row>
    <row r="199" spans="2:66" ht="14.4" x14ac:dyDescent="0.25">
      <c r="B199" s="838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66"/>
      <c r="AV199" s="166"/>
      <c r="AW199" s="166"/>
      <c r="AX199" s="166"/>
      <c r="AY199" s="166"/>
      <c r="AZ199" s="166"/>
      <c r="BA199" s="166"/>
      <c r="BB199" s="166"/>
      <c r="BC199" s="166"/>
      <c r="BD199" s="166"/>
      <c r="BE199" s="166"/>
      <c r="BF199" s="166"/>
      <c r="BG199" s="166"/>
      <c r="BH199" s="166"/>
      <c r="BI199" s="166"/>
      <c r="BJ199" s="166"/>
      <c r="BK199" s="166"/>
      <c r="BL199" s="166"/>
      <c r="BM199" s="166"/>
      <c r="BN199" s="166"/>
    </row>
    <row r="200" spans="2:66" ht="14.4" x14ac:dyDescent="0.25">
      <c r="B200" s="844" t="s">
        <v>436</v>
      </c>
      <c r="C200" s="178">
        <f t="shared" ref="C200:AJ200" si="80">C190+C196</f>
        <v>-5894681.6442265697</v>
      </c>
      <c r="D200" s="178">
        <f t="shared" si="80"/>
        <v>-23692439.326687708</v>
      </c>
      <c r="E200" s="178">
        <f t="shared" si="80"/>
        <v>-60967175.133836582</v>
      </c>
      <c r="F200" s="178">
        <f t="shared" si="80"/>
        <v>-24513713.625024468</v>
      </c>
      <c r="G200" s="178">
        <f t="shared" si="80"/>
        <v>63970.332302829716</v>
      </c>
      <c r="H200" s="178">
        <f t="shared" si="80"/>
        <v>741656.05146220885</v>
      </c>
      <c r="I200" s="178">
        <f t="shared" si="80"/>
        <v>1185806.5781877912</v>
      </c>
      <c r="J200" s="178">
        <f t="shared" si="80"/>
        <v>1156883.8787878323</v>
      </c>
      <c r="K200" s="178">
        <f t="shared" si="80"/>
        <v>-3429793.3608435532</v>
      </c>
      <c r="L200" s="178">
        <f t="shared" si="80"/>
        <v>1277614.8107848861</v>
      </c>
      <c r="M200" s="178">
        <f t="shared" si="80"/>
        <v>1438644.4798330627</v>
      </c>
      <c r="N200" s="178">
        <f t="shared" si="80"/>
        <v>1381247.4799925759</v>
      </c>
      <c r="O200" s="178">
        <f t="shared" si="80"/>
        <v>1525715.155804635</v>
      </c>
      <c r="P200" s="178">
        <f t="shared" si="80"/>
        <v>-5363263.2094955966</v>
      </c>
      <c r="Q200" s="178">
        <f t="shared" si="80"/>
        <v>-350362.85806223121</v>
      </c>
      <c r="R200" s="178">
        <f t="shared" si="80"/>
        <v>1553210.5879767314</v>
      </c>
      <c r="S200" s="178">
        <f t="shared" si="80"/>
        <v>1687989.9998399019</v>
      </c>
      <c r="T200" s="178">
        <f t="shared" si="80"/>
        <v>1595881.0668221917</v>
      </c>
      <c r="U200" s="178">
        <f t="shared" si="80"/>
        <v>-6845420.1933562756</v>
      </c>
      <c r="V200" s="178">
        <f t="shared" si="80"/>
        <v>-7453817.4487319477</v>
      </c>
      <c r="W200" s="178">
        <f t="shared" si="80"/>
        <v>-2450147.7294924697</v>
      </c>
      <c r="X200" s="178">
        <f t="shared" si="80"/>
        <v>1722826.2571580401</v>
      </c>
      <c r="Y200" s="178">
        <f t="shared" si="80"/>
        <v>1917099.0184878372</v>
      </c>
      <c r="Z200" s="178">
        <f t="shared" si="80"/>
        <v>-4432816.0821387107</v>
      </c>
      <c r="AA200" s="178">
        <f t="shared" si="80"/>
        <v>44274.316765431315</v>
      </c>
      <c r="AB200" s="178">
        <f t="shared" si="80"/>
        <v>-452467.97901719902</v>
      </c>
      <c r="AC200" s="178">
        <f t="shared" si="80"/>
        <v>2151098.2665319545</v>
      </c>
      <c r="AD200" s="178">
        <f t="shared" si="80"/>
        <v>2024472.109751381</v>
      </c>
      <c r="AE200" s="178">
        <f t="shared" si="80"/>
        <v>-4713668.4081604714</v>
      </c>
      <c r="AF200" s="178">
        <f t="shared" si="80"/>
        <v>2059108.5130330194</v>
      </c>
      <c r="AG200" s="178">
        <f t="shared" si="80"/>
        <v>2232224.8077133074</v>
      </c>
      <c r="AH200" s="178">
        <f t="shared" si="80"/>
        <v>2092548.3945926856</v>
      </c>
      <c r="AI200" s="178">
        <f t="shared" si="80"/>
        <v>2271307.3132418748</v>
      </c>
      <c r="AJ200" s="178">
        <f t="shared" si="80"/>
        <v>38963144.143180534</v>
      </c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66"/>
      <c r="AV200" s="166"/>
      <c r="AW200" s="166"/>
      <c r="AX200" s="166"/>
      <c r="AY200" s="166"/>
      <c r="AZ200" s="166"/>
      <c r="BA200" s="166"/>
      <c r="BB200" s="166"/>
      <c r="BC200" s="166"/>
      <c r="BD200" s="166"/>
      <c r="BE200" s="166"/>
      <c r="BF200" s="166"/>
      <c r="BG200" s="166"/>
      <c r="BH200" s="166"/>
      <c r="BI200" s="166"/>
      <c r="BJ200" s="166"/>
      <c r="BK200" s="166"/>
      <c r="BL200" s="166"/>
      <c r="BM200" s="166"/>
      <c r="BN200" s="166"/>
    </row>
    <row r="201" spans="2:66" ht="14.4" x14ac:dyDescent="0.25">
      <c r="B201" s="844" t="s">
        <v>438</v>
      </c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848">
        <f>IRR(C200:AJ200)</f>
        <v>-3.5511503606610817E-2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66"/>
      <c r="AV201" s="166"/>
      <c r="AW201" s="166"/>
      <c r="AX201" s="166"/>
      <c r="AY201" s="166"/>
      <c r="AZ201" s="166"/>
      <c r="BA201" s="166"/>
      <c r="BB201" s="166"/>
      <c r="BC201" s="166"/>
      <c r="BD201" s="166"/>
      <c r="BE201" s="166"/>
      <c r="BF201" s="166"/>
      <c r="BG201" s="166"/>
      <c r="BH201" s="166"/>
      <c r="BI201" s="166"/>
      <c r="BJ201" s="166"/>
      <c r="BK201" s="166"/>
      <c r="BL201" s="166"/>
      <c r="BM201" s="166"/>
      <c r="BN201" s="166"/>
    </row>
    <row r="202" spans="2:66" ht="14.4" x14ac:dyDescent="0.25">
      <c r="B202" s="844"/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66"/>
      <c r="AV202" s="166"/>
      <c r="AW202" s="166"/>
      <c r="AX202" s="166"/>
      <c r="AY202" s="166"/>
      <c r="AZ202" s="166"/>
      <c r="BA202" s="166"/>
      <c r="BB202" s="166"/>
      <c r="BC202" s="166"/>
      <c r="BD202" s="166"/>
      <c r="BE202" s="166"/>
      <c r="BF202" s="166"/>
      <c r="BG202" s="166"/>
      <c r="BH202" s="166"/>
      <c r="BI202" s="166"/>
      <c r="BJ202" s="166"/>
      <c r="BK202" s="166"/>
      <c r="BL202" s="166"/>
      <c r="BM202" s="166"/>
      <c r="BN202" s="166"/>
    </row>
    <row r="203" spans="2:66" ht="14.4" x14ac:dyDescent="0.25">
      <c r="B203" s="844" t="s">
        <v>437</v>
      </c>
      <c r="C203" s="178">
        <f>C190+C196</f>
        <v>-5894681.6442265697</v>
      </c>
      <c r="D203" s="178">
        <f t="shared" ref="D203:AI203" si="81">D190+D196</f>
        <v>-23692439.326687708</v>
      </c>
      <c r="E203" s="178">
        <f t="shared" si="81"/>
        <v>-60967175.133836582</v>
      </c>
      <c r="F203" s="178">
        <f t="shared" si="81"/>
        <v>-24513713.625024468</v>
      </c>
      <c r="G203" s="178">
        <f t="shared" si="81"/>
        <v>63970.332302829716</v>
      </c>
      <c r="H203" s="178">
        <f t="shared" si="81"/>
        <v>741656.05146220885</v>
      </c>
      <c r="I203" s="178">
        <f t="shared" si="81"/>
        <v>1185806.5781877912</v>
      </c>
      <c r="J203" s="178">
        <f t="shared" si="81"/>
        <v>1156883.8787878323</v>
      </c>
      <c r="K203" s="178">
        <f t="shared" si="81"/>
        <v>-3429793.3608435532</v>
      </c>
      <c r="L203" s="178">
        <f t="shared" si="81"/>
        <v>1277614.8107848861</v>
      </c>
      <c r="M203" s="178">
        <f t="shared" si="81"/>
        <v>1438644.4798330627</v>
      </c>
      <c r="N203" s="178">
        <f t="shared" si="81"/>
        <v>1381247.4799925759</v>
      </c>
      <c r="O203" s="178">
        <f t="shared" si="81"/>
        <v>1525715.155804635</v>
      </c>
      <c r="P203" s="178">
        <f t="shared" si="81"/>
        <v>-5363263.2094955966</v>
      </c>
      <c r="Q203" s="178">
        <f t="shared" si="81"/>
        <v>-350362.85806223121</v>
      </c>
      <c r="R203" s="178">
        <f t="shared" si="81"/>
        <v>1553210.5879767314</v>
      </c>
      <c r="S203" s="178">
        <f t="shared" si="81"/>
        <v>1687989.9998399019</v>
      </c>
      <c r="T203" s="178">
        <f t="shared" si="81"/>
        <v>1595881.0668221917</v>
      </c>
      <c r="U203" s="178">
        <f t="shared" si="81"/>
        <v>-6845420.1933562756</v>
      </c>
      <c r="V203" s="178">
        <f t="shared" si="81"/>
        <v>-7453817.4487319477</v>
      </c>
      <c r="W203" s="178">
        <f t="shared" si="81"/>
        <v>-2450147.7294924697</v>
      </c>
      <c r="X203" s="178">
        <f t="shared" si="81"/>
        <v>1722826.2571580401</v>
      </c>
      <c r="Y203" s="178">
        <f t="shared" si="81"/>
        <v>1917099.0184878372</v>
      </c>
      <c r="Z203" s="178">
        <f t="shared" si="81"/>
        <v>-4432816.0821387107</v>
      </c>
      <c r="AA203" s="178">
        <f t="shared" si="81"/>
        <v>44274.316765431315</v>
      </c>
      <c r="AB203" s="178">
        <f t="shared" si="81"/>
        <v>-452467.97901719902</v>
      </c>
      <c r="AC203" s="178">
        <f t="shared" si="81"/>
        <v>2151098.2665319545</v>
      </c>
      <c r="AD203" s="178">
        <f t="shared" si="81"/>
        <v>2024472.109751381</v>
      </c>
      <c r="AE203" s="178">
        <f t="shared" si="81"/>
        <v>-4713668.4081604714</v>
      </c>
      <c r="AF203" s="178">
        <f t="shared" si="81"/>
        <v>2059108.5130330194</v>
      </c>
      <c r="AG203" s="178">
        <f t="shared" si="81"/>
        <v>2232224.8077133074</v>
      </c>
      <c r="AH203" s="178">
        <f t="shared" si="81"/>
        <v>2092548.3945926856</v>
      </c>
      <c r="AI203" s="178">
        <f t="shared" si="81"/>
        <v>2271307.3132418748</v>
      </c>
      <c r="AJ203" s="178">
        <f>AJ190+AJ194</f>
        <v>-5463117.1603534492</v>
      </c>
      <c r="AK203" s="178">
        <f t="shared" ref="AK203:AT203" si="82">AK190+AK196</f>
        <v>2309154.561162049</v>
      </c>
      <c r="AL203" s="178">
        <f t="shared" si="82"/>
        <v>-4297751.5598827228</v>
      </c>
      <c r="AM203" s="178">
        <f t="shared" si="82"/>
        <v>-13038012.271525407</v>
      </c>
      <c r="AN203" s="178">
        <f t="shared" si="82"/>
        <v>-3677397.0888742236</v>
      </c>
      <c r="AO203" s="178">
        <f t="shared" si="82"/>
        <v>-5956711.1493219808</v>
      </c>
      <c r="AP203" s="178">
        <f t="shared" si="82"/>
        <v>2210261.3145667994</v>
      </c>
      <c r="AQ203" s="178">
        <f t="shared" si="82"/>
        <v>2413142.1932746004</v>
      </c>
      <c r="AR203" s="178">
        <f t="shared" si="82"/>
        <v>2234508.0338429958</v>
      </c>
      <c r="AS203" s="178">
        <f t="shared" si="82"/>
        <v>2443816.1831190027</v>
      </c>
      <c r="AT203" s="178">
        <f t="shared" si="82"/>
        <v>34128098.409960881</v>
      </c>
      <c r="AU203" s="166"/>
      <c r="AV203" s="166"/>
      <c r="AW203" s="166"/>
      <c r="AX203" s="166"/>
      <c r="AY203" s="166"/>
      <c r="AZ203" s="166"/>
      <c r="BA203" s="166"/>
      <c r="BB203" s="166"/>
      <c r="BC203" s="166"/>
      <c r="BD203" s="166"/>
      <c r="BE203" s="166"/>
      <c r="BF203" s="166"/>
      <c r="BG203" s="166"/>
      <c r="BH203" s="166"/>
      <c r="BI203" s="166"/>
      <c r="BJ203" s="166"/>
      <c r="BK203" s="166"/>
      <c r="BL203" s="166"/>
      <c r="BM203" s="166"/>
      <c r="BN203" s="166"/>
    </row>
    <row r="204" spans="2:66" ht="14.4" x14ac:dyDescent="0.25">
      <c r="B204" s="844" t="s">
        <v>439</v>
      </c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849">
        <f>IRR(C203:AT203)</f>
        <v>-4.2232566942975391E-2</v>
      </c>
      <c r="AU204" s="166"/>
      <c r="AV204" s="166"/>
      <c r="AW204" s="166"/>
      <c r="AX204" s="166"/>
      <c r="AY204" s="166"/>
      <c r="AZ204" s="166"/>
      <c r="BA204" s="166"/>
      <c r="BB204" s="166"/>
      <c r="BC204" s="166"/>
      <c r="BD204" s="166"/>
      <c r="BE204" s="166"/>
      <c r="BF204" s="166"/>
      <c r="BG204" s="166"/>
      <c r="BH204" s="166"/>
      <c r="BI204" s="166"/>
      <c r="BJ204" s="166"/>
      <c r="BK204" s="166"/>
      <c r="BL204" s="166"/>
      <c r="BM204" s="166"/>
      <c r="BN204" s="166"/>
    </row>
    <row r="205" spans="2:66" ht="14.4" x14ac:dyDescent="0.25">
      <c r="B205" s="844"/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66"/>
      <c r="BI205" s="166"/>
      <c r="BJ205" s="166"/>
      <c r="BK205" s="166"/>
      <c r="BL205" s="166"/>
      <c r="BM205" s="166"/>
      <c r="BN205" s="166"/>
    </row>
    <row r="206" spans="2:66" ht="14.4" x14ac:dyDescent="0.25">
      <c r="B206" s="844" t="s">
        <v>450</v>
      </c>
      <c r="C206" s="178">
        <f>C180</f>
        <v>0</v>
      </c>
      <c r="D206" s="178">
        <f t="shared" ref="D206:AT206" si="83">D180</f>
        <v>0</v>
      </c>
      <c r="E206" s="178">
        <f t="shared" si="83"/>
        <v>0</v>
      </c>
      <c r="F206" s="178">
        <f t="shared" si="83"/>
        <v>0</v>
      </c>
      <c r="G206" s="178">
        <f t="shared" si="83"/>
        <v>63970.332302829716</v>
      </c>
      <c r="H206" s="178">
        <f t="shared" si="83"/>
        <v>741656.05146220885</v>
      </c>
      <c r="I206" s="178">
        <f t="shared" si="83"/>
        <v>1185806.5781877912</v>
      </c>
      <c r="J206" s="178">
        <f t="shared" si="83"/>
        <v>1156883.8787878323</v>
      </c>
      <c r="K206" s="178">
        <f t="shared" si="83"/>
        <v>-3429793.3608435532</v>
      </c>
      <c r="L206" s="178">
        <f t="shared" si="83"/>
        <v>1277614.8107848861</v>
      </c>
      <c r="M206" s="178">
        <f t="shared" si="83"/>
        <v>1438644.4798330627</v>
      </c>
      <c r="N206" s="178">
        <f t="shared" si="83"/>
        <v>1381247.4799925759</v>
      </c>
      <c r="O206" s="178">
        <f t="shared" si="83"/>
        <v>1525715.155804635</v>
      </c>
      <c r="P206" s="178">
        <f t="shared" si="83"/>
        <v>-3740937.6115301996</v>
      </c>
      <c r="Q206" s="178">
        <f t="shared" si="83"/>
        <v>1617037.9947444443</v>
      </c>
      <c r="R206" s="178">
        <f t="shared" si="83"/>
        <v>1553210.5879767314</v>
      </c>
      <c r="S206" s="178">
        <f t="shared" si="83"/>
        <v>1687989.9998399019</v>
      </c>
      <c r="T206" s="178">
        <f t="shared" si="83"/>
        <v>1595881.0668221917</v>
      </c>
      <c r="U206" s="178">
        <f t="shared" si="83"/>
        <v>-3984482.7506664759</v>
      </c>
      <c r="V206" s="178">
        <f t="shared" si="83"/>
        <v>1638965.8822065257</v>
      </c>
      <c r="W206" s="178">
        <f t="shared" si="83"/>
        <v>1784098.8881560909</v>
      </c>
      <c r="X206" s="178">
        <f t="shared" si="83"/>
        <v>1722826.2571580401</v>
      </c>
      <c r="Y206" s="178">
        <f t="shared" si="83"/>
        <v>1917099.0184878372</v>
      </c>
      <c r="Z206" s="178">
        <f t="shared" si="83"/>
        <v>-4432816.0821387107</v>
      </c>
      <c r="AA206" s="178">
        <f t="shared" si="83"/>
        <v>2057362.673880714</v>
      </c>
      <c r="AB206" s="178">
        <f t="shared" si="83"/>
        <v>1988816.3911395362</v>
      </c>
      <c r="AC206" s="178">
        <f t="shared" si="83"/>
        <v>2151098.2665319545</v>
      </c>
      <c r="AD206" s="178">
        <f t="shared" si="83"/>
        <v>2024472.109751381</v>
      </c>
      <c r="AE206" s="178">
        <f t="shared" si="83"/>
        <v>-4713668.4081604714</v>
      </c>
      <c r="AF206" s="178">
        <f t="shared" si="83"/>
        <v>2059108.5130330194</v>
      </c>
      <c r="AG206" s="178">
        <f t="shared" si="83"/>
        <v>2232224.8077133074</v>
      </c>
      <c r="AH206" s="178">
        <f t="shared" si="83"/>
        <v>2092548.3945926856</v>
      </c>
      <c r="AI206" s="178">
        <f t="shared" si="83"/>
        <v>2271307.3132418748</v>
      </c>
      <c r="AJ206" s="178">
        <f t="shared" si="83"/>
        <v>-5463117.1603534501</v>
      </c>
      <c r="AK206" s="178">
        <f t="shared" si="83"/>
        <v>2309154.561162049</v>
      </c>
      <c r="AL206" s="178">
        <f t="shared" si="83"/>
        <v>2155055.1183806527</v>
      </c>
      <c r="AM206" s="178">
        <f t="shared" si="83"/>
        <v>2345560.9019398373</v>
      </c>
      <c r="AN206" s="178">
        <f t="shared" si="83"/>
        <v>2183689.7781050969</v>
      </c>
      <c r="AO206" s="178">
        <f t="shared" si="83"/>
        <v>-5956711.1493219808</v>
      </c>
      <c r="AP206" s="178">
        <f t="shared" si="83"/>
        <v>2210261.3145667994</v>
      </c>
      <c r="AQ206" s="178">
        <f t="shared" si="83"/>
        <v>2413142.1932746004</v>
      </c>
      <c r="AR206" s="178">
        <f t="shared" si="83"/>
        <v>2234508.0338429958</v>
      </c>
      <c r="AS206" s="178">
        <f t="shared" si="83"/>
        <v>2443816.1831190027</v>
      </c>
      <c r="AT206" s="178">
        <f t="shared" si="83"/>
        <v>-6904162.1504069716</v>
      </c>
      <c r="AU206" s="166"/>
      <c r="AV206" s="166"/>
      <c r="AW206" s="166"/>
      <c r="AX206" s="166"/>
      <c r="AY206" s="166"/>
      <c r="AZ206" s="166"/>
      <c r="BA206" s="166"/>
      <c r="BB206" s="166"/>
      <c r="BC206" s="166"/>
      <c r="BD206" s="166"/>
      <c r="BE206" s="166"/>
      <c r="BF206" s="166"/>
      <c r="BG206" s="166"/>
      <c r="BH206" s="166"/>
      <c r="BI206" s="166"/>
      <c r="BJ206" s="166"/>
      <c r="BK206" s="166"/>
      <c r="BL206" s="166"/>
      <c r="BM206" s="166"/>
      <c r="BN206" s="166"/>
    </row>
    <row r="207" spans="2:66" ht="14.4" x14ac:dyDescent="0.25">
      <c r="B207" s="844" t="s">
        <v>451</v>
      </c>
      <c r="C207" s="178">
        <f>C206+C167</f>
        <v>0</v>
      </c>
      <c r="D207" s="178">
        <f t="shared" ref="D207:AT207" si="84">D206+D167</f>
        <v>0</v>
      </c>
      <c r="E207" s="178">
        <f t="shared" si="84"/>
        <v>0</v>
      </c>
      <c r="F207" s="178">
        <f t="shared" si="84"/>
        <v>0</v>
      </c>
      <c r="G207" s="178">
        <f t="shared" si="84"/>
        <v>-3126626.1883663465</v>
      </c>
      <c r="H207" s="178">
        <f t="shared" si="84"/>
        <v>-2448940.4692069674</v>
      </c>
      <c r="I207" s="178">
        <f t="shared" si="84"/>
        <v>-2004789.9424813851</v>
      </c>
      <c r="J207" s="178">
        <f t="shared" si="84"/>
        <v>-2033712.6418813439</v>
      </c>
      <c r="K207" s="178">
        <f t="shared" si="84"/>
        <v>-6620389.8815127295</v>
      </c>
      <c r="L207" s="178">
        <f t="shared" si="84"/>
        <v>-1740389.8274558685</v>
      </c>
      <c r="M207" s="178">
        <f t="shared" si="84"/>
        <v>-1579360.1584076919</v>
      </c>
      <c r="N207" s="178">
        <f t="shared" si="84"/>
        <v>-1636757.1582481787</v>
      </c>
      <c r="O207" s="178">
        <f t="shared" si="84"/>
        <v>-1492289.4824361196</v>
      </c>
      <c r="P207" s="178">
        <f t="shared" si="84"/>
        <v>-6758942.2497709543</v>
      </c>
      <c r="Q207" s="178">
        <f t="shared" si="84"/>
        <v>-1113259.5249365261</v>
      </c>
      <c r="R207" s="178">
        <f t="shared" si="84"/>
        <v>-1536059.5767814461</v>
      </c>
      <c r="S207" s="178">
        <f t="shared" si="84"/>
        <v>-1401280.1649182756</v>
      </c>
      <c r="T207" s="178">
        <f t="shared" si="84"/>
        <v>-1493389.0979359858</v>
      </c>
      <c r="U207" s="178">
        <f t="shared" si="84"/>
        <v>-7073752.9154246533</v>
      </c>
      <c r="V207" s="178">
        <f t="shared" si="84"/>
        <v>-682804.26311325608</v>
      </c>
      <c r="W207" s="178">
        <f t="shared" si="84"/>
        <v>-537671.25716369087</v>
      </c>
      <c r="X207" s="178">
        <f t="shared" si="84"/>
        <v>-1678141.7142468635</v>
      </c>
      <c r="Y207" s="178">
        <f t="shared" si="84"/>
        <v>-1483868.9529170664</v>
      </c>
      <c r="Z207" s="178">
        <f t="shared" si="84"/>
        <v>-7833784.0535436142</v>
      </c>
      <c r="AA207" s="178">
        <f t="shared" si="84"/>
        <v>-1343605.2975241896</v>
      </c>
      <c r="AB207" s="178">
        <f t="shared" si="84"/>
        <v>-1412151.5802653674</v>
      </c>
      <c r="AC207" s="178">
        <f t="shared" si="84"/>
        <v>-1336334.3325229436</v>
      </c>
      <c r="AD207" s="178">
        <f t="shared" si="84"/>
        <v>-1462960.4893035172</v>
      </c>
      <c r="AE207" s="178">
        <f t="shared" si="84"/>
        <v>-8201101.0072153695</v>
      </c>
      <c r="AF207" s="178">
        <f t="shared" si="84"/>
        <v>-1428324.0860218788</v>
      </c>
      <c r="AG207" s="178">
        <f t="shared" si="84"/>
        <v>-1255207.7913415907</v>
      </c>
      <c r="AH207" s="178">
        <f t="shared" si="84"/>
        <v>-1394884.2044622125</v>
      </c>
      <c r="AI207" s="178">
        <f t="shared" si="84"/>
        <v>-1216125.2858130233</v>
      </c>
      <c r="AJ207" s="178">
        <f t="shared" si="84"/>
        <v>-8950549.7594083473</v>
      </c>
      <c r="AK207" s="178">
        <f t="shared" si="84"/>
        <v>-1178278.0378928492</v>
      </c>
      <c r="AL207" s="178">
        <f t="shared" si="84"/>
        <v>-1332377.4806742454</v>
      </c>
      <c r="AM207" s="178">
        <f t="shared" si="84"/>
        <v>-62673.871029939037</v>
      </c>
      <c r="AN207" s="178">
        <f t="shared" si="84"/>
        <v>220892.27786252252</v>
      </c>
      <c r="AO207" s="178">
        <f t="shared" si="84"/>
        <v>-9892376.8225257024</v>
      </c>
      <c r="AP207" s="178">
        <f t="shared" si="84"/>
        <v>-1725404.3586369217</v>
      </c>
      <c r="AQ207" s="178">
        <f t="shared" si="84"/>
        <v>-1522523.4799291207</v>
      </c>
      <c r="AR207" s="178">
        <f t="shared" si="84"/>
        <v>-1701157.6393607254</v>
      </c>
      <c r="AS207" s="178">
        <f t="shared" si="84"/>
        <v>-1491849.4900847184</v>
      </c>
      <c r="AT207" s="178">
        <f t="shared" si="84"/>
        <v>-10839827.823610693</v>
      </c>
      <c r="AU207" s="166"/>
      <c r="AV207" s="166"/>
      <c r="AW207" s="166"/>
      <c r="AX207" s="166"/>
      <c r="AY207" s="166"/>
      <c r="AZ207" s="166"/>
      <c r="BA207" s="166"/>
      <c r="BB207" s="166"/>
      <c r="BC207" s="166"/>
      <c r="BD207" s="166"/>
      <c r="BE207" s="166"/>
      <c r="BF207" s="166"/>
      <c r="BG207" s="166"/>
      <c r="BH207" s="166"/>
      <c r="BI207" s="166"/>
      <c r="BJ207" s="166"/>
      <c r="BK207" s="166"/>
      <c r="BL207" s="166"/>
      <c r="BM207" s="166"/>
      <c r="BN207" s="166"/>
    </row>
    <row r="208" spans="2:66" ht="14.4" x14ac:dyDescent="0.25">
      <c r="B208" s="844"/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</row>
    <row r="209" spans="1:66" ht="14.4" x14ac:dyDescent="0.25">
      <c r="B209" s="844" t="s">
        <v>489</v>
      </c>
      <c r="C209" s="908"/>
      <c r="D209" s="908"/>
      <c r="E209" s="908"/>
      <c r="F209" s="908"/>
      <c r="G209" s="909">
        <f>ABS(G178)/ABS(G173)</f>
        <v>1.0183325830867336</v>
      </c>
      <c r="H209" s="909">
        <f t="shared" ref="H209:AT209" si="85">ABS(H178)/ABS(H173)</f>
        <v>1.1919093814304687</v>
      </c>
      <c r="I209" s="909">
        <f t="shared" si="85"/>
        <v>1.3232881976930844</v>
      </c>
      <c r="J209" s="909">
        <f t="shared" si="85"/>
        <v>1.3081370738535425</v>
      </c>
      <c r="K209" s="909">
        <f t="shared" si="85"/>
        <v>0.60031537885425468</v>
      </c>
      <c r="L209" s="909">
        <f t="shared" si="85"/>
        <v>1.3247841852561177</v>
      </c>
      <c r="M209" s="909">
        <f t="shared" si="85"/>
        <v>1.3572818660169292</v>
      </c>
      <c r="N209" s="909">
        <f t="shared" si="85"/>
        <v>1.3351091792232403</v>
      </c>
      <c r="O209" s="909">
        <f t="shared" si="85"/>
        <v>1.3616099719349115</v>
      </c>
      <c r="P209" s="909">
        <f t="shared" si="85"/>
        <v>0.607257064339772</v>
      </c>
      <c r="Q209" s="909">
        <f t="shared" si="85"/>
        <v>1.3657427334807235</v>
      </c>
      <c r="R209" s="909">
        <f t="shared" si="85"/>
        <v>1.3431802207147665</v>
      </c>
      <c r="S209" s="909">
        <f t="shared" si="85"/>
        <v>1.3643283486663031</v>
      </c>
      <c r="T209" s="909">
        <f t="shared" si="85"/>
        <v>1.3364724949898659</v>
      </c>
      <c r="U209" s="909">
        <f t="shared" si="85"/>
        <v>0.62324133744576649</v>
      </c>
      <c r="V209" s="909">
        <f t="shared" si="85"/>
        <v>1.3297274702167017</v>
      </c>
      <c r="W209" s="909">
        <f t="shared" si="85"/>
        <v>1.3506019724522516</v>
      </c>
      <c r="X209" s="909">
        <f t="shared" si="85"/>
        <v>1.3307058509640322</v>
      </c>
      <c r="Y209" s="909">
        <f t="shared" si="85"/>
        <v>1.3594551014675795</v>
      </c>
      <c r="Z209" s="909">
        <f t="shared" si="85"/>
        <v>0.62258704015790101</v>
      </c>
      <c r="AA209" s="909">
        <f t="shared" si="85"/>
        <v>1.3680396513575861</v>
      </c>
      <c r="AB209" s="909">
        <f t="shared" si="85"/>
        <v>1.3475060555265419</v>
      </c>
      <c r="AC209" s="909">
        <f t="shared" si="85"/>
        <v>1.3671187818713888</v>
      </c>
      <c r="AD209" s="909">
        <f t="shared" si="85"/>
        <v>1.3374671868358605</v>
      </c>
      <c r="AE209" s="909">
        <f t="shared" si="85"/>
        <v>0.63873839305347857</v>
      </c>
      <c r="AF209" s="909">
        <f t="shared" si="85"/>
        <v>1.3274386752342577</v>
      </c>
      <c r="AG209" s="909">
        <f t="shared" si="85"/>
        <v>1.3466939423384408</v>
      </c>
      <c r="AH209" s="909">
        <f t="shared" si="85"/>
        <v>1.317421353681163</v>
      </c>
      <c r="AI209" s="909">
        <f t="shared" si="85"/>
        <v>1.3364988265128501</v>
      </c>
      <c r="AJ209" s="909">
        <f t="shared" si="85"/>
        <v>0.62320397328868005</v>
      </c>
      <c r="AK209" s="909">
        <f t="shared" si="85"/>
        <v>1.3263163712140871</v>
      </c>
      <c r="AL209" s="909">
        <f t="shared" si="85"/>
        <v>1.2974235936305292</v>
      </c>
      <c r="AM209" s="909">
        <f t="shared" si="85"/>
        <v>1.3161474147423502</v>
      </c>
      <c r="AN209" s="909">
        <f t="shared" si="85"/>
        <v>1.287444801469622</v>
      </c>
      <c r="AO209" s="909">
        <f t="shared" si="85"/>
        <v>0.63038453529301852</v>
      </c>
      <c r="AP209" s="909">
        <f t="shared" si="85"/>
        <v>1.2774804915987461</v>
      </c>
      <c r="AQ209" s="909">
        <f t="shared" si="85"/>
        <v>1.295853329444014</v>
      </c>
      <c r="AR209" s="909">
        <f t="shared" si="85"/>
        <v>1.2675314761000906</v>
      </c>
      <c r="AS209" s="909">
        <f t="shared" si="85"/>
        <v>1.2857298545301816</v>
      </c>
      <c r="AT209" s="909">
        <f t="shared" si="85"/>
        <v>0.61469506141532537</v>
      </c>
      <c r="AU209" s="166"/>
      <c r="AV209" s="166"/>
      <c r="AW209" s="166"/>
      <c r="AX209" s="166"/>
      <c r="AY209" s="166"/>
      <c r="AZ209" s="166"/>
      <c r="BA209" s="166"/>
      <c r="BB209" s="166"/>
      <c r="BC209" s="166"/>
      <c r="BD209" s="166"/>
      <c r="BE209" s="166"/>
      <c r="BF209" s="166"/>
      <c r="BG209" s="166"/>
      <c r="BH209" s="166"/>
      <c r="BI209" s="166"/>
      <c r="BJ209" s="166"/>
      <c r="BK209" s="166"/>
      <c r="BL209" s="166"/>
      <c r="BM209" s="166"/>
      <c r="BN209" s="166"/>
    </row>
    <row r="210" spans="1:66" ht="14.4" x14ac:dyDescent="0.25">
      <c r="B210" s="844" t="s">
        <v>490</v>
      </c>
      <c r="C210" s="908"/>
      <c r="D210" s="908"/>
      <c r="E210" s="908"/>
      <c r="F210" s="908"/>
      <c r="G210" s="909">
        <f>G209-1</f>
        <v>1.8332583086733578E-2</v>
      </c>
      <c r="H210" s="909">
        <f t="shared" ref="H210" si="86">H209-1</f>
        <v>0.19190938143046865</v>
      </c>
      <c r="I210" s="909">
        <f t="shared" ref="I210" si="87">I209-1</f>
        <v>0.32328819769308437</v>
      </c>
      <c r="J210" s="909">
        <f t="shared" ref="J210" si="88">J209-1</f>
        <v>0.3081370738535425</v>
      </c>
      <c r="K210" s="909">
        <f t="shared" ref="K210" si="89">K209-1</f>
        <v>-0.39968462114574532</v>
      </c>
      <c r="L210" s="909">
        <f t="shared" ref="L210" si="90">L209-1</f>
        <v>0.32478418525611774</v>
      </c>
      <c r="M210" s="909">
        <f t="shared" ref="M210" si="91">M209-1</f>
        <v>0.35728186601692924</v>
      </c>
      <c r="N210" s="909">
        <f t="shared" ref="N210" si="92">N209-1</f>
        <v>0.33510917922324035</v>
      </c>
      <c r="O210" s="909">
        <f t="shared" ref="O210" si="93">O209-1</f>
        <v>0.36160997193491151</v>
      </c>
      <c r="P210" s="909">
        <f t="shared" ref="P210" si="94">P209-1</f>
        <v>-0.392742935660228</v>
      </c>
      <c r="Q210" s="909">
        <f t="shared" ref="Q210" si="95">Q209-1</f>
        <v>0.3657427334807235</v>
      </c>
      <c r="R210" s="909">
        <f t="shared" ref="R210" si="96">R209-1</f>
        <v>0.3431802207147665</v>
      </c>
      <c r="S210" s="909">
        <f t="shared" ref="S210" si="97">S209-1</f>
        <v>0.36432834866630315</v>
      </c>
      <c r="T210" s="909">
        <f t="shared" ref="T210" si="98">T209-1</f>
        <v>0.33647249498986587</v>
      </c>
      <c r="U210" s="909">
        <f t="shared" ref="U210" si="99">U209-1</f>
        <v>-0.37675866255423351</v>
      </c>
      <c r="V210" s="909">
        <f t="shared" ref="V210" si="100">V209-1</f>
        <v>0.32972747021670168</v>
      </c>
      <c r="W210" s="909">
        <f t="shared" ref="W210" si="101">W209-1</f>
        <v>0.35060197245225155</v>
      </c>
      <c r="X210" s="909">
        <f t="shared" ref="X210" si="102">X209-1</f>
        <v>0.33070585096403216</v>
      </c>
      <c r="Y210" s="909">
        <f t="shared" ref="Y210" si="103">Y209-1</f>
        <v>0.35945510146757953</v>
      </c>
      <c r="Z210" s="909">
        <f t="shared" ref="Z210" si="104">Z209-1</f>
        <v>-0.37741295984209899</v>
      </c>
      <c r="AA210" s="909">
        <f t="shared" ref="AA210" si="105">AA209-1</f>
        <v>0.3680396513575861</v>
      </c>
      <c r="AB210" s="909">
        <f t="shared" ref="AB210" si="106">AB209-1</f>
        <v>0.3475060555265419</v>
      </c>
      <c r="AC210" s="909">
        <f t="shared" ref="AC210" si="107">AC209-1</f>
        <v>0.3671187818713888</v>
      </c>
      <c r="AD210" s="909">
        <f t="shared" ref="AD210" si="108">AD209-1</f>
        <v>0.33746718683586052</v>
      </c>
      <c r="AE210" s="909">
        <f t="shared" ref="AE210" si="109">AE209-1</f>
        <v>-0.36126160694652143</v>
      </c>
      <c r="AF210" s="909">
        <f t="shared" ref="AF210" si="110">AF209-1</f>
        <v>0.32743867523425774</v>
      </c>
      <c r="AG210" s="909">
        <f t="shared" ref="AG210" si="111">AG209-1</f>
        <v>0.34669394233844075</v>
      </c>
      <c r="AH210" s="909">
        <f t="shared" ref="AH210" si="112">AH209-1</f>
        <v>0.31742135368116298</v>
      </c>
      <c r="AI210" s="909">
        <f t="shared" ref="AI210" si="113">AI209-1</f>
        <v>0.33649882651285012</v>
      </c>
      <c r="AJ210" s="909">
        <f t="shared" ref="AJ210" si="114">AJ209-1</f>
        <v>-0.37679602671131995</v>
      </c>
      <c r="AK210" s="909">
        <f t="shared" ref="AK210" si="115">AK209-1</f>
        <v>0.32631637121408708</v>
      </c>
      <c r="AL210" s="909">
        <f t="shared" ref="AL210" si="116">AL209-1</f>
        <v>0.29742359363052917</v>
      </c>
      <c r="AM210" s="909">
        <f t="shared" ref="AM210" si="117">AM209-1</f>
        <v>0.3161474147423502</v>
      </c>
      <c r="AN210" s="909">
        <f t="shared" ref="AN210" si="118">AN209-1</f>
        <v>0.28744480146962204</v>
      </c>
      <c r="AO210" s="909">
        <f t="shared" ref="AO210" si="119">AO209-1</f>
        <v>-0.36961546470698148</v>
      </c>
      <c r="AP210" s="909">
        <f t="shared" ref="AP210" si="120">AP209-1</f>
        <v>0.2774804915987461</v>
      </c>
      <c r="AQ210" s="909">
        <f t="shared" ref="AQ210" si="121">AQ209-1</f>
        <v>0.29585332944401399</v>
      </c>
      <c r="AR210" s="909">
        <f t="shared" ref="AR210" si="122">AR209-1</f>
        <v>0.26753147610009065</v>
      </c>
      <c r="AS210" s="909">
        <f t="shared" ref="AS210" si="123">AS209-1</f>
        <v>0.28572985453018163</v>
      </c>
      <c r="AT210" s="909">
        <f t="shared" ref="AT210" si="124">AT209-1</f>
        <v>-0.38530493858467463</v>
      </c>
      <c r="AU210" s="166"/>
      <c r="AV210" s="166"/>
      <c r="AW210" s="166"/>
      <c r="AX210" s="166"/>
      <c r="AY210" s="166"/>
      <c r="AZ210" s="166"/>
      <c r="BA210" s="166"/>
      <c r="BB210" s="166"/>
      <c r="BC210" s="166"/>
      <c r="BD210" s="166"/>
      <c r="BE210" s="166"/>
      <c r="BF210" s="166"/>
      <c r="BG210" s="166"/>
      <c r="BH210" s="166"/>
      <c r="BI210" s="166"/>
      <c r="BJ210" s="166"/>
      <c r="BK210" s="166"/>
      <c r="BL210" s="166"/>
      <c r="BM210" s="166"/>
      <c r="BN210" s="166"/>
    </row>
    <row r="211" spans="1:66" ht="14.4" x14ac:dyDescent="0.25">
      <c r="B211" s="844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66"/>
      <c r="AV211" s="166"/>
      <c r="AW211" s="166"/>
      <c r="AX211" s="166"/>
      <c r="AY211" s="166"/>
      <c r="AZ211" s="166"/>
      <c r="BA211" s="166"/>
      <c r="BB211" s="166"/>
      <c r="BC211" s="166"/>
      <c r="BD211" s="166"/>
      <c r="BE211" s="166"/>
      <c r="BF211" s="166"/>
      <c r="BG211" s="166"/>
      <c r="BH211" s="166"/>
      <c r="BI211" s="166"/>
      <c r="BJ211" s="166"/>
      <c r="BK211" s="166"/>
      <c r="BL211" s="166"/>
      <c r="BM211" s="166"/>
      <c r="BN211" s="166"/>
    </row>
    <row r="212" spans="1:66" ht="14.4" x14ac:dyDescent="0.25">
      <c r="B212" s="907" t="s">
        <v>404</v>
      </c>
      <c r="C212" s="268">
        <f>C203</f>
        <v>-5894681.6442265697</v>
      </c>
      <c r="D212" s="268">
        <f>D203/((1+$C$26)^D144)</f>
        <v>-20966760.466095321</v>
      </c>
      <c r="E212" s="268">
        <f t="shared" ref="E212:AT212" si="125">E203/((1+$C$26)^E144)</f>
        <v>-47746241.000733495</v>
      </c>
      <c r="F212" s="268">
        <f t="shared" si="125"/>
        <v>-16989233.20585217</v>
      </c>
      <c r="G212" s="268">
        <f t="shared" si="125"/>
        <v>39234.202817198464</v>
      </c>
      <c r="H212" s="268">
        <f t="shared" si="125"/>
        <v>402541.19102523226</v>
      </c>
      <c r="I212" s="268">
        <f t="shared" si="125"/>
        <v>569564.86945569096</v>
      </c>
      <c r="J212" s="268">
        <f t="shared" si="125"/>
        <v>491745.80625708972</v>
      </c>
      <c r="K212" s="268">
        <f t="shared" si="125"/>
        <v>-1290150.5963508007</v>
      </c>
      <c r="L212" s="268">
        <f t="shared" si="125"/>
        <v>425298.59341516893</v>
      </c>
      <c r="M212" s="268">
        <f t="shared" si="125"/>
        <v>423807.90085479105</v>
      </c>
      <c r="N212" s="268">
        <f t="shared" si="125"/>
        <v>360087.97653485544</v>
      </c>
      <c r="O212" s="268">
        <f t="shared" si="125"/>
        <v>351991.46954301966</v>
      </c>
      <c r="P212" s="268">
        <f t="shared" si="125"/>
        <v>-1094987.9648033993</v>
      </c>
      <c r="Q212" s="268">
        <f t="shared" si="125"/>
        <v>-63302.352744795993</v>
      </c>
      <c r="R212" s="268">
        <f t="shared" si="125"/>
        <v>248344.01044052714</v>
      </c>
      <c r="S212" s="268">
        <f t="shared" si="125"/>
        <v>238844.24078661346</v>
      </c>
      <c r="T212" s="268">
        <f t="shared" si="125"/>
        <v>199832.8964154881</v>
      </c>
      <c r="U212" s="268">
        <f t="shared" si="125"/>
        <v>-758556.84026428848</v>
      </c>
      <c r="V212" s="268">
        <f t="shared" si="125"/>
        <v>-730951.10347528616</v>
      </c>
      <c r="W212" s="268">
        <f t="shared" si="125"/>
        <v>-212629.44269098813</v>
      </c>
      <c r="X212" s="268">
        <f t="shared" si="125"/>
        <v>132310.45683796829</v>
      </c>
      <c r="Y212" s="268">
        <f t="shared" si="125"/>
        <v>130292.31128692659</v>
      </c>
      <c r="Z212" s="268">
        <f t="shared" si="125"/>
        <v>-266609.4338427675</v>
      </c>
      <c r="AA212" s="268">
        <f t="shared" si="125"/>
        <v>2356.5096597266061</v>
      </c>
      <c r="AB212" s="268">
        <f t="shared" si="125"/>
        <v>-21312.125390990699</v>
      </c>
      <c r="AC212" s="268">
        <f t="shared" si="125"/>
        <v>89664.538953497686</v>
      </c>
      <c r="AD212" s="268">
        <f t="shared" si="125"/>
        <v>74678.197006485439</v>
      </c>
      <c r="AE212" s="268">
        <f t="shared" si="125"/>
        <v>-153873.0670824452</v>
      </c>
      <c r="AF212" s="268">
        <f t="shared" si="125"/>
        <v>59484.576380294995</v>
      </c>
      <c r="AG212" s="268">
        <f t="shared" si="125"/>
        <v>57066.945264753791</v>
      </c>
      <c r="AH212" s="268">
        <f t="shared" si="125"/>
        <v>47341.69059846508</v>
      </c>
      <c r="AI212" s="268">
        <f t="shared" si="125"/>
        <v>45474.267041699553</v>
      </c>
      <c r="AJ212" s="268">
        <f t="shared" si="125"/>
        <v>-96794.767146957282</v>
      </c>
      <c r="AK212" s="268">
        <f t="shared" si="125"/>
        <v>36206.448309366351</v>
      </c>
      <c r="AL212" s="268">
        <f t="shared" si="125"/>
        <v>-59634.253165487309</v>
      </c>
      <c r="AM212" s="268">
        <f t="shared" si="125"/>
        <v>-160098.55792506275</v>
      </c>
      <c r="AN212" s="268">
        <f t="shared" si="125"/>
        <v>-39961.162993413709</v>
      </c>
      <c r="AO212" s="268">
        <f t="shared" si="125"/>
        <v>-57282.991296580731</v>
      </c>
      <c r="AP212" s="268">
        <f t="shared" si="125"/>
        <v>18809.806443247166</v>
      </c>
      <c r="AQ212" s="268">
        <f t="shared" si="125"/>
        <v>18173.776127688139</v>
      </c>
      <c r="AR212" s="268">
        <f t="shared" si="125"/>
        <v>14892.43583605636</v>
      </c>
      <c r="AS212" s="268">
        <f t="shared" si="125"/>
        <v>14413.647943105938</v>
      </c>
      <c r="AT212" s="268">
        <f t="shared" si="125"/>
        <v>178130.80093034668</v>
      </c>
      <c r="AU212" s="166"/>
      <c r="AV212" s="166"/>
      <c r="AW212" s="166"/>
      <c r="AX212" s="166"/>
      <c r="AY212" s="166"/>
      <c r="AZ212" s="166"/>
      <c r="BA212" s="166"/>
      <c r="BB212" s="166"/>
      <c r="BC212" s="166"/>
      <c r="BD212" s="166"/>
      <c r="BE212" s="166"/>
      <c r="BF212" s="166"/>
      <c r="BG212" s="166"/>
      <c r="BH212" s="166"/>
      <c r="BI212" s="166"/>
      <c r="BJ212" s="166"/>
      <c r="BK212" s="166"/>
      <c r="BL212" s="166"/>
      <c r="BM212" s="166"/>
      <c r="BN212" s="166"/>
    </row>
    <row r="213" spans="1:66" ht="14.4" x14ac:dyDescent="0.25">
      <c r="B213" s="907" t="s">
        <v>403</v>
      </c>
      <c r="C213" s="824">
        <f>SUM(C212)</f>
        <v>-5894681.6442265697</v>
      </c>
      <c r="D213" s="824">
        <f>SUM(C212:D212)</f>
        <v>-26861442.110321891</v>
      </c>
      <c r="E213" s="824">
        <f>SUM(C212:E212)</f>
        <v>-74607683.111055389</v>
      </c>
      <c r="F213" s="824">
        <f>SUM(C212:F212)</f>
        <v>-91596916.316907555</v>
      </c>
      <c r="G213" s="824">
        <f>SUM(C212:G212)</f>
        <v>-91557682.114090353</v>
      </c>
      <c r="H213" s="824">
        <f>SUM(C212:H212)</f>
        <v>-91155140.923065126</v>
      </c>
      <c r="I213" s="824">
        <f>SUM(C212:I212)</f>
        <v>-90585576.053609431</v>
      </c>
      <c r="J213" s="824">
        <f>SUM(C212:J212)</f>
        <v>-90093830.247352347</v>
      </c>
      <c r="K213" s="824">
        <f>SUM(C212:K212)</f>
        <v>-91383980.843703151</v>
      </c>
      <c r="L213" s="824">
        <f>SUM(C212:L212)</f>
        <v>-90958682.25028798</v>
      </c>
      <c r="M213" s="824">
        <f>SUM(C212:M212)</f>
        <v>-90534874.349433184</v>
      </c>
      <c r="N213" s="824">
        <f>SUM(C212:N212)</f>
        <v>-90174786.372898325</v>
      </c>
      <c r="O213" s="824">
        <f>SUM(C212:O212)</f>
        <v>-89822794.9033553</v>
      </c>
      <c r="P213" s="824">
        <f>SUM(C212:P212)</f>
        <v>-90917782.868158698</v>
      </c>
      <c r="Q213" s="824">
        <f>SUM(C212:Q212)</f>
        <v>-90981085.220903501</v>
      </c>
      <c r="R213" s="824">
        <f>SUM(C212:R212)</f>
        <v>-90732741.210462973</v>
      </c>
      <c r="S213" s="824">
        <f>SUM(C212:S212)</f>
        <v>-90493896.96967636</v>
      </c>
      <c r="T213" s="824">
        <f>SUM(C212:T212)</f>
        <v>-90294064.073260874</v>
      </c>
      <c r="U213" s="824">
        <f>SUM(C212:U212)</f>
        <v>-91052620.913525164</v>
      </c>
      <c r="V213" s="824">
        <f>SUM(C212:V212)</f>
        <v>-91783572.017000452</v>
      </c>
      <c r="W213" s="824">
        <f>SUM(C212:W212)</f>
        <v>-91996201.459691435</v>
      </c>
      <c r="X213" s="824">
        <f>SUM(C212:X212)</f>
        <v>-91863891.002853468</v>
      </c>
      <c r="Y213" s="824">
        <f>SUM(C212:Y212)</f>
        <v>-91733598.691566542</v>
      </c>
      <c r="Z213" s="824">
        <f>SUM(C212:Z212)</f>
        <v>-92000208.125409305</v>
      </c>
      <c r="AA213" s="824">
        <f>SUM(C212:AA212)</f>
        <v>-91997851.615749583</v>
      </c>
      <c r="AB213" s="824">
        <f>SUM(C212:AB212)</f>
        <v>-92019163.741140574</v>
      </c>
      <c r="AC213" s="824">
        <f>SUM(C212:AC212)</f>
        <v>-91929499.202187076</v>
      </c>
      <c r="AD213" s="824">
        <f>SUM(C212:AD212)</f>
        <v>-91854821.005180597</v>
      </c>
      <c r="AE213" s="824">
        <f>SUM(C212:AE212)</f>
        <v>-92008694.072263047</v>
      </c>
      <c r="AF213" s="824">
        <f>SUM(C212:AF212)</f>
        <v>-91949209.49588275</v>
      </c>
      <c r="AG213" s="824">
        <f>SUM(C212:AG212)</f>
        <v>-91892142.550617993</v>
      </c>
      <c r="AH213" s="824">
        <f>SUM(C212:AH212)</f>
        <v>-91844800.860019535</v>
      </c>
      <c r="AI213" s="824">
        <f>SUM(C212:AI212)</f>
        <v>-91799326.592977837</v>
      </c>
      <c r="AJ213" s="824">
        <f>SUM(C212:AJ212)</f>
        <v>-91896121.360124797</v>
      </c>
      <c r="AK213" s="824">
        <f>SUM(C212:AK212)</f>
        <v>-91859914.911815435</v>
      </c>
      <c r="AL213" s="824">
        <f>SUM(C212:AL212)</f>
        <v>-91919549.164980918</v>
      </c>
      <c r="AM213" s="824">
        <f>SUM(C212:AM212)</f>
        <v>-92079647.722905979</v>
      </c>
      <c r="AN213" s="824">
        <f>SUM(C212:AN212)</f>
        <v>-92119608.885899395</v>
      </c>
      <c r="AO213" s="824">
        <f>SUM(C212:AO212)</f>
        <v>-92176891.877195969</v>
      </c>
      <c r="AP213" s="824">
        <f>SUM(C212:AP212)</f>
        <v>-92158082.070752725</v>
      </c>
      <c r="AQ213" s="824">
        <f>SUM(C212:AQ212)</f>
        <v>-92139908.294625044</v>
      </c>
      <c r="AR213" s="824">
        <f>SUM(C212:AR212)</f>
        <v>-92125015.858788982</v>
      </c>
      <c r="AS213" s="824">
        <f>SUM(C212:AS212)</f>
        <v>-92110602.210845873</v>
      </c>
      <c r="AT213" s="824">
        <f>SUM(C212:AT212)</f>
        <v>-91932471.409915522</v>
      </c>
      <c r="AU213" s="166"/>
      <c r="AV213" s="166"/>
      <c r="AW213" s="166"/>
      <c r="AX213" s="166"/>
      <c r="AY213" s="166"/>
      <c r="AZ213" s="166"/>
      <c r="BA213" s="166"/>
      <c r="BB213" s="166"/>
      <c r="BC213" s="166"/>
      <c r="BD213" s="166"/>
      <c r="BE213" s="166"/>
      <c r="BF213" s="166"/>
      <c r="BG213" s="166"/>
      <c r="BH213" s="166"/>
      <c r="BI213" s="166"/>
      <c r="BJ213" s="166"/>
      <c r="BK213" s="166"/>
      <c r="BL213" s="166"/>
      <c r="BM213" s="166"/>
      <c r="BN213" s="166"/>
    </row>
    <row r="214" spans="1:66" ht="14.4" x14ac:dyDescent="0.3">
      <c r="B214" s="180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263"/>
      <c r="AG214" s="263"/>
      <c r="AH214" s="263"/>
      <c r="AI214" s="263"/>
      <c r="AK214" s="263"/>
      <c r="AL214" s="263"/>
      <c r="AM214" s="263"/>
      <c r="AN214" s="263"/>
      <c r="AO214" s="263"/>
      <c r="AP214" s="263"/>
      <c r="AQ214" s="263"/>
      <c r="AR214" s="264"/>
      <c r="AS214" s="264"/>
      <c r="AU214" s="166"/>
      <c r="AV214" s="166"/>
      <c r="AW214" s="166"/>
      <c r="AX214" s="166"/>
      <c r="AY214" s="166"/>
      <c r="AZ214" s="166"/>
      <c r="BA214" s="166"/>
      <c r="BB214" s="166"/>
      <c r="BC214" s="166"/>
      <c r="BD214" s="166"/>
      <c r="BE214" s="166"/>
      <c r="BF214" s="166"/>
      <c r="BG214" s="166"/>
      <c r="BH214" s="166"/>
      <c r="BI214" s="166"/>
      <c r="BJ214" s="166"/>
      <c r="BK214" s="166"/>
      <c r="BL214" s="166"/>
      <c r="BM214" s="166"/>
      <c r="BN214" s="166"/>
    </row>
    <row r="215" spans="1:66" x14ac:dyDescent="0.25">
      <c r="AU215" s="166"/>
      <c r="AV215" s="166"/>
      <c r="AW215" s="166"/>
      <c r="AX215" s="166"/>
      <c r="AY215" s="166"/>
      <c r="AZ215" s="166"/>
      <c r="BA215" s="166"/>
      <c r="BB215" s="166"/>
      <c r="BC215" s="166"/>
      <c r="BD215" s="166"/>
      <c r="BE215" s="166"/>
      <c r="BF215" s="166"/>
      <c r="BG215" s="166"/>
      <c r="BH215" s="166"/>
      <c r="BI215" s="166"/>
      <c r="BJ215" s="166"/>
      <c r="BK215" s="166"/>
      <c r="BL215" s="166"/>
      <c r="BM215" s="166"/>
      <c r="BN215" s="166"/>
    </row>
    <row r="216" spans="1:66" s="304" customFormat="1" ht="14.4" x14ac:dyDescent="0.3">
      <c r="A216" s="306"/>
      <c r="B216" s="759" t="s">
        <v>531</v>
      </c>
      <c r="C216" s="759"/>
      <c r="D216" s="759"/>
      <c r="E216" s="759"/>
      <c r="F216" s="759"/>
      <c r="G216" s="759"/>
      <c r="H216" s="759"/>
      <c r="I216" s="759"/>
      <c r="J216" s="759"/>
      <c r="K216" s="759"/>
      <c r="L216" s="759"/>
      <c r="M216" s="759"/>
      <c r="N216" s="759"/>
      <c r="O216" s="759"/>
      <c r="P216" s="759"/>
      <c r="Q216" s="759"/>
      <c r="R216" s="759"/>
      <c r="S216" s="759"/>
      <c r="T216" s="759"/>
      <c r="U216" s="759"/>
      <c r="V216" s="759"/>
      <c r="W216" s="759"/>
      <c r="X216" s="759"/>
      <c r="Y216" s="759"/>
      <c r="Z216" s="759"/>
      <c r="AA216" s="759"/>
      <c r="AB216" s="759"/>
      <c r="AC216" s="759"/>
      <c r="AD216" s="759"/>
      <c r="AE216" s="759"/>
      <c r="AF216" s="759"/>
      <c r="AG216" s="759"/>
      <c r="AH216" s="759"/>
      <c r="AI216" s="759"/>
      <c r="AJ216" s="759"/>
      <c r="AK216" s="759"/>
      <c r="AL216" s="759"/>
      <c r="AM216" s="759"/>
      <c r="AN216" s="759"/>
      <c r="AO216" s="759"/>
      <c r="AP216" s="759"/>
      <c r="AQ216" s="759"/>
      <c r="AR216" s="759"/>
      <c r="AS216" s="759"/>
      <c r="AT216" s="760"/>
    </row>
    <row r="217" spans="1:66" x14ac:dyDescent="0.25"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  <c r="AG217" s="177"/>
      <c r="AH217" s="177"/>
      <c r="AI217" s="177"/>
      <c r="AJ217" s="13"/>
      <c r="AK217" s="38"/>
      <c r="AL217" s="38"/>
      <c r="AM217" s="38"/>
      <c r="AN217" s="38"/>
      <c r="AO217" s="38"/>
      <c r="AP217" s="38"/>
      <c r="AQ217" s="38"/>
      <c r="AR217" s="38"/>
      <c r="AS217" s="38"/>
      <c r="AT217" s="13"/>
      <c r="AU217" s="166"/>
      <c r="AV217" s="166"/>
      <c r="AW217" s="166"/>
      <c r="AX217" s="166"/>
      <c r="AY217" s="166"/>
      <c r="AZ217" s="166"/>
      <c r="BA217" s="166"/>
      <c r="BB217" s="166"/>
      <c r="BC217" s="166"/>
      <c r="BD217" s="166"/>
      <c r="BE217" s="166"/>
      <c r="BF217" s="166"/>
      <c r="BG217" s="166"/>
      <c r="BH217" s="166"/>
      <c r="BI217" s="166"/>
      <c r="BJ217" s="166"/>
      <c r="BK217" s="166"/>
      <c r="BL217" s="166"/>
      <c r="BM217" s="166"/>
      <c r="BN217" s="166"/>
    </row>
    <row r="218" spans="1:66" ht="14.4" x14ac:dyDescent="0.3">
      <c r="B218" s="813" t="s">
        <v>378</v>
      </c>
      <c r="C218" s="179">
        <v>2015</v>
      </c>
      <c r="D218" s="179">
        <v>2016</v>
      </c>
      <c r="E218" s="179">
        <v>2017</v>
      </c>
      <c r="F218" s="179">
        <v>2018</v>
      </c>
      <c r="G218" s="179">
        <v>2019</v>
      </c>
      <c r="H218" s="179">
        <v>2020</v>
      </c>
      <c r="I218" s="179">
        <v>2021</v>
      </c>
      <c r="J218" s="179">
        <v>2022</v>
      </c>
      <c r="K218" s="179">
        <v>2023</v>
      </c>
      <c r="L218" s="179">
        <v>2024</v>
      </c>
      <c r="M218" s="179">
        <v>2025</v>
      </c>
      <c r="N218" s="179">
        <v>2026</v>
      </c>
      <c r="O218" s="179">
        <v>2027</v>
      </c>
      <c r="P218" s="179">
        <v>2028</v>
      </c>
      <c r="Q218" s="179">
        <v>2029</v>
      </c>
      <c r="R218" s="179">
        <v>2030</v>
      </c>
      <c r="S218" s="179">
        <v>2031</v>
      </c>
      <c r="T218" s="179">
        <v>2032</v>
      </c>
      <c r="U218" s="179">
        <v>2033</v>
      </c>
      <c r="V218" s="179">
        <v>2034</v>
      </c>
      <c r="W218" s="179">
        <v>2035</v>
      </c>
      <c r="X218" s="179">
        <v>2036</v>
      </c>
      <c r="Y218" s="179">
        <v>2037</v>
      </c>
      <c r="Z218" s="179">
        <v>2038</v>
      </c>
      <c r="AA218" s="179">
        <v>2039</v>
      </c>
      <c r="AB218" s="179">
        <v>2040</v>
      </c>
      <c r="AC218" s="179">
        <v>2041</v>
      </c>
      <c r="AD218" s="179">
        <v>2042</v>
      </c>
      <c r="AE218" s="179">
        <v>2043</v>
      </c>
      <c r="AF218" s="179">
        <v>2044</v>
      </c>
      <c r="AG218" s="179">
        <v>2045</v>
      </c>
      <c r="AH218" s="179">
        <v>2046</v>
      </c>
      <c r="AI218" s="179">
        <v>2047</v>
      </c>
      <c r="AJ218" s="179">
        <v>2048</v>
      </c>
      <c r="AK218" s="179">
        <v>2049</v>
      </c>
      <c r="AL218" s="179">
        <v>2050</v>
      </c>
      <c r="AM218" s="179">
        <v>2051</v>
      </c>
      <c r="AN218" s="179">
        <v>2052</v>
      </c>
      <c r="AO218" s="179">
        <v>2053</v>
      </c>
      <c r="AP218" s="179">
        <v>2054</v>
      </c>
      <c r="AQ218" s="179">
        <v>2055</v>
      </c>
      <c r="AR218" s="179">
        <v>2056</v>
      </c>
      <c r="AS218" s="179">
        <v>2057</v>
      </c>
      <c r="AT218" s="179">
        <v>2058</v>
      </c>
      <c r="AU218" s="166"/>
      <c r="AV218" s="166"/>
      <c r="AW218" s="166"/>
      <c r="AX218" s="166"/>
      <c r="AY218" s="166"/>
      <c r="AZ218" s="166"/>
      <c r="BA218" s="166"/>
      <c r="BB218" s="166"/>
      <c r="BC218" s="166"/>
      <c r="BD218" s="166"/>
      <c r="BE218" s="166"/>
      <c r="BF218" s="166"/>
      <c r="BG218" s="166"/>
      <c r="BH218" s="166"/>
      <c r="BI218" s="166"/>
      <c r="BJ218" s="166"/>
      <c r="BK218" s="166"/>
      <c r="BL218" s="166"/>
      <c r="BM218" s="166"/>
      <c r="BN218" s="166"/>
    </row>
    <row r="219" spans="1:66" ht="14.4" x14ac:dyDescent="0.3">
      <c r="B219" s="813"/>
      <c r="C219" s="816" t="s">
        <v>134</v>
      </c>
      <c r="D219" s="816" t="s">
        <v>135</v>
      </c>
      <c r="E219" s="816" t="s">
        <v>136</v>
      </c>
      <c r="F219" s="816" t="s">
        <v>137</v>
      </c>
      <c r="G219" s="816" t="s">
        <v>138</v>
      </c>
      <c r="H219" s="816" t="s">
        <v>139</v>
      </c>
      <c r="I219" s="816" t="s">
        <v>140</v>
      </c>
      <c r="J219" s="816" t="s">
        <v>141</v>
      </c>
      <c r="K219" s="816" t="s">
        <v>142</v>
      </c>
      <c r="L219" s="816" t="s">
        <v>143</v>
      </c>
      <c r="M219" s="816" t="s">
        <v>144</v>
      </c>
      <c r="N219" s="816" t="s">
        <v>145</v>
      </c>
      <c r="O219" s="816" t="s">
        <v>146</v>
      </c>
      <c r="P219" s="816" t="s">
        <v>147</v>
      </c>
      <c r="Q219" s="816" t="s">
        <v>148</v>
      </c>
      <c r="R219" s="816" t="s">
        <v>149</v>
      </c>
      <c r="S219" s="816" t="s">
        <v>150</v>
      </c>
      <c r="T219" s="816" t="s">
        <v>151</v>
      </c>
      <c r="U219" s="816" t="s">
        <v>152</v>
      </c>
      <c r="V219" s="816" t="s">
        <v>153</v>
      </c>
      <c r="W219" s="816" t="s">
        <v>154</v>
      </c>
      <c r="X219" s="816" t="s">
        <v>155</v>
      </c>
      <c r="Y219" s="816" t="s">
        <v>156</v>
      </c>
      <c r="Z219" s="816" t="s">
        <v>157</v>
      </c>
      <c r="AA219" s="816" t="s">
        <v>158</v>
      </c>
      <c r="AB219" s="816" t="s">
        <v>159</v>
      </c>
      <c r="AC219" s="816" t="s">
        <v>160</v>
      </c>
      <c r="AD219" s="816" t="s">
        <v>161</v>
      </c>
      <c r="AE219" s="816" t="s">
        <v>162</v>
      </c>
      <c r="AF219" s="816" t="s">
        <v>163</v>
      </c>
      <c r="AG219" s="816" t="s">
        <v>164</v>
      </c>
      <c r="AH219" s="816" t="s">
        <v>165</v>
      </c>
      <c r="AI219" s="816" t="s">
        <v>166</v>
      </c>
      <c r="AJ219" s="816" t="s">
        <v>167</v>
      </c>
      <c r="AK219" s="816" t="s">
        <v>168</v>
      </c>
      <c r="AL219" s="816" t="s">
        <v>169</v>
      </c>
      <c r="AM219" s="816" t="s">
        <v>170</v>
      </c>
      <c r="AN219" s="816" t="s">
        <v>171</v>
      </c>
      <c r="AO219" s="816" t="s">
        <v>172</v>
      </c>
      <c r="AP219" s="816" t="s">
        <v>173</v>
      </c>
      <c r="AQ219" s="816" t="s">
        <v>174</v>
      </c>
      <c r="AR219" s="816" t="s">
        <v>224</v>
      </c>
      <c r="AS219" s="816" t="s">
        <v>225</v>
      </c>
      <c r="AT219" s="816" t="s">
        <v>226</v>
      </c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66"/>
      <c r="BI219" s="166"/>
      <c r="BJ219" s="166"/>
      <c r="BK219" s="166"/>
      <c r="BL219" s="166"/>
      <c r="BM219" s="166"/>
      <c r="BN219" s="166"/>
    </row>
    <row r="220" spans="1:66" ht="14.4" x14ac:dyDescent="0.3">
      <c r="B220" s="813"/>
      <c r="C220" s="816">
        <v>0</v>
      </c>
      <c r="D220" s="816">
        <v>1</v>
      </c>
      <c r="E220" s="816">
        <v>2</v>
      </c>
      <c r="F220" s="816">
        <v>3</v>
      </c>
      <c r="G220" s="816">
        <v>4</v>
      </c>
      <c r="H220" s="816">
        <v>5</v>
      </c>
      <c r="I220" s="816">
        <v>6</v>
      </c>
      <c r="J220" s="816">
        <v>7</v>
      </c>
      <c r="K220" s="816">
        <v>8</v>
      </c>
      <c r="L220" s="816">
        <v>9</v>
      </c>
      <c r="M220" s="816">
        <v>10</v>
      </c>
      <c r="N220" s="816">
        <v>11</v>
      </c>
      <c r="O220" s="816">
        <v>12</v>
      </c>
      <c r="P220" s="816">
        <v>13</v>
      </c>
      <c r="Q220" s="816">
        <v>14</v>
      </c>
      <c r="R220" s="816">
        <v>15</v>
      </c>
      <c r="S220" s="816">
        <v>16</v>
      </c>
      <c r="T220" s="816">
        <v>17</v>
      </c>
      <c r="U220" s="816">
        <v>18</v>
      </c>
      <c r="V220" s="816">
        <v>19</v>
      </c>
      <c r="W220" s="816">
        <v>20</v>
      </c>
      <c r="X220" s="816">
        <v>21</v>
      </c>
      <c r="Y220" s="816">
        <v>22</v>
      </c>
      <c r="Z220" s="816">
        <v>23</v>
      </c>
      <c r="AA220" s="816">
        <v>24</v>
      </c>
      <c r="AB220" s="816">
        <v>25</v>
      </c>
      <c r="AC220" s="816">
        <v>26</v>
      </c>
      <c r="AD220" s="816">
        <v>27</v>
      </c>
      <c r="AE220" s="816">
        <v>28</v>
      </c>
      <c r="AF220" s="816">
        <v>29</v>
      </c>
      <c r="AG220" s="816">
        <v>30</v>
      </c>
      <c r="AH220" s="816">
        <v>31</v>
      </c>
      <c r="AI220" s="816">
        <v>32</v>
      </c>
      <c r="AJ220" s="816">
        <v>33</v>
      </c>
      <c r="AK220" s="816">
        <v>34</v>
      </c>
      <c r="AL220" s="816">
        <v>35</v>
      </c>
      <c r="AM220" s="816">
        <v>36</v>
      </c>
      <c r="AN220" s="816">
        <v>37</v>
      </c>
      <c r="AO220" s="816">
        <v>38</v>
      </c>
      <c r="AP220" s="816">
        <v>39</v>
      </c>
      <c r="AQ220" s="816">
        <v>40</v>
      </c>
      <c r="AR220" s="816">
        <v>41</v>
      </c>
      <c r="AS220" s="816">
        <v>42</v>
      </c>
      <c r="AT220" s="816">
        <v>43</v>
      </c>
      <c r="AU220" s="166"/>
      <c r="AV220" s="166"/>
      <c r="AW220" s="166"/>
      <c r="AX220" s="166"/>
      <c r="AY220" s="166"/>
      <c r="AZ220" s="166"/>
      <c r="BA220" s="166"/>
      <c r="BB220" s="166"/>
      <c r="BC220" s="166"/>
      <c r="BD220" s="166"/>
      <c r="BE220" s="166"/>
      <c r="BF220" s="166"/>
      <c r="BG220" s="166"/>
      <c r="BH220" s="166"/>
      <c r="BI220" s="166"/>
      <c r="BJ220" s="166"/>
      <c r="BK220" s="166"/>
      <c r="BL220" s="166"/>
      <c r="BM220" s="166"/>
      <c r="BN220" s="166"/>
    </row>
    <row r="221" spans="1:66" ht="14.4" x14ac:dyDescent="0.3">
      <c r="B221" s="813"/>
      <c r="C221" s="816">
        <v>0</v>
      </c>
      <c r="D221" s="816">
        <v>0</v>
      </c>
      <c r="E221" s="816">
        <v>0</v>
      </c>
      <c r="F221" s="816">
        <v>0</v>
      </c>
      <c r="G221" s="816">
        <v>1</v>
      </c>
      <c r="H221" s="816">
        <v>2</v>
      </c>
      <c r="I221" s="816">
        <v>3</v>
      </c>
      <c r="J221" s="816">
        <v>4</v>
      </c>
      <c r="K221" s="816">
        <v>5</v>
      </c>
      <c r="L221" s="816">
        <v>6</v>
      </c>
      <c r="M221" s="816">
        <v>7</v>
      </c>
      <c r="N221" s="816">
        <v>8</v>
      </c>
      <c r="O221" s="816">
        <v>9</v>
      </c>
      <c r="P221" s="816">
        <v>10</v>
      </c>
      <c r="Q221" s="816">
        <v>11</v>
      </c>
      <c r="R221" s="816">
        <v>12</v>
      </c>
      <c r="S221" s="816">
        <v>13</v>
      </c>
      <c r="T221" s="816">
        <v>14</v>
      </c>
      <c r="U221" s="816">
        <v>15</v>
      </c>
      <c r="V221" s="816">
        <v>16</v>
      </c>
      <c r="W221" s="816">
        <v>17</v>
      </c>
      <c r="X221" s="816">
        <v>18</v>
      </c>
      <c r="Y221" s="816">
        <v>19</v>
      </c>
      <c r="Z221" s="816">
        <v>20</v>
      </c>
      <c r="AA221" s="816">
        <v>21</v>
      </c>
      <c r="AB221" s="816">
        <v>22</v>
      </c>
      <c r="AC221" s="816">
        <v>23</v>
      </c>
      <c r="AD221" s="816">
        <v>24</v>
      </c>
      <c r="AE221" s="816">
        <v>25</v>
      </c>
      <c r="AF221" s="816">
        <v>26</v>
      </c>
      <c r="AG221" s="816">
        <v>27</v>
      </c>
      <c r="AH221" s="816">
        <v>28</v>
      </c>
      <c r="AI221" s="816">
        <v>29</v>
      </c>
      <c r="AJ221" s="816">
        <v>30</v>
      </c>
      <c r="AK221" s="816">
        <v>31</v>
      </c>
      <c r="AL221" s="816">
        <v>32</v>
      </c>
      <c r="AM221" s="816">
        <v>33</v>
      </c>
      <c r="AN221" s="816">
        <v>34</v>
      </c>
      <c r="AO221" s="816">
        <v>35</v>
      </c>
      <c r="AP221" s="816">
        <v>36</v>
      </c>
      <c r="AQ221" s="816">
        <v>37</v>
      </c>
      <c r="AR221" s="816">
        <v>38</v>
      </c>
      <c r="AS221" s="816">
        <v>39</v>
      </c>
      <c r="AT221" s="816">
        <v>40</v>
      </c>
      <c r="AU221" s="166"/>
      <c r="AV221" s="166"/>
      <c r="AW221" s="166"/>
      <c r="AX221" s="166"/>
      <c r="AY221" s="166"/>
      <c r="AZ221" s="166"/>
      <c r="BA221" s="166"/>
      <c r="BB221" s="166"/>
      <c r="BC221" s="166"/>
      <c r="BD221" s="166"/>
      <c r="BE221" s="166"/>
      <c r="BF221" s="166"/>
      <c r="BG221" s="166"/>
      <c r="BH221" s="166"/>
      <c r="BI221" s="166"/>
      <c r="BJ221" s="166"/>
      <c r="BK221" s="166"/>
      <c r="BL221" s="166"/>
      <c r="BM221" s="166"/>
      <c r="BN221" s="166"/>
    </row>
    <row r="222" spans="1:66" ht="14.4" x14ac:dyDescent="0.3">
      <c r="B222" s="813"/>
      <c r="C222" s="798"/>
      <c r="D222" s="798"/>
      <c r="E222" s="798"/>
      <c r="F222" s="798"/>
      <c r="G222" s="798"/>
      <c r="H222" s="798"/>
      <c r="I222" s="798"/>
      <c r="J222" s="798"/>
      <c r="K222" s="798"/>
      <c r="L222" s="798"/>
      <c r="M222" s="798"/>
      <c r="N222" s="798"/>
      <c r="O222" s="798"/>
      <c r="P222" s="798"/>
      <c r="Q222" s="798"/>
      <c r="R222" s="798"/>
      <c r="S222" s="798"/>
      <c r="T222" s="798"/>
      <c r="U222" s="798"/>
      <c r="V222" s="798"/>
      <c r="W222" s="798"/>
      <c r="X222" s="798"/>
      <c r="Y222" s="798"/>
      <c r="Z222" s="798"/>
      <c r="AA222" s="798"/>
      <c r="AB222" s="798"/>
      <c r="AC222" s="798"/>
      <c r="AD222" s="798"/>
      <c r="AE222" s="798"/>
      <c r="AF222" s="798"/>
      <c r="AG222" s="798"/>
      <c r="AH222" s="798"/>
      <c r="AI222" s="798"/>
      <c r="AJ222" s="798"/>
      <c r="AK222" s="798"/>
      <c r="AL222" s="798"/>
      <c r="AM222" s="798"/>
      <c r="AN222" s="798"/>
      <c r="AO222" s="798"/>
      <c r="AP222" s="798"/>
      <c r="AQ222" s="798"/>
      <c r="AR222" s="798"/>
      <c r="AS222" s="798"/>
      <c r="AT222" s="798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  <c r="BJ222" s="166"/>
      <c r="BK222" s="166"/>
      <c r="BL222" s="166"/>
      <c r="BM222" s="166"/>
      <c r="BN222" s="166"/>
    </row>
    <row r="223" spans="1:66" ht="14.4" x14ac:dyDescent="0.25">
      <c r="B223" s="830" t="s">
        <v>434</v>
      </c>
      <c r="C223" s="807"/>
      <c r="D223" s="807"/>
      <c r="E223" s="807"/>
      <c r="F223" s="807"/>
      <c r="G223" s="807"/>
      <c r="H223" s="807"/>
      <c r="I223" s="807"/>
      <c r="J223" s="807"/>
      <c r="K223" s="807"/>
      <c r="L223" s="807"/>
      <c r="M223" s="807"/>
      <c r="N223" s="807"/>
      <c r="O223" s="807"/>
      <c r="P223" s="807"/>
      <c r="Q223" s="807"/>
      <c r="R223" s="807"/>
      <c r="S223" s="807"/>
      <c r="T223" s="807"/>
      <c r="U223" s="807"/>
      <c r="V223" s="807"/>
      <c r="W223" s="807"/>
      <c r="X223" s="807"/>
      <c r="Y223" s="807"/>
      <c r="Z223" s="807"/>
      <c r="AA223" s="807"/>
      <c r="AB223" s="807"/>
      <c r="AC223" s="807"/>
      <c r="AD223" s="807"/>
      <c r="AE223" s="807"/>
      <c r="AF223" s="807"/>
      <c r="AG223" s="807"/>
      <c r="AH223" s="807"/>
      <c r="AI223" s="807"/>
      <c r="AJ223" s="807"/>
      <c r="AK223" s="807"/>
      <c r="AL223" s="807"/>
      <c r="AM223" s="807"/>
      <c r="AN223" s="807"/>
      <c r="AO223" s="807"/>
      <c r="AP223" s="807"/>
      <c r="AQ223" s="807"/>
      <c r="AR223" s="807"/>
      <c r="AS223" s="807"/>
      <c r="AT223" s="807"/>
      <c r="AU223" s="166"/>
      <c r="AV223" s="166"/>
      <c r="AW223" s="166"/>
      <c r="AX223" s="166"/>
      <c r="AY223" s="166"/>
      <c r="AZ223" s="166"/>
      <c r="BA223" s="166"/>
      <c r="BB223" s="166"/>
      <c r="BC223" s="166"/>
      <c r="BD223" s="166"/>
      <c r="BE223" s="166"/>
      <c r="BF223" s="166"/>
      <c r="BG223" s="166"/>
      <c r="BH223" s="166"/>
      <c r="BI223" s="166"/>
      <c r="BJ223" s="166"/>
      <c r="BK223" s="166"/>
      <c r="BL223" s="166"/>
      <c r="BM223" s="166"/>
      <c r="BN223" s="166"/>
    </row>
    <row r="224" spans="1:66" x14ac:dyDescent="0.25">
      <c r="B224" s="831" t="s">
        <v>449</v>
      </c>
      <c r="C224" s="178">
        <v>0</v>
      </c>
      <c r="D224" s="178">
        <v>0</v>
      </c>
      <c r="E224" s="178">
        <v>0</v>
      </c>
      <c r="F224" s="178">
        <v>0</v>
      </c>
      <c r="G224" s="268">
        <f>G148</f>
        <v>3489433.6493760138</v>
      </c>
      <c r="H224" s="268">
        <f t="shared" ref="H224:AT224" si="126">H148</f>
        <v>3864615.9241095837</v>
      </c>
      <c r="I224" s="268">
        <f t="shared" si="126"/>
        <v>3667955.0526417415</v>
      </c>
      <c r="J224" s="268">
        <f t="shared" si="126"/>
        <v>3754445.5924109258</v>
      </c>
      <c r="K224" s="268">
        <f t="shared" si="126"/>
        <v>8581249.2635108829</v>
      </c>
      <c r="L224" s="268">
        <f t="shared" si="126"/>
        <v>3933734.6730025862</v>
      </c>
      <c r="M224" s="268">
        <f t="shared" si="126"/>
        <v>4026637.2762531824</v>
      </c>
      <c r="N224" s="268">
        <f t="shared" si="126"/>
        <v>4121783.4832045212</v>
      </c>
      <c r="O224" s="268">
        <f t="shared" si="126"/>
        <v>4219228.6557829175</v>
      </c>
      <c r="P224" s="268">
        <f t="shared" si="126"/>
        <v>9525155.6981958821</v>
      </c>
      <c r="Q224" s="268">
        <f t="shared" si="126"/>
        <v>4421244.3521579085</v>
      </c>
      <c r="R224" s="268">
        <f t="shared" si="126"/>
        <v>4525932.7147169104</v>
      </c>
      <c r="S224" s="268">
        <f t="shared" si="126"/>
        <v>4633155.7948184023</v>
      </c>
      <c r="T224" s="268">
        <f t="shared" si="126"/>
        <v>4742976.2925206041</v>
      </c>
      <c r="U224" s="268">
        <f t="shared" si="126"/>
        <v>10575689.81600501</v>
      </c>
      <c r="V224" s="268">
        <f t="shared" si="126"/>
        <v>4970668.2950297529</v>
      </c>
      <c r="W224" s="268">
        <f t="shared" si="126"/>
        <v>5088673.2772134263</v>
      </c>
      <c r="X224" s="268">
        <f t="shared" si="126"/>
        <v>5209542.7163924491</v>
      </c>
      <c r="Y224" s="268">
        <f t="shared" si="126"/>
        <v>5333347.6438662987</v>
      </c>
      <c r="Z224" s="268">
        <f t="shared" si="126"/>
        <v>11745267.263724331</v>
      </c>
      <c r="AA224" s="268">
        <f t="shared" si="126"/>
        <v>5590057.1209969632</v>
      </c>
      <c r="AB224" s="268">
        <f t="shared" si="126"/>
        <v>5723112.9055465749</v>
      </c>
      <c r="AC224" s="268">
        <f t="shared" si="126"/>
        <v>5859406.7445057584</v>
      </c>
      <c r="AD224" s="268">
        <f t="shared" si="126"/>
        <v>5999019.1305208495</v>
      </c>
      <c r="AE224" s="268">
        <f t="shared" si="126"/>
        <v>13047797.821644107</v>
      </c>
      <c r="AF224" s="268">
        <f t="shared" si="126"/>
        <v>6288531.773346208</v>
      </c>
      <c r="AG224" s="268">
        <f t="shared" si="126"/>
        <v>6438603.4340750668</v>
      </c>
      <c r="AH224" s="268">
        <f t="shared" si="126"/>
        <v>6592336.5593562629</v>
      </c>
      <c r="AI224" s="268">
        <f t="shared" si="126"/>
        <v>6749822.3895147499</v>
      </c>
      <c r="AJ224" s="268">
        <f t="shared" si="126"/>
        <v>14498871.466441935</v>
      </c>
      <c r="AK224" s="268">
        <f t="shared" si="126"/>
        <v>7076428.7815859448</v>
      </c>
      <c r="AL224" s="268">
        <f t="shared" si="126"/>
        <v>7245743.6616738085</v>
      </c>
      <c r="AM224" s="268">
        <f t="shared" si="126"/>
        <v>7419200.0078551713</v>
      </c>
      <c r="AN224" s="268">
        <f t="shared" si="126"/>
        <v>7596901.2726635616</v>
      </c>
      <c r="AO224" s="268">
        <f t="shared" si="126"/>
        <v>16115968.399872713</v>
      </c>
      <c r="AP224" s="268">
        <f t="shared" si="126"/>
        <v>7965465.6146529177</v>
      </c>
      <c r="AQ224" s="268">
        <f t="shared" si="126"/>
        <v>8156549.0501983799</v>
      </c>
      <c r="AR224" s="268">
        <f t="shared" si="126"/>
        <v>8352318.2633171976</v>
      </c>
      <c r="AS224" s="268">
        <f t="shared" si="126"/>
        <v>8552890.5865902863</v>
      </c>
      <c r="AT224" s="268">
        <f t="shared" si="126"/>
        <v>17918696.229972437</v>
      </c>
      <c r="AU224" s="166"/>
      <c r="AV224" s="166"/>
      <c r="AW224" s="166"/>
      <c r="AX224" s="166"/>
      <c r="AY224" s="166"/>
      <c r="AZ224" s="166"/>
      <c r="BA224" s="166"/>
      <c r="BB224" s="166"/>
      <c r="BC224" s="166"/>
      <c r="BD224" s="166"/>
      <c r="BE224" s="166"/>
      <c r="BF224" s="166"/>
      <c r="BG224" s="166"/>
      <c r="BH224" s="166"/>
      <c r="BI224" s="166"/>
      <c r="BJ224" s="166"/>
      <c r="BK224" s="166"/>
      <c r="BL224" s="166"/>
      <c r="BM224" s="166"/>
      <c r="BN224" s="166"/>
    </row>
    <row r="225" spans="2:66" x14ac:dyDescent="0.25">
      <c r="B225" s="832" t="s">
        <v>379</v>
      </c>
      <c r="C225" s="178">
        <v>0</v>
      </c>
      <c r="D225" s="178">
        <v>0</v>
      </c>
      <c r="E225" s="178">
        <v>0</v>
      </c>
      <c r="F225" s="178">
        <v>0</v>
      </c>
      <c r="G225" s="758">
        <f>DEMANDA!C74*PARAMETROS!$C$61</f>
        <v>5066723.5228716638</v>
      </c>
      <c r="H225" s="758">
        <f>DEMANDA!D74*PARAMETROS!$C$61</f>
        <v>6755631.3638288863</v>
      </c>
      <c r="I225" s="758">
        <f>DEMANDA!E74*PARAMETROS!$C$61</f>
        <v>6827174.995764506</v>
      </c>
      <c r="J225" s="758">
        <f>DEMANDA!F74*PARAMETROS!$C$61</f>
        <v>6898718.6277001277</v>
      </c>
      <c r="K225" s="758">
        <f>DEMANDA!G74*PARAMETROS!$C$61</f>
        <v>6970262.2596357483</v>
      </c>
      <c r="L225" s="758">
        <f>DEMANDA!H74*PARAMETROS!$C$61</f>
        <v>7041805.8915713681</v>
      </c>
      <c r="M225" s="758">
        <f>DEMANDA!I74*PARAMETROS!$C$61</f>
        <v>7113349.5235069888</v>
      </c>
      <c r="N225" s="758">
        <f>DEMANDA!J74*PARAMETROS!$C$61</f>
        <v>7148796.9373332309</v>
      </c>
      <c r="O225" s="758">
        <f>DEMANDA!K74*PARAMETROS!$C$61</f>
        <v>7184244.3511594729</v>
      </c>
      <c r="P225" s="758">
        <f>DEMANDA!L74*PARAMETROS!$C$61</f>
        <v>7219691.764985716</v>
      </c>
      <c r="Q225" s="758">
        <f>DEMANDA!M74*PARAMETROS!$C$61</f>
        <v>7255139.1788119581</v>
      </c>
      <c r="R225" s="758">
        <f>DEMANDA!N74*PARAMETROS!$C$61</f>
        <v>7290586.5926382011</v>
      </c>
      <c r="S225" s="758">
        <f>DEMANDA!O74*PARAMETROS!$C$61</f>
        <v>7292483.0080515277</v>
      </c>
      <c r="T225" s="758">
        <f>DEMANDA!P74*PARAMETROS!$C$61</f>
        <v>7294379.4234648561</v>
      </c>
      <c r="U225" s="758">
        <f>DEMANDA!Q74*PARAMETROS!$C$61</f>
        <v>7296275.8388781836</v>
      </c>
      <c r="V225" s="758">
        <f>DEMANDA!R74*PARAMETROS!$C$61</f>
        <v>7298172.2542915121</v>
      </c>
      <c r="W225" s="758">
        <f>DEMANDA!S74*PARAMETROS!$C$61</f>
        <v>7300068.6697048377</v>
      </c>
      <c r="X225" s="758">
        <f>DEMANDA!T74*PARAMETROS!$C$61</f>
        <v>7354226.1570826331</v>
      </c>
      <c r="Y225" s="758">
        <f>DEMANDA!U74*PARAMETROS!$C$61</f>
        <v>7408383.6444604285</v>
      </c>
      <c r="Z225" s="758">
        <f>DEMANDA!V74*PARAMETROS!$C$61</f>
        <v>7462541.1318382239</v>
      </c>
      <c r="AA225" s="758">
        <f>DEMANDA!W74*PARAMETROS!$C$61</f>
        <v>7516698.6192160202</v>
      </c>
      <c r="AB225" s="758">
        <f>DEMANDA!X74*PARAMETROS!$C$61</f>
        <v>7570856.1065938128</v>
      </c>
      <c r="AC225" s="758">
        <f>DEMANDA!Y74*PARAMETROS!$C$61</f>
        <v>7570856.1065938128</v>
      </c>
      <c r="AD225" s="758">
        <f>DEMANDA!Z74*PARAMETROS!$C$61</f>
        <v>7570856.1065938128</v>
      </c>
      <c r="AE225" s="758">
        <f>DEMANDA!AA74*PARAMETROS!$C$61</f>
        <v>7570856.1065938128</v>
      </c>
      <c r="AF225" s="758">
        <f>DEMANDA!AB74*PARAMETROS!$C$61</f>
        <v>7570856.1065938128</v>
      </c>
      <c r="AG225" s="758">
        <f>DEMANDA!AC74*PARAMETROS!$C$61</f>
        <v>7570856.1065938128</v>
      </c>
      <c r="AH225" s="758">
        <f>DEMANDA!AD74*PARAMETROS!$C$61</f>
        <v>7570856.1065938128</v>
      </c>
      <c r="AI225" s="758">
        <f>DEMANDA!AE74*PARAMETROS!$C$61</f>
        <v>7570856.1065938128</v>
      </c>
      <c r="AJ225" s="758">
        <f>DEMANDA!AF74*PARAMETROS!$C$61</f>
        <v>7570856.1065938128</v>
      </c>
      <c r="AK225" s="758">
        <f>DEMANDA!AG74*PARAMETROS!$C$61</f>
        <v>7570856.1065938128</v>
      </c>
      <c r="AL225" s="758">
        <f>DEMANDA!AH74*PARAMETROS!$C$61</f>
        <v>7570856.1065938128</v>
      </c>
      <c r="AM225" s="758">
        <f>DEMANDA!AI74*PARAMETROS!$C$61</f>
        <v>7570856.1065938128</v>
      </c>
      <c r="AN225" s="758">
        <f>DEMANDA!AJ74*PARAMETROS!$C$61</f>
        <v>7570856.1065938128</v>
      </c>
      <c r="AO225" s="758">
        <f>DEMANDA!AK74*PARAMETROS!$C$61</f>
        <v>7570856.1065938128</v>
      </c>
      <c r="AP225" s="758">
        <f>DEMANDA!AL74*PARAMETROS!$C$61</f>
        <v>7570856.1065938128</v>
      </c>
      <c r="AQ225" s="758">
        <f>DEMANDA!AM74*PARAMETROS!$C$61</f>
        <v>7570856.1065938128</v>
      </c>
      <c r="AR225" s="758">
        <f>DEMANDA!AN74*PARAMETROS!$C$61</f>
        <v>7570856.1065938128</v>
      </c>
      <c r="AS225" s="758">
        <f>DEMANDA!AO74*PARAMETROS!$C$61</f>
        <v>7570856.1065938128</v>
      </c>
      <c r="AT225" s="758">
        <f>DEMANDA!AP74*PARAMETROS!$C$61</f>
        <v>7570856.1065938128</v>
      </c>
      <c r="AU225" s="166"/>
      <c r="AV225" s="166"/>
      <c r="AW225" s="166"/>
      <c r="AX225" s="166"/>
      <c r="AY225" s="166"/>
      <c r="AZ225" s="166"/>
      <c r="BA225" s="166"/>
      <c r="BB225" s="166"/>
      <c r="BC225" s="166"/>
      <c r="BD225" s="166"/>
      <c r="BE225" s="166"/>
      <c r="BF225" s="166"/>
      <c r="BG225" s="166"/>
      <c r="BH225" s="166"/>
      <c r="BI225" s="166"/>
      <c r="BJ225" s="166"/>
      <c r="BK225" s="166"/>
      <c r="BL225" s="166"/>
      <c r="BM225" s="166"/>
      <c r="BN225" s="166"/>
    </row>
    <row r="226" spans="2:66" x14ac:dyDescent="0.25">
      <c r="B226" s="832" t="s">
        <v>395</v>
      </c>
      <c r="C226" s="178">
        <v>0</v>
      </c>
      <c r="D226" s="178">
        <v>0</v>
      </c>
      <c r="E226" s="178">
        <v>0</v>
      </c>
      <c r="F226" s="178">
        <v>0</v>
      </c>
      <c r="G226" s="758">
        <f>'INGRESOS de pasajeros'!C88*PARAMETROS!$C$61</f>
        <v>4124312.9476175341</v>
      </c>
      <c r="H226" s="758">
        <f>'INGRESOS de pasajeros'!D88*PARAMETROS!$C$61</f>
        <v>5499083.9301567134</v>
      </c>
      <c r="I226" s="758">
        <f>'INGRESOS de pasajeros'!E88*PARAMETROS!$C$61</f>
        <v>5810178.526870437</v>
      </c>
      <c r="J226" s="758">
        <f>'INGRESOS de pasajeros'!F88*PARAMETROS!$C$61</f>
        <v>5871064.8047620328</v>
      </c>
      <c r="K226" s="758">
        <f>'INGRESOS de pasajeros'!G88*PARAMETROS!$C$61</f>
        <v>6171601.9063928341</v>
      </c>
      <c r="L226" s="758">
        <f>'INGRESOS de pasajeros'!H88*PARAMETROS!$C$61</f>
        <v>6234947.9899112508</v>
      </c>
      <c r="M226" s="758">
        <f>'INGRESOS de pasajeros'!I88*PARAMETROS!$C$61</f>
        <v>6552745.1539962217</v>
      </c>
      <c r="N226" s="758">
        <f>'INGRESOS de pasajeros'!J88*PARAMETROS!$C$61</f>
        <v>6585398.9506927049</v>
      </c>
      <c r="O226" s="758">
        <f>'INGRESOS de pasajeros'!K88*PARAMETROS!$C$61</f>
        <v>6885422.0783837074</v>
      </c>
      <c r="P226" s="758">
        <f>'INGRESOS de pasajeros'!L88*PARAMETROS!$C$61</f>
        <v>6919395.0884667234</v>
      </c>
      <c r="Q226" s="758">
        <f>'INGRESOS de pasajeros'!M88*PARAMETROS!$C$61</f>
        <v>7234284.1697311541</v>
      </c>
      <c r="R226" s="758">
        <f>'INGRESOS de pasajeros'!N88*PARAMETROS!$C$61</f>
        <v>7269629.6894215271</v>
      </c>
      <c r="S226" s="758">
        <f>'INGRESOS de pasajeros'!O88*PARAMETROS!$C$61</f>
        <v>7565290.0879634097</v>
      </c>
      <c r="T226" s="758">
        <f>'INGRESOS de pasajeros'!P88*PARAMETROS!$C$61</f>
        <v>7567257.4470526613</v>
      </c>
      <c r="U226" s="758">
        <f>'INGRESOS de pasajeros'!Q88*PARAMETROS!$C$61</f>
        <v>7875021.4883100484</v>
      </c>
      <c r="V226" s="758">
        <f>'INGRESOS de pasajeros'!R88*PARAMETROS!$C$61</f>
        <v>7877068.3287065066</v>
      </c>
      <c r="W226" s="758">
        <f>'INGRESOS de pasajeros'!S88*PARAMETROS!$C$61</f>
        <v>8197431.421934722</v>
      </c>
      <c r="X226" s="758">
        <f>'INGRESOS de pasajeros'!T88*PARAMETROS!$C$61</f>
        <v>8258246.2318838621</v>
      </c>
      <c r="Y226" s="758">
        <f>'INGRESOS de pasajeros'!U88*PARAMETROS!$C$61</f>
        <v>8655151.1079230551</v>
      </c>
      <c r="Z226" s="758">
        <f>'INGRESOS de pasajeros'!V88*PARAMETROS!$C$61</f>
        <v>8718422.8361941446</v>
      </c>
      <c r="AA226" s="758">
        <f>'INGRESOS de pasajeros'!W88*PARAMETROS!$C$61</f>
        <v>9136475.0248696245</v>
      </c>
      <c r="AB226" s="758">
        <f>'INGRESOS de pasajeros'!X88*PARAMETROS!$C$61</f>
        <v>9202302.9309628587</v>
      </c>
      <c r="AC226" s="758">
        <f>'INGRESOS de pasajeros'!Y88*PARAMETROS!$C$61</f>
        <v>9574075.969373757</v>
      </c>
      <c r="AD226" s="758">
        <f>'INGRESOS de pasajeros'!Z88*PARAMETROS!$C$61</f>
        <v>9574075.969373757</v>
      </c>
      <c r="AE226" s="758">
        <f>'INGRESOS de pasajeros'!AA88*PARAMETROS!$C$61</f>
        <v>9960868.6385364551</v>
      </c>
      <c r="AF226" s="758">
        <f>'INGRESOS de pasajeros'!AB88*PARAMETROS!$C$61</f>
        <v>9960868.6385364551</v>
      </c>
      <c r="AG226" s="758">
        <f>'INGRESOS de pasajeros'!AC88*PARAMETROS!$C$61</f>
        <v>10363287.73153333</v>
      </c>
      <c r="AH226" s="758">
        <f>'INGRESOS de pasajeros'!AD88*PARAMETROS!$C$61</f>
        <v>10363287.73153333</v>
      </c>
      <c r="AI226" s="758">
        <f>'INGRESOS de pasajeros'!AE88*PARAMETROS!$C$61</f>
        <v>10781964.555887274</v>
      </c>
      <c r="AJ226" s="758">
        <f>'INGRESOS de pasajeros'!AF88*PARAMETROS!$C$61</f>
        <v>10781964.555887274</v>
      </c>
      <c r="AK226" s="758">
        <f>'INGRESOS de pasajeros'!AG88*PARAMETROS!$C$61</f>
        <v>11217555.923945121</v>
      </c>
      <c r="AL226" s="758">
        <f>'INGRESOS de pasajeros'!AH88*PARAMETROS!$C$61</f>
        <v>11217555.923945121</v>
      </c>
      <c r="AM226" s="758">
        <f>'INGRESOS de pasajeros'!AI88*PARAMETROS!$C$61</f>
        <v>11670745.183272503</v>
      </c>
      <c r="AN226" s="758">
        <f>'INGRESOS de pasajeros'!AJ88*PARAMETROS!$C$61</f>
        <v>11670745.183272503</v>
      </c>
      <c r="AO226" s="758">
        <f>'INGRESOS de pasajeros'!AK88*PARAMETROS!$C$61</f>
        <v>12142243.288676716</v>
      </c>
      <c r="AP226" s="758">
        <f>'INGRESOS de pasajeros'!AL88*PARAMETROS!$C$61</f>
        <v>12142243.288676716</v>
      </c>
      <c r="AQ226" s="758">
        <f>'INGRESOS de pasajeros'!AM88*PARAMETROS!$C$61</f>
        <v>12632789.917539254</v>
      </c>
      <c r="AR226" s="758">
        <f>'INGRESOS de pasajeros'!AN88*PARAMETROS!$C$61</f>
        <v>12632789.917539254</v>
      </c>
      <c r="AS226" s="758">
        <f>'INGRESOS de pasajeros'!AO88*PARAMETROS!$C$61</f>
        <v>13143154.63020784</v>
      </c>
      <c r="AT226" s="758">
        <f>'INGRESOS de pasajeros'!AP88*PARAMETROS!$C$61</f>
        <v>13143154.63020784</v>
      </c>
      <c r="AU226" s="166"/>
      <c r="AV226" s="166"/>
      <c r="AW226" s="166"/>
      <c r="AX226" s="166"/>
      <c r="AY226" s="166"/>
      <c r="AZ226" s="166"/>
      <c r="BA226" s="166"/>
      <c r="BB226" s="166"/>
      <c r="BC226" s="166"/>
      <c r="BD226" s="166"/>
      <c r="BE226" s="166"/>
      <c r="BF226" s="166"/>
      <c r="BG226" s="166"/>
      <c r="BH226" s="166"/>
      <c r="BI226" s="166"/>
      <c r="BJ226" s="166"/>
      <c r="BK226" s="166"/>
      <c r="BL226" s="166"/>
      <c r="BM226" s="166"/>
      <c r="BN226" s="166"/>
    </row>
    <row r="227" spans="2:66" x14ac:dyDescent="0.25">
      <c r="B227" s="832" t="s">
        <v>396</v>
      </c>
      <c r="C227" s="178">
        <v>0</v>
      </c>
      <c r="D227" s="178">
        <v>0</v>
      </c>
      <c r="E227" s="178">
        <v>0</v>
      </c>
      <c r="F227" s="178">
        <v>0</v>
      </c>
      <c r="G227" s="178">
        <f>$C$14*$C$15*12</f>
        <v>420000</v>
      </c>
      <c r="H227" s="178">
        <f t="shared" ref="H227:AT227" si="127">$G$75*((1+$C$25)^G221)</f>
        <v>428400</v>
      </c>
      <c r="I227" s="178">
        <f t="shared" si="127"/>
        <v>436968</v>
      </c>
      <c r="J227" s="178">
        <f t="shared" si="127"/>
        <v>445707.36</v>
      </c>
      <c r="K227" s="178">
        <f t="shared" si="127"/>
        <v>454621.50719999999</v>
      </c>
      <c r="L227" s="178">
        <f t="shared" si="127"/>
        <v>463713.93734400003</v>
      </c>
      <c r="M227" s="178">
        <f t="shared" si="127"/>
        <v>472988.21609088004</v>
      </c>
      <c r="N227" s="178">
        <f t="shared" si="127"/>
        <v>482447.98041269754</v>
      </c>
      <c r="O227" s="178">
        <f t="shared" si="127"/>
        <v>492096.9400209515</v>
      </c>
      <c r="P227" s="178">
        <f t="shared" si="127"/>
        <v>501938.87882137054</v>
      </c>
      <c r="Q227" s="178">
        <f t="shared" si="127"/>
        <v>511977.65639779798</v>
      </c>
      <c r="R227" s="178">
        <f t="shared" si="127"/>
        <v>522217.20952575386</v>
      </c>
      <c r="S227" s="178">
        <f t="shared" si="127"/>
        <v>532661.55371626897</v>
      </c>
      <c r="T227" s="178">
        <f t="shared" si="127"/>
        <v>543314.78479059436</v>
      </c>
      <c r="U227" s="178">
        <f t="shared" si="127"/>
        <v>554181.08048640634</v>
      </c>
      <c r="V227" s="178">
        <f t="shared" si="127"/>
        <v>565264.70209613431</v>
      </c>
      <c r="W227" s="178">
        <f t="shared" si="127"/>
        <v>576569.99613805709</v>
      </c>
      <c r="X227" s="178">
        <f t="shared" si="127"/>
        <v>588101.39606081822</v>
      </c>
      <c r="Y227" s="178">
        <f t="shared" si="127"/>
        <v>599863.42398203455</v>
      </c>
      <c r="Z227" s="178">
        <f t="shared" si="127"/>
        <v>611860.69246167527</v>
      </c>
      <c r="AA227" s="178">
        <f t="shared" si="127"/>
        <v>624097.90631090873</v>
      </c>
      <c r="AB227" s="178">
        <f t="shared" si="127"/>
        <v>636579.8644371269</v>
      </c>
      <c r="AC227" s="178">
        <f t="shared" si="127"/>
        <v>649311.46172586945</v>
      </c>
      <c r="AD227" s="178">
        <f t="shared" si="127"/>
        <v>662297.69096038677</v>
      </c>
      <c r="AE227" s="178">
        <f t="shared" si="127"/>
        <v>675543.6447795945</v>
      </c>
      <c r="AF227" s="178">
        <f t="shared" si="127"/>
        <v>689054.51767518639</v>
      </c>
      <c r="AG227" s="178">
        <f t="shared" si="127"/>
        <v>702835.60802869021</v>
      </c>
      <c r="AH227" s="178">
        <f t="shared" si="127"/>
        <v>716892.3201892639</v>
      </c>
      <c r="AI227" s="178">
        <f t="shared" si="127"/>
        <v>731230.1665930493</v>
      </c>
      <c r="AJ227" s="178">
        <f t="shared" si="127"/>
        <v>745854.76992491016</v>
      </c>
      <c r="AK227" s="178">
        <f t="shared" si="127"/>
        <v>760771.86532340851</v>
      </c>
      <c r="AL227" s="178">
        <f t="shared" si="127"/>
        <v>775987.30262987642</v>
      </c>
      <c r="AM227" s="178">
        <f t="shared" si="127"/>
        <v>791507.04868247418</v>
      </c>
      <c r="AN227" s="178">
        <f t="shared" si="127"/>
        <v>807337.18965612364</v>
      </c>
      <c r="AO227" s="178">
        <f t="shared" si="127"/>
        <v>823483.93344924611</v>
      </c>
      <c r="AP227" s="178">
        <f t="shared" si="127"/>
        <v>839953.61211823102</v>
      </c>
      <c r="AQ227" s="178">
        <f t="shared" si="127"/>
        <v>856752.68436059554</v>
      </c>
      <c r="AR227" s="178">
        <f t="shared" si="127"/>
        <v>873887.73804780759</v>
      </c>
      <c r="AS227" s="178">
        <f t="shared" si="127"/>
        <v>891365.49280876387</v>
      </c>
      <c r="AT227" s="178">
        <f t="shared" si="127"/>
        <v>909192.80266493873</v>
      </c>
      <c r="AU227" s="166"/>
      <c r="AV227" s="166"/>
      <c r="AW227" s="166"/>
      <c r="AX227" s="166"/>
      <c r="AY227" s="166"/>
      <c r="AZ227" s="166"/>
      <c r="BA227" s="166"/>
      <c r="BB227" s="166"/>
      <c r="BC227" s="166"/>
      <c r="BD227" s="166"/>
      <c r="BE227" s="166"/>
      <c r="BF227" s="166"/>
      <c r="BG227" s="166"/>
      <c r="BH227" s="166"/>
      <c r="BI227" s="166"/>
      <c r="BJ227" s="166"/>
      <c r="BK227" s="166"/>
      <c r="BL227" s="166"/>
      <c r="BM227" s="166"/>
      <c r="BN227" s="166"/>
    </row>
    <row r="228" spans="2:66" x14ac:dyDescent="0.25">
      <c r="B228" s="832"/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6"/>
      <c r="BN228" s="166"/>
    </row>
    <row r="229" spans="2:66" x14ac:dyDescent="0.25">
      <c r="B229" s="831" t="str">
        <f>B77</f>
        <v>Activos iniciales - Depreciacion 50 años</v>
      </c>
      <c r="C229" s="965">
        <f t="shared" ref="C229:AT235" si="128">C77</f>
        <v>0</v>
      </c>
      <c r="D229" s="965">
        <f t="shared" si="128"/>
        <v>0</v>
      </c>
      <c r="E229" s="965">
        <f t="shared" si="128"/>
        <v>0</v>
      </c>
      <c r="F229" s="965">
        <f t="shared" si="128"/>
        <v>0</v>
      </c>
      <c r="G229" s="965">
        <f t="shared" si="128"/>
        <v>-617417.83808159526</v>
      </c>
      <c r="H229" s="965">
        <f t="shared" si="128"/>
        <v>-617417.83808159526</v>
      </c>
      <c r="I229" s="965">
        <f t="shared" si="128"/>
        <v>-617417.83808159526</v>
      </c>
      <c r="J229" s="965">
        <f t="shared" si="128"/>
        <v>-617417.83808159526</v>
      </c>
      <c r="K229" s="965">
        <f t="shared" si="128"/>
        <v>-617417.83808159526</v>
      </c>
      <c r="L229" s="965">
        <f t="shared" si="128"/>
        <v>-617417.83808159526</v>
      </c>
      <c r="M229" s="965">
        <f t="shared" si="128"/>
        <v>-617417.83808159526</v>
      </c>
      <c r="N229" s="965">
        <f t="shared" si="128"/>
        <v>-617417.83808159526</v>
      </c>
      <c r="O229" s="965">
        <f t="shared" si="128"/>
        <v>-617417.83808159526</v>
      </c>
      <c r="P229" s="965">
        <f t="shared" si="128"/>
        <v>-617417.83808159526</v>
      </c>
      <c r="Q229" s="965">
        <f t="shared" si="128"/>
        <v>-617417.83808159526</v>
      </c>
      <c r="R229" s="965">
        <f t="shared" si="128"/>
        <v>-617417.83808159526</v>
      </c>
      <c r="S229" s="965">
        <f t="shared" si="128"/>
        <v>-617417.83808159526</v>
      </c>
      <c r="T229" s="965">
        <f t="shared" si="128"/>
        <v>-617417.83808159526</v>
      </c>
      <c r="U229" s="965">
        <f t="shared" si="128"/>
        <v>-617417.83808159526</v>
      </c>
      <c r="V229" s="965">
        <f t="shared" si="128"/>
        <v>-617417.83808159526</v>
      </c>
      <c r="W229" s="965">
        <f t="shared" si="128"/>
        <v>-617417.83808159526</v>
      </c>
      <c r="X229" s="965">
        <f t="shared" si="128"/>
        <v>-617417.83808159526</v>
      </c>
      <c r="Y229" s="965">
        <f t="shared" si="128"/>
        <v>-617417.83808159526</v>
      </c>
      <c r="Z229" s="965">
        <f t="shared" si="128"/>
        <v>-617417.83808159526</v>
      </c>
      <c r="AA229" s="965">
        <f t="shared" si="128"/>
        <v>-617417.83808159526</v>
      </c>
      <c r="AB229" s="965">
        <f t="shared" si="128"/>
        <v>-617417.83808159526</v>
      </c>
      <c r="AC229" s="965">
        <f t="shared" si="128"/>
        <v>-617417.83808159526</v>
      </c>
      <c r="AD229" s="965">
        <f t="shared" si="128"/>
        <v>-617417.83808159526</v>
      </c>
      <c r="AE229" s="965">
        <f t="shared" si="128"/>
        <v>-617417.83808159526</v>
      </c>
      <c r="AF229" s="965">
        <f t="shared" si="128"/>
        <v>-617417.83808159526</v>
      </c>
      <c r="AG229" s="965">
        <f t="shared" si="128"/>
        <v>-617417.83808159526</v>
      </c>
      <c r="AH229" s="965">
        <f t="shared" si="128"/>
        <v>-617417.83808159526</v>
      </c>
      <c r="AI229" s="965">
        <f t="shared" si="128"/>
        <v>-617417.83808159526</v>
      </c>
      <c r="AJ229" s="965">
        <f t="shared" si="128"/>
        <v>-617417.83808159526</v>
      </c>
      <c r="AK229" s="965">
        <f t="shared" si="128"/>
        <v>-617417.83808159526</v>
      </c>
      <c r="AL229" s="965">
        <f t="shared" si="128"/>
        <v>-617417.83808159526</v>
      </c>
      <c r="AM229" s="965">
        <f t="shared" si="128"/>
        <v>-617417.83808159526</v>
      </c>
      <c r="AN229" s="965">
        <f t="shared" si="128"/>
        <v>-617417.83808159526</v>
      </c>
      <c r="AO229" s="965">
        <f t="shared" si="128"/>
        <v>-617417.83808159526</v>
      </c>
      <c r="AP229" s="965">
        <f t="shared" si="128"/>
        <v>-617417.83808159526</v>
      </c>
      <c r="AQ229" s="965">
        <f t="shared" si="128"/>
        <v>-617417.83808159526</v>
      </c>
      <c r="AR229" s="965">
        <f t="shared" si="128"/>
        <v>-617417.83808159526</v>
      </c>
      <c r="AS229" s="965">
        <f t="shared" si="128"/>
        <v>-617417.83808159526</v>
      </c>
      <c r="AT229" s="965">
        <f t="shared" si="128"/>
        <v>-617417.83808159526</v>
      </c>
      <c r="AU229" s="166"/>
      <c r="AV229" s="166"/>
      <c r="AW229" s="166"/>
      <c r="AX229" s="166"/>
      <c r="AY229" s="166"/>
      <c r="AZ229" s="166"/>
      <c r="BA229" s="166"/>
      <c r="BB229" s="166"/>
      <c r="BC229" s="166"/>
      <c r="BD229" s="166"/>
      <c r="BE229" s="166"/>
      <c r="BF229" s="166"/>
      <c r="BG229" s="166"/>
      <c r="BH229" s="166"/>
      <c r="BI229" s="166"/>
      <c r="BJ229" s="166"/>
      <c r="BK229" s="166"/>
      <c r="BL229" s="166"/>
      <c r="BM229" s="166"/>
      <c r="BN229" s="166"/>
    </row>
    <row r="230" spans="2:66" x14ac:dyDescent="0.25">
      <c r="B230" s="831" t="str">
        <f t="shared" ref="B230:Q242" si="129">B78</f>
        <v>Activos iniciales - Depreciacion 40 años</v>
      </c>
      <c r="C230" s="965">
        <f t="shared" si="129"/>
        <v>0</v>
      </c>
      <c r="D230" s="965">
        <f t="shared" si="129"/>
        <v>0</v>
      </c>
      <c r="E230" s="965">
        <f t="shared" si="129"/>
        <v>0</v>
      </c>
      <c r="F230" s="965">
        <f t="shared" si="129"/>
        <v>0</v>
      </c>
      <c r="G230" s="965">
        <f t="shared" si="129"/>
        <v>-1345379.6621609791</v>
      </c>
      <c r="H230" s="965">
        <f t="shared" si="129"/>
        <v>-1345379.6621609791</v>
      </c>
      <c r="I230" s="965">
        <f t="shared" si="129"/>
        <v>-1345379.6621609791</v>
      </c>
      <c r="J230" s="965">
        <f t="shared" si="129"/>
        <v>-1345379.6621609791</v>
      </c>
      <c r="K230" s="965">
        <f t="shared" si="129"/>
        <v>-1345379.6621609791</v>
      </c>
      <c r="L230" s="965">
        <f t="shared" si="129"/>
        <v>-1345379.6621609791</v>
      </c>
      <c r="M230" s="965">
        <f t="shared" si="129"/>
        <v>-1345379.6621609791</v>
      </c>
      <c r="N230" s="965">
        <f t="shared" si="129"/>
        <v>-1345379.6621609791</v>
      </c>
      <c r="O230" s="965">
        <f t="shared" si="129"/>
        <v>-1345379.6621609791</v>
      </c>
      <c r="P230" s="965">
        <f t="shared" si="129"/>
        <v>-1345379.6621609791</v>
      </c>
      <c r="Q230" s="965">
        <f t="shared" si="129"/>
        <v>-1345379.6621609791</v>
      </c>
      <c r="R230" s="965">
        <f t="shared" si="128"/>
        <v>-1345379.6621609791</v>
      </c>
      <c r="S230" s="965">
        <f t="shared" si="128"/>
        <v>-1345379.6621609791</v>
      </c>
      <c r="T230" s="965">
        <f t="shared" si="128"/>
        <v>-1345379.6621609791</v>
      </c>
      <c r="U230" s="965">
        <f t="shared" si="128"/>
        <v>-1345379.6621609791</v>
      </c>
      <c r="V230" s="965">
        <f t="shared" si="128"/>
        <v>-1345379.6621609791</v>
      </c>
      <c r="W230" s="965">
        <f t="shared" si="128"/>
        <v>-1345379.6621609791</v>
      </c>
      <c r="X230" s="965">
        <f t="shared" si="128"/>
        <v>-1345379.6621609791</v>
      </c>
      <c r="Y230" s="965">
        <f t="shared" si="128"/>
        <v>-1345379.6621609791</v>
      </c>
      <c r="Z230" s="965">
        <f t="shared" si="128"/>
        <v>-1345379.6621609791</v>
      </c>
      <c r="AA230" s="965">
        <f t="shared" si="128"/>
        <v>-1345379.6621609791</v>
      </c>
      <c r="AB230" s="965">
        <f t="shared" si="128"/>
        <v>-1345379.6621609791</v>
      </c>
      <c r="AC230" s="965">
        <f t="shared" si="128"/>
        <v>-1345379.6621609791</v>
      </c>
      <c r="AD230" s="965">
        <f t="shared" si="128"/>
        <v>-1345379.6621609791</v>
      </c>
      <c r="AE230" s="965">
        <f t="shared" si="128"/>
        <v>-1345379.6621609791</v>
      </c>
      <c r="AF230" s="965">
        <f t="shared" si="128"/>
        <v>-1345379.6621609791</v>
      </c>
      <c r="AG230" s="965">
        <f t="shared" si="128"/>
        <v>-1345379.6621609791</v>
      </c>
      <c r="AH230" s="965">
        <f t="shared" si="128"/>
        <v>-1345379.6621609791</v>
      </c>
      <c r="AI230" s="965">
        <f t="shared" si="128"/>
        <v>-1345379.6621609791</v>
      </c>
      <c r="AJ230" s="965">
        <f t="shared" si="128"/>
        <v>-1345379.6621609791</v>
      </c>
      <c r="AK230" s="965">
        <f t="shared" si="128"/>
        <v>-1345379.6621609791</v>
      </c>
      <c r="AL230" s="965">
        <f t="shared" si="128"/>
        <v>-1345379.6621609791</v>
      </c>
      <c r="AM230" s="965">
        <f t="shared" si="128"/>
        <v>-1345379.6621609791</v>
      </c>
      <c r="AN230" s="965">
        <f t="shared" si="128"/>
        <v>-1345379.6621609791</v>
      </c>
      <c r="AO230" s="965">
        <f t="shared" si="128"/>
        <v>-1345379.6621609791</v>
      </c>
      <c r="AP230" s="965">
        <f t="shared" si="128"/>
        <v>-1345379.6621609791</v>
      </c>
      <c r="AQ230" s="965">
        <f t="shared" si="128"/>
        <v>-1345379.6621609791</v>
      </c>
      <c r="AR230" s="965">
        <f t="shared" si="128"/>
        <v>-1345379.6621609791</v>
      </c>
      <c r="AS230" s="965">
        <f t="shared" si="128"/>
        <v>-1345379.6621609791</v>
      </c>
      <c r="AT230" s="965">
        <f t="shared" si="128"/>
        <v>-1345379.6621609791</v>
      </c>
      <c r="AU230" s="166"/>
      <c r="AV230" s="166"/>
      <c r="AW230" s="166"/>
      <c r="AX230" s="166"/>
      <c r="AY230" s="166"/>
      <c r="AZ230" s="166"/>
      <c r="BA230" s="166"/>
      <c r="BB230" s="166"/>
      <c r="BC230" s="166"/>
      <c r="BD230" s="166"/>
      <c r="BE230" s="166"/>
      <c r="BF230" s="166"/>
      <c r="BG230" s="166"/>
      <c r="BH230" s="166"/>
      <c r="BI230" s="166"/>
      <c r="BJ230" s="166"/>
      <c r="BK230" s="166"/>
      <c r="BL230" s="166"/>
      <c r="BM230" s="166"/>
      <c r="BN230" s="166"/>
    </row>
    <row r="231" spans="2:66" x14ac:dyDescent="0.25">
      <c r="B231" s="831" t="str">
        <f t="shared" si="129"/>
        <v>Activos iniciales - Depreciacion 15 años</v>
      </c>
      <c r="C231" s="965">
        <f t="shared" si="128"/>
        <v>0</v>
      </c>
      <c r="D231" s="965">
        <f t="shared" si="128"/>
        <v>0</v>
      </c>
      <c r="E231" s="965">
        <f t="shared" si="128"/>
        <v>0</v>
      </c>
      <c r="F231" s="965">
        <f t="shared" si="128"/>
        <v>0</v>
      </c>
      <c r="G231" s="965">
        <f t="shared" si="128"/>
        <v>-767500.01943839586</v>
      </c>
      <c r="H231" s="965">
        <f t="shared" si="128"/>
        <v>-767500.01943839586</v>
      </c>
      <c r="I231" s="965">
        <f t="shared" si="128"/>
        <v>-767500.01943839586</v>
      </c>
      <c r="J231" s="965">
        <f t="shared" si="128"/>
        <v>-767500.01943839586</v>
      </c>
      <c r="K231" s="965">
        <f t="shared" si="128"/>
        <v>-767500.01943839586</v>
      </c>
      <c r="L231" s="965">
        <f t="shared" si="128"/>
        <v>-767500.01943839586</v>
      </c>
      <c r="M231" s="965">
        <f t="shared" si="128"/>
        <v>-767500.01943839586</v>
      </c>
      <c r="N231" s="965">
        <f t="shared" si="128"/>
        <v>-767500.01943839586</v>
      </c>
      <c r="O231" s="965">
        <f t="shared" si="128"/>
        <v>-767500.01943839586</v>
      </c>
      <c r="P231" s="965">
        <f t="shared" si="128"/>
        <v>-767500.01943839586</v>
      </c>
      <c r="Q231" s="965">
        <f t="shared" si="128"/>
        <v>-767500.01943839586</v>
      </c>
      <c r="R231" s="965">
        <f t="shared" si="128"/>
        <v>-767500.01943839586</v>
      </c>
      <c r="S231" s="965">
        <f t="shared" si="128"/>
        <v>-767500.01943839586</v>
      </c>
      <c r="T231" s="965">
        <f t="shared" si="128"/>
        <v>-767500.01943839586</v>
      </c>
      <c r="U231" s="965">
        <f t="shared" si="128"/>
        <v>-767500.01943839586</v>
      </c>
      <c r="V231" s="965">
        <f t="shared" si="128"/>
        <v>0</v>
      </c>
      <c r="W231" s="965">
        <f t="shared" si="128"/>
        <v>0</v>
      </c>
      <c r="X231" s="965">
        <f t="shared" si="128"/>
        <v>0</v>
      </c>
      <c r="Y231" s="965">
        <f t="shared" si="128"/>
        <v>0</v>
      </c>
      <c r="Z231" s="965">
        <f t="shared" si="128"/>
        <v>0</v>
      </c>
      <c r="AA231" s="965">
        <f t="shared" si="128"/>
        <v>0</v>
      </c>
      <c r="AB231" s="965">
        <f t="shared" si="128"/>
        <v>0</v>
      </c>
      <c r="AC231" s="965">
        <f t="shared" si="128"/>
        <v>0</v>
      </c>
      <c r="AD231" s="965">
        <f t="shared" si="128"/>
        <v>0</v>
      </c>
      <c r="AE231" s="965">
        <f t="shared" si="128"/>
        <v>0</v>
      </c>
      <c r="AF231" s="965">
        <f t="shared" si="128"/>
        <v>0</v>
      </c>
      <c r="AG231" s="965">
        <f t="shared" si="128"/>
        <v>0</v>
      </c>
      <c r="AH231" s="965">
        <f t="shared" si="128"/>
        <v>0</v>
      </c>
      <c r="AI231" s="965">
        <f t="shared" si="128"/>
        <v>0</v>
      </c>
      <c r="AJ231" s="965">
        <f t="shared" si="128"/>
        <v>0</v>
      </c>
      <c r="AK231" s="965">
        <f t="shared" si="128"/>
        <v>0</v>
      </c>
      <c r="AL231" s="965">
        <f t="shared" si="128"/>
        <v>0</v>
      </c>
      <c r="AM231" s="965">
        <f t="shared" si="128"/>
        <v>0</v>
      </c>
      <c r="AN231" s="965">
        <f t="shared" si="128"/>
        <v>0</v>
      </c>
      <c r="AO231" s="965">
        <f t="shared" si="128"/>
        <v>0</v>
      </c>
      <c r="AP231" s="965">
        <f t="shared" si="128"/>
        <v>0</v>
      </c>
      <c r="AQ231" s="965">
        <f t="shared" si="128"/>
        <v>0</v>
      </c>
      <c r="AR231" s="965">
        <f t="shared" si="128"/>
        <v>0</v>
      </c>
      <c r="AS231" s="965">
        <f t="shared" si="128"/>
        <v>0</v>
      </c>
      <c r="AT231" s="965">
        <f t="shared" si="128"/>
        <v>0</v>
      </c>
      <c r="AU231" s="166"/>
      <c r="AV231" s="166"/>
      <c r="AW231" s="166"/>
      <c r="AX231" s="166"/>
      <c r="AY231" s="166"/>
      <c r="AZ231" s="166"/>
      <c r="BA231" s="166"/>
      <c r="BB231" s="166"/>
      <c r="BC231" s="166"/>
      <c r="BD231" s="166"/>
      <c r="BE231" s="166"/>
      <c r="BF231" s="166"/>
      <c r="BG231" s="166"/>
      <c r="BH231" s="166"/>
      <c r="BI231" s="166"/>
      <c r="BJ231" s="166"/>
      <c r="BK231" s="166"/>
      <c r="BL231" s="166"/>
      <c r="BM231" s="166"/>
      <c r="BN231" s="166"/>
    </row>
    <row r="232" spans="2:66" x14ac:dyDescent="0.25">
      <c r="B232" s="831" t="str">
        <f t="shared" si="129"/>
        <v>Activos iniciales - Depreciacion 10 años</v>
      </c>
      <c r="C232" s="965">
        <f t="shared" si="128"/>
        <v>0</v>
      </c>
      <c r="D232" s="965">
        <f t="shared" si="128"/>
        <v>0</v>
      </c>
      <c r="E232" s="965">
        <f t="shared" si="128"/>
        <v>0</v>
      </c>
      <c r="F232" s="965">
        <f t="shared" si="128"/>
        <v>0</v>
      </c>
      <c r="G232" s="965">
        <f t="shared" si="128"/>
        <v>-287707.11855978414</v>
      </c>
      <c r="H232" s="965">
        <f t="shared" si="128"/>
        <v>-287707.11855978414</v>
      </c>
      <c r="I232" s="965">
        <f t="shared" si="128"/>
        <v>-287707.11855978414</v>
      </c>
      <c r="J232" s="965">
        <f t="shared" si="128"/>
        <v>-287707.11855978414</v>
      </c>
      <c r="K232" s="965">
        <f t="shared" si="128"/>
        <v>-287707.11855978414</v>
      </c>
      <c r="L232" s="965">
        <f t="shared" si="128"/>
        <v>-287707.11855978414</v>
      </c>
      <c r="M232" s="965">
        <f t="shared" si="128"/>
        <v>-287707.11855978414</v>
      </c>
      <c r="N232" s="965">
        <f t="shared" si="128"/>
        <v>-287707.11855978414</v>
      </c>
      <c r="O232" s="965">
        <f t="shared" si="128"/>
        <v>-287707.11855978414</v>
      </c>
      <c r="P232" s="965">
        <f t="shared" si="128"/>
        <v>-287707.11855978414</v>
      </c>
      <c r="Q232" s="965">
        <f t="shared" si="128"/>
        <v>0</v>
      </c>
      <c r="R232" s="965">
        <f t="shared" si="128"/>
        <v>0</v>
      </c>
      <c r="S232" s="965">
        <f t="shared" si="128"/>
        <v>0</v>
      </c>
      <c r="T232" s="965">
        <f t="shared" si="128"/>
        <v>0</v>
      </c>
      <c r="U232" s="965">
        <f t="shared" si="128"/>
        <v>0</v>
      </c>
      <c r="V232" s="965">
        <f t="shared" si="128"/>
        <v>0</v>
      </c>
      <c r="W232" s="965">
        <f t="shared" si="128"/>
        <v>0</v>
      </c>
      <c r="X232" s="965">
        <f t="shared" si="128"/>
        <v>0</v>
      </c>
      <c r="Y232" s="965">
        <f t="shared" si="128"/>
        <v>0</v>
      </c>
      <c r="Z232" s="965">
        <f t="shared" si="128"/>
        <v>0</v>
      </c>
      <c r="AA232" s="965">
        <f t="shared" si="128"/>
        <v>0</v>
      </c>
      <c r="AB232" s="965">
        <f t="shared" si="128"/>
        <v>0</v>
      </c>
      <c r="AC232" s="965">
        <f t="shared" si="128"/>
        <v>0</v>
      </c>
      <c r="AD232" s="965">
        <f t="shared" si="128"/>
        <v>0</v>
      </c>
      <c r="AE232" s="965">
        <f t="shared" si="128"/>
        <v>0</v>
      </c>
      <c r="AF232" s="965">
        <f t="shared" si="128"/>
        <v>0</v>
      </c>
      <c r="AG232" s="965">
        <f t="shared" si="128"/>
        <v>0</v>
      </c>
      <c r="AH232" s="965">
        <f t="shared" si="128"/>
        <v>0</v>
      </c>
      <c r="AI232" s="965">
        <f t="shared" si="128"/>
        <v>0</v>
      </c>
      <c r="AJ232" s="965">
        <f t="shared" si="128"/>
        <v>0</v>
      </c>
      <c r="AK232" s="965">
        <f t="shared" si="128"/>
        <v>0</v>
      </c>
      <c r="AL232" s="965">
        <f t="shared" si="128"/>
        <v>0</v>
      </c>
      <c r="AM232" s="965">
        <f t="shared" si="128"/>
        <v>0</v>
      </c>
      <c r="AN232" s="965">
        <f t="shared" si="128"/>
        <v>0</v>
      </c>
      <c r="AO232" s="965">
        <f t="shared" si="128"/>
        <v>0</v>
      </c>
      <c r="AP232" s="965">
        <f t="shared" si="128"/>
        <v>0</v>
      </c>
      <c r="AQ232" s="965">
        <f t="shared" si="128"/>
        <v>0</v>
      </c>
      <c r="AR232" s="965">
        <f t="shared" si="128"/>
        <v>0</v>
      </c>
      <c r="AS232" s="965">
        <f t="shared" si="128"/>
        <v>0</v>
      </c>
      <c r="AT232" s="965">
        <f t="shared" si="128"/>
        <v>0</v>
      </c>
      <c r="AU232" s="166"/>
      <c r="AV232" s="166"/>
      <c r="AW232" s="166"/>
      <c r="AX232" s="166"/>
      <c r="AY232" s="166"/>
      <c r="AZ232" s="166"/>
      <c r="BA232" s="166"/>
      <c r="BB232" s="166"/>
      <c r="BC232" s="166"/>
      <c r="BD232" s="166"/>
      <c r="BE232" s="166"/>
      <c r="BF232" s="166"/>
      <c r="BG232" s="166"/>
      <c r="BH232" s="166"/>
      <c r="BI232" s="166"/>
      <c r="BJ232" s="166"/>
      <c r="BK232" s="166"/>
      <c r="BL232" s="166"/>
      <c r="BM232" s="166"/>
      <c r="BN232" s="166"/>
    </row>
    <row r="233" spans="2:66" x14ac:dyDescent="0.25">
      <c r="B233" s="831" t="str">
        <f t="shared" si="129"/>
        <v>Activos iniciales - Depreciacion 5 años</v>
      </c>
      <c r="C233" s="965">
        <f t="shared" si="128"/>
        <v>0</v>
      </c>
      <c r="D233" s="965">
        <f t="shared" si="128"/>
        <v>0</v>
      </c>
      <c r="E233" s="965">
        <f t="shared" si="128"/>
        <v>0</v>
      </c>
      <c r="F233" s="965">
        <f t="shared" si="128"/>
        <v>0</v>
      </c>
      <c r="G233" s="965">
        <f t="shared" si="128"/>
        <v>-172591.88242842152</v>
      </c>
      <c r="H233" s="965">
        <f t="shared" si="128"/>
        <v>-172591.88242842152</v>
      </c>
      <c r="I233" s="965">
        <f t="shared" si="128"/>
        <v>-172591.88242842152</v>
      </c>
      <c r="J233" s="965">
        <f t="shared" si="128"/>
        <v>-172591.88242842152</v>
      </c>
      <c r="K233" s="965">
        <f t="shared" si="128"/>
        <v>-172591.88242842152</v>
      </c>
      <c r="L233" s="965">
        <f t="shared" si="128"/>
        <v>0</v>
      </c>
      <c r="M233" s="965">
        <f t="shared" si="128"/>
        <v>0</v>
      </c>
      <c r="N233" s="965">
        <f t="shared" si="128"/>
        <v>0</v>
      </c>
      <c r="O233" s="965">
        <f t="shared" si="128"/>
        <v>0</v>
      </c>
      <c r="P233" s="965">
        <f t="shared" si="128"/>
        <v>0</v>
      </c>
      <c r="Q233" s="965">
        <f t="shared" si="128"/>
        <v>0</v>
      </c>
      <c r="R233" s="965">
        <f t="shared" si="128"/>
        <v>0</v>
      </c>
      <c r="S233" s="965">
        <f t="shared" si="128"/>
        <v>0</v>
      </c>
      <c r="T233" s="965">
        <f t="shared" si="128"/>
        <v>0</v>
      </c>
      <c r="U233" s="965">
        <f t="shared" si="128"/>
        <v>0</v>
      </c>
      <c r="V233" s="965">
        <f t="shared" si="128"/>
        <v>0</v>
      </c>
      <c r="W233" s="965">
        <f t="shared" si="128"/>
        <v>0</v>
      </c>
      <c r="X233" s="965">
        <f t="shared" si="128"/>
        <v>0</v>
      </c>
      <c r="Y233" s="965">
        <f t="shared" si="128"/>
        <v>0</v>
      </c>
      <c r="Z233" s="965">
        <f t="shared" si="128"/>
        <v>0</v>
      </c>
      <c r="AA233" s="965">
        <f t="shared" si="128"/>
        <v>0</v>
      </c>
      <c r="AB233" s="965">
        <f t="shared" si="128"/>
        <v>0</v>
      </c>
      <c r="AC233" s="965">
        <f t="shared" si="128"/>
        <v>0</v>
      </c>
      <c r="AD233" s="965">
        <f t="shared" si="128"/>
        <v>0</v>
      </c>
      <c r="AE233" s="965">
        <f t="shared" si="128"/>
        <v>0</v>
      </c>
      <c r="AF233" s="965">
        <f t="shared" si="128"/>
        <v>0</v>
      </c>
      <c r="AG233" s="965">
        <f t="shared" si="128"/>
        <v>0</v>
      </c>
      <c r="AH233" s="965">
        <f t="shared" si="128"/>
        <v>0</v>
      </c>
      <c r="AI233" s="965">
        <f t="shared" si="128"/>
        <v>0</v>
      </c>
      <c r="AJ233" s="965">
        <f t="shared" si="128"/>
        <v>0</v>
      </c>
      <c r="AK233" s="965">
        <f t="shared" si="128"/>
        <v>0</v>
      </c>
      <c r="AL233" s="965">
        <f t="shared" si="128"/>
        <v>0</v>
      </c>
      <c r="AM233" s="965">
        <f t="shared" si="128"/>
        <v>0</v>
      </c>
      <c r="AN233" s="965">
        <f t="shared" si="128"/>
        <v>0</v>
      </c>
      <c r="AO233" s="965">
        <f t="shared" si="128"/>
        <v>0</v>
      </c>
      <c r="AP233" s="965">
        <f t="shared" si="128"/>
        <v>0</v>
      </c>
      <c r="AQ233" s="965">
        <f t="shared" si="128"/>
        <v>0</v>
      </c>
      <c r="AR233" s="965">
        <f t="shared" si="128"/>
        <v>0</v>
      </c>
      <c r="AS233" s="965">
        <f t="shared" si="128"/>
        <v>0</v>
      </c>
      <c r="AT233" s="965">
        <f t="shared" si="128"/>
        <v>0</v>
      </c>
      <c r="AU233" s="166"/>
      <c r="AV233" s="166"/>
      <c r="AW233" s="166"/>
      <c r="AX233" s="166"/>
      <c r="AY233" s="166"/>
      <c r="AZ233" s="166"/>
      <c r="BA233" s="166"/>
      <c r="BB233" s="166"/>
      <c r="BC233" s="166"/>
      <c r="BD233" s="166"/>
      <c r="BE233" s="166"/>
      <c r="BF233" s="166"/>
      <c r="BG233" s="166"/>
      <c r="BH233" s="166"/>
      <c r="BI233" s="166"/>
      <c r="BJ233" s="166"/>
      <c r="BK233" s="166"/>
      <c r="BL233" s="166"/>
      <c r="BM233" s="166"/>
      <c r="BN233" s="166"/>
    </row>
    <row r="234" spans="2:66" x14ac:dyDescent="0.25">
      <c r="B234" s="831" t="str">
        <f t="shared" si="129"/>
        <v>Activos iniciales - Valor residual</v>
      </c>
      <c r="C234" s="965">
        <f t="shared" si="128"/>
        <v>0</v>
      </c>
      <c r="D234" s="965">
        <f t="shared" si="128"/>
        <v>0</v>
      </c>
      <c r="E234" s="965">
        <f t="shared" si="128"/>
        <v>0</v>
      </c>
      <c r="F234" s="965">
        <f t="shared" si="128"/>
        <v>0</v>
      </c>
      <c r="G234" s="965">
        <f t="shared" si="128"/>
        <v>111877413.20910615</v>
      </c>
      <c r="H234" s="965">
        <f t="shared" si="128"/>
        <v>108686816.68843697</v>
      </c>
      <c r="I234" s="965">
        <f t="shared" si="128"/>
        <v>105496220.16776779</v>
      </c>
      <c r="J234" s="965">
        <f t="shared" si="128"/>
        <v>102305623.64709862</v>
      </c>
      <c r="K234" s="965">
        <f t="shared" si="128"/>
        <v>99115027.126429439</v>
      </c>
      <c r="L234" s="965">
        <f t="shared" si="128"/>
        <v>96097022.488188684</v>
      </c>
      <c r="M234" s="965">
        <f t="shared" si="128"/>
        <v>93079017.849947929</v>
      </c>
      <c r="N234" s="965">
        <f t="shared" si="128"/>
        <v>90061013.211707175</v>
      </c>
      <c r="O234" s="965">
        <f t="shared" si="128"/>
        <v>87043008.57346642</v>
      </c>
      <c r="P234" s="965">
        <f t="shared" si="128"/>
        <v>84025003.935225666</v>
      </c>
      <c r="Q234" s="965">
        <f t="shared" si="128"/>
        <v>81294706.415544689</v>
      </c>
      <c r="R234" s="965">
        <f t="shared" si="128"/>
        <v>78564408.895863712</v>
      </c>
      <c r="S234" s="965">
        <f t="shared" si="128"/>
        <v>75834111.376182735</v>
      </c>
      <c r="T234" s="965">
        <f t="shared" si="128"/>
        <v>73103813.856501758</v>
      </c>
      <c r="U234" s="965">
        <f t="shared" si="128"/>
        <v>70373516.336820781</v>
      </c>
      <c r="V234" s="965">
        <f t="shared" si="128"/>
        <v>68410718.836578205</v>
      </c>
      <c r="W234" s="965">
        <f t="shared" si="128"/>
        <v>66447921.336335629</v>
      </c>
      <c r="X234" s="965">
        <f t="shared" si="128"/>
        <v>64485123.836093053</v>
      </c>
      <c r="Y234" s="965">
        <f t="shared" si="128"/>
        <v>62522326.335850477</v>
      </c>
      <c r="Z234" s="965">
        <f t="shared" si="128"/>
        <v>60559528.835607901</v>
      </c>
      <c r="AA234" s="965">
        <f t="shared" si="128"/>
        <v>58596731.335365325</v>
      </c>
      <c r="AB234" s="965">
        <f t="shared" si="128"/>
        <v>56633933.835122749</v>
      </c>
      <c r="AC234" s="965">
        <f t="shared" si="128"/>
        <v>54671136.334880173</v>
      </c>
      <c r="AD234" s="965">
        <f t="shared" si="128"/>
        <v>52708338.834637597</v>
      </c>
      <c r="AE234" s="965">
        <f t="shared" si="128"/>
        <v>50745541.334395021</v>
      </c>
      <c r="AF234" s="965">
        <f t="shared" si="128"/>
        <v>48782743.834152445</v>
      </c>
      <c r="AG234" s="965">
        <f t="shared" si="128"/>
        <v>46819946.333909869</v>
      </c>
      <c r="AH234" s="965">
        <f t="shared" si="128"/>
        <v>44857148.833667293</v>
      </c>
      <c r="AI234" s="965">
        <f t="shared" si="128"/>
        <v>42894351.333424717</v>
      </c>
      <c r="AJ234" s="965">
        <f t="shared" si="128"/>
        <v>40931553.833182141</v>
      </c>
      <c r="AK234" s="965">
        <f t="shared" si="128"/>
        <v>38968756.332939565</v>
      </c>
      <c r="AL234" s="965">
        <f t="shared" si="128"/>
        <v>37005958.832696989</v>
      </c>
      <c r="AM234" s="965">
        <f t="shared" si="128"/>
        <v>35043161.332454413</v>
      </c>
      <c r="AN234" s="965">
        <f t="shared" si="128"/>
        <v>33080363.832211837</v>
      </c>
      <c r="AO234" s="965">
        <f t="shared" si="128"/>
        <v>31117566.331969261</v>
      </c>
      <c r="AP234" s="965">
        <f t="shared" si="128"/>
        <v>29154768.831726685</v>
      </c>
      <c r="AQ234" s="965">
        <f t="shared" si="128"/>
        <v>27191971.331484109</v>
      </c>
      <c r="AR234" s="965">
        <f t="shared" si="128"/>
        <v>25229173.831241533</v>
      </c>
      <c r="AS234" s="965">
        <f t="shared" si="128"/>
        <v>23266376.330998957</v>
      </c>
      <c r="AT234" s="965">
        <f t="shared" si="128"/>
        <v>21303578.830756381</v>
      </c>
      <c r="AU234" s="166"/>
      <c r="AV234" s="166"/>
      <c r="AW234" s="166"/>
      <c r="AX234" s="166"/>
      <c r="AY234" s="166"/>
      <c r="AZ234" s="166"/>
      <c r="BA234" s="166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66"/>
      <c r="BN234" s="166"/>
    </row>
    <row r="235" spans="2:66" x14ac:dyDescent="0.25">
      <c r="B235" s="831" t="str">
        <f t="shared" si="129"/>
        <v>Activos nuevos 1 - Depreciacion 10 años</v>
      </c>
      <c r="C235" s="965">
        <f t="shared" si="128"/>
        <v>0</v>
      </c>
      <c r="D235" s="965">
        <f t="shared" si="128"/>
        <v>0</v>
      </c>
      <c r="E235" s="965">
        <f t="shared" si="128"/>
        <v>0</v>
      </c>
      <c r="F235" s="965">
        <f t="shared" si="128"/>
        <v>0</v>
      </c>
      <c r="G235" s="965">
        <f t="shared" si="128"/>
        <v>0</v>
      </c>
      <c r="H235" s="965">
        <f t="shared" si="128"/>
        <v>0</v>
      </c>
      <c r="I235" s="965">
        <f t="shared" ref="C235:AT240" si="130">I83</f>
        <v>0</v>
      </c>
      <c r="J235" s="965">
        <f t="shared" si="130"/>
        <v>0</v>
      </c>
      <c r="K235" s="965">
        <f t="shared" si="130"/>
        <v>0</v>
      </c>
      <c r="L235" s="965">
        <f t="shared" si="130"/>
        <v>0</v>
      </c>
      <c r="M235" s="965">
        <f t="shared" si="130"/>
        <v>0</v>
      </c>
      <c r="N235" s="965">
        <f t="shared" si="130"/>
        <v>0</v>
      </c>
      <c r="O235" s="965">
        <f t="shared" si="130"/>
        <v>0</v>
      </c>
      <c r="P235" s="965">
        <f t="shared" si="130"/>
        <v>0</v>
      </c>
      <c r="Q235" s="965">
        <f t="shared" si="130"/>
        <v>0</v>
      </c>
      <c r="R235" s="965">
        <f t="shared" si="130"/>
        <v>-358972.64507720724</v>
      </c>
      <c r="S235" s="965">
        <f t="shared" si="130"/>
        <v>-358972.64507720724</v>
      </c>
      <c r="T235" s="965">
        <f t="shared" si="130"/>
        <v>-358972.64507720724</v>
      </c>
      <c r="U235" s="965">
        <f t="shared" si="130"/>
        <v>-358972.64507720724</v>
      </c>
      <c r="V235" s="965">
        <f t="shared" si="130"/>
        <v>-358972.64507720724</v>
      </c>
      <c r="W235" s="965">
        <f t="shared" si="130"/>
        <v>-358972.64507720724</v>
      </c>
      <c r="X235" s="965">
        <f t="shared" si="130"/>
        <v>-358972.64507720724</v>
      </c>
      <c r="Y235" s="965">
        <f t="shared" si="130"/>
        <v>-358972.64507720724</v>
      </c>
      <c r="Z235" s="965">
        <f t="shared" si="130"/>
        <v>-358972.64507720724</v>
      </c>
      <c r="AA235" s="965">
        <f t="shared" si="130"/>
        <v>-358972.64507720724</v>
      </c>
      <c r="AB235" s="965">
        <f t="shared" si="130"/>
        <v>-358972.64507720724</v>
      </c>
      <c r="AC235" s="965">
        <f t="shared" si="130"/>
        <v>0</v>
      </c>
      <c r="AD235" s="965">
        <f t="shared" si="130"/>
        <v>0</v>
      </c>
      <c r="AE235" s="965">
        <f t="shared" si="130"/>
        <v>0</v>
      </c>
      <c r="AF235" s="965">
        <f t="shared" si="130"/>
        <v>0</v>
      </c>
      <c r="AG235" s="965">
        <f t="shared" si="130"/>
        <v>0</v>
      </c>
      <c r="AH235" s="965">
        <f t="shared" si="130"/>
        <v>0</v>
      </c>
      <c r="AI235" s="965">
        <f t="shared" si="130"/>
        <v>0</v>
      </c>
      <c r="AJ235" s="965">
        <f t="shared" si="130"/>
        <v>0</v>
      </c>
      <c r="AK235" s="965">
        <f t="shared" si="130"/>
        <v>0</v>
      </c>
      <c r="AL235" s="965">
        <f t="shared" si="130"/>
        <v>0</v>
      </c>
      <c r="AM235" s="965">
        <f t="shared" si="130"/>
        <v>0</v>
      </c>
      <c r="AN235" s="965">
        <f t="shared" si="130"/>
        <v>0</v>
      </c>
      <c r="AO235" s="965">
        <f t="shared" si="130"/>
        <v>0</v>
      </c>
      <c r="AP235" s="965">
        <f t="shared" si="130"/>
        <v>0</v>
      </c>
      <c r="AQ235" s="965">
        <f t="shared" si="130"/>
        <v>0</v>
      </c>
      <c r="AR235" s="965">
        <f t="shared" si="130"/>
        <v>0</v>
      </c>
      <c r="AS235" s="965">
        <f t="shared" si="130"/>
        <v>0</v>
      </c>
      <c r="AT235" s="965">
        <f t="shared" si="130"/>
        <v>0</v>
      </c>
      <c r="AU235" s="166"/>
      <c r="AV235" s="166"/>
      <c r="AW235" s="166"/>
      <c r="AX235" s="166"/>
      <c r="AY235" s="166"/>
      <c r="AZ235" s="166"/>
      <c r="BA235" s="166"/>
      <c r="BB235" s="166"/>
      <c r="BC235" s="166"/>
      <c r="BD235" s="166"/>
      <c r="BE235" s="166"/>
      <c r="BF235" s="166"/>
      <c r="BG235" s="166"/>
      <c r="BH235" s="166"/>
      <c r="BI235" s="166"/>
      <c r="BJ235" s="166"/>
      <c r="BK235" s="166"/>
      <c r="BL235" s="166"/>
      <c r="BM235" s="166"/>
      <c r="BN235" s="166"/>
    </row>
    <row r="236" spans="2:66" x14ac:dyDescent="0.25">
      <c r="B236" s="831" t="str">
        <f t="shared" si="129"/>
        <v>Activos nuevos 1 - Valor residual</v>
      </c>
      <c r="C236" s="965">
        <f t="shared" si="130"/>
        <v>0</v>
      </c>
      <c r="D236" s="965">
        <f t="shared" si="130"/>
        <v>0</v>
      </c>
      <c r="E236" s="965">
        <f t="shared" si="130"/>
        <v>0</v>
      </c>
      <c r="F236" s="965">
        <f t="shared" si="130"/>
        <v>0</v>
      </c>
      <c r="G236" s="965">
        <f t="shared" si="130"/>
        <v>0</v>
      </c>
      <c r="H236" s="965">
        <f t="shared" si="130"/>
        <v>0</v>
      </c>
      <c r="I236" s="965">
        <f t="shared" si="130"/>
        <v>0</v>
      </c>
      <c r="J236" s="965">
        <f t="shared" si="130"/>
        <v>0</v>
      </c>
      <c r="K236" s="965">
        <f t="shared" si="130"/>
        <v>0</v>
      </c>
      <c r="L236" s="965">
        <f t="shared" si="130"/>
        <v>0</v>
      </c>
      <c r="M236" s="965">
        <f t="shared" si="130"/>
        <v>0</v>
      </c>
      <c r="N236" s="965">
        <f t="shared" si="130"/>
        <v>0</v>
      </c>
      <c r="O236" s="965">
        <f t="shared" si="130"/>
        <v>0</v>
      </c>
      <c r="P236" s="965">
        <f t="shared" si="130"/>
        <v>0</v>
      </c>
      <c r="Q236" s="965">
        <f t="shared" si="130"/>
        <v>0</v>
      </c>
      <c r="R236" s="965">
        <f t="shared" si="130"/>
        <v>3589726.4507720722</v>
      </c>
      <c r="S236" s="965">
        <f t="shared" si="130"/>
        <v>3230753.8056948651</v>
      </c>
      <c r="T236" s="965">
        <f t="shared" si="130"/>
        <v>2871781.1606176579</v>
      </c>
      <c r="U236" s="965">
        <f t="shared" si="130"/>
        <v>2512808.5155404508</v>
      </c>
      <c r="V236" s="965">
        <f t="shared" si="130"/>
        <v>2153835.8704632437</v>
      </c>
      <c r="W236" s="965">
        <f t="shared" si="130"/>
        <v>1794863.2253860366</v>
      </c>
      <c r="X236" s="965">
        <f t="shared" si="130"/>
        <v>1435890.5803088294</v>
      </c>
      <c r="Y236" s="965">
        <f t="shared" si="130"/>
        <v>1076917.9352316223</v>
      </c>
      <c r="Z236" s="965">
        <f t="shared" si="130"/>
        <v>717945.29015441507</v>
      </c>
      <c r="AA236" s="965">
        <f t="shared" si="130"/>
        <v>358972.64507720782</v>
      </c>
      <c r="AB236" s="965">
        <f t="shared" si="130"/>
        <v>5.8207660913467407E-10</v>
      </c>
      <c r="AC236" s="965">
        <f t="shared" si="130"/>
        <v>0</v>
      </c>
      <c r="AD236" s="965">
        <f t="shared" si="130"/>
        <v>0</v>
      </c>
      <c r="AE236" s="965">
        <f t="shared" si="130"/>
        <v>0</v>
      </c>
      <c r="AF236" s="965">
        <f t="shared" si="130"/>
        <v>0</v>
      </c>
      <c r="AG236" s="965">
        <f t="shared" si="130"/>
        <v>0</v>
      </c>
      <c r="AH236" s="965">
        <f t="shared" si="130"/>
        <v>0</v>
      </c>
      <c r="AI236" s="965">
        <f t="shared" si="130"/>
        <v>0</v>
      </c>
      <c r="AJ236" s="965">
        <f t="shared" si="130"/>
        <v>0</v>
      </c>
      <c r="AK236" s="965">
        <f t="shared" si="130"/>
        <v>0</v>
      </c>
      <c r="AL236" s="965">
        <f t="shared" si="130"/>
        <v>0</v>
      </c>
      <c r="AM236" s="965">
        <f t="shared" si="130"/>
        <v>0</v>
      </c>
      <c r="AN236" s="965">
        <f t="shared" si="130"/>
        <v>0</v>
      </c>
      <c r="AO236" s="965">
        <f t="shared" si="130"/>
        <v>0</v>
      </c>
      <c r="AP236" s="965">
        <f t="shared" si="130"/>
        <v>0</v>
      </c>
      <c r="AQ236" s="965">
        <f t="shared" si="130"/>
        <v>0</v>
      </c>
      <c r="AR236" s="965">
        <f t="shared" si="130"/>
        <v>0</v>
      </c>
      <c r="AS236" s="965">
        <f t="shared" si="130"/>
        <v>0</v>
      </c>
      <c r="AT236" s="965">
        <f t="shared" si="130"/>
        <v>0</v>
      </c>
      <c r="AU236" s="166"/>
      <c r="AV236" s="166"/>
      <c r="AW236" s="166"/>
      <c r="AX236" s="166"/>
      <c r="AY236" s="166"/>
      <c r="AZ236" s="166"/>
      <c r="BA236" s="166"/>
      <c r="BB236" s="166"/>
      <c r="BC236" s="166"/>
      <c r="BD236" s="166"/>
      <c r="BE236" s="166"/>
      <c r="BF236" s="166"/>
      <c r="BG236" s="166"/>
      <c r="BH236" s="166"/>
      <c r="BI236" s="166"/>
      <c r="BJ236" s="166"/>
      <c r="BK236" s="166"/>
      <c r="BL236" s="166"/>
      <c r="BM236" s="166"/>
      <c r="BN236" s="166"/>
    </row>
    <row r="237" spans="2:66" x14ac:dyDescent="0.25">
      <c r="B237" s="831" t="str">
        <f t="shared" si="129"/>
        <v>Activos nuevos 2 - Depreciacion 15 años</v>
      </c>
      <c r="C237" s="965">
        <f t="shared" si="130"/>
        <v>0</v>
      </c>
      <c r="D237" s="965">
        <f t="shared" si="130"/>
        <v>0</v>
      </c>
      <c r="E237" s="965">
        <f t="shared" si="130"/>
        <v>0</v>
      </c>
      <c r="F237" s="965">
        <f t="shared" si="130"/>
        <v>0</v>
      </c>
      <c r="G237" s="965">
        <f t="shared" si="130"/>
        <v>0</v>
      </c>
      <c r="H237" s="965">
        <f t="shared" si="130"/>
        <v>0</v>
      </c>
      <c r="I237" s="965">
        <f t="shared" si="130"/>
        <v>0</v>
      </c>
      <c r="J237" s="965">
        <f t="shared" si="130"/>
        <v>0</v>
      </c>
      <c r="K237" s="965">
        <f t="shared" si="130"/>
        <v>0</v>
      </c>
      <c r="L237" s="965">
        <f t="shared" si="130"/>
        <v>0</v>
      </c>
      <c r="M237" s="965">
        <f t="shared" si="130"/>
        <v>0</v>
      </c>
      <c r="N237" s="965">
        <f t="shared" si="130"/>
        <v>0</v>
      </c>
      <c r="O237" s="965">
        <f t="shared" si="130"/>
        <v>0</v>
      </c>
      <c r="P237" s="965">
        <f t="shared" si="130"/>
        <v>0</v>
      </c>
      <c r="Q237" s="965">
        <f t="shared" si="130"/>
        <v>0</v>
      </c>
      <c r="R237" s="965">
        <f t="shared" si="130"/>
        <v>0</v>
      </c>
      <c r="S237" s="965">
        <f t="shared" si="130"/>
        <v>0</v>
      </c>
      <c r="T237" s="965">
        <f t="shared" si="130"/>
        <v>0</v>
      </c>
      <c r="U237" s="965">
        <f t="shared" si="130"/>
        <v>0</v>
      </c>
      <c r="V237" s="965">
        <f t="shared" si="130"/>
        <v>0</v>
      </c>
      <c r="W237" s="965">
        <f t="shared" si="130"/>
        <v>0</v>
      </c>
      <c r="X237" s="965">
        <f t="shared" si="130"/>
        <v>-1079197.8260851221</v>
      </c>
      <c r="Y237" s="965">
        <f t="shared" si="130"/>
        <v>-1079197.8260851221</v>
      </c>
      <c r="Z237" s="965">
        <f t="shared" si="130"/>
        <v>-1079197.8260851221</v>
      </c>
      <c r="AA237" s="965">
        <f t="shared" si="130"/>
        <v>-1079197.8260851221</v>
      </c>
      <c r="AB237" s="965">
        <f t="shared" si="130"/>
        <v>-1079197.8260851221</v>
      </c>
      <c r="AC237" s="965">
        <f t="shared" si="130"/>
        <v>-1079197.8260851221</v>
      </c>
      <c r="AD237" s="965">
        <f t="shared" si="130"/>
        <v>-1079197.8260851221</v>
      </c>
      <c r="AE237" s="965">
        <f t="shared" si="130"/>
        <v>-1079197.8260851221</v>
      </c>
      <c r="AF237" s="965">
        <f t="shared" si="130"/>
        <v>-1079197.8260851221</v>
      </c>
      <c r="AG237" s="965">
        <f t="shared" si="130"/>
        <v>-1079197.8260851221</v>
      </c>
      <c r="AH237" s="965">
        <f t="shared" si="130"/>
        <v>-1079197.8260851221</v>
      </c>
      <c r="AI237" s="965">
        <f t="shared" si="130"/>
        <v>-1079197.8260851221</v>
      </c>
      <c r="AJ237" s="965">
        <f t="shared" si="130"/>
        <v>-1079197.8260851221</v>
      </c>
      <c r="AK237" s="965">
        <f t="shared" si="130"/>
        <v>-1079197.8260851221</v>
      </c>
      <c r="AL237" s="965">
        <f t="shared" si="130"/>
        <v>-1079197.8260851221</v>
      </c>
      <c r="AM237" s="965">
        <f t="shared" si="130"/>
        <v>0</v>
      </c>
      <c r="AN237" s="965">
        <f t="shared" si="130"/>
        <v>0</v>
      </c>
      <c r="AO237" s="965">
        <f t="shared" si="130"/>
        <v>0</v>
      </c>
      <c r="AP237" s="965">
        <f t="shared" si="130"/>
        <v>0</v>
      </c>
      <c r="AQ237" s="965">
        <f t="shared" si="130"/>
        <v>0</v>
      </c>
      <c r="AR237" s="965">
        <f t="shared" si="130"/>
        <v>0</v>
      </c>
      <c r="AS237" s="965">
        <f t="shared" si="130"/>
        <v>0</v>
      </c>
      <c r="AT237" s="965">
        <f t="shared" si="130"/>
        <v>0</v>
      </c>
      <c r="AU237" s="166"/>
      <c r="AV237" s="166"/>
      <c r="AW237" s="166"/>
      <c r="AX237" s="166"/>
      <c r="AY237" s="166"/>
      <c r="AZ237" s="166"/>
      <c r="BA237" s="166"/>
      <c r="BB237" s="166"/>
      <c r="BC237" s="166"/>
      <c r="BD237" s="166"/>
      <c r="BE237" s="166"/>
      <c r="BF237" s="166"/>
      <c r="BG237" s="166"/>
      <c r="BH237" s="166"/>
      <c r="BI237" s="166"/>
      <c r="BJ237" s="166"/>
      <c r="BK237" s="166"/>
      <c r="BL237" s="166"/>
      <c r="BM237" s="166"/>
      <c r="BN237" s="166"/>
    </row>
    <row r="238" spans="2:66" x14ac:dyDescent="0.25">
      <c r="B238" s="831" t="str">
        <f t="shared" si="129"/>
        <v>Activos nuevos 2 - Valor residual</v>
      </c>
      <c r="C238" s="965">
        <f t="shared" si="130"/>
        <v>0</v>
      </c>
      <c r="D238" s="965">
        <f t="shared" si="130"/>
        <v>0</v>
      </c>
      <c r="E238" s="965">
        <f t="shared" si="130"/>
        <v>0</v>
      </c>
      <c r="F238" s="965">
        <f t="shared" si="130"/>
        <v>0</v>
      </c>
      <c r="G238" s="965">
        <f t="shared" si="130"/>
        <v>0</v>
      </c>
      <c r="H238" s="965">
        <f t="shared" si="130"/>
        <v>0</v>
      </c>
      <c r="I238" s="965">
        <f t="shared" si="130"/>
        <v>0</v>
      </c>
      <c r="J238" s="965">
        <f t="shared" si="130"/>
        <v>0</v>
      </c>
      <c r="K238" s="965">
        <f t="shared" si="130"/>
        <v>0</v>
      </c>
      <c r="L238" s="965">
        <f t="shared" si="130"/>
        <v>0</v>
      </c>
      <c r="M238" s="965">
        <f t="shared" si="130"/>
        <v>0</v>
      </c>
      <c r="N238" s="965">
        <f t="shared" si="130"/>
        <v>0</v>
      </c>
      <c r="O238" s="965">
        <f t="shared" si="130"/>
        <v>0</v>
      </c>
      <c r="P238" s="965">
        <f t="shared" si="130"/>
        <v>0</v>
      </c>
      <c r="Q238" s="965">
        <f t="shared" si="130"/>
        <v>0</v>
      </c>
      <c r="R238" s="965">
        <f t="shared" si="130"/>
        <v>0</v>
      </c>
      <c r="S238" s="965">
        <f t="shared" si="130"/>
        <v>0</v>
      </c>
      <c r="T238" s="965">
        <f t="shared" si="130"/>
        <v>0</v>
      </c>
      <c r="U238" s="965">
        <f t="shared" si="130"/>
        <v>0</v>
      </c>
      <c r="V238" s="965">
        <f t="shared" si="130"/>
        <v>0</v>
      </c>
      <c r="W238" s="965">
        <f t="shared" si="130"/>
        <v>0</v>
      </c>
      <c r="X238" s="965">
        <f t="shared" si="130"/>
        <v>15108769.56519171</v>
      </c>
      <c r="Y238" s="965">
        <f t="shared" si="130"/>
        <v>14029571.739106588</v>
      </c>
      <c r="Z238" s="965">
        <f t="shared" si="130"/>
        <v>12950373.913021466</v>
      </c>
      <c r="AA238" s="965">
        <f t="shared" si="130"/>
        <v>11871176.086936343</v>
      </c>
      <c r="AB238" s="965">
        <f t="shared" si="130"/>
        <v>10791978.260851221</v>
      </c>
      <c r="AC238" s="965">
        <f t="shared" si="130"/>
        <v>9712780.4347660989</v>
      </c>
      <c r="AD238" s="965">
        <f t="shared" si="130"/>
        <v>8633582.6086809766</v>
      </c>
      <c r="AE238" s="965">
        <f t="shared" si="130"/>
        <v>7554384.7825958543</v>
      </c>
      <c r="AF238" s="965">
        <f t="shared" si="130"/>
        <v>6475186.956510732</v>
      </c>
      <c r="AG238" s="965">
        <f t="shared" si="130"/>
        <v>5395989.1304256096</v>
      </c>
      <c r="AH238" s="965">
        <f t="shared" si="130"/>
        <v>4316791.3043404873</v>
      </c>
      <c r="AI238" s="965">
        <f t="shared" si="130"/>
        <v>3237593.478255365</v>
      </c>
      <c r="AJ238" s="965">
        <f t="shared" si="130"/>
        <v>2158395.6521702427</v>
      </c>
      <c r="AK238" s="965">
        <f t="shared" si="130"/>
        <v>1079197.8260851207</v>
      </c>
      <c r="AL238" s="965">
        <f t="shared" si="130"/>
        <v>0</v>
      </c>
      <c r="AM238" s="965">
        <f t="shared" si="130"/>
        <v>0</v>
      </c>
      <c r="AN238" s="965">
        <f t="shared" si="130"/>
        <v>0</v>
      </c>
      <c r="AO238" s="965">
        <f t="shared" si="130"/>
        <v>0</v>
      </c>
      <c r="AP238" s="965">
        <f t="shared" si="130"/>
        <v>0</v>
      </c>
      <c r="AQ238" s="965">
        <f t="shared" si="130"/>
        <v>0</v>
      </c>
      <c r="AR238" s="965">
        <f t="shared" si="130"/>
        <v>0</v>
      </c>
      <c r="AS238" s="965">
        <f t="shared" si="130"/>
        <v>0</v>
      </c>
      <c r="AT238" s="965">
        <f t="shared" si="130"/>
        <v>0</v>
      </c>
      <c r="AU238" s="166"/>
      <c r="AV238" s="166"/>
      <c r="AW238" s="166"/>
      <c r="AX238" s="166"/>
      <c r="AY238" s="166"/>
      <c r="AZ238" s="166"/>
      <c r="BA238" s="166"/>
      <c r="BB238" s="166"/>
      <c r="BC238" s="166"/>
      <c r="BD238" s="166"/>
      <c r="BE238" s="166"/>
      <c r="BF238" s="166"/>
      <c r="BG238" s="166"/>
      <c r="BH238" s="166"/>
      <c r="BI238" s="166"/>
      <c r="BJ238" s="166"/>
      <c r="BK238" s="166"/>
      <c r="BL238" s="166"/>
      <c r="BM238" s="166"/>
      <c r="BN238" s="166"/>
    </row>
    <row r="239" spans="2:66" x14ac:dyDescent="0.25">
      <c r="B239" s="831" t="str">
        <f t="shared" si="129"/>
        <v>Activos nuevos 3 - Depreciacion 10 años</v>
      </c>
      <c r="C239" s="965">
        <f t="shared" si="130"/>
        <v>0</v>
      </c>
      <c r="D239" s="965">
        <f t="shared" si="130"/>
        <v>0</v>
      </c>
      <c r="E239" s="965">
        <f t="shared" si="130"/>
        <v>0</v>
      </c>
      <c r="F239" s="965">
        <f t="shared" si="130"/>
        <v>0</v>
      </c>
      <c r="G239" s="965">
        <f t="shared" si="130"/>
        <v>0</v>
      </c>
      <c r="H239" s="965">
        <f t="shared" si="130"/>
        <v>0</v>
      </c>
      <c r="I239" s="965">
        <f t="shared" si="130"/>
        <v>0</v>
      </c>
      <c r="J239" s="965">
        <f t="shared" si="130"/>
        <v>0</v>
      </c>
      <c r="K239" s="965">
        <f t="shared" si="130"/>
        <v>0</v>
      </c>
      <c r="L239" s="965">
        <f t="shared" si="130"/>
        <v>0</v>
      </c>
      <c r="M239" s="965">
        <f t="shared" si="130"/>
        <v>0</v>
      </c>
      <c r="N239" s="965">
        <f t="shared" si="130"/>
        <v>0</v>
      </c>
      <c r="O239" s="965">
        <f t="shared" si="130"/>
        <v>0</v>
      </c>
      <c r="P239" s="965">
        <f t="shared" si="130"/>
        <v>0</v>
      </c>
      <c r="Q239" s="965">
        <f t="shared" si="130"/>
        <v>0</v>
      </c>
      <c r="R239" s="965">
        <f t="shared" si="130"/>
        <v>0</v>
      </c>
      <c r="S239" s="965">
        <f t="shared" si="130"/>
        <v>0</v>
      </c>
      <c r="T239" s="965">
        <f t="shared" si="130"/>
        <v>0</v>
      </c>
      <c r="U239" s="965">
        <f t="shared" si="130"/>
        <v>0</v>
      </c>
      <c r="V239" s="965">
        <f t="shared" si="130"/>
        <v>0</v>
      </c>
      <c r="W239" s="965">
        <f t="shared" si="130"/>
        <v>0</v>
      </c>
      <c r="X239" s="965">
        <f t="shared" si="130"/>
        <v>0</v>
      </c>
      <c r="Y239" s="965">
        <f t="shared" si="130"/>
        <v>0</v>
      </c>
      <c r="Z239" s="965">
        <f t="shared" si="130"/>
        <v>0</v>
      </c>
      <c r="AA239" s="965">
        <f t="shared" si="130"/>
        <v>0</v>
      </c>
      <c r="AB239" s="965">
        <f t="shared" si="130"/>
        <v>0</v>
      </c>
      <c r="AC239" s="965">
        <f t="shared" si="130"/>
        <v>-445437.27272720181</v>
      </c>
      <c r="AD239" s="965">
        <f t="shared" si="130"/>
        <v>-445437.27272720181</v>
      </c>
      <c r="AE239" s="965">
        <f t="shared" si="130"/>
        <v>-445437.27272720181</v>
      </c>
      <c r="AF239" s="965">
        <f t="shared" si="130"/>
        <v>-445437.27272720181</v>
      </c>
      <c r="AG239" s="965">
        <f t="shared" si="130"/>
        <v>-445437.27272720181</v>
      </c>
      <c r="AH239" s="965">
        <f t="shared" si="130"/>
        <v>-445437.27272720181</v>
      </c>
      <c r="AI239" s="965">
        <f t="shared" si="130"/>
        <v>-445437.27272720181</v>
      </c>
      <c r="AJ239" s="965">
        <f t="shared" si="130"/>
        <v>-445437.27272720181</v>
      </c>
      <c r="AK239" s="965">
        <f t="shared" si="130"/>
        <v>-445437.27272720181</v>
      </c>
      <c r="AL239" s="965">
        <f t="shared" si="130"/>
        <v>-445437.27272720181</v>
      </c>
      <c r="AM239" s="965">
        <f t="shared" si="130"/>
        <v>-445437.27272720181</v>
      </c>
      <c r="AN239" s="965">
        <f t="shared" si="130"/>
        <v>0</v>
      </c>
      <c r="AO239" s="965">
        <f t="shared" si="130"/>
        <v>0</v>
      </c>
      <c r="AP239" s="965">
        <f t="shared" si="130"/>
        <v>0</v>
      </c>
      <c r="AQ239" s="965">
        <f t="shared" si="130"/>
        <v>0</v>
      </c>
      <c r="AR239" s="965">
        <f t="shared" si="130"/>
        <v>0</v>
      </c>
      <c r="AS239" s="965">
        <f t="shared" si="130"/>
        <v>0</v>
      </c>
      <c r="AT239" s="965">
        <f t="shared" si="130"/>
        <v>0</v>
      </c>
      <c r="AU239" s="166"/>
      <c r="AV239" s="166"/>
      <c r="AW239" s="166"/>
      <c r="AX239" s="166"/>
      <c r="AY239" s="166"/>
      <c r="AZ239" s="166"/>
      <c r="BA239" s="166"/>
      <c r="BB239" s="166"/>
      <c r="BC239" s="166"/>
      <c r="BD239" s="166"/>
      <c r="BE239" s="166"/>
      <c r="BF239" s="166"/>
      <c r="BG239" s="166"/>
      <c r="BH239" s="166"/>
      <c r="BI239" s="166"/>
      <c r="BJ239" s="166"/>
      <c r="BK239" s="166"/>
      <c r="BL239" s="166"/>
      <c r="BM239" s="166"/>
      <c r="BN239" s="166"/>
    </row>
    <row r="240" spans="2:66" x14ac:dyDescent="0.25">
      <c r="B240" s="831" t="str">
        <f t="shared" si="129"/>
        <v>Activos nuevos 3 - Valor residual</v>
      </c>
      <c r="C240" s="965">
        <f t="shared" si="130"/>
        <v>0</v>
      </c>
      <c r="D240" s="965">
        <f t="shared" si="130"/>
        <v>0</v>
      </c>
      <c r="E240" s="965">
        <f t="shared" si="130"/>
        <v>0</v>
      </c>
      <c r="F240" s="965">
        <f t="shared" si="130"/>
        <v>0</v>
      </c>
      <c r="G240" s="965">
        <f t="shared" si="130"/>
        <v>0</v>
      </c>
      <c r="H240" s="965">
        <f t="shared" si="130"/>
        <v>0</v>
      </c>
      <c r="I240" s="965">
        <f t="shared" si="130"/>
        <v>0</v>
      </c>
      <c r="J240" s="965">
        <f t="shared" si="130"/>
        <v>0</v>
      </c>
      <c r="K240" s="965">
        <f t="shared" si="130"/>
        <v>0</v>
      </c>
      <c r="L240" s="965">
        <f t="shared" si="130"/>
        <v>0</v>
      </c>
      <c r="M240" s="965">
        <f t="shared" si="130"/>
        <v>0</v>
      </c>
      <c r="N240" s="965">
        <f t="shared" si="130"/>
        <v>0</v>
      </c>
      <c r="O240" s="965">
        <f t="shared" si="130"/>
        <v>0</v>
      </c>
      <c r="P240" s="965">
        <f t="shared" si="130"/>
        <v>0</v>
      </c>
      <c r="Q240" s="965">
        <f t="shared" si="130"/>
        <v>0</v>
      </c>
      <c r="R240" s="965">
        <f t="shared" si="130"/>
        <v>0</v>
      </c>
      <c r="S240" s="965">
        <f t="shared" si="130"/>
        <v>0</v>
      </c>
      <c r="T240" s="965">
        <f t="shared" si="130"/>
        <v>0</v>
      </c>
      <c r="U240" s="965">
        <f t="shared" si="130"/>
        <v>0</v>
      </c>
      <c r="V240" s="965">
        <f t="shared" si="130"/>
        <v>0</v>
      </c>
      <c r="W240" s="965">
        <f t="shared" si="130"/>
        <v>0</v>
      </c>
      <c r="X240" s="965">
        <f t="shared" si="130"/>
        <v>0</v>
      </c>
      <c r="Y240" s="965">
        <f t="shared" si="130"/>
        <v>0</v>
      </c>
      <c r="Z240" s="965">
        <f t="shared" si="130"/>
        <v>0</v>
      </c>
      <c r="AA240" s="965">
        <f t="shared" si="130"/>
        <v>0</v>
      </c>
      <c r="AB240" s="965">
        <f t="shared" si="130"/>
        <v>0</v>
      </c>
      <c r="AC240" s="965">
        <f t="shared" si="130"/>
        <v>4454372.7272720179</v>
      </c>
      <c r="AD240" s="965">
        <f t="shared" si="130"/>
        <v>4008935.4545448162</v>
      </c>
      <c r="AE240" s="965">
        <f t="shared" si="130"/>
        <v>3563498.1818176145</v>
      </c>
      <c r="AF240" s="965">
        <f t="shared" si="130"/>
        <v>3118060.9090904128</v>
      </c>
      <c r="AG240" s="965">
        <f t="shared" si="130"/>
        <v>2672623.6363632111</v>
      </c>
      <c r="AH240" s="965">
        <f t="shared" si="130"/>
        <v>2227186.3636360094</v>
      </c>
      <c r="AI240" s="965">
        <f t="shared" si="130"/>
        <v>1781749.0909088077</v>
      </c>
      <c r="AJ240" s="965">
        <f t="shared" si="130"/>
        <v>1336311.818181606</v>
      </c>
      <c r="AK240" s="965">
        <f t="shared" si="130"/>
        <v>890874.5454544042</v>
      </c>
      <c r="AL240" s="965">
        <f t="shared" si="130"/>
        <v>445437.27272720239</v>
      </c>
      <c r="AM240" s="965">
        <f t="shared" si="130"/>
        <v>5.8207660913467407E-10</v>
      </c>
      <c r="AN240" s="965">
        <f t="shared" si="130"/>
        <v>0</v>
      </c>
      <c r="AO240" s="965">
        <f t="shared" si="130"/>
        <v>0</v>
      </c>
      <c r="AP240" s="965">
        <f t="shared" si="130"/>
        <v>0</v>
      </c>
      <c r="AQ240" s="965">
        <f t="shared" si="130"/>
        <v>0</v>
      </c>
      <c r="AR240" s="965">
        <f t="shared" ref="C240:AT242" si="131">AR88</f>
        <v>0</v>
      </c>
      <c r="AS240" s="965">
        <f t="shared" si="131"/>
        <v>0</v>
      </c>
      <c r="AT240" s="965">
        <f t="shared" si="131"/>
        <v>0</v>
      </c>
      <c r="AU240" s="166"/>
      <c r="AV240" s="166"/>
      <c r="AW240" s="166"/>
      <c r="AX240" s="166"/>
      <c r="AY240" s="166"/>
      <c r="AZ240" s="166"/>
      <c r="BA240" s="166"/>
      <c r="BB240" s="166"/>
      <c r="BC240" s="166"/>
      <c r="BD240" s="166"/>
      <c r="BE240" s="166"/>
      <c r="BF240" s="166"/>
      <c r="BG240" s="166"/>
      <c r="BH240" s="166"/>
      <c r="BI240" s="166"/>
      <c r="BJ240" s="166"/>
      <c r="BK240" s="166"/>
      <c r="BL240" s="166"/>
      <c r="BM240" s="166"/>
      <c r="BN240" s="166"/>
    </row>
    <row r="241" spans="2:66" x14ac:dyDescent="0.25">
      <c r="B241" s="831" t="str">
        <f t="shared" si="129"/>
        <v>Activos nuevos 4 - Depreciacion 15 años</v>
      </c>
      <c r="C241" s="965">
        <f t="shared" si="131"/>
        <v>0</v>
      </c>
      <c r="D241" s="965">
        <f t="shared" si="131"/>
        <v>0</v>
      </c>
      <c r="E241" s="965">
        <f t="shared" si="131"/>
        <v>0</v>
      </c>
      <c r="F241" s="965">
        <f t="shared" si="131"/>
        <v>0</v>
      </c>
      <c r="G241" s="965">
        <f t="shared" si="131"/>
        <v>0</v>
      </c>
      <c r="H241" s="965">
        <f t="shared" si="131"/>
        <v>0</v>
      </c>
      <c r="I241" s="965">
        <f t="shared" si="131"/>
        <v>0</v>
      </c>
      <c r="J241" s="965">
        <f t="shared" si="131"/>
        <v>0</v>
      </c>
      <c r="K241" s="965">
        <f t="shared" si="131"/>
        <v>0</v>
      </c>
      <c r="L241" s="965">
        <f t="shared" si="131"/>
        <v>0</v>
      </c>
      <c r="M241" s="965">
        <f t="shared" si="131"/>
        <v>0</v>
      </c>
      <c r="N241" s="965">
        <f t="shared" si="131"/>
        <v>0</v>
      </c>
      <c r="O241" s="965">
        <f t="shared" si="131"/>
        <v>0</v>
      </c>
      <c r="P241" s="965">
        <f t="shared" si="131"/>
        <v>0</v>
      </c>
      <c r="Q241" s="965">
        <f t="shared" si="131"/>
        <v>0</v>
      </c>
      <c r="R241" s="965">
        <f t="shared" si="131"/>
        <v>0</v>
      </c>
      <c r="S241" s="965">
        <f t="shared" si="131"/>
        <v>0</v>
      </c>
      <c r="T241" s="965">
        <f t="shared" si="131"/>
        <v>0</v>
      </c>
      <c r="U241" s="965">
        <f t="shared" si="131"/>
        <v>0</v>
      </c>
      <c r="V241" s="965">
        <f t="shared" si="131"/>
        <v>0</v>
      </c>
      <c r="W241" s="965">
        <f t="shared" si="131"/>
        <v>0</v>
      </c>
      <c r="X241" s="965">
        <f t="shared" si="131"/>
        <v>0</v>
      </c>
      <c r="Y241" s="965">
        <f t="shared" si="131"/>
        <v>0</v>
      </c>
      <c r="Z241" s="965">
        <f t="shared" si="131"/>
        <v>0</v>
      </c>
      <c r="AA241" s="965">
        <f t="shared" si="131"/>
        <v>0</v>
      </c>
      <c r="AB241" s="965">
        <f t="shared" si="131"/>
        <v>0</v>
      </c>
      <c r="AC241" s="965">
        <f t="shared" si="131"/>
        <v>0</v>
      </c>
      <c r="AD241" s="965">
        <f t="shared" si="131"/>
        <v>0</v>
      </c>
      <c r="AE241" s="965">
        <f t="shared" si="131"/>
        <v>0</v>
      </c>
      <c r="AF241" s="965">
        <f t="shared" si="131"/>
        <v>0</v>
      </c>
      <c r="AG241" s="965">
        <f t="shared" si="131"/>
        <v>0</v>
      </c>
      <c r="AH241" s="965">
        <f t="shared" si="131"/>
        <v>0</v>
      </c>
      <c r="AI241" s="965">
        <f t="shared" si="131"/>
        <v>0</v>
      </c>
      <c r="AJ241" s="965">
        <f t="shared" si="131"/>
        <v>0</v>
      </c>
      <c r="AK241" s="965">
        <f t="shared" si="131"/>
        <v>0</v>
      </c>
      <c r="AL241" s="965">
        <f t="shared" si="131"/>
        <v>0</v>
      </c>
      <c r="AM241" s="965">
        <f t="shared" si="131"/>
        <v>0</v>
      </c>
      <c r="AN241" s="965">
        <f t="shared" si="131"/>
        <v>0</v>
      </c>
      <c r="AO241" s="965">
        <f t="shared" si="131"/>
        <v>-1972868.1729611468</v>
      </c>
      <c r="AP241" s="965">
        <f t="shared" si="131"/>
        <v>-1972868.1729611468</v>
      </c>
      <c r="AQ241" s="965">
        <f t="shared" si="131"/>
        <v>-1972868.1729611468</v>
      </c>
      <c r="AR241" s="965">
        <f t="shared" si="131"/>
        <v>-1972868.1729611468</v>
      </c>
      <c r="AS241" s="965">
        <f t="shared" si="131"/>
        <v>-1972868.1729611468</v>
      </c>
      <c r="AT241" s="965">
        <f t="shared" si="131"/>
        <v>-1972868.1729611468</v>
      </c>
      <c r="AU241" s="166"/>
      <c r="AV241" s="166"/>
      <c r="AW241" s="166"/>
      <c r="AX241" s="166"/>
      <c r="AY241" s="166"/>
      <c r="AZ241" s="166"/>
      <c r="BA241" s="166"/>
      <c r="BB241" s="166"/>
      <c r="BC241" s="166"/>
      <c r="BD241" s="166"/>
      <c r="BE241" s="166"/>
      <c r="BF241" s="166"/>
      <c r="BG241" s="166"/>
      <c r="BH241" s="166"/>
      <c r="BI241" s="166"/>
      <c r="BJ241" s="166"/>
      <c r="BK241" s="166"/>
      <c r="BL241" s="166"/>
      <c r="BM241" s="166"/>
      <c r="BN241" s="166"/>
    </row>
    <row r="242" spans="2:66" x14ac:dyDescent="0.25">
      <c r="B242" s="846" t="str">
        <f t="shared" si="129"/>
        <v>Activos nuevos 4 - Valor residual</v>
      </c>
      <c r="C242" s="968">
        <f t="shared" si="131"/>
        <v>0</v>
      </c>
      <c r="D242" s="968">
        <f t="shared" si="131"/>
        <v>0</v>
      </c>
      <c r="E242" s="968">
        <f t="shared" si="131"/>
        <v>0</v>
      </c>
      <c r="F242" s="968">
        <f t="shared" si="131"/>
        <v>0</v>
      </c>
      <c r="G242" s="968">
        <f t="shared" si="131"/>
        <v>0</v>
      </c>
      <c r="H242" s="968">
        <f t="shared" si="131"/>
        <v>0</v>
      </c>
      <c r="I242" s="968">
        <f t="shared" si="131"/>
        <v>0</v>
      </c>
      <c r="J242" s="968">
        <f t="shared" si="131"/>
        <v>0</v>
      </c>
      <c r="K242" s="968">
        <f t="shared" si="131"/>
        <v>0</v>
      </c>
      <c r="L242" s="968">
        <f t="shared" si="131"/>
        <v>0</v>
      </c>
      <c r="M242" s="968">
        <f t="shared" si="131"/>
        <v>0</v>
      </c>
      <c r="N242" s="968">
        <f t="shared" si="131"/>
        <v>0</v>
      </c>
      <c r="O242" s="968">
        <f t="shared" si="131"/>
        <v>0</v>
      </c>
      <c r="P242" s="968">
        <f t="shared" si="131"/>
        <v>0</v>
      </c>
      <c r="Q242" s="968">
        <f t="shared" si="131"/>
        <v>0</v>
      </c>
      <c r="R242" s="968">
        <f t="shared" si="131"/>
        <v>0</v>
      </c>
      <c r="S242" s="968">
        <f t="shared" si="131"/>
        <v>0</v>
      </c>
      <c r="T242" s="968">
        <f t="shared" si="131"/>
        <v>0</v>
      </c>
      <c r="U242" s="968">
        <f t="shared" si="131"/>
        <v>0</v>
      </c>
      <c r="V242" s="968">
        <f t="shared" si="131"/>
        <v>0</v>
      </c>
      <c r="W242" s="968">
        <f t="shared" si="131"/>
        <v>0</v>
      </c>
      <c r="X242" s="968">
        <f t="shared" si="131"/>
        <v>0</v>
      </c>
      <c r="Y242" s="968">
        <f t="shared" si="131"/>
        <v>0</v>
      </c>
      <c r="Z242" s="968">
        <f t="shared" si="131"/>
        <v>0</v>
      </c>
      <c r="AA242" s="968">
        <f t="shared" si="131"/>
        <v>0</v>
      </c>
      <c r="AB242" s="968">
        <f t="shared" si="131"/>
        <v>0</v>
      </c>
      <c r="AC242" s="968">
        <f t="shared" si="131"/>
        <v>0</v>
      </c>
      <c r="AD242" s="968">
        <f t="shared" si="131"/>
        <v>0</v>
      </c>
      <c r="AE242" s="968">
        <f t="shared" si="131"/>
        <v>0</v>
      </c>
      <c r="AF242" s="968">
        <f t="shared" si="131"/>
        <v>0</v>
      </c>
      <c r="AG242" s="968">
        <f t="shared" si="131"/>
        <v>0</v>
      </c>
      <c r="AH242" s="968">
        <f t="shared" si="131"/>
        <v>0</v>
      </c>
      <c r="AI242" s="968">
        <f t="shared" si="131"/>
        <v>0</v>
      </c>
      <c r="AJ242" s="968">
        <f t="shared" si="131"/>
        <v>0</v>
      </c>
      <c r="AK242" s="968">
        <f t="shared" si="131"/>
        <v>0</v>
      </c>
      <c r="AL242" s="968">
        <f t="shared" si="131"/>
        <v>0</v>
      </c>
      <c r="AM242" s="968">
        <f t="shared" si="131"/>
        <v>0</v>
      </c>
      <c r="AN242" s="968">
        <f t="shared" si="131"/>
        <v>0</v>
      </c>
      <c r="AO242" s="968">
        <f t="shared" si="131"/>
        <v>29593022.594417199</v>
      </c>
      <c r="AP242" s="968">
        <f t="shared" si="131"/>
        <v>27620154.421456054</v>
      </c>
      <c r="AQ242" s="968">
        <f t="shared" si="131"/>
        <v>25647286.248494908</v>
      </c>
      <c r="AR242" s="968">
        <f t="shared" si="131"/>
        <v>23674418.075533763</v>
      </c>
      <c r="AS242" s="968">
        <f t="shared" si="131"/>
        <v>21701549.902572617</v>
      </c>
      <c r="AT242" s="968">
        <f t="shared" si="131"/>
        <v>19728681.729611471</v>
      </c>
      <c r="AU242" s="166"/>
      <c r="AV242" s="166"/>
      <c r="AW242" s="166"/>
      <c r="AX242" s="166"/>
      <c r="AY242" s="166"/>
      <c r="AZ242" s="166"/>
      <c r="BA242" s="166"/>
      <c r="BB242" s="166"/>
      <c r="BC242" s="166"/>
      <c r="BD242" s="166"/>
      <c r="BE242" s="166"/>
      <c r="BF242" s="166"/>
      <c r="BG242" s="166"/>
      <c r="BH242" s="166"/>
      <c r="BI242" s="166"/>
      <c r="BJ242" s="166"/>
      <c r="BK242" s="166"/>
      <c r="BL242" s="166"/>
      <c r="BM242" s="166"/>
      <c r="BN242" s="166"/>
    </row>
    <row r="243" spans="2:66" x14ac:dyDescent="0.25">
      <c r="B243" s="845" t="s">
        <v>441</v>
      </c>
      <c r="C243" s="824">
        <v>0</v>
      </c>
      <c r="D243" s="824">
        <v>0</v>
      </c>
      <c r="E243" s="824">
        <v>0</v>
      </c>
      <c r="F243" s="824">
        <v>0</v>
      </c>
      <c r="G243" s="824">
        <f>SUM(G229:G233)+G235+G237+G239+G241</f>
        <v>-3190596.5206691762</v>
      </c>
      <c r="H243" s="824">
        <f t="shared" ref="H243:AT243" si="132">SUM(H229:H233)+H235+H237+H239+H241</f>
        <v>-3190596.5206691762</v>
      </c>
      <c r="I243" s="824">
        <f t="shared" si="132"/>
        <v>-3190596.5206691762</v>
      </c>
      <c r="J243" s="824">
        <f t="shared" si="132"/>
        <v>-3190596.5206691762</v>
      </c>
      <c r="K243" s="824">
        <f t="shared" si="132"/>
        <v>-3190596.5206691762</v>
      </c>
      <c r="L243" s="824">
        <f t="shared" si="132"/>
        <v>-3018004.6382407546</v>
      </c>
      <c r="M243" s="824">
        <f t="shared" si="132"/>
        <v>-3018004.6382407546</v>
      </c>
      <c r="N243" s="824">
        <f t="shared" si="132"/>
        <v>-3018004.6382407546</v>
      </c>
      <c r="O243" s="824">
        <f t="shared" si="132"/>
        <v>-3018004.6382407546</v>
      </c>
      <c r="P243" s="824">
        <f t="shared" si="132"/>
        <v>-3018004.6382407546</v>
      </c>
      <c r="Q243" s="824">
        <f t="shared" si="132"/>
        <v>-2730297.5196809703</v>
      </c>
      <c r="R243" s="824">
        <f t="shared" si="132"/>
        <v>-3089270.1647581775</v>
      </c>
      <c r="S243" s="824">
        <f t="shared" si="132"/>
        <v>-3089270.1647581775</v>
      </c>
      <c r="T243" s="824">
        <f t="shared" si="132"/>
        <v>-3089270.1647581775</v>
      </c>
      <c r="U243" s="824">
        <f t="shared" si="132"/>
        <v>-3089270.1647581775</v>
      </c>
      <c r="V243" s="824">
        <f t="shared" si="132"/>
        <v>-2321770.1453197817</v>
      </c>
      <c r="W243" s="824">
        <f t="shared" si="132"/>
        <v>-2321770.1453197817</v>
      </c>
      <c r="X243" s="824">
        <f t="shared" si="132"/>
        <v>-3400967.9714049036</v>
      </c>
      <c r="Y243" s="824">
        <f t="shared" si="132"/>
        <v>-3400967.9714049036</v>
      </c>
      <c r="Z243" s="824">
        <f t="shared" si="132"/>
        <v>-3400967.9714049036</v>
      </c>
      <c r="AA243" s="824">
        <f t="shared" si="132"/>
        <v>-3400967.9714049036</v>
      </c>
      <c r="AB243" s="824">
        <f t="shared" si="132"/>
        <v>-3400967.9714049036</v>
      </c>
      <c r="AC243" s="824">
        <f t="shared" si="132"/>
        <v>-3487432.5990548981</v>
      </c>
      <c r="AD243" s="824">
        <f t="shared" si="132"/>
        <v>-3487432.5990548981</v>
      </c>
      <c r="AE243" s="824">
        <f t="shared" si="132"/>
        <v>-3487432.5990548981</v>
      </c>
      <c r="AF243" s="824">
        <f t="shared" si="132"/>
        <v>-3487432.5990548981</v>
      </c>
      <c r="AG243" s="824">
        <f t="shared" si="132"/>
        <v>-3487432.5990548981</v>
      </c>
      <c r="AH243" s="824">
        <f t="shared" si="132"/>
        <v>-3487432.5990548981</v>
      </c>
      <c r="AI243" s="824">
        <f t="shared" si="132"/>
        <v>-3487432.5990548981</v>
      </c>
      <c r="AJ243" s="824">
        <f t="shared" si="132"/>
        <v>-3487432.5990548981</v>
      </c>
      <c r="AK243" s="824">
        <f t="shared" si="132"/>
        <v>-3487432.5990548981</v>
      </c>
      <c r="AL243" s="824">
        <f t="shared" si="132"/>
        <v>-3487432.5990548981</v>
      </c>
      <c r="AM243" s="824">
        <f t="shared" si="132"/>
        <v>-2408234.7729697763</v>
      </c>
      <c r="AN243" s="824">
        <f t="shared" si="132"/>
        <v>-1962797.5002425744</v>
      </c>
      <c r="AO243" s="824">
        <f t="shared" si="132"/>
        <v>-3935665.6732037212</v>
      </c>
      <c r="AP243" s="824">
        <f t="shared" si="132"/>
        <v>-3935665.6732037212</v>
      </c>
      <c r="AQ243" s="824">
        <f t="shared" si="132"/>
        <v>-3935665.6732037212</v>
      </c>
      <c r="AR243" s="824">
        <f t="shared" si="132"/>
        <v>-3935665.6732037212</v>
      </c>
      <c r="AS243" s="824">
        <f t="shared" si="132"/>
        <v>-3935665.6732037212</v>
      </c>
      <c r="AT243" s="824">
        <f t="shared" si="132"/>
        <v>-3935665.6732037212</v>
      </c>
      <c r="AU243" s="166"/>
      <c r="AV243" s="166"/>
      <c r="AW243" s="166"/>
      <c r="AX243" s="166"/>
      <c r="AY243" s="166"/>
      <c r="AZ243" s="166"/>
      <c r="BA243" s="166"/>
      <c r="BB243" s="166"/>
      <c r="BC243" s="166"/>
      <c r="BD243" s="166"/>
      <c r="BE243" s="166"/>
      <c r="BF243" s="166"/>
      <c r="BG243" s="166"/>
      <c r="BH243" s="166"/>
      <c r="BI243" s="166"/>
      <c r="BJ243" s="166"/>
      <c r="BK243" s="166"/>
      <c r="BL243" s="166"/>
      <c r="BM243" s="166"/>
      <c r="BN243" s="166"/>
    </row>
    <row r="244" spans="2:66" x14ac:dyDescent="0.25">
      <c r="B244" s="833" t="s">
        <v>435</v>
      </c>
      <c r="C244" s="824">
        <f>C234+C238+C242</f>
        <v>0</v>
      </c>
      <c r="D244" s="824">
        <f t="shared" ref="D244:F244" si="133">D234+D238+D242</f>
        <v>0</v>
      </c>
      <c r="E244" s="824">
        <f t="shared" si="133"/>
        <v>0</v>
      </c>
      <c r="F244" s="824">
        <f t="shared" si="133"/>
        <v>0</v>
      </c>
      <c r="G244" s="824">
        <f>G234+G236+G238+G240+G242</f>
        <v>111877413.20910615</v>
      </c>
      <c r="H244" s="824">
        <f t="shared" ref="H244:AT244" si="134">H234+H236+H238+H240+H242</f>
        <v>108686816.68843697</v>
      </c>
      <c r="I244" s="824">
        <f t="shared" si="134"/>
        <v>105496220.16776779</v>
      </c>
      <c r="J244" s="824">
        <f t="shared" si="134"/>
        <v>102305623.64709862</v>
      </c>
      <c r="K244" s="824">
        <f t="shared" si="134"/>
        <v>99115027.126429439</v>
      </c>
      <c r="L244" s="824">
        <f t="shared" si="134"/>
        <v>96097022.488188684</v>
      </c>
      <c r="M244" s="824">
        <f t="shared" si="134"/>
        <v>93079017.849947929</v>
      </c>
      <c r="N244" s="824">
        <f t="shared" si="134"/>
        <v>90061013.211707175</v>
      </c>
      <c r="O244" s="824">
        <f t="shared" si="134"/>
        <v>87043008.57346642</v>
      </c>
      <c r="P244" s="824">
        <f t="shared" si="134"/>
        <v>84025003.935225666</v>
      </c>
      <c r="Q244" s="824">
        <f t="shared" si="134"/>
        <v>81294706.415544689</v>
      </c>
      <c r="R244" s="824">
        <f t="shared" si="134"/>
        <v>82154135.346635789</v>
      </c>
      <c r="S244" s="824">
        <f t="shared" si="134"/>
        <v>79064865.181877598</v>
      </c>
      <c r="T244" s="824">
        <f t="shared" si="134"/>
        <v>75975595.017119423</v>
      </c>
      <c r="U244" s="824">
        <f t="shared" si="134"/>
        <v>72886324.852361232</v>
      </c>
      <c r="V244" s="824">
        <f t="shared" si="134"/>
        <v>70564554.707041442</v>
      </c>
      <c r="W244" s="824">
        <f t="shared" si="134"/>
        <v>68242784.561721668</v>
      </c>
      <c r="X244" s="824">
        <f t="shared" si="134"/>
        <v>81029783.981593594</v>
      </c>
      <c r="Y244" s="824">
        <f t="shared" si="134"/>
        <v>77628816.010188699</v>
      </c>
      <c r="Z244" s="824">
        <f t="shared" si="134"/>
        <v>74227848.038783774</v>
      </c>
      <c r="AA244" s="824">
        <f t="shared" si="134"/>
        <v>70826880.067378879</v>
      </c>
      <c r="AB244" s="824">
        <f t="shared" si="134"/>
        <v>67425912.095973969</v>
      </c>
      <c r="AC244" s="824">
        <f t="shared" si="134"/>
        <v>68838289.496918291</v>
      </c>
      <c r="AD244" s="824">
        <f t="shared" si="134"/>
        <v>65350856.897863388</v>
      </c>
      <c r="AE244" s="824">
        <f t="shared" si="134"/>
        <v>61863424.298808493</v>
      </c>
      <c r="AF244" s="824">
        <f t="shared" si="134"/>
        <v>58375991.69975359</v>
      </c>
      <c r="AG244" s="824">
        <f t="shared" si="134"/>
        <v>54888559.100698687</v>
      </c>
      <c r="AH244" s="824">
        <f t="shared" si="134"/>
        <v>51401126.501643792</v>
      </c>
      <c r="AI244" s="824">
        <f t="shared" si="134"/>
        <v>47913693.902588889</v>
      </c>
      <c r="AJ244" s="824">
        <f t="shared" si="134"/>
        <v>44426261.303533986</v>
      </c>
      <c r="AK244" s="824">
        <f t="shared" si="134"/>
        <v>40938828.704479091</v>
      </c>
      <c r="AL244" s="824">
        <f t="shared" si="134"/>
        <v>37451396.105424188</v>
      </c>
      <c r="AM244" s="824">
        <f t="shared" si="134"/>
        <v>35043161.332454413</v>
      </c>
      <c r="AN244" s="824">
        <f t="shared" si="134"/>
        <v>33080363.832211837</v>
      </c>
      <c r="AO244" s="824">
        <f t="shared" si="134"/>
        <v>60710588.926386461</v>
      </c>
      <c r="AP244" s="824">
        <f t="shared" si="134"/>
        <v>56774923.253182739</v>
      </c>
      <c r="AQ244" s="824">
        <f t="shared" si="134"/>
        <v>52839257.579979017</v>
      </c>
      <c r="AR244" s="824">
        <f t="shared" si="134"/>
        <v>48903591.906775296</v>
      </c>
      <c r="AS244" s="824">
        <f t="shared" si="134"/>
        <v>44967926.233571574</v>
      </c>
      <c r="AT244" s="824">
        <f t="shared" si="134"/>
        <v>41032260.560367852</v>
      </c>
      <c r="AU244" s="166"/>
      <c r="AV244" s="166"/>
      <c r="AW244" s="166"/>
      <c r="AX244" s="166"/>
      <c r="AY244" s="166"/>
      <c r="AZ244" s="166"/>
      <c r="BA244" s="166"/>
      <c r="BB244" s="166"/>
      <c r="BC244" s="166"/>
      <c r="BD244" s="166"/>
      <c r="BE244" s="166"/>
      <c r="BF244" s="166"/>
      <c r="BG244" s="166"/>
      <c r="BH244" s="166"/>
      <c r="BI244" s="166"/>
      <c r="BJ244" s="166"/>
      <c r="BK244" s="166"/>
      <c r="BL244" s="166"/>
      <c r="BM244" s="166"/>
      <c r="BN244" s="166"/>
    </row>
    <row r="245" spans="2:66" x14ac:dyDescent="0.25">
      <c r="B245" s="481"/>
      <c r="C245" s="382"/>
      <c r="D245" s="382"/>
      <c r="E245" s="382"/>
      <c r="F245" s="382"/>
      <c r="G245" s="382"/>
      <c r="H245" s="382"/>
      <c r="I245" s="382"/>
      <c r="J245" s="382"/>
      <c r="K245" s="382"/>
      <c r="L245" s="382"/>
      <c r="M245" s="382"/>
      <c r="N245" s="382"/>
      <c r="O245" s="382"/>
      <c r="P245" s="382"/>
      <c r="Q245" s="382"/>
      <c r="R245" s="382"/>
      <c r="S245" s="382"/>
      <c r="T245" s="382"/>
      <c r="U245" s="382"/>
      <c r="V245" s="382"/>
      <c r="W245" s="382"/>
      <c r="X245" s="382"/>
      <c r="Y245" s="382"/>
      <c r="Z245" s="382"/>
      <c r="AA245" s="382"/>
      <c r="AB245" s="382"/>
      <c r="AC245" s="382"/>
      <c r="AD245" s="382"/>
      <c r="AE245" s="382"/>
      <c r="AF245" s="382"/>
      <c r="AG245" s="382"/>
      <c r="AH245" s="382"/>
      <c r="AI245" s="382"/>
      <c r="AJ245" s="382"/>
      <c r="AK245" s="382"/>
      <c r="AL245" s="382"/>
      <c r="AM245" s="382"/>
      <c r="AN245" s="382"/>
      <c r="AO245" s="382"/>
      <c r="AP245" s="382"/>
      <c r="AQ245" s="382"/>
      <c r="AR245" s="382"/>
      <c r="AS245" s="382"/>
      <c r="AT245" s="382"/>
      <c r="AU245" s="166"/>
      <c r="AV245" s="166"/>
      <c r="AW245" s="166"/>
      <c r="AX245" s="166"/>
      <c r="AY245" s="166"/>
      <c r="AZ245" s="166"/>
      <c r="BA245" s="166"/>
      <c r="BB245" s="166"/>
      <c r="BC245" s="166"/>
      <c r="BD245" s="166"/>
      <c r="BE245" s="166"/>
      <c r="BF245" s="166"/>
      <c r="BG245" s="166"/>
      <c r="BH245" s="166"/>
      <c r="BI245" s="166"/>
      <c r="BJ245" s="166"/>
      <c r="BK245" s="166"/>
      <c r="BL245" s="166"/>
      <c r="BM245" s="166"/>
      <c r="BN245" s="166"/>
    </row>
    <row r="246" spans="2:66" ht="13.8" thickBot="1" x14ac:dyDescent="0.3">
      <c r="B246" s="834"/>
      <c r="C246" s="178"/>
      <c r="D246" s="178"/>
      <c r="E246" s="178"/>
      <c r="F246" s="178"/>
      <c r="G246" s="178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78"/>
      <c r="V246" s="178"/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66"/>
      <c r="AV246" s="166"/>
      <c r="AW246" s="166"/>
      <c r="AX246" s="166"/>
      <c r="AY246" s="166"/>
      <c r="AZ246" s="166"/>
      <c r="BA246" s="166"/>
      <c r="BB246" s="166"/>
      <c r="BC246" s="166"/>
      <c r="BD246" s="166"/>
      <c r="BE246" s="166"/>
      <c r="BF246" s="166"/>
      <c r="BG246" s="166"/>
      <c r="BH246" s="166"/>
      <c r="BI246" s="166"/>
      <c r="BJ246" s="166"/>
      <c r="BK246" s="166"/>
      <c r="BL246" s="166"/>
      <c r="BM246" s="166"/>
      <c r="BN246" s="166"/>
    </row>
    <row r="247" spans="2:66" ht="14.4" x14ac:dyDescent="0.25">
      <c r="B247" s="835" t="s">
        <v>390</v>
      </c>
      <c r="C247" s="818"/>
      <c r="D247" s="818"/>
      <c r="E247" s="818"/>
      <c r="F247" s="818"/>
      <c r="G247" s="818"/>
      <c r="H247" s="818"/>
      <c r="I247" s="818"/>
      <c r="J247" s="818"/>
      <c r="K247" s="818"/>
      <c r="L247" s="818"/>
      <c r="M247" s="818"/>
      <c r="N247" s="818"/>
      <c r="O247" s="818"/>
      <c r="P247" s="818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  <c r="AA247" s="818"/>
      <c r="AB247" s="818"/>
      <c r="AC247" s="818"/>
      <c r="AD247" s="818"/>
      <c r="AE247" s="818"/>
      <c r="AF247" s="818"/>
      <c r="AG247" s="818"/>
      <c r="AH247" s="818"/>
      <c r="AI247" s="818"/>
      <c r="AJ247" s="818"/>
      <c r="AK247" s="818"/>
      <c r="AL247" s="818"/>
      <c r="AM247" s="818"/>
      <c r="AN247" s="818"/>
      <c r="AO247" s="818"/>
      <c r="AP247" s="818"/>
      <c r="AQ247" s="818"/>
      <c r="AR247" s="818"/>
      <c r="AS247" s="818"/>
      <c r="AT247" s="819"/>
      <c r="AU247" s="166"/>
      <c r="AV247" s="166"/>
      <c r="AW247" s="166"/>
      <c r="AX247" s="166"/>
      <c r="AY247" s="166"/>
      <c r="AZ247" s="166"/>
      <c r="BA247" s="166"/>
      <c r="BB247" s="166"/>
      <c r="BC247" s="166"/>
      <c r="BD247" s="166"/>
      <c r="BE247" s="166"/>
      <c r="BF247" s="166"/>
      <c r="BG247" s="166"/>
      <c r="BH247" s="166"/>
      <c r="BI247" s="166"/>
      <c r="BJ247" s="166"/>
      <c r="BK247" s="166"/>
      <c r="BL247" s="166"/>
      <c r="BM247" s="166"/>
      <c r="BN247" s="166"/>
    </row>
    <row r="248" spans="2:66" x14ac:dyDescent="0.25">
      <c r="B248" s="836" t="s">
        <v>391</v>
      </c>
      <c r="C248" s="268">
        <v>0</v>
      </c>
      <c r="D248" s="268">
        <v>0</v>
      </c>
      <c r="E248" s="268">
        <v>0</v>
      </c>
      <c r="F248" s="268">
        <v>0</v>
      </c>
      <c r="G248" s="268">
        <f>-G224</f>
        <v>-3489433.6493760138</v>
      </c>
      <c r="H248" s="268">
        <f t="shared" ref="H248:AT248" si="135">-H224</f>
        <v>-3864615.9241095837</v>
      </c>
      <c r="I248" s="268">
        <f t="shared" si="135"/>
        <v>-3667955.0526417415</v>
      </c>
      <c r="J248" s="268">
        <f t="shared" si="135"/>
        <v>-3754445.5924109258</v>
      </c>
      <c r="K248" s="268">
        <f t="shared" si="135"/>
        <v>-8581249.2635108829</v>
      </c>
      <c r="L248" s="268">
        <f t="shared" si="135"/>
        <v>-3933734.6730025862</v>
      </c>
      <c r="M248" s="268">
        <f t="shared" si="135"/>
        <v>-4026637.2762531824</v>
      </c>
      <c r="N248" s="268">
        <f t="shared" si="135"/>
        <v>-4121783.4832045212</v>
      </c>
      <c r="O248" s="268">
        <f t="shared" si="135"/>
        <v>-4219228.6557829175</v>
      </c>
      <c r="P248" s="268">
        <f t="shared" si="135"/>
        <v>-9525155.6981958821</v>
      </c>
      <c r="Q248" s="268">
        <f t="shared" si="135"/>
        <v>-4421244.3521579085</v>
      </c>
      <c r="R248" s="268">
        <f t="shared" si="135"/>
        <v>-4525932.7147169104</v>
      </c>
      <c r="S248" s="268">
        <f t="shared" si="135"/>
        <v>-4633155.7948184023</v>
      </c>
      <c r="T248" s="268">
        <f t="shared" si="135"/>
        <v>-4742976.2925206041</v>
      </c>
      <c r="U248" s="268">
        <f t="shared" si="135"/>
        <v>-10575689.81600501</v>
      </c>
      <c r="V248" s="268">
        <f t="shared" si="135"/>
        <v>-4970668.2950297529</v>
      </c>
      <c r="W248" s="268">
        <f t="shared" si="135"/>
        <v>-5088673.2772134263</v>
      </c>
      <c r="X248" s="268">
        <f t="shared" si="135"/>
        <v>-5209542.7163924491</v>
      </c>
      <c r="Y248" s="268">
        <f t="shared" si="135"/>
        <v>-5333347.6438662987</v>
      </c>
      <c r="Z248" s="268">
        <f t="shared" si="135"/>
        <v>-11745267.263724331</v>
      </c>
      <c r="AA248" s="268">
        <f t="shared" si="135"/>
        <v>-5590057.1209969632</v>
      </c>
      <c r="AB248" s="268">
        <f t="shared" si="135"/>
        <v>-5723112.9055465749</v>
      </c>
      <c r="AC248" s="268">
        <f t="shared" si="135"/>
        <v>-5859406.7445057584</v>
      </c>
      <c r="AD248" s="268">
        <f t="shared" si="135"/>
        <v>-5999019.1305208495</v>
      </c>
      <c r="AE248" s="268">
        <f t="shared" si="135"/>
        <v>-13047797.821644107</v>
      </c>
      <c r="AF248" s="268">
        <f t="shared" si="135"/>
        <v>-6288531.773346208</v>
      </c>
      <c r="AG248" s="268">
        <f t="shared" si="135"/>
        <v>-6438603.4340750668</v>
      </c>
      <c r="AH248" s="268">
        <f t="shared" si="135"/>
        <v>-6592336.5593562629</v>
      </c>
      <c r="AI248" s="268">
        <f t="shared" si="135"/>
        <v>-6749822.3895147499</v>
      </c>
      <c r="AJ248" s="268">
        <f t="shared" si="135"/>
        <v>-14498871.466441935</v>
      </c>
      <c r="AK248" s="268">
        <f t="shared" si="135"/>
        <v>-7076428.7815859448</v>
      </c>
      <c r="AL248" s="268">
        <f t="shared" si="135"/>
        <v>-7245743.6616738085</v>
      </c>
      <c r="AM248" s="268">
        <f t="shared" si="135"/>
        <v>-7419200.0078551713</v>
      </c>
      <c r="AN248" s="268">
        <f t="shared" si="135"/>
        <v>-7596901.2726635616</v>
      </c>
      <c r="AO248" s="268">
        <f t="shared" si="135"/>
        <v>-16115968.399872713</v>
      </c>
      <c r="AP248" s="268">
        <f t="shared" si="135"/>
        <v>-7965465.6146529177</v>
      </c>
      <c r="AQ248" s="268">
        <f t="shared" si="135"/>
        <v>-8156549.0501983799</v>
      </c>
      <c r="AR248" s="268">
        <f t="shared" si="135"/>
        <v>-8352318.2633171976</v>
      </c>
      <c r="AS248" s="268">
        <f t="shared" si="135"/>
        <v>-8552890.5865902863</v>
      </c>
      <c r="AT248" s="799">
        <f t="shared" si="135"/>
        <v>-17918696.229972437</v>
      </c>
      <c r="AU248" s="166"/>
      <c r="AV248" s="166"/>
      <c r="AW248" s="166"/>
      <c r="AX248" s="166"/>
      <c r="AY248" s="166"/>
      <c r="AZ248" s="166"/>
      <c r="BA248" s="166"/>
      <c r="BB248" s="166"/>
      <c r="BC248" s="166"/>
      <c r="BD248" s="166"/>
      <c r="BE248" s="166"/>
      <c r="BF248" s="166"/>
      <c r="BG248" s="166"/>
      <c r="BH248" s="166"/>
      <c r="BI248" s="166"/>
      <c r="BJ248" s="166"/>
      <c r="BK248" s="166"/>
      <c r="BL248" s="166"/>
      <c r="BM248" s="166"/>
      <c r="BN248" s="166"/>
    </row>
    <row r="249" spans="2:66" ht="15" thickBot="1" x14ac:dyDescent="0.3">
      <c r="B249" s="842" t="s">
        <v>389</v>
      </c>
      <c r="C249" s="820"/>
      <c r="D249" s="820"/>
      <c r="E249" s="820"/>
      <c r="F249" s="820"/>
      <c r="G249" s="820">
        <f>G248</f>
        <v>-3489433.6493760138</v>
      </c>
      <c r="H249" s="820">
        <f t="shared" ref="H249:AT249" si="136">H248</f>
        <v>-3864615.9241095837</v>
      </c>
      <c r="I249" s="820">
        <f t="shared" si="136"/>
        <v>-3667955.0526417415</v>
      </c>
      <c r="J249" s="820">
        <f t="shared" si="136"/>
        <v>-3754445.5924109258</v>
      </c>
      <c r="K249" s="820">
        <f t="shared" si="136"/>
        <v>-8581249.2635108829</v>
      </c>
      <c r="L249" s="820">
        <f t="shared" si="136"/>
        <v>-3933734.6730025862</v>
      </c>
      <c r="M249" s="820">
        <f t="shared" si="136"/>
        <v>-4026637.2762531824</v>
      </c>
      <c r="N249" s="820">
        <f t="shared" si="136"/>
        <v>-4121783.4832045212</v>
      </c>
      <c r="O249" s="820">
        <f t="shared" si="136"/>
        <v>-4219228.6557829175</v>
      </c>
      <c r="P249" s="820">
        <f t="shared" si="136"/>
        <v>-9525155.6981958821</v>
      </c>
      <c r="Q249" s="820">
        <f t="shared" si="136"/>
        <v>-4421244.3521579085</v>
      </c>
      <c r="R249" s="820">
        <f t="shared" si="136"/>
        <v>-4525932.7147169104</v>
      </c>
      <c r="S249" s="820">
        <f t="shared" si="136"/>
        <v>-4633155.7948184023</v>
      </c>
      <c r="T249" s="820">
        <f t="shared" si="136"/>
        <v>-4742976.2925206041</v>
      </c>
      <c r="U249" s="820">
        <f t="shared" si="136"/>
        <v>-10575689.81600501</v>
      </c>
      <c r="V249" s="820">
        <f t="shared" si="136"/>
        <v>-4970668.2950297529</v>
      </c>
      <c r="W249" s="820">
        <f t="shared" si="136"/>
        <v>-5088673.2772134263</v>
      </c>
      <c r="X249" s="820">
        <f t="shared" si="136"/>
        <v>-5209542.7163924491</v>
      </c>
      <c r="Y249" s="820">
        <f t="shared" si="136"/>
        <v>-5333347.6438662987</v>
      </c>
      <c r="Z249" s="820">
        <f t="shared" si="136"/>
        <v>-11745267.263724331</v>
      </c>
      <c r="AA249" s="820">
        <f t="shared" si="136"/>
        <v>-5590057.1209969632</v>
      </c>
      <c r="AB249" s="820">
        <f t="shared" si="136"/>
        <v>-5723112.9055465749</v>
      </c>
      <c r="AC249" s="820">
        <f t="shared" si="136"/>
        <v>-5859406.7445057584</v>
      </c>
      <c r="AD249" s="820">
        <f t="shared" si="136"/>
        <v>-5999019.1305208495</v>
      </c>
      <c r="AE249" s="820">
        <f t="shared" si="136"/>
        <v>-13047797.821644107</v>
      </c>
      <c r="AF249" s="820">
        <f t="shared" si="136"/>
        <v>-6288531.773346208</v>
      </c>
      <c r="AG249" s="820">
        <f t="shared" si="136"/>
        <v>-6438603.4340750668</v>
      </c>
      <c r="AH249" s="820">
        <f t="shared" si="136"/>
        <v>-6592336.5593562629</v>
      </c>
      <c r="AI249" s="820">
        <f t="shared" si="136"/>
        <v>-6749822.3895147499</v>
      </c>
      <c r="AJ249" s="820">
        <f t="shared" si="136"/>
        <v>-14498871.466441935</v>
      </c>
      <c r="AK249" s="820">
        <f t="shared" si="136"/>
        <v>-7076428.7815859448</v>
      </c>
      <c r="AL249" s="820">
        <f t="shared" si="136"/>
        <v>-7245743.6616738085</v>
      </c>
      <c r="AM249" s="820">
        <f t="shared" si="136"/>
        <v>-7419200.0078551713</v>
      </c>
      <c r="AN249" s="820">
        <f t="shared" si="136"/>
        <v>-7596901.2726635616</v>
      </c>
      <c r="AO249" s="820">
        <f t="shared" si="136"/>
        <v>-16115968.399872713</v>
      </c>
      <c r="AP249" s="820">
        <f t="shared" si="136"/>
        <v>-7965465.6146529177</v>
      </c>
      <c r="AQ249" s="820">
        <f t="shared" si="136"/>
        <v>-8156549.0501983799</v>
      </c>
      <c r="AR249" s="820">
        <f t="shared" si="136"/>
        <v>-8352318.2633171976</v>
      </c>
      <c r="AS249" s="820">
        <f t="shared" si="136"/>
        <v>-8552890.5865902863</v>
      </c>
      <c r="AT249" s="821">
        <f t="shared" si="136"/>
        <v>-17918696.229972437</v>
      </c>
      <c r="AU249" s="166"/>
      <c r="AV249" s="166"/>
      <c r="AW249" s="166"/>
      <c r="AX249" s="166"/>
      <c r="AY249" s="166"/>
      <c r="AZ249" s="166"/>
      <c r="BA249" s="166"/>
      <c r="BB249" s="166"/>
      <c r="BC249" s="166"/>
      <c r="BD249" s="166"/>
      <c r="BE249" s="166"/>
      <c r="BF249" s="166"/>
      <c r="BG249" s="166"/>
      <c r="BH249" s="166"/>
      <c r="BI249" s="166"/>
      <c r="BJ249" s="166"/>
      <c r="BK249" s="166"/>
      <c r="BL249" s="166"/>
      <c r="BM249" s="166"/>
      <c r="BN249" s="166"/>
    </row>
    <row r="250" spans="2:66" ht="15" thickBot="1" x14ac:dyDescent="0.3">
      <c r="B250" s="837"/>
      <c r="C250" s="824"/>
      <c r="D250" s="824"/>
      <c r="E250" s="824"/>
      <c r="F250" s="824"/>
      <c r="G250" s="824"/>
      <c r="H250" s="824"/>
      <c r="I250" s="824"/>
      <c r="J250" s="824"/>
      <c r="K250" s="824"/>
      <c r="L250" s="824"/>
      <c r="M250" s="824"/>
      <c r="N250" s="824"/>
      <c r="O250" s="824"/>
      <c r="P250" s="824"/>
      <c r="Q250" s="824"/>
      <c r="R250" s="824"/>
      <c r="S250" s="824"/>
      <c r="T250" s="824"/>
      <c r="U250" s="824"/>
      <c r="V250" s="824"/>
      <c r="W250" s="824"/>
      <c r="X250" s="824"/>
      <c r="Y250" s="824"/>
      <c r="Z250" s="824"/>
      <c r="AA250" s="824"/>
      <c r="AB250" s="824"/>
      <c r="AC250" s="824"/>
      <c r="AD250" s="824"/>
      <c r="AE250" s="824"/>
      <c r="AF250" s="824"/>
      <c r="AG250" s="824"/>
      <c r="AH250" s="824"/>
      <c r="AI250" s="824"/>
      <c r="AJ250" s="824"/>
      <c r="AK250" s="824"/>
      <c r="AL250" s="824"/>
      <c r="AM250" s="824"/>
      <c r="AN250" s="824"/>
      <c r="AO250" s="824"/>
      <c r="AP250" s="824"/>
      <c r="AQ250" s="824"/>
      <c r="AR250" s="824"/>
      <c r="AS250" s="824"/>
      <c r="AT250" s="824"/>
      <c r="AU250" s="166"/>
      <c r="AV250" s="166"/>
      <c r="AW250" s="166"/>
      <c r="AX250" s="166"/>
      <c r="AY250" s="166"/>
      <c r="AZ250" s="166"/>
      <c r="BA250" s="166"/>
      <c r="BB250" s="166"/>
      <c r="BC250" s="166"/>
      <c r="BD250" s="166"/>
      <c r="BE250" s="166"/>
      <c r="BF250" s="166"/>
      <c r="BG250" s="166"/>
      <c r="BH250" s="166"/>
      <c r="BI250" s="166"/>
      <c r="BJ250" s="166"/>
      <c r="BK250" s="166"/>
      <c r="BL250" s="166"/>
      <c r="BM250" s="166"/>
      <c r="BN250" s="166"/>
    </row>
    <row r="251" spans="2:66" ht="14.4" x14ac:dyDescent="0.25">
      <c r="B251" s="835" t="s">
        <v>392</v>
      </c>
      <c r="C251" s="818"/>
      <c r="D251" s="818"/>
      <c r="E251" s="818"/>
      <c r="F251" s="818"/>
      <c r="G251" s="818"/>
      <c r="H251" s="818"/>
      <c r="I251" s="818"/>
      <c r="J251" s="818"/>
      <c r="K251" s="818"/>
      <c r="L251" s="818"/>
      <c r="M251" s="818"/>
      <c r="N251" s="818"/>
      <c r="O251" s="818"/>
      <c r="P251" s="818"/>
      <c r="Q251" s="818"/>
      <c r="R251" s="818"/>
      <c r="S251" s="818"/>
      <c r="T251" s="818"/>
      <c r="U251" s="818"/>
      <c r="V251" s="818"/>
      <c r="W251" s="818"/>
      <c r="X251" s="818"/>
      <c r="Y251" s="818"/>
      <c r="Z251" s="818"/>
      <c r="AA251" s="818"/>
      <c r="AB251" s="818"/>
      <c r="AC251" s="818"/>
      <c r="AD251" s="818"/>
      <c r="AE251" s="818"/>
      <c r="AF251" s="818"/>
      <c r="AG251" s="818"/>
      <c r="AH251" s="818"/>
      <c r="AI251" s="818"/>
      <c r="AJ251" s="818"/>
      <c r="AK251" s="818"/>
      <c r="AL251" s="818"/>
      <c r="AM251" s="818"/>
      <c r="AN251" s="818"/>
      <c r="AO251" s="818"/>
      <c r="AP251" s="818"/>
      <c r="AQ251" s="818"/>
      <c r="AR251" s="818"/>
      <c r="AS251" s="818"/>
      <c r="AT251" s="819"/>
      <c r="AU251" s="166"/>
      <c r="AV251" s="166"/>
      <c r="AW251" s="166"/>
      <c r="AX251" s="166"/>
      <c r="AY251" s="166"/>
      <c r="AZ251" s="166"/>
      <c r="BA251" s="166"/>
      <c r="BB251" s="166"/>
      <c r="BC251" s="166"/>
      <c r="BD251" s="166"/>
      <c r="BE251" s="166"/>
      <c r="BF251" s="166"/>
      <c r="BG251" s="166"/>
      <c r="BH251" s="166"/>
      <c r="BI251" s="166"/>
      <c r="BJ251" s="166"/>
      <c r="BK251" s="166"/>
      <c r="BL251" s="166"/>
      <c r="BM251" s="166"/>
      <c r="BN251" s="166"/>
    </row>
    <row r="252" spans="2:66" x14ac:dyDescent="0.25">
      <c r="B252" s="836" t="s">
        <v>393</v>
      </c>
      <c r="C252" s="268">
        <v>0</v>
      </c>
      <c r="D252" s="268">
        <v>0</v>
      </c>
      <c r="E252" s="268">
        <v>0</v>
      </c>
      <c r="F252" s="268">
        <v>0</v>
      </c>
      <c r="G252" s="178">
        <f t="shared" ref="G252:AT252" si="137">G226</f>
        <v>4124312.9476175341</v>
      </c>
      <c r="H252" s="178">
        <f t="shared" si="137"/>
        <v>5499083.9301567134</v>
      </c>
      <c r="I252" s="178">
        <f t="shared" si="137"/>
        <v>5810178.526870437</v>
      </c>
      <c r="J252" s="178">
        <f t="shared" si="137"/>
        <v>5871064.8047620328</v>
      </c>
      <c r="K252" s="178">
        <f t="shared" si="137"/>
        <v>6171601.9063928341</v>
      </c>
      <c r="L252" s="178">
        <f t="shared" si="137"/>
        <v>6234947.9899112508</v>
      </c>
      <c r="M252" s="178">
        <f t="shared" si="137"/>
        <v>6552745.1539962217</v>
      </c>
      <c r="N252" s="178">
        <f t="shared" si="137"/>
        <v>6585398.9506927049</v>
      </c>
      <c r="O252" s="178">
        <f t="shared" si="137"/>
        <v>6885422.0783837074</v>
      </c>
      <c r="P252" s="178">
        <f t="shared" si="137"/>
        <v>6919395.0884667234</v>
      </c>
      <c r="Q252" s="178">
        <f t="shared" si="137"/>
        <v>7234284.1697311541</v>
      </c>
      <c r="R252" s="178">
        <f t="shared" si="137"/>
        <v>7269629.6894215271</v>
      </c>
      <c r="S252" s="178">
        <f t="shared" si="137"/>
        <v>7565290.0879634097</v>
      </c>
      <c r="T252" s="178">
        <f t="shared" si="137"/>
        <v>7567257.4470526613</v>
      </c>
      <c r="U252" s="178">
        <f t="shared" si="137"/>
        <v>7875021.4883100484</v>
      </c>
      <c r="V252" s="178">
        <f t="shared" si="137"/>
        <v>7877068.3287065066</v>
      </c>
      <c r="W252" s="178">
        <f t="shared" si="137"/>
        <v>8197431.421934722</v>
      </c>
      <c r="X252" s="178">
        <f t="shared" si="137"/>
        <v>8258246.2318838621</v>
      </c>
      <c r="Y252" s="178">
        <f t="shared" si="137"/>
        <v>8655151.1079230551</v>
      </c>
      <c r="Z252" s="178">
        <f t="shared" si="137"/>
        <v>8718422.8361941446</v>
      </c>
      <c r="AA252" s="178">
        <f t="shared" si="137"/>
        <v>9136475.0248696245</v>
      </c>
      <c r="AB252" s="178">
        <f t="shared" si="137"/>
        <v>9202302.9309628587</v>
      </c>
      <c r="AC252" s="178">
        <f t="shared" si="137"/>
        <v>9574075.969373757</v>
      </c>
      <c r="AD252" s="178">
        <f t="shared" si="137"/>
        <v>9574075.969373757</v>
      </c>
      <c r="AE252" s="178">
        <f t="shared" si="137"/>
        <v>9960868.6385364551</v>
      </c>
      <c r="AF252" s="178">
        <f t="shared" si="137"/>
        <v>9960868.6385364551</v>
      </c>
      <c r="AG252" s="178">
        <f t="shared" si="137"/>
        <v>10363287.73153333</v>
      </c>
      <c r="AH252" s="178">
        <f t="shared" si="137"/>
        <v>10363287.73153333</v>
      </c>
      <c r="AI252" s="178">
        <f t="shared" si="137"/>
        <v>10781964.555887274</v>
      </c>
      <c r="AJ252" s="178">
        <f t="shared" si="137"/>
        <v>10781964.555887274</v>
      </c>
      <c r="AK252" s="178">
        <f t="shared" si="137"/>
        <v>11217555.923945121</v>
      </c>
      <c r="AL252" s="178">
        <f t="shared" si="137"/>
        <v>11217555.923945121</v>
      </c>
      <c r="AM252" s="178">
        <f t="shared" si="137"/>
        <v>11670745.183272503</v>
      </c>
      <c r="AN252" s="178">
        <f t="shared" si="137"/>
        <v>11670745.183272503</v>
      </c>
      <c r="AO252" s="178">
        <f t="shared" si="137"/>
        <v>12142243.288676716</v>
      </c>
      <c r="AP252" s="178">
        <f t="shared" si="137"/>
        <v>12142243.288676716</v>
      </c>
      <c r="AQ252" s="178">
        <f t="shared" si="137"/>
        <v>12632789.917539254</v>
      </c>
      <c r="AR252" s="178">
        <f t="shared" si="137"/>
        <v>12632789.917539254</v>
      </c>
      <c r="AS252" s="178">
        <f t="shared" si="137"/>
        <v>13143154.63020784</v>
      </c>
      <c r="AT252" s="265">
        <f t="shared" si="137"/>
        <v>13143154.63020784</v>
      </c>
      <c r="AU252" s="166"/>
      <c r="AV252" s="166"/>
      <c r="AW252" s="166"/>
      <c r="AX252" s="166"/>
      <c r="AY252" s="166"/>
      <c r="AZ252" s="166"/>
      <c r="BA252" s="166"/>
      <c r="BB252" s="166"/>
      <c r="BC252" s="166"/>
      <c r="BD252" s="166"/>
      <c r="BE252" s="166"/>
      <c r="BF252" s="166"/>
      <c r="BG252" s="166"/>
      <c r="BH252" s="166"/>
      <c r="BI252" s="166"/>
      <c r="BJ252" s="166"/>
      <c r="BK252" s="166"/>
      <c r="BL252" s="166"/>
      <c r="BM252" s="166"/>
      <c r="BN252" s="166"/>
    </row>
    <row r="253" spans="2:66" x14ac:dyDescent="0.25">
      <c r="B253" s="836" t="s">
        <v>394</v>
      </c>
      <c r="C253" s="268">
        <v>0</v>
      </c>
      <c r="D253" s="268">
        <v>0</v>
      </c>
      <c r="E253" s="268">
        <v>0</v>
      </c>
      <c r="F253" s="268">
        <v>0</v>
      </c>
      <c r="G253" s="178">
        <f t="shared" ref="G253:AT253" si="138">G227</f>
        <v>420000</v>
      </c>
      <c r="H253" s="178">
        <f t="shared" si="138"/>
        <v>428400</v>
      </c>
      <c r="I253" s="178">
        <f t="shared" si="138"/>
        <v>436968</v>
      </c>
      <c r="J253" s="178">
        <f t="shared" si="138"/>
        <v>445707.36</v>
      </c>
      <c r="K253" s="178">
        <f t="shared" si="138"/>
        <v>454621.50719999999</v>
      </c>
      <c r="L253" s="178">
        <f t="shared" si="138"/>
        <v>463713.93734400003</v>
      </c>
      <c r="M253" s="178">
        <f t="shared" si="138"/>
        <v>472988.21609088004</v>
      </c>
      <c r="N253" s="178">
        <f t="shared" si="138"/>
        <v>482447.98041269754</v>
      </c>
      <c r="O253" s="178">
        <f t="shared" si="138"/>
        <v>492096.9400209515</v>
      </c>
      <c r="P253" s="178">
        <f t="shared" si="138"/>
        <v>501938.87882137054</v>
      </c>
      <c r="Q253" s="178">
        <f t="shared" si="138"/>
        <v>511977.65639779798</v>
      </c>
      <c r="R253" s="178">
        <f t="shared" si="138"/>
        <v>522217.20952575386</v>
      </c>
      <c r="S253" s="178">
        <f t="shared" si="138"/>
        <v>532661.55371626897</v>
      </c>
      <c r="T253" s="178">
        <f t="shared" si="138"/>
        <v>543314.78479059436</v>
      </c>
      <c r="U253" s="178">
        <f t="shared" si="138"/>
        <v>554181.08048640634</v>
      </c>
      <c r="V253" s="178">
        <f t="shared" si="138"/>
        <v>565264.70209613431</v>
      </c>
      <c r="W253" s="178">
        <f t="shared" si="138"/>
        <v>576569.99613805709</v>
      </c>
      <c r="X253" s="178">
        <f t="shared" si="138"/>
        <v>588101.39606081822</v>
      </c>
      <c r="Y253" s="178">
        <f t="shared" si="138"/>
        <v>599863.42398203455</v>
      </c>
      <c r="Z253" s="178">
        <f t="shared" si="138"/>
        <v>611860.69246167527</v>
      </c>
      <c r="AA253" s="178">
        <f t="shared" si="138"/>
        <v>624097.90631090873</v>
      </c>
      <c r="AB253" s="178">
        <f t="shared" si="138"/>
        <v>636579.8644371269</v>
      </c>
      <c r="AC253" s="178">
        <f t="shared" si="138"/>
        <v>649311.46172586945</v>
      </c>
      <c r="AD253" s="178">
        <f t="shared" si="138"/>
        <v>662297.69096038677</v>
      </c>
      <c r="AE253" s="178">
        <f t="shared" si="138"/>
        <v>675543.6447795945</v>
      </c>
      <c r="AF253" s="178">
        <f t="shared" si="138"/>
        <v>689054.51767518639</v>
      </c>
      <c r="AG253" s="178">
        <f t="shared" si="138"/>
        <v>702835.60802869021</v>
      </c>
      <c r="AH253" s="178">
        <f t="shared" si="138"/>
        <v>716892.3201892639</v>
      </c>
      <c r="AI253" s="178">
        <f t="shared" si="138"/>
        <v>731230.1665930493</v>
      </c>
      <c r="AJ253" s="178">
        <f t="shared" si="138"/>
        <v>745854.76992491016</v>
      </c>
      <c r="AK253" s="178">
        <f t="shared" si="138"/>
        <v>760771.86532340851</v>
      </c>
      <c r="AL253" s="178">
        <f t="shared" si="138"/>
        <v>775987.30262987642</v>
      </c>
      <c r="AM253" s="178">
        <f t="shared" si="138"/>
        <v>791507.04868247418</v>
      </c>
      <c r="AN253" s="178">
        <f t="shared" si="138"/>
        <v>807337.18965612364</v>
      </c>
      <c r="AO253" s="178">
        <f t="shared" si="138"/>
        <v>823483.93344924611</v>
      </c>
      <c r="AP253" s="178">
        <f t="shared" si="138"/>
        <v>839953.61211823102</v>
      </c>
      <c r="AQ253" s="178">
        <f t="shared" si="138"/>
        <v>856752.68436059554</v>
      </c>
      <c r="AR253" s="178">
        <f t="shared" si="138"/>
        <v>873887.73804780759</v>
      </c>
      <c r="AS253" s="178">
        <f t="shared" si="138"/>
        <v>891365.49280876387</v>
      </c>
      <c r="AT253" s="265">
        <f t="shared" si="138"/>
        <v>909192.80266493873</v>
      </c>
      <c r="AU253" s="166"/>
      <c r="AV253" s="166"/>
      <c r="AW253" s="166"/>
      <c r="AX253" s="166"/>
      <c r="AY253" s="166"/>
      <c r="AZ253" s="166"/>
      <c r="BA253" s="166"/>
      <c r="BB253" s="166"/>
      <c r="BC253" s="166"/>
      <c r="BD253" s="166"/>
      <c r="BE253" s="166"/>
      <c r="BF253" s="166"/>
      <c r="BG253" s="166"/>
      <c r="BH253" s="166"/>
      <c r="BI253" s="166"/>
      <c r="BJ253" s="166"/>
      <c r="BK253" s="166"/>
      <c r="BL253" s="166"/>
      <c r="BM253" s="166"/>
      <c r="BN253" s="166"/>
    </row>
    <row r="254" spans="2:66" ht="15" thickBot="1" x14ac:dyDescent="0.3">
      <c r="B254" s="842" t="s">
        <v>388</v>
      </c>
      <c r="C254" s="822">
        <v>0</v>
      </c>
      <c r="D254" s="822">
        <v>0</v>
      </c>
      <c r="E254" s="822">
        <v>0</v>
      </c>
      <c r="F254" s="822">
        <v>0</v>
      </c>
      <c r="G254" s="822">
        <f>G252+G253</f>
        <v>4544312.9476175345</v>
      </c>
      <c r="H254" s="822">
        <f t="shared" ref="H254:AT254" si="139">H252+H253</f>
        <v>5927483.9301567134</v>
      </c>
      <c r="I254" s="822">
        <f t="shared" si="139"/>
        <v>6247146.526870437</v>
      </c>
      <c r="J254" s="822">
        <f t="shared" si="139"/>
        <v>6316772.1647620331</v>
      </c>
      <c r="K254" s="822">
        <f t="shared" si="139"/>
        <v>6626223.413592834</v>
      </c>
      <c r="L254" s="822">
        <f t="shared" si="139"/>
        <v>6698661.9272552505</v>
      </c>
      <c r="M254" s="822">
        <f t="shared" si="139"/>
        <v>7025733.3700871021</v>
      </c>
      <c r="N254" s="822">
        <f t="shared" si="139"/>
        <v>7067846.9311054023</v>
      </c>
      <c r="O254" s="822">
        <f t="shared" si="139"/>
        <v>7377519.0184046589</v>
      </c>
      <c r="P254" s="822">
        <f t="shared" si="139"/>
        <v>7421333.9672880936</v>
      </c>
      <c r="Q254" s="822">
        <f t="shared" si="139"/>
        <v>7746261.8261289522</v>
      </c>
      <c r="R254" s="822">
        <f t="shared" si="139"/>
        <v>7791846.8989472808</v>
      </c>
      <c r="S254" s="822">
        <f t="shared" si="139"/>
        <v>8097951.641679679</v>
      </c>
      <c r="T254" s="822">
        <f t="shared" si="139"/>
        <v>8110572.2318432555</v>
      </c>
      <c r="U254" s="822">
        <f t="shared" si="139"/>
        <v>8429202.568796454</v>
      </c>
      <c r="V254" s="822">
        <f t="shared" si="139"/>
        <v>8442333.0308026411</v>
      </c>
      <c r="W254" s="822">
        <f t="shared" si="139"/>
        <v>8774001.4180727787</v>
      </c>
      <c r="X254" s="822">
        <f t="shared" si="139"/>
        <v>8846347.6279446799</v>
      </c>
      <c r="Y254" s="822">
        <f t="shared" si="139"/>
        <v>9255014.5319050904</v>
      </c>
      <c r="Z254" s="822">
        <f t="shared" si="139"/>
        <v>9330283.5286558196</v>
      </c>
      <c r="AA254" s="822">
        <f t="shared" si="139"/>
        <v>9760572.931180533</v>
      </c>
      <c r="AB254" s="822">
        <f t="shared" si="139"/>
        <v>9838882.7953999862</v>
      </c>
      <c r="AC254" s="822">
        <f t="shared" si="139"/>
        <v>10223387.431099627</v>
      </c>
      <c r="AD254" s="822">
        <f t="shared" si="139"/>
        <v>10236373.660334144</v>
      </c>
      <c r="AE254" s="822">
        <f t="shared" si="139"/>
        <v>10636412.28331605</v>
      </c>
      <c r="AF254" s="822">
        <f t="shared" si="139"/>
        <v>10649923.156211641</v>
      </c>
      <c r="AG254" s="822">
        <f t="shared" si="139"/>
        <v>11066123.339562019</v>
      </c>
      <c r="AH254" s="822">
        <f t="shared" si="139"/>
        <v>11080180.051722594</v>
      </c>
      <c r="AI254" s="822">
        <f t="shared" si="139"/>
        <v>11513194.722480323</v>
      </c>
      <c r="AJ254" s="822">
        <f t="shared" si="139"/>
        <v>11527819.325812185</v>
      </c>
      <c r="AK254" s="822">
        <f t="shared" si="139"/>
        <v>11978327.789268531</v>
      </c>
      <c r="AL254" s="822">
        <f t="shared" si="139"/>
        <v>11993543.226574998</v>
      </c>
      <c r="AM254" s="822">
        <f t="shared" si="139"/>
        <v>12462252.231954977</v>
      </c>
      <c r="AN254" s="822">
        <f t="shared" si="139"/>
        <v>12478082.372928627</v>
      </c>
      <c r="AO254" s="822">
        <f t="shared" si="139"/>
        <v>12965727.222125962</v>
      </c>
      <c r="AP254" s="822">
        <f t="shared" si="139"/>
        <v>12982196.900794948</v>
      </c>
      <c r="AQ254" s="822">
        <f t="shared" si="139"/>
        <v>13489542.601899849</v>
      </c>
      <c r="AR254" s="822">
        <f t="shared" si="139"/>
        <v>13506677.655587062</v>
      </c>
      <c r="AS254" s="822">
        <f t="shared" si="139"/>
        <v>14034520.123016603</v>
      </c>
      <c r="AT254" s="823">
        <f t="shared" si="139"/>
        <v>14052347.43287278</v>
      </c>
      <c r="AU254" s="166"/>
      <c r="AV254" s="166"/>
      <c r="AW254" s="166"/>
      <c r="AX254" s="166"/>
      <c r="AY254" s="166"/>
      <c r="AZ254" s="166"/>
      <c r="BA254" s="166"/>
      <c r="BB254" s="166"/>
      <c r="BC254" s="166"/>
      <c r="BD254" s="166"/>
      <c r="BE254" s="166"/>
      <c r="BF254" s="166"/>
      <c r="BG254" s="166"/>
      <c r="BH254" s="166"/>
      <c r="BI254" s="166"/>
      <c r="BJ254" s="166"/>
      <c r="BK254" s="166"/>
      <c r="BL254" s="166"/>
      <c r="BM254" s="166"/>
      <c r="BN254" s="166"/>
    </row>
    <row r="255" spans="2:66" ht="15" thickBot="1" x14ac:dyDescent="0.3">
      <c r="B255" s="838"/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78"/>
      <c r="V255" s="178"/>
      <c r="W255" s="178"/>
      <c r="X255" s="178"/>
      <c r="Y255" s="178"/>
      <c r="Z255" s="178"/>
      <c r="AA255" s="178"/>
      <c r="AB255" s="178"/>
      <c r="AC255" s="178"/>
      <c r="AD255" s="178"/>
      <c r="AE255" s="178"/>
      <c r="AF255" s="178"/>
      <c r="AG255" s="178"/>
      <c r="AH255" s="178"/>
      <c r="AI255" s="178"/>
      <c r="AJ255" s="178"/>
      <c r="AK255" s="178"/>
      <c r="AL255" s="178"/>
      <c r="AM255" s="178"/>
      <c r="AN255" s="178"/>
      <c r="AO255" s="178"/>
      <c r="AP255" s="178"/>
      <c r="AQ255" s="178"/>
      <c r="AR255" s="178"/>
      <c r="AS255" s="178"/>
      <c r="AT255" s="178"/>
      <c r="AU255" s="166"/>
      <c r="AV255" s="166"/>
      <c r="AW255" s="166"/>
      <c r="AX255" s="166"/>
      <c r="AY255" s="166"/>
      <c r="AZ255" s="166"/>
      <c r="BA255" s="166"/>
      <c r="BB255" s="166"/>
      <c r="BC255" s="166"/>
      <c r="BD255" s="166"/>
      <c r="BE255" s="166"/>
      <c r="BF255" s="166"/>
      <c r="BG255" s="166"/>
      <c r="BH255" s="166"/>
      <c r="BI255" s="166"/>
      <c r="BJ255" s="166"/>
      <c r="BK255" s="166"/>
      <c r="BL255" s="166"/>
      <c r="BM255" s="166"/>
      <c r="BN255" s="166"/>
    </row>
    <row r="256" spans="2:66" ht="15" thickBot="1" x14ac:dyDescent="0.3">
      <c r="B256" s="843" t="s">
        <v>387</v>
      </c>
      <c r="C256" s="825"/>
      <c r="D256" s="825"/>
      <c r="E256" s="825"/>
      <c r="F256" s="825"/>
      <c r="G256" s="826">
        <f>G254+G249</f>
        <v>1054879.2982415208</v>
      </c>
      <c r="H256" s="826">
        <f t="shared" ref="H256:AT256" si="140">H254+H249</f>
        <v>2062868.0060471296</v>
      </c>
      <c r="I256" s="826">
        <f t="shared" si="140"/>
        <v>2579191.4742286955</v>
      </c>
      <c r="J256" s="826">
        <f t="shared" si="140"/>
        <v>2562326.5723511074</v>
      </c>
      <c r="K256" s="826">
        <f t="shared" si="140"/>
        <v>-1955025.8499180488</v>
      </c>
      <c r="L256" s="826">
        <f t="shared" si="140"/>
        <v>2764927.2542526643</v>
      </c>
      <c r="M256" s="826">
        <f t="shared" si="140"/>
        <v>2999096.0938339196</v>
      </c>
      <c r="N256" s="826">
        <f t="shared" si="140"/>
        <v>2946063.4479008811</v>
      </c>
      <c r="O256" s="826">
        <f t="shared" si="140"/>
        <v>3158290.3626217414</v>
      </c>
      <c r="P256" s="826">
        <f t="shared" si="140"/>
        <v>-2103821.7309077885</v>
      </c>
      <c r="Q256" s="826">
        <f t="shared" si="140"/>
        <v>3325017.4739710437</v>
      </c>
      <c r="R256" s="826">
        <f t="shared" si="140"/>
        <v>3265914.1842303704</v>
      </c>
      <c r="S256" s="826">
        <f t="shared" si="140"/>
        <v>3464795.8468612768</v>
      </c>
      <c r="T256" s="826">
        <f t="shared" si="140"/>
        <v>3367595.9393226514</v>
      </c>
      <c r="U256" s="826">
        <f t="shared" si="140"/>
        <v>-2146487.2472085562</v>
      </c>
      <c r="V256" s="826">
        <f t="shared" si="140"/>
        <v>3471664.7357728882</v>
      </c>
      <c r="W256" s="826">
        <f t="shared" si="140"/>
        <v>3685328.1408593524</v>
      </c>
      <c r="X256" s="826">
        <f t="shared" si="140"/>
        <v>3636804.9115522308</v>
      </c>
      <c r="Y256" s="826">
        <f t="shared" si="140"/>
        <v>3921666.8880387917</v>
      </c>
      <c r="Z256" s="826">
        <f t="shared" si="140"/>
        <v>-2414983.7350685112</v>
      </c>
      <c r="AA256" s="826">
        <f t="shared" si="140"/>
        <v>4170515.8101835698</v>
      </c>
      <c r="AB256" s="826">
        <f t="shared" si="140"/>
        <v>4115769.8898534114</v>
      </c>
      <c r="AC256" s="826">
        <f t="shared" si="140"/>
        <v>4363980.6865938688</v>
      </c>
      <c r="AD256" s="826">
        <f t="shared" si="140"/>
        <v>4237354.5298132943</v>
      </c>
      <c r="AE256" s="826">
        <f t="shared" si="140"/>
        <v>-2411385.5383280572</v>
      </c>
      <c r="AF256" s="826">
        <f t="shared" si="140"/>
        <v>4361391.3828654326</v>
      </c>
      <c r="AG256" s="826">
        <f t="shared" si="140"/>
        <v>4627519.9054869525</v>
      </c>
      <c r="AH256" s="826">
        <f t="shared" si="140"/>
        <v>4487843.4923663307</v>
      </c>
      <c r="AI256" s="826">
        <f t="shared" si="140"/>
        <v>4763372.3329655733</v>
      </c>
      <c r="AJ256" s="826">
        <f t="shared" si="140"/>
        <v>-2971052.1406297497</v>
      </c>
      <c r="AK256" s="826">
        <f t="shared" si="140"/>
        <v>4901899.0076825861</v>
      </c>
      <c r="AL256" s="826">
        <f t="shared" si="140"/>
        <v>4747799.5649011899</v>
      </c>
      <c r="AM256" s="826">
        <f t="shared" si="140"/>
        <v>5043052.2240998056</v>
      </c>
      <c r="AN256" s="826">
        <f t="shared" si="140"/>
        <v>4881181.1002650652</v>
      </c>
      <c r="AO256" s="826">
        <f t="shared" si="140"/>
        <v>-3150241.1777467504</v>
      </c>
      <c r="AP256" s="826">
        <f t="shared" si="140"/>
        <v>5016731.2861420298</v>
      </c>
      <c r="AQ256" s="826">
        <f t="shared" si="140"/>
        <v>5332993.5517014693</v>
      </c>
      <c r="AR256" s="826">
        <f t="shared" si="140"/>
        <v>5154359.3922698647</v>
      </c>
      <c r="AS256" s="826">
        <f t="shared" si="140"/>
        <v>5481629.5364263169</v>
      </c>
      <c r="AT256" s="827">
        <f t="shared" si="140"/>
        <v>-3866348.7970996574</v>
      </c>
      <c r="AU256" s="166"/>
      <c r="AV256" s="166"/>
      <c r="AW256" s="166"/>
      <c r="AX256" s="166"/>
      <c r="AY256" s="166"/>
      <c r="AZ256" s="166"/>
      <c r="BA256" s="166"/>
      <c r="BB256" s="166"/>
      <c r="BC256" s="166"/>
      <c r="BD256" s="166"/>
      <c r="BE256" s="166"/>
      <c r="BF256" s="166"/>
      <c r="BG256" s="166"/>
      <c r="BH256" s="166"/>
      <c r="BI256" s="166"/>
      <c r="BJ256" s="166"/>
      <c r="BK256" s="166"/>
      <c r="BL256" s="166"/>
      <c r="BM256" s="166"/>
      <c r="BN256" s="166"/>
    </row>
    <row r="257" spans="2:66" ht="15" thickBot="1" x14ac:dyDescent="0.3">
      <c r="B257" s="839"/>
      <c r="C257" s="801"/>
      <c r="D257" s="801"/>
      <c r="E257" s="801"/>
      <c r="F257" s="801"/>
      <c r="G257" s="824"/>
      <c r="H257" s="824"/>
      <c r="I257" s="824"/>
      <c r="J257" s="824"/>
      <c r="K257" s="824"/>
      <c r="L257" s="824"/>
      <c r="M257" s="824"/>
      <c r="N257" s="824"/>
      <c r="O257" s="824"/>
      <c r="P257" s="824"/>
      <c r="Q257" s="824"/>
      <c r="R257" s="824"/>
      <c r="S257" s="824"/>
      <c r="T257" s="824"/>
      <c r="U257" s="824"/>
      <c r="V257" s="824"/>
      <c r="W257" s="824"/>
      <c r="X257" s="824"/>
      <c r="Y257" s="824"/>
      <c r="Z257" s="824"/>
      <c r="AA257" s="824"/>
      <c r="AB257" s="824"/>
      <c r="AC257" s="824"/>
      <c r="AD257" s="824"/>
      <c r="AE257" s="824"/>
      <c r="AF257" s="824"/>
      <c r="AG257" s="824"/>
      <c r="AH257" s="824"/>
      <c r="AI257" s="824"/>
      <c r="AJ257" s="824"/>
      <c r="AK257" s="824"/>
      <c r="AL257" s="824"/>
      <c r="AM257" s="824"/>
      <c r="AN257" s="824"/>
      <c r="AO257" s="824"/>
      <c r="AP257" s="824"/>
      <c r="AQ257" s="824"/>
      <c r="AR257" s="824"/>
      <c r="AS257" s="824"/>
      <c r="AT257" s="824"/>
      <c r="AU257" s="166"/>
      <c r="AV257" s="166"/>
      <c r="AW257" s="166"/>
      <c r="AX257" s="166"/>
      <c r="AY257" s="166"/>
      <c r="AZ257" s="166"/>
      <c r="BA257" s="166"/>
      <c r="BB257" s="166"/>
      <c r="BC257" s="166"/>
      <c r="BD257" s="166"/>
      <c r="BE257" s="166"/>
      <c r="BF257" s="166"/>
      <c r="BG257" s="166"/>
      <c r="BH257" s="166"/>
      <c r="BI257" s="166"/>
      <c r="BJ257" s="166"/>
      <c r="BK257" s="166"/>
      <c r="BL257" s="166"/>
      <c r="BM257" s="166"/>
      <c r="BN257" s="166"/>
    </row>
    <row r="258" spans="2:66" ht="14.4" x14ac:dyDescent="0.25">
      <c r="B258" s="835" t="s">
        <v>397</v>
      </c>
      <c r="C258" s="818"/>
      <c r="D258" s="818"/>
      <c r="E258" s="818"/>
      <c r="F258" s="818"/>
      <c r="G258" s="818"/>
      <c r="H258" s="818"/>
      <c r="I258" s="818"/>
      <c r="J258" s="818"/>
      <c r="K258" s="818"/>
      <c r="L258" s="818"/>
      <c r="M258" s="818"/>
      <c r="N258" s="818"/>
      <c r="O258" s="818"/>
      <c r="P258" s="818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  <c r="AA258" s="818"/>
      <c r="AB258" s="818"/>
      <c r="AC258" s="818"/>
      <c r="AD258" s="818"/>
      <c r="AE258" s="818"/>
      <c r="AF258" s="818"/>
      <c r="AG258" s="818"/>
      <c r="AH258" s="818"/>
      <c r="AI258" s="818"/>
      <c r="AJ258" s="818"/>
      <c r="AK258" s="818"/>
      <c r="AL258" s="818"/>
      <c r="AM258" s="818"/>
      <c r="AN258" s="818"/>
      <c r="AO258" s="818"/>
      <c r="AP258" s="818"/>
      <c r="AQ258" s="818"/>
      <c r="AR258" s="818"/>
      <c r="AS258" s="818"/>
      <c r="AT258" s="819"/>
      <c r="AU258" s="166"/>
      <c r="AV258" s="166"/>
      <c r="AW258" s="166"/>
      <c r="AX258" s="166"/>
      <c r="AY258" s="166"/>
      <c r="AZ258" s="166"/>
      <c r="BA258" s="166"/>
      <c r="BB258" s="166"/>
      <c r="BC258" s="166"/>
      <c r="BD258" s="166"/>
      <c r="BE258" s="166"/>
      <c r="BF258" s="166"/>
      <c r="BG258" s="166"/>
      <c r="BH258" s="166"/>
      <c r="BI258" s="166"/>
      <c r="BJ258" s="166"/>
      <c r="BK258" s="166"/>
      <c r="BL258" s="166"/>
      <c r="BM258" s="166"/>
      <c r="BN258" s="166"/>
    </row>
    <row r="259" spans="2:66" x14ac:dyDescent="0.25">
      <c r="B259" s="836" t="s">
        <v>442</v>
      </c>
      <c r="C259" s="268">
        <v>0</v>
      </c>
      <c r="D259" s="268">
        <v>0</v>
      </c>
      <c r="E259" s="268">
        <v>0</v>
      </c>
      <c r="F259" s="268">
        <v>0</v>
      </c>
      <c r="G259" s="178">
        <f>G256</f>
        <v>1054879.2982415208</v>
      </c>
      <c r="H259" s="178">
        <f t="shared" ref="H259:AT259" si="141">H256</f>
        <v>2062868.0060471296</v>
      </c>
      <c r="I259" s="178">
        <f t="shared" si="141"/>
        <v>2579191.4742286955</v>
      </c>
      <c r="J259" s="178">
        <f t="shared" si="141"/>
        <v>2562326.5723511074</v>
      </c>
      <c r="K259" s="178">
        <f t="shared" si="141"/>
        <v>-1955025.8499180488</v>
      </c>
      <c r="L259" s="178">
        <f t="shared" si="141"/>
        <v>2764927.2542526643</v>
      </c>
      <c r="M259" s="178">
        <f t="shared" si="141"/>
        <v>2999096.0938339196</v>
      </c>
      <c r="N259" s="178">
        <f t="shared" si="141"/>
        <v>2946063.4479008811</v>
      </c>
      <c r="O259" s="178">
        <f t="shared" si="141"/>
        <v>3158290.3626217414</v>
      </c>
      <c r="P259" s="178">
        <f t="shared" si="141"/>
        <v>-2103821.7309077885</v>
      </c>
      <c r="Q259" s="178">
        <f t="shared" si="141"/>
        <v>3325017.4739710437</v>
      </c>
      <c r="R259" s="178">
        <f t="shared" si="141"/>
        <v>3265914.1842303704</v>
      </c>
      <c r="S259" s="178">
        <f t="shared" si="141"/>
        <v>3464795.8468612768</v>
      </c>
      <c r="T259" s="178">
        <f t="shared" si="141"/>
        <v>3367595.9393226514</v>
      </c>
      <c r="U259" s="178">
        <f t="shared" si="141"/>
        <v>-2146487.2472085562</v>
      </c>
      <c r="V259" s="178">
        <f t="shared" si="141"/>
        <v>3471664.7357728882</v>
      </c>
      <c r="W259" s="178">
        <f t="shared" si="141"/>
        <v>3685328.1408593524</v>
      </c>
      <c r="X259" s="178">
        <f t="shared" si="141"/>
        <v>3636804.9115522308</v>
      </c>
      <c r="Y259" s="178">
        <f t="shared" si="141"/>
        <v>3921666.8880387917</v>
      </c>
      <c r="Z259" s="178">
        <f t="shared" si="141"/>
        <v>-2414983.7350685112</v>
      </c>
      <c r="AA259" s="178">
        <f t="shared" si="141"/>
        <v>4170515.8101835698</v>
      </c>
      <c r="AB259" s="178">
        <f t="shared" si="141"/>
        <v>4115769.8898534114</v>
      </c>
      <c r="AC259" s="178">
        <f t="shared" si="141"/>
        <v>4363980.6865938688</v>
      </c>
      <c r="AD259" s="178">
        <f t="shared" si="141"/>
        <v>4237354.5298132943</v>
      </c>
      <c r="AE259" s="178">
        <f t="shared" si="141"/>
        <v>-2411385.5383280572</v>
      </c>
      <c r="AF259" s="178">
        <f t="shared" si="141"/>
        <v>4361391.3828654326</v>
      </c>
      <c r="AG259" s="178">
        <f t="shared" si="141"/>
        <v>4627519.9054869525</v>
      </c>
      <c r="AH259" s="178">
        <f t="shared" si="141"/>
        <v>4487843.4923663307</v>
      </c>
      <c r="AI259" s="178">
        <f t="shared" si="141"/>
        <v>4763372.3329655733</v>
      </c>
      <c r="AJ259" s="178">
        <f t="shared" si="141"/>
        <v>-2971052.1406297497</v>
      </c>
      <c r="AK259" s="178">
        <f t="shared" si="141"/>
        <v>4901899.0076825861</v>
      </c>
      <c r="AL259" s="178">
        <f t="shared" si="141"/>
        <v>4747799.5649011899</v>
      </c>
      <c r="AM259" s="178">
        <f t="shared" si="141"/>
        <v>5043052.2240998056</v>
      </c>
      <c r="AN259" s="178">
        <f t="shared" si="141"/>
        <v>4881181.1002650652</v>
      </c>
      <c r="AO259" s="178">
        <f t="shared" si="141"/>
        <v>-3150241.1777467504</v>
      </c>
      <c r="AP259" s="178">
        <f t="shared" si="141"/>
        <v>5016731.2861420298</v>
      </c>
      <c r="AQ259" s="178">
        <f t="shared" si="141"/>
        <v>5332993.5517014693</v>
      </c>
      <c r="AR259" s="178">
        <f t="shared" si="141"/>
        <v>5154359.3922698647</v>
      </c>
      <c r="AS259" s="178">
        <f t="shared" si="141"/>
        <v>5481629.5364263169</v>
      </c>
      <c r="AT259" s="265">
        <f t="shared" si="141"/>
        <v>-3866348.7970996574</v>
      </c>
      <c r="AU259" s="166"/>
      <c r="AV259" s="166"/>
      <c r="AW259" s="166"/>
      <c r="AX259" s="166"/>
      <c r="AY259" s="166"/>
      <c r="AZ259" s="166"/>
      <c r="BA259" s="166"/>
      <c r="BB259" s="166"/>
      <c r="BC259" s="166"/>
      <c r="BD259" s="166"/>
      <c r="BE259" s="166"/>
      <c r="BF259" s="166"/>
      <c r="BG259" s="166"/>
      <c r="BH259" s="166"/>
      <c r="BI259" s="166"/>
      <c r="BJ259" s="166"/>
      <c r="BK259" s="166"/>
      <c r="BL259" s="166"/>
      <c r="BM259" s="166"/>
      <c r="BN259" s="166"/>
    </row>
    <row r="260" spans="2:66" x14ac:dyDescent="0.25">
      <c r="B260" s="836" t="s">
        <v>440</v>
      </c>
      <c r="C260" s="268">
        <v>0</v>
      </c>
      <c r="D260" s="268">
        <v>0</v>
      </c>
      <c r="E260" s="268">
        <v>0</v>
      </c>
      <c r="F260" s="268">
        <v>0</v>
      </c>
      <c r="G260" s="178">
        <f>IF(G259&gt;0,-$C$23*G259,0)</f>
        <v>0</v>
      </c>
      <c r="H260" s="178">
        <f t="shared" ref="H260:AT260" si="142">IF(H259&gt;0,-$C$23*H259,0)</f>
        <v>0</v>
      </c>
      <c r="I260" s="178">
        <f t="shared" si="142"/>
        <v>0</v>
      </c>
      <c r="J260" s="178">
        <f t="shared" si="142"/>
        <v>0</v>
      </c>
      <c r="K260" s="178">
        <f t="shared" si="142"/>
        <v>0</v>
      </c>
      <c r="L260" s="178">
        <f t="shared" si="142"/>
        <v>0</v>
      </c>
      <c r="M260" s="178">
        <f t="shared" si="142"/>
        <v>0</v>
      </c>
      <c r="N260" s="178">
        <f t="shared" si="142"/>
        <v>0</v>
      </c>
      <c r="O260" s="178">
        <f t="shared" si="142"/>
        <v>0</v>
      </c>
      <c r="P260" s="178">
        <f t="shared" si="142"/>
        <v>0</v>
      </c>
      <c r="Q260" s="178">
        <f t="shared" si="142"/>
        <v>0</v>
      </c>
      <c r="R260" s="178">
        <f t="shared" si="142"/>
        <v>0</v>
      </c>
      <c r="S260" s="178">
        <f t="shared" si="142"/>
        <v>0</v>
      </c>
      <c r="T260" s="178">
        <f t="shared" si="142"/>
        <v>0</v>
      </c>
      <c r="U260" s="178">
        <f t="shared" si="142"/>
        <v>0</v>
      </c>
      <c r="V260" s="178">
        <f t="shared" si="142"/>
        <v>0</v>
      </c>
      <c r="W260" s="178">
        <f t="shared" si="142"/>
        <v>0</v>
      </c>
      <c r="X260" s="178">
        <f t="shared" si="142"/>
        <v>0</v>
      </c>
      <c r="Y260" s="178">
        <f t="shared" si="142"/>
        <v>0</v>
      </c>
      <c r="Z260" s="178">
        <f t="shared" si="142"/>
        <v>0</v>
      </c>
      <c r="AA260" s="178">
        <f t="shared" si="142"/>
        <v>0</v>
      </c>
      <c r="AB260" s="178">
        <f t="shared" si="142"/>
        <v>0</v>
      </c>
      <c r="AC260" s="178">
        <f t="shared" si="142"/>
        <v>0</v>
      </c>
      <c r="AD260" s="178">
        <f t="shared" si="142"/>
        <v>0</v>
      </c>
      <c r="AE260" s="178">
        <f t="shared" si="142"/>
        <v>0</v>
      </c>
      <c r="AF260" s="178">
        <f t="shared" si="142"/>
        <v>0</v>
      </c>
      <c r="AG260" s="178">
        <f t="shared" si="142"/>
        <v>0</v>
      </c>
      <c r="AH260" s="178">
        <f t="shared" si="142"/>
        <v>0</v>
      </c>
      <c r="AI260" s="178">
        <f t="shared" si="142"/>
        <v>0</v>
      </c>
      <c r="AJ260" s="178">
        <f t="shared" si="142"/>
        <v>0</v>
      </c>
      <c r="AK260" s="178">
        <f t="shared" si="142"/>
        <v>0</v>
      </c>
      <c r="AL260" s="178">
        <f t="shared" si="142"/>
        <v>0</v>
      </c>
      <c r="AM260" s="178">
        <f t="shared" si="142"/>
        <v>0</v>
      </c>
      <c r="AN260" s="178">
        <f t="shared" si="142"/>
        <v>0</v>
      </c>
      <c r="AO260" s="178">
        <f t="shared" si="142"/>
        <v>0</v>
      </c>
      <c r="AP260" s="178">
        <f t="shared" si="142"/>
        <v>0</v>
      </c>
      <c r="AQ260" s="178">
        <f t="shared" si="142"/>
        <v>0</v>
      </c>
      <c r="AR260" s="178">
        <f t="shared" si="142"/>
        <v>0</v>
      </c>
      <c r="AS260" s="178">
        <f t="shared" si="142"/>
        <v>0</v>
      </c>
      <c r="AT260" s="265">
        <f t="shared" si="142"/>
        <v>0</v>
      </c>
      <c r="AU260" s="166"/>
      <c r="AV260" s="166"/>
      <c r="AW260" s="166"/>
      <c r="AX260" s="166"/>
      <c r="AY260" s="166"/>
      <c r="AZ260" s="166"/>
      <c r="BA260" s="166"/>
      <c r="BB260" s="166"/>
      <c r="BC260" s="166"/>
      <c r="BD260" s="166"/>
      <c r="BE260" s="166"/>
      <c r="BF260" s="166"/>
      <c r="BG260" s="166"/>
      <c r="BH260" s="166"/>
      <c r="BI260" s="166"/>
      <c r="BJ260" s="166"/>
      <c r="BK260" s="166"/>
      <c r="BL260" s="166"/>
      <c r="BM260" s="166"/>
      <c r="BN260" s="166"/>
    </row>
    <row r="261" spans="2:66" ht="14.4" x14ac:dyDescent="0.25">
      <c r="B261" s="840" t="s">
        <v>175</v>
      </c>
      <c r="C261" s="800">
        <v>0</v>
      </c>
      <c r="D261" s="800">
        <v>0</v>
      </c>
      <c r="E261" s="800">
        <v>0</v>
      </c>
      <c r="F261" s="800">
        <v>0</v>
      </c>
      <c r="G261" s="261">
        <f>G243</f>
        <v>-3190596.5206691762</v>
      </c>
      <c r="H261" s="261">
        <f t="shared" ref="H261:AT261" si="143">H243</f>
        <v>-3190596.5206691762</v>
      </c>
      <c r="I261" s="261">
        <f t="shared" si="143"/>
        <v>-3190596.5206691762</v>
      </c>
      <c r="J261" s="261">
        <f t="shared" si="143"/>
        <v>-3190596.5206691762</v>
      </c>
      <c r="K261" s="261">
        <f t="shared" si="143"/>
        <v>-3190596.5206691762</v>
      </c>
      <c r="L261" s="261">
        <f t="shared" si="143"/>
        <v>-3018004.6382407546</v>
      </c>
      <c r="M261" s="261">
        <f t="shared" si="143"/>
        <v>-3018004.6382407546</v>
      </c>
      <c r="N261" s="261">
        <f t="shared" si="143"/>
        <v>-3018004.6382407546</v>
      </c>
      <c r="O261" s="261">
        <f t="shared" si="143"/>
        <v>-3018004.6382407546</v>
      </c>
      <c r="P261" s="261">
        <f t="shared" si="143"/>
        <v>-3018004.6382407546</v>
      </c>
      <c r="Q261" s="261">
        <f t="shared" si="143"/>
        <v>-2730297.5196809703</v>
      </c>
      <c r="R261" s="261">
        <f t="shared" si="143"/>
        <v>-3089270.1647581775</v>
      </c>
      <c r="S261" s="261">
        <f t="shared" si="143"/>
        <v>-3089270.1647581775</v>
      </c>
      <c r="T261" s="261">
        <f t="shared" si="143"/>
        <v>-3089270.1647581775</v>
      </c>
      <c r="U261" s="261">
        <f t="shared" si="143"/>
        <v>-3089270.1647581775</v>
      </c>
      <c r="V261" s="261">
        <f t="shared" si="143"/>
        <v>-2321770.1453197817</v>
      </c>
      <c r="W261" s="261">
        <f t="shared" si="143"/>
        <v>-2321770.1453197817</v>
      </c>
      <c r="X261" s="261">
        <f t="shared" si="143"/>
        <v>-3400967.9714049036</v>
      </c>
      <c r="Y261" s="261">
        <f t="shared" si="143"/>
        <v>-3400967.9714049036</v>
      </c>
      <c r="Z261" s="261">
        <f t="shared" si="143"/>
        <v>-3400967.9714049036</v>
      </c>
      <c r="AA261" s="261">
        <f t="shared" si="143"/>
        <v>-3400967.9714049036</v>
      </c>
      <c r="AB261" s="261">
        <f t="shared" si="143"/>
        <v>-3400967.9714049036</v>
      </c>
      <c r="AC261" s="261">
        <f t="shared" si="143"/>
        <v>-3487432.5990548981</v>
      </c>
      <c r="AD261" s="261">
        <f t="shared" si="143"/>
        <v>-3487432.5990548981</v>
      </c>
      <c r="AE261" s="261">
        <f t="shared" si="143"/>
        <v>-3487432.5990548981</v>
      </c>
      <c r="AF261" s="261">
        <f t="shared" si="143"/>
        <v>-3487432.5990548981</v>
      </c>
      <c r="AG261" s="261">
        <f t="shared" si="143"/>
        <v>-3487432.5990548981</v>
      </c>
      <c r="AH261" s="261">
        <f t="shared" si="143"/>
        <v>-3487432.5990548981</v>
      </c>
      <c r="AI261" s="261">
        <f t="shared" si="143"/>
        <v>-3487432.5990548981</v>
      </c>
      <c r="AJ261" s="261">
        <f t="shared" si="143"/>
        <v>-3487432.5990548981</v>
      </c>
      <c r="AK261" s="261">
        <f t="shared" si="143"/>
        <v>-3487432.5990548981</v>
      </c>
      <c r="AL261" s="261">
        <f t="shared" si="143"/>
        <v>-3487432.5990548981</v>
      </c>
      <c r="AM261" s="261">
        <f t="shared" si="143"/>
        <v>-2408234.7729697763</v>
      </c>
      <c r="AN261" s="261">
        <f t="shared" si="143"/>
        <v>-1962797.5002425744</v>
      </c>
      <c r="AO261" s="261">
        <f t="shared" si="143"/>
        <v>-3935665.6732037212</v>
      </c>
      <c r="AP261" s="261">
        <f t="shared" si="143"/>
        <v>-3935665.6732037212</v>
      </c>
      <c r="AQ261" s="261">
        <f t="shared" si="143"/>
        <v>-3935665.6732037212</v>
      </c>
      <c r="AR261" s="261">
        <f t="shared" si="143"/>
        <v>-3935665.6732037212</v>
      </c>
      <c r="AS261" s="261">
        <f t="shared" si="143"/>
        <v>-3935665.6732037212</v>
      </c>
      <c r="AT261" s="266">
        <f t="shared" si="143"/>
        <v>-3935665.6732037212</v>
      </c>
      <c r="AU261" s="166"/>
      <c r="AV261" s="166"/>
      <c r="AW261" s="166"/>
      <c r="AX261" s="166"/>
      <c r="AY261" s="166"/>
      <c r="AZ261" s="166"/>
      <c r="BA261" s="166"/>
      <c r="BB261" s="166"/>
      <c r="BC261" s="166"/>
      <c r="BD261" s="166"/>
      <c r="BE261" s="166"/>
      <c r="BF261" s="166"/>
      <c r="BG261" s="166"/>
      <c r="BH261" s="166"/>
      <c r="BI261" s="166"/>
      <c r="BJ261" s="166"/>
      <c r="BK261" s="166"/>
      <c r="BL261" s="166"/>
      <c r="BM261" s="166"/>
      <c r="BN261" s="166"/>
    </row>
    <row r="262" spans="2:66" x14ac:dyDescent="0.25">
      <c r="B262" s="836" t="s">
        <v>444</v>
      </c>
      <c r="C262" s="268">
        <v>0</v>
      </c>
      <c r="D262" s="268">
        <v>0</v>
      </c>
      <c r="E262" s="268">
        <v>0</v>
      </c>
      <c r="F262" s="268">
        <v>0</v>
      </c>
      <c r="G262" s="178">
        <f t="shared" ref="G262:AT262" si="144">G259+G260+G261</f>
        <v>-2135717.2224276555</v>
      </c>
      <c r="H262" s="178">
        <f t="shared" si="144"/>
        <v>-1127728.5146220466</v>
      </c>
      <c r="I262" s="178">
        <f t="shared" si="144"/>
        <v>-611405.04644048074</v>
      </c>
      <c r="J262" s="178">
        <f t="shared" si="144"/>
        <v>-628269.94831806887</v>
      </c>
      <c r="K262" s="178">
        <f t="shared" si="144"/>
        <v>-5145622.3705872251</v>
      </c>
      <c r="L262" s="178">
        <f t="shared" si="144"/>
        <v>-253077.38398809033</v>
      </c>
      <c r="M262" s="178">
        <f t="shared" si="144"/>
        <v>-18908.54440683499</v>
      </c>
      <c r="N262" s="178">
        <f t="shared" si="144"/>
        <v>-71941.190339873545</v>
      </c>
      <c r="O262" s="178">
        <f t="shared" si="144"/>
        <v>140285.72438098677</v>
      </c>
      <c r="P262" s="178">
        <f t="shared" si="144"/>
        <v>-5121826.3691485431</v>
      </c>
      <c r="Q262" s="178">
        <f t="shared" si="144"/>
        <v>594719.95429007336</v>
      </c>
      <c r="R262" s="178">
        <f t="shared" si="144"/>
        <v>176644.01947219297</v>
      </c>
      <c r="S262" s="178">
        <f t="shared" si="144"/>
        <v>375525.6821030993</v>
      </c>
      <c r="T262" s="178">
        <f t="shared" si="144"/>
        <v>278325.77456447389</v>
      </c>
      <c r="U262" s="178">
        <f t="shared" si="144"/>
        <v>-5235757.4119667336</v>
      </c>
      <c r="V262" s="178">
        <f t="shared" si="144"/>
        <v>1149894.5904531064</v>
      </c>
      <c r="W262" s="178">
        <f t="shared" si="144"/>
        <v>1363557.9955395707</v>
      </c>
      <c r="X262" s="178">
        <f t="shared" si="144"/>
        <v>235836.94014732726</v>
      </c>
      <c r="Y262" s="178">
        <f t="shared" si="144"/>
        <v>520698.91663388815</v>
      </c>
      <c r="Z262" s="178">
        <f t="shared" si="144"/>
        <v>-5815951.7064734148</v>
      </c>
      <c r="AA262" s="178">
        <f t="shared" si="144"/>
        <v>769547.83877866622</v>
      </c>
      <c r="AB262" s="178">
        <f t="shared" si="144"/>
        <v>714801.91844850779</v>
      </c>
      <c r="AC262" s="178">
        <f t="shared" si="144"/>
        <v>876548.08753897063</v>
      </c>
      <c r="AD262" s="178">
        <f t="shared" si="144"/>
        <v>749921.93075839616</v>
      </c>
      <c r="AE262" s="178">
        <f t="shared" si="144"/>
        <v>-5898818.1373829553</v>
      </c>
      <c r="AF262" s="178">
        <f t="shared" si="144"/>
        <v>873958.78381053451</v>
      </c>
      <c r="AG262" s="178">
        <f t="shared" si="144"/>
        <v>1140087.3064320544</v>
      </c>
      <c r="AH262" s="178">
        <f t="shared" si="144"/>
        <v>1000410.8933114326</v>
      </c>
      <c r="AI262" s="178">
        <f t="shared" si="144"/>
        <v>1275939.7339106752</v>
      </c>
      <c r="AJ262" s="178">
        <f t="shared" si="144"/>
        <v>-6458484.7396846479</v>
      </c>
      <c r="AK262" s="178">
        <f t="shared" si="144"/>
        <v>1414466.408627688</v>
      </c>
      <c r="AL262" s="178">
        <f t="shared" si="144"/>
        <v>1260366.9658462917</v>
      </c>
      <c r="AM262" s="178">
        <f t="shared" si="144"/>
        <v>2634817.4511300293</v>
      </c>
      <c r="AN262" s="178">
        <f t="shared" si="144"/>
        <v>2918383.6000224911</v>
      </c>
      <c r="AO262" s="178">
        <f t="shared" si="144"/>
        <v>-7085906.8509504721</v>
      </c>
      <c r="AP262" s="178">
        <f t="shared" si="144"/>
        <v>1081065.6129383086</v>
      </c>
      <c r="AQ262" s="178">
        <f t="shared" si="144"/>
        <v>1397327.8784977482</v>
      </c>
      <c r="AR262" s="178">
        <f t="shared" si="144"/>
        <v>1218693.7190661435</v>
      </c>
      <c r="AS262" s="178">
        <f t="shared" si="144"/>
        <v>1545963.8632225958</v>
      </c>
      <c r="AT262" s="265">
        <f t="shared" si="144"/>
        <v>-7802014.470303379</v>
      </c>
      <c r="AU262" s="166"/>
      <c r="AV262" s="166"/>
      <c r="AW262" s="166"/>
      <c r="AX262" s="166"/>
      <c r="AY262" s="166"/>
      <c r="AZ262" s="166"/>
      <c r="BA262" s="166"/>
      <c r="BB262" s="166"/>
      <c r="BC262" s="166"/>
      <c r="BD262" s="166"/>
      <c r="BE262" s="166"/>
      <c r="BF262" s="166"/>
      <c r="BG262" s="166"/>
      <c r="BH262" s="166"/>
      <c r="BI262" s="166"/>
      <c r="BJ262" s="166"/>
      <c r="BK262" s="166"/>
      <c r="BL262" s="166"/>
      <c r="BM262" s="166"/>
      <c r="BN262" s="166"/>
    </row>
    <row r="263" spans="2:66" x14ac:dyDescent="0.25">
      <c r="B263" s="836" t="s">
        <v>443</v>
      </c>
      <c r="C263" s="268">
        <v>0</v>
      </c>
      <c r="D263" s="268">
        <v>0</v>
      </c>
      <c r="E263" s="268">
        <v>0</v>
      </c>
      <c r="F263" s="268">
        <v>0</v>
      </c>
      <c r="G263" s="178">
        <f>IF(G262&gt;0,-$C$24*G262,0)</f>
        <v>0</v>
      </c>
      <c r="H263" s="178">
        <f t="shared" ref="H263:AT263" si="145">IF(H262&gt;0,-$C$24*H262,0)</f>
        <v>0</v>
      </c>
      <c r="I263" s="178">
        <f t="shared" si="145"/>
        <v>0</v>
      </c>
      <c r="J263" s="178">
        <f t="shared" si="145"/>
        <v>0</v>
      </c>
      <c r="K263" s="178">
        <f t="shared" si="145"/>
        <v>0</v>
      </c>
      <c r="L263" s="178">
        <f t="shared" si="145"/>
        <v>0</v>
      </c>
      <c r="M263" s="178">
        <f t="shared" si="145"/>
        <v>0</v>
      </c>
      <c r="N263" s="178">
        <f t="shared" si="145"/>
        <v>0</v>
      </c>
      <c r="O263" s="178">
        <f t="shared" si="145"/>
        <v>-49100.003533345363</v>
      </c>
      <c r="P263" s="178">
        <f t="shared" si="145"/>
        <v>0</v>
      </c>
      <c r="Q263" s="178">
        <f t="shared" si="145"/>
        <v>-208151.98400152568</v>
      </c>
      <c r="R263" s="178">
        <f t="shared" si="145"/>
        <v>-61825.406815267539</v>
      </c>
      <c r="S263" s="178">
        <f t="shared" si="145"/>
        <v>-131433.98873608475</v>
      </c>
      <c r="T263" s="178">
        <f t="shared" si="145"/>
        <v>-97414.021097565856</v>
      </c>
      <c r="U263" s="178">
        <f t="shared" si="145"/>
        <v>0</v>
      </c>
      <c r="V263" s="178">
        <f t="shared" si="145"/>
        <v>-402463.10665858723</v>
      </c>
      <c r="W263" s="178">
        <f t="shared" si="145"/>
        <v>-477245.29843884968</v>
      </c>
      <c r="X263" s="178">
        <f t="shared" si="145"/>
        <v>-82542.929051564541</v>
      </c>
      <c r="Y263" s="178">
        <f t="shared" si="145"/>
        <v>-182244.62082186085</v>
      </c>
      <c r="Z263" s="178">
        <f t="shared" si="145"/>
        <v>0</v>
      </c>
      <c r="AA263" s="178">
        <f t="shared" si="145"/>
        <v>-269341.74357253319</v>
      </c>
      <c r="AB263" s="178">
        <f t="shared" si="145"/>
        <v>-250180.6714569777</v>
      </c>
      <c r="AC263" s="178">
        <f t="shared" si="145"/>
        <v>-306791.83063863969</v>
      </c>
      <c r="AD263" s="178">
        <f t="shared" si="145"/>
        <v>-262472.67576543865</v>
      </c>
      <c r="AE263" s="178">
        <f t="shared" si="145"/>
        <v>0</v>
      </c>
      <c r="AF263" s="178">
        <f t="shared" si="145"/>
        <v>-305885.57433368708</v>
      </c>
      <c r="AG263" s="178">
        <f t="shared" si="145"/>
        <v>-399030.557251219</v>
      </c>
      <c r="AH263" s="178">
        <f t="shared" si="145"/>
        <v>-350143.81265900139</v>
      </c>
      <c r="AI263" s="178">
        <f t="shared" si="145"/>
        <v>-446578.90686873626</v>
      </c>
      <c r="AJ263" s="178">
        <f t="shared" si="145"/>
        <v>0</v>
      </c>
      <c r="AK263" s="178">
        <f t="shared" si="145"/>
        <v>-495063.24301969074</v>
      </c>
      <c r="AL263" s="178">
        <f t="shared" si="145"/>
        <v>-441128.43804620206</v>
      </c>
      <c r="AM263" s="178">
        <f t="shared" si="145"/>
        <v>-922186.10789551015</v>
      </c>
      <c r="AN263" s="178">
        <f t="shared" si="145"/>
        <v>-1021434.2600078718</v>
      </c>
      <c r="AO263" s="178">
        <f t="shared" si="145"/>
        <v>0</v>
      </c>
      <c r="AP263" s="178">
        <f t="shared" si="145"/>
        <v>-378372.96452840802</v>
      </c>
      <c r="AQ263" s="178">
        <f t="shared" si="145"/>
        <v>-489064.7574742118</v>
      </c>
      <c r="AR263" s="178">
        <f t="shared" si="145"/>
        <v>-426542.80167315021</v>
      </c>
      <c r="AS263" s="178">
        <f t="shared" si="145"/>
        <v>-541087.3521279085</v>
      </c>
      <c r="AT263" s="265">
        <f t="shared" si="145"/>
        <v>0</v>
      </c>
      <c r="AU263" s="166"/>
      <c r="AV263" s="166"/>
      <c r="AW263" s="166"/>
      <c r="AX263" s="166"/>
      <c r="AY263" s="166"/>
      <c r="AZ263" s="166"/>
      <c r="BA263" s="166"/>
      <c r="BB263" s="166"/>
      <c r="BC263" s="166"/>
      <c r="BD263" s="166"/>
      <c r="BE263" s="166"/>
      <c r="BF263" s="166"/>
      <c r="BG263" s="166"/>
      <c r="BH263" s="166"/>
      <c r="BI263" s="166"/>
      <c r="BJ263" s="166"/>
      <c r="BK263" s="166"/>
      <c r="BL263" s="166"/>
      <c r="BM263" s="166"/>
      <c r="BN263" s="166"/>
    </row>
    <row r="264" spans="2:66" ht="14.4" x14ac:dyDescent="0.25">
      <c r="B264" s="841" t="s">
        <v>445</v>
      </c>
      <c r="C264" s="801">
        <v>0</v>
      </c>
      <c r="D264" s="801">
        <v>0</v>
      </c>
      <c r="E264" s="801">
        <v>0</v>
      </c>
      <c r="F264" s="801">
        <v>0</v>
      </c>
      <c r="G264" s="262">
        <f>G262+G263</f>
        <v>-2135717.2224276555</v>
      </c>
      <c r="H264" s="262">
        <f t="shared" ref="H264:AT264" si="146">H262+H263</f>
        <v>-1127728.5146220466</v>
      </c>
      <c r="I264" s="262">
        <f t="shared" si="146"/>
        <v>-611405.04644048074</v>
      </c>
      <c r="J264" s="262">
        <f t="shared" si="146"/>
        <v>-628269.94831806887</v>
      </c>
      <c r="K264" s="262">
        <f t="shared" si="146"/>
        <v>-5145622.3705872251</v>
      </c>
      <c r="L264" s="262">
        <f t="shared" si="146"/>
        <v>-253077.38398809033</v>
      </c>
      <c r="M264" s="262">
        <f t="shared" si="146"/>
        <v>-18908.54440683499</v>
      </c>
      <c r="N264" s="262">
        <f t="shared" si="146"/>
        <v>-71941.190339873545</v>
      </c>
      <c r="O264" s="262">
        <f t="shared" si="146"/>
        <v>91185.720847641409</v>
      </c>
      <c r="P264" s="262">
        <f t="shared" si="146"/>
        <v>-5121826.3691485431</v>
      </c>
      <c r="Q264" s="262">
        <f t="shared" si="146"/>
        <v>386567.97028854769</v>
      </c>
      <c r="R264" s="262">
        <f t="shared" si="146"/>
        <v>114818.61265692543</v>
      </c>
      <c r="S264" s="262">
        <f t="shared" si="146"/>
        <v>244091.69336701455</v>
      </c>
      <c r="T264" s="262">
        <f t="shared" si="146"/>
        <v>180911.75346690803</v>
      </c>
      <c r="U264" s="262">
        <f t="shared" si="146"/>
        <v>-5235757.4119667336</v>
      </c>
      <c r="V264" s="262">
        <f t="shared" si="146"/>
        <v>747431.48379451921</v>
      </c>
      <c r="W264" s="262">
        <f t="shared" si="146"/>
        <v>886312.69710072107</v>
      </c>
      <c r="X264" s="262">
        <f t="shared" si="146"/>
        <v>153294.01109576272</v>
      </c>
      <c r="Y264" s="262">
        <f t="shared" si="146"/>
        <v>338454.2958120273</v>
      </c>
      <c r="Z264" s="262">
        <f t="shared" si="146"/>
        <v>-5815951.7064734148</v>
      </c>
      <c r="AA264" s="262">
        <f t="shared" si="146"/>
        <v>500206.09520613303</v>
      </c>
      <c r="AB264" s="262">
        <f t="shared" si="146"/>
        <v>464621.24699153006</v>
      </c>
      <c r="AC264" s="262">
        <f t="shared" si="146"/>
        <v>569756.25690033101</v>
      </c>
      <c r="AD264" s="262">
        <f t="shared" si="146"/>
        <v>487449.25499295752</v>
      </c>
      <c r="AE264" s="262">
        <f t="shared" si="146"/>
        <v>-5898818.1373829553</v>
      </c>
      <c r="AF264" s="262">
        <f t="shared" si="146"/>
        <v>568073.20947684743</v>
      </c>
      <c r="AG264" s="262">
        <f t="shared" si="146"/>
        <v>741056.74918083544</v>
      </c>
      <c r="AH264" s="262">
        <f t="shared" si="146"/>
        <v>650267.08065243112</v>
      </c>
      <c r="AI264" s="262">
        <f t="shared" si="146"/>
        <v>829360.8270419389</v>
      </c>
      <c r="AJ264" s="262">
        <f t="shared" si="146"/>
        <v>-6458484.7396846479</v>
      </c>
      <c r="AK264" s="262">
        <f t="shared" si="146"/>
        <v>919403.16560799722</v>
      </c>
      <c r="AL264" s="262">
        <f t="shared" si="146"/>
        <v>819238.52780008968</v>
      </c>
      <c r="AM264" s="262">
        <f t="shared" si="146"/>
        <v>1712631.343234519</v>
      </c>
      <c r="AN264" s="262">
        <f t="shared" si="146"/>
        <v>1896949.3400146193</v>
      </c>
      <c r="AO264" s="262">
        <f t="shared" si="146"/>
        <v>-7085906.8509504721</v>
      </c>
      <c r="AP264" s="262">
        <f t="shared" si="146"/>
        <v>702692.6484099006</v>
      </c>
      <c r="AQ264" s="262">
        <f t="shared" si="146"/>
        <v>908263.12102353643</v>
      </c>
      <c r="AR264" s="262">
        <f t="shared" si="146"/>
        <v>792150.91739299335</v>
      </c>
      <c r="AS264" s="262">
        <f t="shared" si="146"/>
        <v>1004876.5110946873</v>
      </c>
      <c r="AT264" s="267">
        <f t="shared" si="146"/>
        <v>-7802014.470303379</v>
      </c>
      <c r="AU264" s="166"/>
      <c r="AV264" s="166"/>
      <c r="AW264" s="166"/>
      <c r="AX264" s="166"/>
      <c r="AY264" s="166"/>
      <c r="AZ264" s="166"/>
      <c r="BA264" s="166"/>
      <c r="BB264" s="166"/>
      <c r="BC264" s="166"/>
      <c r="BD264" s="166"/>
      <c r="BE264" s="166"/>
      <c r="BF264" s="166"/>
      <c r="BG264" s="166"/>
      <c r="BH264" s="166"/>
      <c r="BI264" s="166"/>
      <c r="BJ264" s="166"/>
      <c r="BK264" s="166"/>
      <c r="BL264" s="166"/>
      <c r="BM264" s="166"/>
      <c r="BN264" s="166"/>
    </row>
    <row r="265" spans="2:66" x14ac:dyDescent="0.25">
      <c r="B265" s="836" t="s">
        <v>446</v>
      </c>
      <c r="C265" s="268">
        <v>0</v>
      </c>
      <c r="D265" s="268">
        <v>0</v>
      </c>
      <c r="E265" s="268">
        <v>0</v>
      </c>
      <c r="F265" s="268">
        <v>0</v>
      </c>
      <c r="G265" s="178">
        <f>-G261</f>
        <v>3190596.5206691762</v>
      </c>
      <c r="H265" s="178">
        <f t="shared" ref="H265:AT265" si="147">-H261</f>
        <v>3190596.5206691762</v>
      </c>
      <c r="I265" s="178">
        <f t="shared" si="147"/>
        <v>3190596.5206691762</v>
      </c>
      <c r="J265" s="178">
        <f t="shared" si="147"/>
        <v>3190596.5206691762</v>
      </c>
      <c r="K265" s="178">
        <f t="shared" si="147"/>
        <v>3190596.5206691762</v>
      </c>
      <c r="L265" s="178">
        <f t="shared" si="147"/>
        <v>3018004.6382407546</v>
      </c>
      <c r="M265" s="178">
        <f t="shared" si="147"/>
        <v>3018004.6382407546</v>
      </c>
      <c r="N265" s="178">
        <f t="shared" si="147"/>
        <v>3018004.6382407546</v>
      </c>
      <c r="O265" s="178">
        <f t="shared" si="147"/>
        <v>3018004.6382407546</v>
      </c>
      <c r="P265" s="178">
        <f t="shared" si="147"/>
        <v>3018004.6382407546</v>
      </c>
      <c r="Q265" s="178">
        <f t="shared" si="147"/>
        <v>2730297.5196809703</v>
      </c>
      <c r="R265" s="178">
        <f t="shared" si="147"/>
        <v>3089270.1647581775</v>
      </c>
      <c r="S265" s="178">
        <f t="shared" si="147"/>
        <v>3089270.1647581775</v>
      </c>
      <c r="T265" s="178">
        <f t="shared" si="147"/>
        <v>3089270.1647581775</v>
      </c>
      <c r="U265" s="178">
        <f t="shared" si="147"/>
        <v>3089270.1647581775</v>
      </c>
      <c r="V265" s="178">
        <f t="shared" si="147"/>
        <v>2321770.1453197817</v>
      </c>
      <c r="W265" s="178">
        <f t="shared" si="147"/>
        <v>2321770.1453197817</v>
      </c>
      <c r="X265" s="178">
        <f t="shared" si="147"/>
        <v>3400967.9714049036</v>
      </c>
      <c r="Y265" s="178">
        <f t="shared" si="147"/>
        <v>3400967.9714049036</v>
      </c>
      <c r="Z265" s="178">
        <f t="shared" si="147"/>
        <v>3400967.9714049036</v>
      </c>
      <c r="AA265" s="178">
        <f t="shared" si="147"/>
        <v>3400967.9714049036</v>
      </c>
      <c r="AB265" s="178">
        <f t="shared" si="147"/>
        <v>3400967.9714049036</v>
      </c>
      <c r="AC265" s="178">
        <f t="shared" si="147"/>
        <v>3487432.5990548981</v>
      </c>
      <c r="AD265" s="178">
        <f t="shared" si="147"/>
        <v>3487432.5990548981</v>
      </c>
      <c r="AE265" s="178">
        <f t="shared" si="147"/>
        <v>3487432.5990548981</v>
      </c>
      <c r="AF265" s="178">
        <f t="shared" si="147"/>
        <v>3487432.5990548981</v>
      </c>
      <c r="AG265" s="178">
        <f t="shared" si="147"/>
        <v>3487432.5990548981</v>
      </c>
      <c r="AH265" s="178">
        <f t="shared" si="147"/>
        <v>3487432.5990548981</v>
      </c>
      <c r="AI265" s="178">
        <f t="shared" si="147"/>
        <v>3487432.5990548981</v>
      </c>
      <c r="AJ265" s="178">
        <f t="shared" si="147"/>
        <v>3487432.5990548981</v>
      </c>
      <c r="AK265" s="178">
        <f t="shared" si="147"/>
        <v>3487432.5990548981</v>
      </c>
      <c r="AL265" s="178">
        <f t="shared" si="147"/>
        <v>3487432.5990548981</v>
      </c>
      <c r="AM265" s="178">
        <f t="shared" si="147"/>
        <v>2408234.7729697763</v>
      </c>
      <c r="AN265" s="178">
        <f t="shared" si="147"/>
        <v>1962797.5002425744</v>
      </c>
      <c r="AO265" s="178">
        <f t="shared" si="147"/>
        <v>3935665.6732037212</v>
      </c>
      <c r="AP265" s="178">
        <f t="shared" si="147"/>
        <v>3935665.6732037212</v>
      </c>
      <c r="AQ265" s="178">
        <f t="shared" si="147"/>
        <v>3935665.6732037212</v>
      </c>
      <c r="AR265" s="178">
        <f t="shared" si="147"/>
        <v>3935665.6732037212</v>
      </c>
      <c r="AS265" s="178">
        <f t="shared" si="147"/>
        <v>3935665.6732037212</v>
      </c>
      <c r="AT265" s="265">
        <f t="shared" si="147"/>
        <v>3935665.6732037212</v>
      </c>
      <c r="AU265" s="166"/>
      <c r="AV265" s="166"/>
      <c r="AW265" s="166"/>
      <c r="AX265" s="166"/>
      <c r="AY265" s="166"/>
      <c r="AZ265" s="166"/>
      <c r="BA265" s="166"/>
      <c r="BB265" s="166"/>
      <c r="BC265" s="166"/>
      <c r="BD265" s="166"/>
      <c r="BE265" s="166"/>
      <c r="BF265" s="166"/>
      <c r="BG265" s="166"/>
      <c r="BH265" s="166"/>
      <c r="BI265" s="166"/>
      <c r="BJ265" s="166"/>
      <c r="BK265" s="166"/>
      <c r="BL265" s="166"/>
      <c r="BM265" s="166"/>
      <c r="BN265" s="166"/>
    </row>
    <row r="266" spans="2:66" ht="15" thickBot="1" x14ac:dyDescent="0.3">
      <c r="B266" s="842" t="s">
        <v>386</v>
      </c>
      <c r="C266" s="828"/>
      <c r="D266" s="828"/>
      <c r="E266" s="828"/>
      <c r="F266" s="828"/>
      <c r="G266" s="828">
        <f>G264+G265</f>
        <v>1054879.2982415208</v>
      </c>
      <c r="H266" s="828">
        <f t="shared" ref="H266:AT266" si="148">H264+H265</f>
        <v>2062868.0060471296</v>
      </c>
      <c r="I266" s="828">
        <f t="shared" si="148"/>
        <v>2579191.4742286955</v>
      </c>
      <c r="J266" s="828">
        <f t="shared" si="148"/>
        <v>2562326.5723511074</v>
      </c>
      <c r="K266" s="828">
        <f t="shared" si="148"/>
        <v>-1955025.8499180488</v>
      </c>
      <c r="L266" s="828">
        <f t="shared" si="148"/>
        <v>2764927.2542526643</v>
      </c>
      <c r="M266" s="828">
        <f t="shared" si="148"/>
        <v>2999096.0938339196</v>
      </c>
      <c r="N266" s="828">
        <f t="shared" si="148"/>
        <v>2946063.4479008811</v>
      </c>
      <c r="O266" s="828">
        <f t="shared" si="148"/>
        <v>3109190.3590883962</v>
      </c>
      <c r="P266" s="828">
        <f t="shared" si="148"/>
        <v>-2103821.7309077885</v>
      </c>
      <c r="Q266" s="828">
        <f t="shared" si="148"/>
        <v>3116865.489969518</v>
      </c>
      <c r="R266" s="828">
        <f t="shared" si="148"/>
        <v>3204088.7774151028</v>
      </c>
      <c r="S266" s="828">
        <f t="shared" si="148"/>
        <v>3333361.8581251921</v>
      </c>
      <c r="T266" s="828">
        <f t="shared" si="148"/>
        <v>3270181.9182250854</v>
      </c>
      <c r="U266" s="828">
        <f t="shared" si="148"/>
        <v>-2146487.2472085562</v>
      </c>
      <c r="V266" s="828">
        <f t="shared" si="148"/>
        <v>3069201.6291143009</v>
      </c>
      <c r="W266" s="828">
        <f t="shared" si="148"/>
        <v>3208082.8424205026</v>
      </c>
      <c r="X266" s="828">
        <f t="shared" si="148"/>
        <v>3554261.9825006663</v>
      </c>
      <c r="Y266" s="828">
        <f t="shared" si="148"/>
        <v>3739422.2672169311</v>
      </c>
      <c r="Z266" s="828">
        <f t="shared" si="148"/>
        <v>-2414983.7350685112</v>
      </c>
      <c r="AA266" s="828">
        <f t="shared" si="148"/>
        <v>3901174.0666110367</v>
      </c>
      <c r="AB266" s="828">
        <f t="shared" si="148"/>
        <v>3865589.2183964336</v>
      </c>
      <c r="AC266" s="828">
        <f t="shared" si="148"/>
        <v>4057188.8559552291</v>
      </c>
      <c r="AD266" s="828">
        <f t="shared" si="148"/>
        <v>3974881.8540478558</v>
      </c>
      <c r="AE266" s="828">
        <f t="shared" si="148"/>
        <v>-2411385.5383280572</v>
      </c>
      <c r="AF266" s="828">
        <f t="shared" si="148"/>
        <v>4055505.8085317453</v>
      </c>
      <c r="AG266" s="828">
        <f t="shared" si="148"/>
        <v>4228489.3482357338</v>
      </c>
      <c r="AH266" s="828">
        <f t="shared" si="148"/>
        <v>4137699.6797073293</v>
      </c>
      <c r="AI266" s="828">
        <f t="shared" si="148"/>
        <v>4316793.426096837</v>
      </c>
      <c r="AJ266" s="828">
        <f t="shared" si="148"/>
        <v>-2971052.1406297497</v>
      </c>
      <c r="AK266" s="828">
        <f t="shared" si="148"/>
        <v>4406835.7646628954</v>
      </c>
      <c r="AL266" s="828">
        <f t="shared" si="148"/>
        <v>4306671.1268549878</v>
      </c>
      <c r="AM266" s="828">
        <f t="shared" si="148"/>
        <v>4120866.1162042953</v>
      </c>
      <c r="AN266" s="828">
        <f t="shared" si="148"/>
        <v>3859746.8402571939</v>
      </c>
      <c r="AO266" s="828">
        <f t="shared" si="148"/>
        <v>-3150241.1777467509</v>
      </c>
      <c r="AP266" s="828">
        <f t="shared" si="148"/>
        <v>4638358.3216136219</v>
      </c>
      <c r="AQ266" s="828">
        <f t="shared" si="148"/>
        <v>4843928.7942272574</v>
      </c>
      <c r="AR266" s="828">
        <f t="shared" si="148"/>
        <v>4727816.590596715</v>
      </c>
      <c r="AS266" s="828">
        <f t="shared" si="148"/>
        <v>4940542.1842984082</v>
      </c>
      <c r="AT266" s="829">
        <f t="shared" si="148"/>
        <v>-3866348.7970996578</v>
      </c>
      <c r="AU266" s="166"/>
      <c r="AV266" s="166"/>
      <c r="AW266" s="166"/>
      <c r="AX266" s="166"/>
      <c r="AY266" s="166"/>
      <c r="AZ266" s="166"/>
      <c r="BA266" s="166"/>
      <c r="BB266" s="166"/>
      <c r="BC266" s="166"/>
      <c r="BD266" s="166"/>
      <c r="BE266" s="166"/>
      <c r="BF266" s="166"/>
      <c r="BG266" s="166"/>
      <c r="BH266" s="166"/>
      <c r="BI266" s="166"/>
      <c r="BJ266" s="166"/>
      <c r="BK266" s="166"/>
      <c r="BL266" s="166"/>
      <c r="BM266" s="166"/>
      <c r="BN266" s="166"/>
    </row>
    <row r="267" spans="2:66" ht="15" thickBot="1" x14ac:dyDescent="0.3">
      <c r="B267" s="839"/>
      <c r="C267" s="811"/>
      <c r="D267" s="811"/>
      <c r="E267" s="811"/>
      <c r="F267" s="811"/>
      <c r="G267" s="811"/>
      <c r="H267" s="811"/>
      <c r="I267" s="811"/>
      <c r="J267" s="811"/>
      <c r="K267" s="811"/>
      <c r="L267" s="811"/>
      <c r="M267" s="811"/>
      <c r="N267" s="811"/>
      <c r="O267" s="811"/>
      <c r="P267" s="811"/>
      <c r="Q267" s="811"/>
      <c r="R267" s="811"/>
      <c r="S267" s="811"/>
      <c r="T267" s="811"/>
      <c r="U267" s="811"/>
      <c r="V267" s="811"/>
      <c r="W267" s="811"/>
      <c r="X267" s="811"/>
      <c r="Y267" s="811"/>
      <c r="Z267" s="811"/>
      <c r="AA267" s="811"/>
      <c r="AB267" s="811"/>
      <c r="AC267" s="811"/>
      <c r="AD267" s="811"/>
      <c r="AE267" s="811"/>
      <c r="AF267" s="811"/>
      <c r="AG267" s="811"/>
      <c r="AH267" s="811"/>
      <c r="AI267" s="811"/>
      <c r="AJ267" s="811"/>
      <c r="AK267" s="811"/>
      <c r="AL267" s="811"/>
      <c r="AM267" s="811"/>
      <c r="AN267" s="811"/>
      <c r="AO267" s="811"/>
      <c r="AP267" s="811"/>
      <c r="AQ267" s="811"/>
      <c r="AR267" s="811"/>
      <c r="AS267" s="811"/>
      <c r="AT267" s="811"/>
      <c r="AU267" s="166"/>
      <c r="AV267" s="166"/>
      <c r="AW267" s="166"/>
      <c r="AX267" s="166"/>
      <c r="AY267" s="166"/>
      <c r="AZ267" s="166"/>
      <c r="BA267" s="166"/>
      <c r="BB267" s="166"/>
      <c r="BC267" s="166"/>
      <c r="BD267" s="166"/>
      <c r="BE267" s="166"/>
      <c r="BF267" s="166"/>
      <c r="BG267" s="166"/>
      <c r="BH267" s="166"/>
      <c r="BI267" s="166"/>
      <c r="BJ267" s="166"/>
      <c r="BK267" s="166"/>
      <c r="BL267" s="166"/>
      <c r="BM267" s="166"/>
      <c r="BN267" s="166"/>
    </row>
    <row r="268" spans="2:66" ht="14.4" x14ac:dyDescent="0.25">
      <c r="B268" s="835" t="s">
        <v>447</v>
      </c>
      <c r="C268" s="818"/>
      <c r="D268" s="818"/>
      <c r="E268" s="818"/>
      <c r="F268" s="818"/>
      <c r="G268" s="818"/>
      <c r="H268" s="818"/>
      <c r="I268" s="818"/>
      <c r="J268" s="818"/>
      <c r="K268" s="818"/>
      <c r="L268" s="818"/>
      <c r="M268" s="818"/>
      <c r="N268" s="818"/>
      <c r="O268" s="818"/>
      <c r="P268" s="818"/>
      <c r="Q268" s="818"/>
      <c r="R268" s="818"/>
      <c r="S268" s="818"/>
      <c r="T268" s="818"/>
      <c r="U268" s="818"/>
      <c r="V268" s="818"/>
      <c r="W268" s="818"/>
      <c r="X268" s="818"/>
      <c r="Y268" s="818"/>
      <c r="Z268" s="818"/>
      <c r="AA268" s="818"/>
      <c r="AB268" s="818"/>
      <c r="AC268" s="818"/>
      <c r="AD268" s="818"/>
      <c r="AE268" s="818"/>
      <c r="AF268" s="818"/>
      <c r="AG268" s="818"/>
      <c r="AH268" s="818"/>
      <c r="AI268" s="818"/>
      <c r="AJ268" s="818"/>
      <c r="AK268" s="818"/>
      <c r="AL268" s="818"/>
      <c r="AM268" s="818"/>
      <c r="AN268" s="818"/>
      <c r="AO268" s="818"/>
      <c r="AP268" s="818"/>
      <c r="AQ268" s="818"/>
      <c r="AR268" s="818"/>
      <c r="AS268" s="818"/>
      <c r="AT268" s="819"/>
      <c r="AU268" s="166"/>
      <c r="AV268" s="166"/>
      <c r="AW268" s="166"/>
      <c r="AX268" s="166"/>
      <c r="AY268" s="166"/>
      <c r="AZ268" s="166"/>
      <c r="BA268" s="166"/>
      <c r="BB268" s="166"/>
      <c r="BC268" s="166"/>
      <c r="BD268" s="166"/>
      <c r="BE268" s="166"/>
      <c r="BF268" s="166"/>
      <c r="BG268" s="166"/>
      <c r="BH268" s="166"/>
      <c r="BI268" s="166"/>
      <c r="BJ268" s="166"/>
      <c r="BK268" s="166"/>
      <c r="BL268" s="166"/>
      <c r="BM268" s="166"/>
      <c r="BN268" s="166"/>
    </row>
    <row r="269" spans="2:66" x14ac:dyDescent="0.25">
      <c r="B269" s="836" t="s">
        <v>448</v>
      </c>
      <c r="C269" s="268">
        <f>C193</f>
        <v>-5894681.6442265697</v>
      </c>
      <c r="D269" s="268">
        <f t="shared" ref="D269:F269" si="149">D193</f>
        <v>-23692439.326687708</v>
      </c>
      <c r="E269" s="268">
        <f t="shared" si="149"/>
        <v>-60967175.133836582</v>
      </c>
      <c r="F269" s="268">
        <f t="shared" si="149"/>
        <v>-24513713.625024468</v>
      </c>
      <c r="G269" s="178"/>
      <c r="H269" s="178"/>
      <c r="I269" s="178"/>
      <c r="J269" s="178"/>
      <c r="K269" s="178"/>
      <c r="L269" s="178"/>
      <c r="M269" s="178"/>
      <c r="N269" s="178"/>
      <c r="O269" s="178"/>
      <c r="P269" s="178"/>
      <c r="Q269" s="178"/>
      <c r="R269" s="178"/>
      <c r="S269" s="178"/>
      <c r="T269" s="178"/>
      <c r="U269" s="178"/>
      <c r="V269" s="178"/>
      <c r="W269" s="178"/>
      <c r="X269" s="178"/>
      <c r="Y269" s="178"/>
      <c r="Z269" s="178"/>
      <c r="AA269" s="178"/>
      <c r="AB269" s="178"/>
      <c r="AC269" s="178"/>
      <c r="AD269" s="178"/>
      <c r="AE269" s="178"/>
      <c r="AF269" s="178"/>
      <c r="AG269" s="178"/>
      <c r="AH269" s="178"/>
      <c r="AI269" s="178"/>
      <c r="AJ269" s="178"/>
      <c r="AK269" s="178"/>
      <c r="AL269" s="178"/>
      <c r="AM269" s="178"/>
      <c r="AN269" s="178"/>
      <c r="AO269" s="178"/>
      <c r="AP269" s="178"/>
      <c r="AQ269" s="178"/>
      <c r="AR269" s="178"/>
      <c r="AS269" s="178"/>
      <c r="AT269" s="265"/>
      <c r="AU269" s="166"/>
      <c r="AV269" s="166"/>
      <c r="AW269" s="166"/>
      <c r="AX269" s="166"/>
      <c r="AY269" s="166"/>
      <c r="AZ269" s="166"/>
      <c r="BA269" s="166"/>
      <c r="BB269" s="166"/>
      <c r="BC269" s="166"/>
      <c r="BD269" s="166"/>
      <c r="BE269" s="166"/>
      <c r="BF269" s="166"/>
      <c r="BG269" s="166"/>
      <c r="BH269" s="166"/>
      <c r="BI269" s="166"/>
      <c r="BJ269" s="166"/>
      <c r="BK269" s="166"/>
      <c r="BL269" s="166"/>
      <c r="BM269" s="166"/>
      <c r="BN269" s="166"/>
    </row>
    <row r="270" spans="2:66" x14ac:dyDescent="0.25">
      <c r="B270" s="836" t="s">
        <v>383</v>
      </c>
      <c r="C270" s="178"/>
      <c r="D270" s="178"/>
      <c r="E270" s="178"/>
      <c r="F270" s="178"/>
      <c r="G270" s="268">
        <f t="shared" ref="G270:AT270" si="150">G194</f>
        <v>0</v>
      </c>
      <c r="H270" s="268">
        <f t="shared" si="150"/>
        <v>0</v>
      </c>
      <c r="I270" s="268">
        <f t="shared" si="150"/>
        <v>0</v>
      </c>
      <c r="J270" s="268">
        <f t="shared" si="150"/>
        <v>0</v>
      </c>
      <c r="K270" s="268">
        <f t="shared" si="150"/>
        <v>0</v>
      </c>
      <c r="L270" s="268">
        <f t="shared" si="150"/>
        <v>0</v>
      </c>
      <c r="M270" s="268">
        <f t="shared" si="150"/>
        <v>0</v>
      </c>
      <c r="N270" s="268">
        <f t="shared" si="150"/>
        <v>0</v>
      </c>
      <c r="O270" s="268">
        <f t="shared" si="150"/>
        <v>0</v>
      </c>
      <c r="P270" s="268">
        <f t="shared" si="150"/>
        <v>-1622325.5979653969</v>
      </c>
      <c r="Q270" s="268">
        <f t="shared" si="150"/>
        <v>-1967400.8528066755</v>
      </c>
      <c r="R270" s="268">
        <f t="shared" si="150"/>
        <v>0</v>
      </c>
      <c r="S270" s="268">
        <f t="shared" si="150"/>
        <v>0</v>
      </c>
      <c r="T270" s="268">
        <f t="shared" si="150"/>
        <v>0</v>
      </c>
      <c r="U270" s="268">
        <f t="shared" si="150"/>
        <v>-2860937.4426897997</v>
      </c>
      <c r="V270" s="268">
        <f t="shared" si="150"/>
        <v>-9092783.3309384733</v>
      </c>
      <c r="W270" s="268">
        <f t="shared" si="150"/>
        <v>-4234246.6176485606</v>
      </c>
      <c r="X270" s="268">
        <f t="shared" si="150"/>
        <v>0</v>
      </c>
      <c r="Y270" s="268">
        <f t="shared" si="150"/>
        <v>0</v>
      </c>
      <c r="Z270" s="268">
        <f t="shared" si="150"/>
        <v>0</v>
      </c>
      <c r="AA270" s="268">
        <f t="shared" si="150"/>
        <v>-2013088.3571152827</v>
      </c>
      <c r="AB270" s="268">
        <f t="shared" si="150"/>
        <v>-2441284.3701567352</v>
      </c>
      <c r="AC270" s="268">
        <f t="shared" si="150"/>
        <v>0</v>
      </c>
      <c r="AD270" s="268">
        <f t="shared" si="150"/>
        <v>0</v>
      </c>
      <c r="AE270" s="268">
        <f t="shared" si="150"/>
        <v>0</v>
      </c>
      <c r="AF270" s="268">
        <f t="shared" si="150"/>
        <v>0</v>
      </c>
      <c r="AG270" s="268">
        <f t="shared" si="150"/>
        <v>0</v>
      </c>
      <c r="AH270" s="268">
        <f t="shared" si="150"/>
        <v>0</v>
      </c>
      <c r="AI270" s="268">
        <f t="shared" si="150"/>
        <v>0</v>
      </c>
      <c r="AJ270" s="268">
        <f t="shared" si="150"/>
        <v>0</v>
      </c>
      <c r="AK270" s="268">
        <f t="shared" si="150"/>
        <v>0</v>
      </c>
      <c r="AL270" s="268">
        <f t="shared" si="150"/>
        <v>-6452806.6782633755</v>
      </c>
      <c r="AM270" s="268">
        <f t="shared" si="150"/>
        <v>-15383573.173465244</v>
      </c>
      <c r="AN270" s="268">
        <f t="shared" si="150"/>
        <v>-5783774.5697274376</v>
      </c>
      <c r="AO270" s="268">
        <f t="shared" si="150"/>
        <v>0</v>
      </c>
      <c r="AP270" s="268">
        <f t="shared" si="150"/>
        <v>0</v>
      </c>
      <c r="AQ270" s="268">
        <f t="shared" si="150"/>
        <v>0</v>
      </c>
      <c r="AR270" s="268">
        <f t="shared" si="150"/>
        <v>0</v>
      </c>
      <c r="AS270" s="268">
        <f t="shared" si="150"/>
        <v>0</v>
      </c>
      <c r="AT270" s="799">
        <f t="shared" si="150"/>
        <v>0</v>
      </c>
      <c r="AU270" s="166"/>
      <c r="AV270" s="166"/>
      <c r="AW270" s="166"/>
      <c r="AX270" s="166"/>
      <c r="AY270" s="166"/>
      <c r="AZ270" s="166"/>
      <c r="BA270" s="166"/>
      <c r="BB270" s="166"/>
      <c r="BC270" s="166"/>
      <c r="BD270" s="166"/>
      <c r="BE270" s="166"/>
      <c r="BF270" s="166"/>
      <c r="BG270" s="166"/>
      <c r="BH270" s="166"/>
      <c r="BI270" s="166"/>
      <c r="BJ270" s="166"/>
      <c r="BK270" s="166"/>
      <c r="BL270" s="166"/>
      <c r="BM270" s="166"/>
      <c r="BN270" s="166"/>
    </row>
    <row r="271" spans="2:66" x14ac:dyDescent="0.25">
      <c r="B271" s="836" t="s">
        <v>384</v>
      </c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  <c r="Y271" s="178"/>
      <c r="Z271" s="178"/>
      <c r="AA271" s="178"/>
      <c r="AB271" s="178"/>
      <c r="AC271" s="178"/>
      <c r="AD271" s="178"/>
      <c r="AE271" s="178"/>
      <c r="AF271" s="178"/>
      <c r="AG271" s="178"/>
      <c r="AH271" s="178"/>
      <c r="AI271" s="178"/>
      <c r="AJ271" s="758">
        <f>AJ244</f>
        <v>44426261.303533986</v>
      </c>
      <c r="AK271" s="178"/>
      <c r="AL271" s="178"/>
      <c r="AM271" s="178"/>
      <c r="AN271" s="178"/>
      <c r="AO271" s="178"/>
      <c r="AP271" s="178"/>
      <c r="AQ271" s="178"/>
      <c r="AR271" s="178"/>
      <c r="AS271" s="178"/>
      <c r="AT271" s="847">
        <f>AT244</f>
        <v>41032260.560367852</v>
      </c>
      <c r="AU271" s="166"/>
      <c r="AV271" s="166"/>
      <c r="AW271" s="166"/>
      <c r="AX271" s="166"/>
      <c r="AY271" s="166"/>
      <c r="AZ271" s="166"/>
      <c r="BA271" s="166"/>
      <c r="BB271" s="166"/>
      <c r="BC271" s="166"/>
      <c r="BD271" s="166"/>
      <c r="BE271" s="166"/>
      <c r="BF271" s="166"/>
      <c r="BG271" s="166"/>
      <c r="BH271" s="166"/>
      <c r="BI271" s="166"/>
      <c r="BJ271" s="166"/>
      <c r="BK271" s="166"/>
      <c r="BL271" s="166"/>
      <c r="BM271" s="166"/>
      <c r="BN271" s="166"/>
    </row>
    <row r="272" spans="2:66" ht="15" thickBot="1" x14ac:dyDescent="0.3">
      <c r="B272" s="842" t="s">
        <v>385</v>
      </c>
      <c r="C272" s="822">
        <f t="shared" ref="C272:AT272" si="151">C269+C270+C271</f>
        <v>-5894681.6442265697</v>
      </c>
      <c r="D272" s="822">
        <f t="shared" si="151"/>
        <v>-23692439.326687708</v>
      </c>
      <c r="E272" s="822">
        <f t="shared" si="151"/>
        <v>-60967175.133836582</v>
      </c>
      <c r="F272" s="822">
        <f t="shared" si="151"/>
        <v>-24513713.625024468</v>
      </c>
      <c r="G272" s="822">
        <f t="shared" si="151"/>
        <v>0</v>
      </c>
      <c r="H272" s="822">
        <f t="shared" si="151"/>
        <v>0</v>
      </c>
      <c r="I272" s="822">
        <f t="shared" si="151"/>
        <v>0</v>
      </c>
      <c r="J272" s="822">
        <f t="shared" si="151"/>
        <v>0</v>
      </c>
      <c r="K272" s="822">
        <f t="shared" si="151"/>
        <v>0</v>
      </c>
      <c r="L272" s="822">
        <f t="shared" si="151"/>
        <v>0</v>
      </c>
      <c r="M272" s="822">
        <f t="shared" si="151"/>
        <v>0</v>
      </c>
      <c r="N272" s="822">
        <f t="shared" si="151"/>
        <v>0</v>
      </c>
      <c r="O272" s="822">
        <f t="shared" si="151"/>
        <v>0</v>
      </c>
      <c r="P272" s="822">
        <f t="shared" si="151"/>
        <v>-1622325.5979653969</v>
      </c>
      <c r="Q272" s="822">
        <f t="shared" si="151"/>
        <v>-1967400.8528066755</v>
      </c>
      <c r="R272" s="822">
        <f t="shared" si="151"/>
        <v>0</v>
      </c>
      <c r="S272" s="822">
        <f t="shared" si="151"/>
        <v>0</v>
      </c>
      <c r="T272" s="822">
        <f t="shared" si="151"/>
        <v>0</v>
      </c>
      <c r="U272" s="822">
        <f t="shared" si="151"/>
        <v>-2860937.4426897997</v>
      </c>
      <c r="V272" s="822">
        <f t="shared" si="151"/>
        <v>-9092783.3309384733</v>
      </c>
      <c r="W272" s="822">
        <f t="shared" si="151"/>
        <v>-4234246.6176485606</v>
      </c>
      <c r="X272" s="822">
        <f t="shared" si="151"/>
        <v>0</v>
      </c>
      <c r="Y272" s="822">
        <f t="shared" si="151"/>
        <v>0</v>
      </c>
      <c r="Z272" s="822">
        <f t="shared" si="151"/>
        <v>0</v>
      </c>
      <c r="AA272" s="822">
        <f t="shared" si="151"/>
        <v>-2013088.3571152827</v>
      </c>
      <c r="AB272" s="822">
        <f t="shared" si="151"/>
        <v>-2441284.3701567352</v>
      </c>
      <c r="AC272" s="822">
        <f t="shared" si="151"/>
        <v>0</v>
      </c>
      <c r="AD272" s="822">
        <f t="shared" si="151"/>
        <v>0</v>
      </c>
      <c r="AE272" s="822">
        <f t="shared" si="151"/>
        <v>0</v>
      </c>
      <c r="AF272" s="822">
        <f t="shared" si="151"/>
        <v>0</v>
      </c>
      <c r="AG272" s="822">
        <f t="shared" si="151"/>
        <v>0</v>
      </c>
      <c r="AH272" s="822">
        <f t="shared" si="151"/>
        <v>0</v>
      </c>
      <c r="AI272" s="822">
        <f t="shared" si="151"/>
        <v>0</v>
      </c>
      <c r="AJ272" s="822">
        <f t="shared" si="151"/>
        <v>44426261.303533986</v>
      </c>
      <c r="AK272" s="822">
        <f t="shared" si="151"/>
        <v>0</v>
      </c>
      <c r="AL272" s="822">
        <f t="shared" si="151"/>
        <v>-6452806.6782633755</v>
      </c>
      <c r="AM272" s="822">
        <f t="shared" si="151"/>
        <v>-15383573.173465244</v>
      </c>
      <c r="AN272" s="822">
        <f t="shared" si="151"/>
        <v>-5783774.5697274376</v>
      </c>
      <c r="AO272" s="822">
        <f t="shared" si="151"/>
        <v>0</v>
      </c>
      <c r="AP272" s="822">
        <f t="shared" si="151"/>
        <v>0</v>
      </c>
      <c r="AQ272" s="822">
        <f t="shared" si="151"/>
        <v>0</v>
      </c>
      <c r="AR272" s="822">
        <f t="shared" si="151"/>
        <v>0</v>
      </c>
      <c r="AS272" s="822">
        <f t="shared" si="151"/>
        <v>0</v>
      </c>
      <c r="AT272" s="823">
        <f t="shared" si="151"/>
        <v>41032260.560367852</v>
      </c>
      <c r="AU272" s="166"/>
      <c r="AV272" s="166"/>
      <c r="AW272" s="166"/>
      <c r="AX272" s="166"/>
      <c r="AY272" s="166"/>
      <c r="AZ272" s="166"/>
      <c r="BA272" s="166"/>
      <c r="BB272" s="166"/>
      <c r="BC272" s="166"/>
      <c r="BD272" s="166"/>
      <c r="BE272" s="166"/>
      <c r="BF272" s="166"/>
      <c r="BG272" s="166"/>
      <c r="BH272" s="166"/>
      <c r="BI272" s="166"/>
      <c r="BJ272" s="166"/>
      <c r="BK272" s="166"/>
      <c r="BL272" s="166"/>
      <c r="BM272" s="166"/>
      <c r="BN272" s="166"/>
    </row>
    <row r="273" spans="2:66" ht="14.4" x14ac:dyDescent="0.25">
      <c r="B273" s="838"/>
      <c r="C273" s="178"/>
      <c r="D273" s="178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8"/>
      <c r="AB273" s="178"/>
      <c r="AC273" s="178"/>
      <c r="AD273" s="178"/>
      <c r="AE273" s="178"/>
      <c r="AF273" s="178"/>
      <c r="AG273" s="178"/>
      <c r="AH273" s="178"/>
      <c r="AI273" s="178"/>
      <c r="AJ273" s="178"/>
      <c r="AK273" s="178"/>
      <c r="AL273" s="178"/>
      <c r="AM273" s="178"/>
      <c r="AN273" s="178"/>
      <c r="AO273" s="178"/>
      <c r="AP273" s="178"/>
      <c r="AQ273" s="178"/>
      <c r="AR273" s="178"/>
      <c r="AS273" s="178"/>
      <c r="AT273" s="178"/>
      <c r="AU273" s="166"/>
      <c r="AV273" s="166"/>
      <c r="AW273" s="166"/>
      <c r="AX273" s="166"/>
      <c r="AY273" s="166"/>
      <c r="AZ273" s="166"/>
      <c r="BA273" s="166"/>
      <c r="BB273" s="166"/>
      <c r="BC273" s="166"/>
      <c r="BD273" s="166"/>
      <c r="BE273" s="166"/>
      <c r="BF273" s="166"/>
      <c r="BG273" s="166"/>
      <c r="BH273" s="166"/>
      <c r="BI273" s="166"/>
      <c r="BJ273" s="166"/>
      <c r="BK273" s="166"/>
      <c r="BL273" s="166"/>
      <c r="BM273" s="166"/>
      <c r="BN273" s="166"/>
    </row>
    <row r="274" spans="2:66" ht="14.4" x14ac:dyDescent="0.25">
      <c r="B274" s="838"/>
      <c r="C274" s="178"/>
      <c r="D274" s="178"/>
      <c r="E274" s="884" t="s">
        <v>473</v>
      </c>
      <c r="F274" s="178">
        <f>C272+D272+E272+F272</f>
        <v>-115068009.72977532</v>
      </c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78"/>
      <c r="V274" s="178"/>
      <c r="W274" s="178"/>
      <c r="X274" s="178"/>
      <c r="Y274" s="178"/>
      <c r="Z274" s="178"/>
      <c r="AA274" s="178"/>
      <c r="AB274" s="178"/>
      <c r="AC274" s="178"/>
      <c r="AD274" s="178"/>
      <c r="AE274" s="178"/>
      <c r="AF274" s="178"/>
      <c r="AG274" s="178"/>
      <c r="AH274" s="178"/>
      <c r="AI274" s="178"/>
      <c r="AJ274" s="178"/>
      <c r="AK274" s="178"/>
      <c r="AL274" s="178"/>
      <c r="AM274" s="178"/>
      <c r="AN274" s="178"/>
      <c r="AO274" s="178"/>
      <c r="AP274" s="178"/>
      <c r="AQ274" s="178"/>
      <c r="AR274" s="178"/>
      <c r="AS274" s="178"/>
      <c r="AT274" s="178"/>
      <c r="AU274" s="166"/>
      <c r="AV274" s="166"/>
      <c r="AW274" s="166"/>
      <c r="AX274" s="166"/>
      <c r="AY274" s="166"/>
      <c r="AZ274" s="166"/>
      <c r="BA274" s="166"/>
      <c r="BB274" s="166"/>
      <c r="BC274" s="166"/>
      <c r="BD274" s="166"/>
      <c r="BE274" s="166"/>
      <c r="BF274" s="166"/>
      <c r="BG274" s="166"/>
      <c r="BH274" s="166"/>
      <c r="BI274" s="166"/>
      <c r="BJ274" s="166"/>
      <c r="BK274" s="166"/>
      <c r="BL274" s="166"/>
      <c r="BM274" s="166"/>
      <c r="BN274" s="166"/>
    </row>
    <row r="275" spans="2:66" ht="14.4" x14ac:dyDescent="0.25">
      <c r="B275" s="838"/>
      <c r="C275" s="178"/>
      <c r="D275" s="178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8"/>
      <c r="AC275" s="178"/>
      <c r="AD275" s="178"/>
      <c r="AE275" s="178"/>
      <c r="AF275" s="178"/>
      <c r="AG275" s="178"/>
      <c r="AH275" s="178"/>
      <c r="AI275" s="178"/>
      <c r="AJ275" s="178"/>
      <c r="AK275" s="178"/>
      <c r="AL275" s="178"/>
      <c r="AM275" s="178"/>
      <c r="AN275" s="178"/>
      <c r="AO275" s="178"/>
      <c r="AP275" s="178"/>
      <c r="AQ275" s="178"/>
      <c r="AR275" s="178"/>
      <c r="AS275" s="178"/>
      <c r="AT275" s="178"/>
      <c r="AU275" s="166"/>
      <c r="AV275" s="166"/>
      <c r="AW275" s="166"/>
      <c r="AX275" s="166"/>
      <c r="AY275" s="166"/>
      <c r="AZ275" s="166"/>
      <c r="BA275" s="166"/>
      <c r="BB275" s="166"/>
      <c r="BC275" s="166"/>
      <c r="BD275" s="166"/>
      <c r="BE275" s="166"/>
      <c r="BF275" s="166"/>
      <c r="BG275" s="166"/>
      <c r="BH275" s="166"/>
      <c r="BI275" s="166"/>
      <c r="BJ275" s="166"/>
      <c r="BK275" s="166"/>
      <c r="BL275" s="166"/>
      <c r="BM275" s="166"/>
      <c r="BN275" s="166"/>
    </row>
    <row r="276" spans="2:66" ht="14.4" x14ac:dyDescent="0.25">
      <c r="B276" s="844" t="s">
        <v>436</v>
      </c>
      <c r="C276" s="178">
        <f t="shared" ref="C276:AJ276" si="152">C266+C272</f>
        <v>-5894681.6442265697</v>
      </c>
      <c r="D276" s="178">
        <f t="shared" si="152"/>
        <v>-23692439.326687708</v>
      </c>
      <c r="E276" s="178">
        <f t="shared" si="152"/>
        <v>-60967175.133836582</v>
      </c>
      <c r="F276" s="178">
        <f t="shared" si="152"/>
        <v>-24513713.625024468</v>
      </c>
      <c r="G276" s="178">
        <f t="shared" si="152"/>
        <v>1054879.2982415208</v>
      </c>
      <c r="H276" s="178">
        <f t="shared" si="152"/>
        <v>2062868.0060471296</v>
      </c>
      <c r="I276" s="178">
        <f t="shared" si="152"/>
        <v>2579191.4742286955</v>
      </c>
      <c r="J276" s="178">
        <f t="shared" si="152"/>
        <v>2562326.5723511074</v>
      </c>
      <c r="K276" s="178">
        <f t="shared" si="152"/>
        <v>-1955025.8499180488</v>
      </c>
      <c r="L276" s="178">
        <f t="shared" si="152"/>
        <v>2764927.2542526643</v>
      </c>
      <c r="M276" s="178">
        <f t="shared" si="152"/>
        <v>2999096.0938339196</v>
      </c>
      <c r="N276" s="178">
        <f t="shared" si="152"/>
        <v>2946063.4479008811</v>
      </c>
      <c r="O276" s="178">
        <f t="shared" si="152"/>
        <v>3109190.3590883962</v>
      </c>
      <c r="P276" s="178">
        <f t="shared" si="152"/>
        <v>-3726147.3288731854</v>
      </c>
      <c r="Q276" s="178">
        <f t="shared" si="152"/>
        <v>1149464.6371628426</v>
      </c>
      <c r="R276" s="178">
        <f t="shared" si="152"/>
        <v>3204088.7774151028</v>
      </c>
      <c r="S276" s="178">
        <f t="shared" si="152"/>
        <v>3333361.8581251921</v>
      </c>
      <c r="T276" s="178">
        <f t="shared" si="152"/>
        <v>3270181.9182250854</v>
      </c>
      <c r="U276" s="178">
        <f t="shared" si="152"/>
        <v>-5007424.6898983559</v>
      </c>
      <c r="V276" s="178">
        <f t="shared" si="152"/>
        <v>-6023581.7018241724</v>
      </c>
      <c r="W276" s="178">
        <f t="shared" si="152"/>
        <v>-1026163.775228058</v>
      </c>
      <c r="X276" s="178">
        <f t="shared" si="152"/>
        <v>3554261.9825006663</v>
      </c>
      <c r="Y276" s="178">
        <f t="shared" si="152"/>
        <v>3739422.2672169311</v>
      </c>
      <c r="Z276" s="178">
        <f t="shared" si="152"/>
        <v>-2414983.7350685112</v>
      </c>
      <c r="AA276" s="178">
        <f t="shared" si="152"/>
        <v>1888085.709495754</v>
      </c>
      <c r="AB276" s="178">
        <f t="shared" si="152"/>
        <v>1424304.8482396984</v>
      </c>
      <c r="AC276" s="178">
        <f t="shared" si="152"/>
        <v>4057188.8559552291</v>
      </c>
      <c r="AD276" s="178">
        <f t="shared" si="152"/>
        <v>3974881.8540478558</v>
      </c>
      <c r="AE276" s="178">
        <f t="shared" si="152"/>
        <v>-2411385.5383280572</v>
      </c>
      <c r="AF276" s="178">
        <f t="shared" si="152"/>
        <v>4055505.8085317453</v>
      </c>
      <c r="AG276" s="178">
        <f t="shared" si="152"/>
        <v>4228489.3482357338</v>
      </c>
      <c r="AH276" s="178">
        <f t="shared" si="152"/>
        <v>4137699.6797073293</v>
      </c>
      <c r="AI276" s="178">
        <f t="shared" si="152"/>
        <v>4316793.426096837</v>
      </c>
      <c r="AJ276" s="178">
        <f t="shared" si="152"/>
        <v>41455209.162904233</v>
      </c>
      <c r="AK276" s="178"/>
      <c r="AL276" s="178"/>
      <c r="AM276" s="178"/>
      <c r="AN276" s="178"/>
      <c r="AO276" s="178"/>
      <c r="AP276" s="178"/>
      <c r="AQ276" s="178"/>
      <c r="AR276" s="178"/>
      <c r="AS276" s="178"/>
      <c r="AT276" s="178"/>
      <c r="AU276" s="166"/>
      <c r="AV276" s="166"/>
      <c r="AW276" s="166"/>
      <c r="AX276" s="166"/>
      <c r="AY276" s="166"/>
      <c r="AZ276" s="166"/>
      <c r="BA276" s="166"/>
      <c r="BB276" s="166"/>
      <c r="BC276" s="166"/>
      <c r="BD276" s="166"/>
      <c r="BE276" s="166"/>
      <c r="BF276" s="166"/>
      <c r="BG276" s="166"/>
      <c r="BH276" s="166"/>
      <c r="BI276" s="166"/>
      <c r="BJ276" s="166"/>
      <c r="BK276" s="166"/>
      <c r="BL276" s="166"/>
      <c r="BM276" s="166"/>
      <c r="BN276" s="166"/>
    </row>
    <row r="277" spans="2:66" ht="14.4" x14ac:dyDescent="0.25">
      <c r="B277" s="844" t="s">
        <v>438</v>
      </c>
      <c r="C277" s="178"/>
      <c r="D277" s="178"/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78"/>
      <c r="V277" s="178"/>
      <c r="W277" s="178"/>
      <c r="X277" s="178"/>
      <c r="Y277" s="178"/>
      <c r="Z277" s="178"/>
      <c r="AA277" s="178"/>
      <c r="AB277" s="178"/>
      <c r="AC277" s="178"/>
      <c r="AD277" s="178"/>
      <c r="AE277" s="178"/>
      <c r="AF277" s="178"/>
      <c r="AG277" s="178"/>
      <c r="AH277" s="178"/>
      <c r="AI277" s="178"/>
      <c r="AJ277" s="848">
        <f>IRR(C276:AJ276)</f>
        <v>-1.1831939644249667E-2</v>
      </c>
      <c r="AK277" s="178"/>
      <c r="AL277" s="178"/>
      <c r="AM277" s="178"/>
      <c r="AN277" s="178"/>
      <c r="AO277" s="178"/>
      <c r="AP277" s="178"/>
      <c r="AQ277" s="178"/>
      <c r="AR277" s="178"/>
      <c r="AS277" s="178"/>
      <c r="AT277" s="178"/>
      <c r="AU277" s="166"/>
      <c r="AV277" s="166"/>
      <c r="AW277" s="166"/>
      <c r="AX277" s="166"/>
      <c r="AY277" s="166"/>
      <c r="AZ277" s="166"/>
      <c r="BA277" s="166"/>
      <c r="BB277" s="166"/>
      <c r="BC277" s="166"/>
      <c r="BD277" s="166"/>
      <c r="BE277" s="166"/>
      <c r="BF277" s="166"/>
      <c r="BG277" s="166"/>
      <c r="BH277" s="166"/>
      <c r="BI277" s="166"/>
      <c r="BJ277" s="166"/>
      <c r="BK277" s="166"/>
      <c r="BL277" s="166"/>
      <c r="BM277" s="166"/>
      <c r="BN277" s="166"/>
    </row>
    <row r="278" spans="2:66" ht="14.4" x14ac:dyDescent="0.25">
      <c r="B278" s="844"/>
      <c r="C278" s="178"/>
      <c r="D278" s="178"/>
      <c r="E278" s="178"/>
      <c r="F278" s="178"/>
      <c r="G278" s="178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  <c r="Y278" s="178"/>
      <c r="Z278" s="178"/>
      <c r="AA278" s="178"/>
      <c r="AB278" s="178"/>
      <c r="AC278" s="178"/>
      <c r="AD278" s="178"/>
      <c r="AE278" s="178"/>
      <c r="AF278" s="178"/>
      <c r="AG278" s="178"/>
      <c r="AH278" s="178"/>
      <c r="AI278" s="178"/>
      <c r="AJ278" s="178"/>
      <c r="AK278" s="178"/>
      <c r="AL278" s="178"/>
      <c r="AM278" s="178"/>
      <c r="AN278" s="178"/>
      <c r="AO278" s="178"/>
      <c r="AP278" s="178"/>
      <c r="AQ278" s="178"/>
      <c r="AR278" s="178"/>
      <c r="AS278" s="178"/>
      <c r="AT278" s="178"/>
      <c r="AU278" s="166"/>
      <c r="AV278" s="166"/>
      <c r="AW278" s="166"/>
      <c r="AX278" s="166"/>
      <c r="AY278" s="166"/>
      <c r="AZ278" s="166"/>
      <c r="BA278" s="166"/>
      <c r="BB278" s="166"/>
      <c r="BC278" s="166"/>
      <c r="BD278" s="166"/>
      <c r="BE278" s="166"/>
      <c r="BF278" s="166"/>
      <c r="BG278" s="166"/>
      <c r="BH278" s="166"/>
      <c r="BI278" s="166"/>
      <c r="BJ278" s="166"/>
      <c r="BK278" s="166"/>
      <c r="BL278" s="166"/>
      <c r="BM278" s="166"/>
      <c r="BN278" s="166"/>
    </row>
    <row r="279" spans="2:66" ht="14.4" x14ac:dyDescent="0.25">
      <c r="B279" s="844" t="s">
        <v>437</v>
      </c>
      <c r="C279" s="178">
        <f>C266+C272</f>
        <v>-5894681.6442265697</v>
      </c>
      <c r="D279" s="178">
        <f t="shared" ref="D279:AI279" si="153">D266+D272</f>
        <v>-23692439.326687708</v>
      </c>
      <c r="E279" s="178">
        <f t="shared" si="153"/>
        <v>-60967175.133836582</v>
      </c>
      <c r="F279" s="178">
        <f t="shared" si="153"/>
        <v>-24513713.625024468</v>
      </c>
      <c r="G279" s="178">
        <f t="shared" si="153"/>
        <v>1054879.2982415208</v>
      </c>
      <c r="H279" s="178">
        <f t="shared" si="153"/>
        <v>2062868.0060471296</v>
      </c>
      <c r="I279" s="178">
        <f t="shared" si="153"/>
        <v>2579191.4742286955</v>
      </c>
      <c r="J279" s="178">
        <f t="shared" si="153"/>
        <v>2562326.5723511074</v>
      </c>
      <c r="K279" s="178">
        <f t="shared" si="153"/>
        <v>-1955025.8499180488</v>
      </c>
      <c r="L279" s="178">
        <f t="shared" si="153"/>
        <v>2764927.2542526643</v>
      </c>
      <c r="M279" s="178">
        <f t="shared" si="153"/>
        <v>2999096.0938339196</v>
      </c>
      <c r="N279" s="178">
        <f t="shared" si="153"/>
        <v>2946063.4479008811</v>
      </c>
      <c r="O279" s="178">
        <f t="shared" si="153"/>
        <v>3109190.3590883962</v>
      </c>
      <c r="P279" s="178">
        <f t="shared" si="153"/>
        <v>-3726147.3288731854</v>
      </c>
      <c r="Q279" s="178">
        <f t="shared" si="153"/>
        <v>1149464.6371628426</v>
      </c>
      <c r="R279" s="178">
        <f t="shared" si="153"/>
        <v>3204088.7774151028</v>
      </c>
      <c r="S279" s="178">
        <f t="shared" si="153"/>
        <v>3333361.8581251921</v>
      </c>
      <c r="T279" s="178">
        <f t="shared" si="153"/>
        <v>3270181.9182250854</v>
      </c>
      <c r="U279" s="178">
        <f t="shared" si="153"/>
        <v>-5007424.6898983559</v>
      </c>
      <c r="V279" s="178">
        <f t="shared" si="153"/>
        <v>-6023581.7018241724</v>
      </c>
      <c r="W279" s="178">
        <f t="shared" si="153"/>
        <v>-1026163.775228058</v>
      </c>
      <c r="X279" s="178">
        <f t="shared" si="153"/>
        <v>3554261.9825006663</v>
      </c>
      <c r="Y279" s="178">
        <f t="shared" si="153"/>
        <v>3739422.2672169311</v>
      </c>
      <c r="Z279" s="178">
        <f t="shared" si="153"/>
        <v>-2414983.7350685112</v>
      </c>
      <c r="AA279" s="178">
        <f t="shared" si="153"/>
        <v>1888085.709495754</v>
      </c>
      <c r="AB279" s="178">
        <f t="shared" si="153"/>
        <v>1424304.8482396984</v>
      </c>
      <c r="AC279" s="178">
        <f t="shared" si="153"/>
        <v>4057188.8559552291</v>
      </c>
      <c r="AD279" s="178">
        <f t="shared" si="153"/>
        <v>3974881.8540478558</v>
      </c>
      <c r="AE279" s="178">
        <f t="shared" si="153"/>
        <v>-2411385.5383280572</v>
      </c>
      <c r="AF279" s="178">
        <f t="shared" si="153"/>
        <v>4055505.8085317453</v>
      </c>
      <c r="AG279" s="178">
        <f t="shared" si="153"/>
        <v>4228489.3482357338</v>
      </c>
      <c r="AH279" s="178">
        <f t="shared" si="153"/>
        <v>4137699.6797073293</v>
      </c>
      <c r="AI279" s="178">
        <f t="shared" si="153"/>
        <v>4316793.426096837</v>
      </c>
      <c r="AJ279" s="178">
        <f>AJ266+AJ270</f>
        <v>-2971052.1406297497</v>
      </c>
      <c r="AK279" s="178">
        <f t="shared" ref="AK279:AT279" si="154">AK266+AK272</f>
        <v>4406835.7646628954</v>
      </c>
      <c r="AL279" s="178">
        <f t="shared" si="154"/>
        <v>-2146135.5514083877</v>
      </c>
      <c r="AM279" s="178">
        <f t="shared" si="154"/>
        <v>-11262707.057260949</v>
      </c>
      <c r="AN279" s="178">
        <f t="shared" si="154"/>
        <v>-1924027.7294702437</v>
      </c>
      <c r="AO279" s="178">
        <f t="shared" si="154"/>
        <v>-3150241.1777467509</v>
      </c>
      <c r="AP279" s="178">
        <f t="shared" si="154"/>
        <v>4638358.3216136219</v>
      </c>
      <c r="AQ279" s="178">
        <f t="shared" si="154"/>
        <v>4843928.7942272574</v>
      </c>
      <c r="AR279" s="178">
        <f t="shared" si="154"/>
        <v>4727816.590596715</v>
      </c>
      <c r="AS279" s="178">
        <f t="shared" si="154"/>
        <v>4940542.1842984082</v>
      </c>
      <c r="AT279" s="178">
        <f t="shared" si="154"/>
        <v>37165911.763268195</v>
      </c>
      <c r="AU279" s="166"/>
      <c r="AV279" s="166"/>
      <c r="AW279" s="166"/>
      <c r="AX279" s="166"/>
      <c r="AY279" s="166"/>
      <c r="AZ279" s="166"/>
      <c r="BA279" s="166"/>
      <c r="BB279" s="166"/>
      <c r="BC279" s="166"/>
      <c r="BD279" s="166"/>
      <c r="BE279" s="166"/>
      <c r="BF279" s="166"/>
      <c r="BG279" s="166"/>
      <c r="BH279" s="166"/>
      <c r="BI279" s="166"/>
      <c r="BJ279" s="166"/>
      <c r="BK279" s="166"/>
      <c r="BL279" s="166"/>
      <c r="BM279" s="166"/>
      <c r="BN279" s="166"/>
    </row>
    <row r="280" spans="2:66" ht="14.4" x14ac:dyDescent="0.25">
      <c r="B280" s="844" t="s">
        <v>439</v>
      </c>
      <c r="C280" s="178"/>
      <c r="D280" s="178"/>
      <c r="E280" s="178"/>
      <c r="F280" s="178"/>
      <c r="G280" s="178"/>
      <c r="H280" s="178"/>
      <c r="I280" s="178"/>
      <c r="J280" s="178"/>
      <c r="K280" s="178"/>
      <c r="L280" s="178"/>
      <c r="M280" s="178"/>
      <c r="N280" s="178"/>
      <c r="O280" s="178"/>
      <c r="P280" s="178"/>
      <c r="Q280" s="178"/>
      <c r="R280" s="178"/>
      <c r="S280" s="178"/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849">
        <f>IRR(C279:AT279)</f>
        <v>-1.0458029057677787E-2</v>
      </c>
      <c r="AU280" s="166"/>
      <c r="AV280" s="166"/>
      <c r="AW280" s="166"/>
      <c r="AX280" s="166"/>
      <c r="AY280" s="166"/>
      <c r="AZ280" s="166"/>
      <c r="BA280" s="166"/>
      <c r="BB280" s="166"/>
      <c r="BC280" s="166"/>
      <c r="BD280" s="166"/>
      <c r="BE280" s="166"/>
      <c r="BF280" s="166"/>
      <c r="BG280" s="166"/>
      <c r="BH280" s="166"/>
      <c r="BI280" s="166"/>
      <c r="BJ280" s="166"/>
      <c r="BK280" s="166"/>
      <c r="BL280" s="166"/>
      <c r="BM280" s="166"/>
      <c r="BN280" s="166"/>
    </row>
    <row r="281" spans="2:66" ht="14.4" x14ac:dyDescent="0.25">
      <c r="B281" s="844"/>
      <c r="C281" s="178"/>
      <c r="D281" s="178"/>
      <c r="E281" s="178"/>
      <c r="F281" s="178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  <c r="AU281" s="166"/>
      <c r="AV281" s="166"/>
      <c r="AW281" s="166"/>
      <c r="AX281" s="166"/>
      <c r="AY281" s="166"/>
      <c r="AZ281" s="166"/>
      <c r="BA281" s="166"/>
      <c r="BB281" s="166"/>
      <c r="BC281" s="166"/>
      <c r="BD281" s="166"/>
      <c r="BE281" s="166"/>
      <c r="BF281" s="166"/>
      <c r="BG281" s="166"/>
      <c r="BH281" s="166"/>
      <c r="BI281" s="166"/>
      <c r="BJ281" s="166"/>
      <c r="BK281" s="166"/>
      <c r="BL281" s="166"/>
      <c r="BM281" s="166"/>
      <c r="BN281" s="166"/>
    </row>
    <row r="282" spans="2:66" ht="14.4" x14ac:dyDescent="0.25">
      <c r="B282" s="844" t="s">
        <v>450</v>
      </c>
      <c r="C282" s="178">
        <f>C256</f>
        <v>0</v>
      </c>
      <c r="D282" s="178">
        <f t="shared" ref="D282:AT282" si="155">D256</f>
        <v>0</v>
      </c>
      <c r="E282" s="178">
        <f t="shared" si="155"/>
        <v>0</v>
      </c>
      <c r="F282" s="178">
        <f t="shared" si="155"/>
        <v>0</v>
      </c>
      <c r="G282" s="178">
        <f t="shared" si="155"/>
        <v>1054879.2982415208</v>
      </c>
      <c r="H282" s="178">
        <f t="shared" si="155"/>
        <v>2062868.0060471296</v>
      </c>
      <c r="I282" s="178">
        <f t="shared" si="155"/>
        <v>2579191.4742286955</v>
      </c>
      <c r="J282" s="178">
        <f t="shared" si="155"/>
        <v>2562326.5723511074</v>
      </c>
      <c r="K282" s="178">
        <f t="shared" si="155"/>
        <v>-1955025.8499180488</v>
      </c>
      <c r="L282" s="178">
        <f t="shared" si="155"/>
        <v>2764927.2542526643</v>
      </c>
      <c r="M282" s="178">
        <f t="shared" si="155"/>
        <v>2999096.0938339196</v>
      </c>
      <c r="N282" s="178">
        <f t="shared" si="155"/>
        <v>2946063.4479008811</v>
      </c>
      <c r="O282" s="178">
        <f t="shared" si="155"/>
        <v>3158290.3626217414</v>
      </c>
      <c r="P282" s="178">
        <f t="shared" si="155"/>
        <v>-2103821.7309077885</v>
      </c>
      <c r="Q282" s="178">
        <f t="shared" si="155"/>
        <v>3325017.4739710437</v>
      </c>
      <c r="R282" s="178">
        <f t="shared" si="155"/>
        <v>3265914.1842303704</v>
      </c>
      <c r="S282" s="178">
        <f t="shared" si="155"/>
        <v>3464795.8468612768</v>
      </c>
      <c r="T282" s="178">
        <f t="shared" si="155"/>
        <v>3367595.9393226514</v>
      </c>
      <c r="U282" s="178">
        <f t="shared" si="155"/>
        <v>-2146487.2472085562</v>
      </c>
      <c r="V282" s="178">
        <f t="shared" si="155"/>
        <v>3471664.7357728882</v>
      </c>
      <c r="W282" s="178">
        <f t="shared" si="155"/>
        <v>3685328.1408593524</v>
      </c>
      <c r="X282" s="178">
        <f t="shared" si="155"/>
        <v>3636804.9115522308</v>
      </c>
      <c r="Y282" s="178">
        <f t="shared" si="155"/>
        <v>3921666.8880387917</v>
      </c>
      <c r="Z282" s="178">
        <f t="shared" si="155"/>
        <v>-2414983.7350685112</v>
      </c>
      <c r="AA282" s="178">
        <f t="shared" si="155"/>
        <v>4170515.8101835698</v>
      </c>
      <c r="AB282" s="178">
        <f t="shared" si="155"/>
        <v>4115769.8898534114</v>
      </c>
      <c r="AC282" s="178">
        <f t="shared" si="155"/>
        <v>4363980.6865938688</v>
      </c>
      <c r="AD282" s="178">
        <f t="shared" si="155"/>
        <v>4237354.5298132943</v>
      </c>
      <c r="AE282" s="178">
        <f t="shared" si="155"/>
        <v>-2411385.5383280572</v>
      </c>
      <c r="AF282" s="178">
        <f t="shared" si="155"/>
        <v>4361391.3828654326</v>
      </c>
      <c r="AG282" s="178">
        <f t="shared" si="155"/>
        <v>4627519.9054869525</v>
      </c>
      <c r="AH282" s="178">
        <f t="shared" si="155"/>
        <v>4487843.4923663307</v>
      </c>
      <c r="AI282" s="178">
        <f t="shared" si="155"/>
        <v>4763372.3329655733</v>
      </c>
      <c r="AJ282" s="178">
        <f t="shared" si="155"/>
        <v>-2971052.1406297497</v>
      </c>
      <c r="AK282" s="178">
        <f t="shared" si="155"/>
        <v>4901899.0076825861</v>
      </c>
      <c r="AL282" s="178">
        <f t="shared" si="155"/>
        <v>4747799.5649011899</v>
      </c>
      <c r="AM282" s="178">
        <f t="shared" si="155"/>
        <v>5043052.2240998056</v>
      </c>
      <c r="AN282" s="178">
        <f t="shared" si="155"/>
        <v>4881181.1002650652</v>
      </c>
      <c r="AO282" s="178">
        <f t="shared" si="155"/>
        <v>-3150241.1777467504</v>
      </c>
      <c r="AP282" s="178">
        <f t="shared" si="155"/>
        <v>5016731.2861420298</v>
      </c>
      <c r="AQ282" s="178">
        <f t="shared" si="155"/>
        <v>5332993.5517014693</v>
      </c>
      <c r="AR282" s="178">
        <f t="shared" si="155"/>
        <v>5154359.3922698647</v>
      </c>
      <c r="AS282" s="178">
        <f t="shared" si="155"/>
        <v>5481629.5364263169</v>
      </c>
      <c r="AT282" s="178">
        <f t="shared" si="155"/>
        <v>-3866348.7970996574</v>
      </c>
      <c r="AU282" s="166"/>
      <c r="AV282" s="166"/>
      <c r="AW282" s="166"/>
      <c r="AX282" s="166"/>
      <c r="AY282" s="166"/>
      <c r="AZ282" s="166"/>
      <c r="BA282" s="166"/>
      <c r="BB282" s="166"/>
      <c r="BC282" s="166"/>
      <c r="BD282" s="166"/>
      <c r="BE282" s="166"/>
      <c r="BF282" s="166"/>
      <c r="BG282" s="166"/>
      <c r="BH282" s="166"/>
      <c r="BI282" s="166"/>
      <c r="BJ282" s="166"/>
      <c r="BK282" s="166"/>
      <c r="BL282" s="166"/>
      <c r="BM282" s="166"/>
      <c r="BN282" s="166"/>
    </row>
    <row r="283" spans="2:66" ht="14.4" x14ac:dyDescent="0.25">
      <c r="B283" s="844" t="s">
        <v>451</v>
      </c>
      <c r="C283" s="178">
        <f>C282+C243</f>
        <v>0</v>
      </c>
      <c r="D283" s="178">
        <f t="shared" ref="D283:AT283" si="156">D282+D243</f>
        <v>0</v>
      </c>
      <c r="E283" s="178">
        <f t="shared" si="156"/>
        <v>0</v>
      </c>
      <c r="F283" s="178">
        <f t="shared" si="156"/>
        <v>0</v>
      </c>
      <c r="G283" s="178">
        <f t="shared" si="156"/>
        <v>-2135717.2224276555</v>
      </c>
      <c r="H283" s="178">
        <f t="shared" si="156"/>
        <v>-1127728.5146220466</v>
      </c>
      <c r="I283" s="178">
        <f t="shared" si="156"/>
        <v>-611405.04644048074</v>
      </c>
      <c r="J283" s="178">
        <f t="shared" si="156"/>
        <v>-628269.94831806887</v>
      </c>
      <c r="K283" s="178">
        <f t="shared" si="156"/>
        <v>-5145622.3705872251</v>
      </c>
      <c r="L283" s="178">
        <f t="shared" si="156"/>
        <v>-253077.38398809033</v>
      </c>
      <c r="M283" s="178">
        <f t="shared" si="156"/>
        <v>-18908.54440683499</v>
      </c>
      <c r="N283" s="178">
        <f t="shared" si="156"/>
        <v>-71941.190339873545</v>
      </c>
      <c r="O283" s="178">
        <f t="shared" si="156"/>
        <v>140285.72438098677</v>
      </c>
      <c r="P283" s="178">
        <f t="shared" si="156"/>
        <v>-5121826.3691485431</v>
      </c>
      <c r="Q283" s="178">
        <f t="shared" si="156"/>
        <v>594719.95429007336</v>
      </c>
      <c r="R283" s="178">
        <f t="shared" si="156"/>
        <v>176644.01947219297</v>
      </c>
      <c r="S283" s="178">
        <f t="shared" si="156"/>
        <v>375525.6821030993</v>
      </c>
      <c r="T283" s="178">
        <f t="shared" si="156"/>
        <v>278325.77456447389</v>
      </c>
      <c r="U283" s="178">
        <f t="shared" si="156"/>
        <v>-5235757.4119667336</v>
      </c>
      <c r="V283" s="178">
        <f t="shared" si="156"/>
        <v>1149894.5904531064</v>
      </c>
      <c r="W283" s="178">
        <f t="shared" si="156"/>
        <v>1363557.9955395707</v>
      </c>
      <c r="X283" s="178">
        <f t="shared" si="156"/>
        <v>235836.94014732726</v>
      </c>
      <c r="Y283" s="178">
        <f t="shared" si="156"/>
        <v>520698.91663388815</v>
      </c>
      <c r="Z283" s="178">
        <f t="shared" si="156"/>
        <v>-5815951.7064734148</v>
      </c>
      <c r="AA283" s="178">
        <f t="shared" si="156"/>
        <v>769547.83877866622</v>
      </c>
      <c r="AB283" s="178">
        <f t="shared" si="156"/>
        <v>714801.91844850779</v>
      </c>
      <c r="AC283" s="178">
        <f t="shared" si="156"/>
        <v>876548.08753897063</v>
      </c>
      <c r="AD283" s="178">
        <f t="shared" si="156"/>
        <v>749921.93075839616</v>
      </c>
      <c r="AE283" s="178">
        <f t="shared" si="156"/>
        <v>-5898818.1373829553</v>
      </c>
      <c r="AF283" s="178">
        <f t="shared" si="156"/>
        <v>873958.78381053451</v>
      </c>
      <c r="AG283" s="178">
        <f t="shared" si="156"/>
        <v>1140087.3064320544</v>
      </c>
      <c r="AH283" s="178">
        <f t="shared" si="156"/>
        <v>1000410.8933114326</v>
      </c>
      <c r="AI283" s="178">
        <f t="shared" si="156"/>
        <v>1275939.7339106752</v>
      </c>
      <c r="AJ283" s="178">
        <f t="shared" si="156"/>
        <v>-6458484.7396846479</v>
      </c>
      <c r="AK283" s="178">
        <f t="shared" si="156"/>
        <v>1414466.408627688</v>
      </c>
      <c r="AL283" s="178">
        <f t="shared" si="156"/>
        <v>1260366.9658462917</v>
      </c>
      <c r="AM283" s="178">
        <f t="shared" si="156"/>
        <v>2634817.4511300293</v>
      </c>
      <c r="AN283" s="178">
        <f t="shared" si="156"/>
        <v>2918383.6000224911</v>
      </c>
      <c r="AO283" s="178">
        <f t="shared" si="156"/>
        <v>-7085906.8509504721</v>
      </c>
      <c r="AP283" s="178">
        <f t="shared" si="156"/>
        <v>1081065.6129383086</v>
      </c>
      <c r="AQ283" s="178">
        <f t="shared" si="156"/>
        <v>1397327.8784977482</v>
      </c>
      <c r="AR283" s="178">
        <f t="shared" si="156"/>
        <v>1218693.7190661435</v>
      </c>
      <c r="AS283" s="178">
        <f t="shared" si="156"/>
        <v>1545963.8632225958</v>
      </c>
      <c r="AT283" s="178">
        <f t="shared" si="156"/>
        <v>-7802014.470303379</v>
      </c>
      <c r="AU283" s="166"/>
      <c r="AV283" s="166"/>
      <c r="AW283" s="166"/>
      <c r="AX283" s="166"/>
      <c r="AY283" s="166"/>
      <c r="AZ283" s="166"/>
      <c r="BA283" s="166"/>
      <c r="BB283" s="166"/>
      <c r="BC283" s="166"/>
      <c r="BD283" s="166"/>
      <c r="BE283" s="166"/>
      <c r="BF283" s="166"/>
      <c r="BG283" s="166"/>
      <c r="BH283" s="166"/>
      <c r="BI283" s="166"/>
      <c r="BJ283" s="166"/>
      <c r="BK283" s="166"/>
      <c r="BL283" s="166"/>
      <c r="BM283" s="166"/>
      <c r="BN283" s="166"/>
    </row>
    <row r="284" spans="2:66" ht="14.4" x14ac:dyDescent="0.25">
      <c r="B284" s="844"/>
      <c r="C284" s="178"/>
      <c r="D284" s="178"/>
      <c r="E284" s="178"/>
      <c r="F284" s="178"/>
      <c r="G284" s="178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/>
      <c r="AS284" s="178"/>
      <c r="AT284" s="178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</row>
    <row r="285" spans="2:66" ht="14.4" x14ac:dyDescent="0.25">
      <c r="B285" s="844" t="s">
        <v>489</v>
      </c>
      <c r="C285" s="908"/>
      <c r="D285" s="908"/>
      <c r="E285" s="908"/>
      <c r="F285" s="908"/>
      <c r="G285" s="909">
        <f>ABS(G254)/ABS(G249)</f>
        <v>1.3023067363467868</v>
      </c>
      <c r="H285" s="909">
        <f t="shared" ref="H285:AT285" si="157">ABS(H254)/ABS(H249)</f>
        <v>1.5337834461576978</v>
      </c>
      <c r="I285" s="909">
        <f t="shared" si="157"/>
        <v>1.7031687785735283</v>
      </c>
      <c r="J285" s="909">
        <f t="shared" si="157"/>
        <v>1.6824780142054752</v>
      </c>
      <c r="K285" s="909">
        <f t="shared" si="157"/>
        <v>0.77217468111185239</v>
      </c>
      <c r="L285" s="909">
        <f t="shared" si="157"/>
        <v>1.7028758887142277</v>
      </c>
      <c r="M285" s="909">
        <f t="shared" si="157"/>
        <v>1.7448140689306393</v>
      </c>
      <c r="N285" s="909">
        <f t="shared" si="157"/>
        <v>1.7147545376668925</v>
      </c>
      <c r="O285" s="909">
        <f t="shared" si="157"/>
        <v>1.7485468601690872</v>
      </c>
      <c r="P285" s="909">
        <f t="shared" si="157"/>
        <v>0.77912993786481999</v>
      </c>
      <c r="Q285" s="909">
        <f t="shared" si="157"/>
        <v>1.7520546726507389</v>
      </c>
      <c r="R285" s="909">
        <f t="shared" si="157"/>
        <v>1.7216002512831541</v>
      </c>
      <c r="S285" s="909">
        <f t="shared" si="157"/>
        <v>1.7478263197486714</v>
      </c>
      <c r="T285" s="909">
        <f t="shared" si="157"/>
        <v>1.7100174514119231</v>
      </c>
      <c r="U285" s="909">
        <f t="shared" si="157"/>
        <v>0.79703572206135331</v>
      </c>
      <c r="V285" s="909">
        <f t="shared" si="157"/>
        <v>1.6984301767318206</v>
      </c>
      <c r="W285" s="909">
        <f t="shared" si="157"/>
        <v>1.7242218040136092</v>
      </c>
      <c r="X285" s="909">
        <f t="shared" si="157"/>
        <v>1.6981044420863638</v>
      </c>
      <c r="Y285" s="909">
        <f t="shared" si="157"/>
        <v>1.7353105685036241</v>
      </c>
      <c r="Z285" s="909">
        <f t="shared" si="157"/>
        <v>0.79438665116397367</v>
      </c>
      <c r="AA285" s="909">
        <f t="shared" si="157"/>
        <v>1.7460596054588751</v>
      </c>
      <c r="AB285" s="909">
        <f t="shared" si="157"/>
        <v>1.7191488194937756</v>
      </c>
      <c r="AC285" s="909">
        <f t="shared" si="157"/>
        <v>1.744782002151648</v>
      </c>
      <c r="AD285" s="909">
        <f t="shared" si="157"/>
        <v>1.7063412263940216</v>
      </c>
      <c r="AE285" s="909">
        <f t="shared" si="157"/>
        <v>0.81518831213586307</v>
      </c>
      <c r="AF285" s="909">
        <f t="shared" si="157"/>
        <v>1.6935468468730788</v>
      </c>
      <c r="AG285" s="909">
        <f t="shared" si="157"/>
        <v>1.7187148506455137</v>
      </c>
      <c r="AH285" s="909">
        <f t="shared" si="157"/>
        <v>1.6807667436209546</v>
      </c>
      <c r="AI285" s="909">
        <f t="shared" si="157"/>
        <v>1.7057033590046828</v>
      </c>
      <c r="AJ285" s="909">
        <f t="shared" si="157"/>
        <v>0.79508390377097027</v>
      </c>
      <c r="AK285" s="909">
        <f t="shared" si="157"/>
        <v>1.6927080253302556</v>
      </c>
      <c r="AL285" s="909">
        <f t="shared" si="157"/>
        <v>1.6552535925352376</v>
      </c>
      <c r="AM285" s="909">
        <f t="shared" si="157"/>
        <v>1.6797299195008102</v>
      </c>
      <c r="AN285" s="909">
        <f t="shared" si="157"/>
        <v>1.6425226450986465</v>
      </c>
      <c r="AO285" s="909">
        <f t="shared" si="157"/>
        <v>0.8045267215979629</v>
      </c>
      <c r="AP285" s="909">
        <f t="shared" si="157"/>
        <v>1.6298101741740587</v>
      </c>
      <c r="AQ285" s="909">
        <f t="shared" si="157"/>
        <v>1.6538296427668466</v>
      </c>
      <c r="AR285" s="909">
        <f t="shared" si="157"/>
        <v>1.6171172158162905</v>
      </c>
      <c r="AS285" s="909">
        <f t="shared" si="157"/>
        <v>1.640909582664454</v>
      </c>
      <c r="AT285" s="909">
        <f t="shared" si="157"/>
        <v>0.78422823025302191</v>
      </c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</row>
    <row r="286" spans="2:66" ht="14.4" x14ac:dyDescent="0.25">
      <c r="B286" s="844" t="s">
        <v>490</v>
      </c>
      <c r="C286" s="908"/>
      <c r="D286" s="908"/>
      <c r="E286" s="908"/>
      <c r="F286" s="908"/>
      <c r="G286" s="909">
        <f>G285-1</f>
        <v>0.30230673634678684</v>
      </c>
      <c r="H286" s="909">
        <f t="shared" ref="H286" si="158">H285-1</f>
        <v>0.53378344615769779</v>
      </c>
      <c r="I286" s="909">
        <f t="shared" ref="I286" si="159">I285-1</f>
        <v>0.70316877857352833</v>
      </c>
      <c r="J286" s="909">
        <f t="shared" ref="J286" si="160">J285-1</f>
        <v>0.68247801420547516</v>
      </c>
      <c r="K286" s="909">
        <f t="shared" ref="K286" si="161">K285-1</f>
        <v>-0.22782531888814761</v>
      </c>
      <c r="L286" s="909">
        <f t="shared" ref="L286" si="162">L285-1</f>
        <v>0.70287588871422768</v>
      </c>
      <c r="M286" s="909">
        <f t="shared" ref="M286" si="163">M285-1</f>
        <v>0.74481406893063928</v>
      </c>
      <c r="N286" s="909">
        <f t="shared" ref="N286" si="164">N285-1</f>
        <v>0.71475453766689245</v>
      </c>
      <c r="O286" s="909">
        <f t="shared" ref="O286" si="165">O285-1</f>
        <v>0.74854686016908722</v>
      </c>
      <c r="P286" s="909">
        <f t="shared" ref="P286" si="166">P285-1</f>
        <v>-0.22087006213518001</v>
      </c>
      <c r="Q286" s="909">
        <f t="shared" ref="Q286" si="167">Q285-1</f>
        <v>0.75205467265073889</v>
      </c>
      <c r="R286" s="909">
        <f t="shared" ref="R286" si="168">R285-1</f>
        <v>0.72160025128315408</v>
      </c>
      <c r="S286" s="909">
        <f t="shared" ref="S286" si="169">S285-1</f>
        <v>0.74782631974867142</v>
      </c>
      <c r="T286" s="909">
        <f t="shared" ref="T286" si="170">T285-1</f>
        <v>0.71001745141192307</v>
      </c>
      <c r="U286" s="909">
        <f t="shared" ref="U286" si="171">U285-1</f>
        <v>-0.20296427793864669</v>
      </c>
      <c r="V286" s="909">
        <f t="shared" ref="V286" si="172">V285-1</f>
        <v>0.69843017673182062</v>
      </c>
      <c r="W286" s="909">
        <f t="shared" ref="W286" si="173">W285-1</f>
        <v>0.72422180401360925</v>
      </c>
      <c r="X286" s="909">
        <f t="shared" ref="X286" si="174">X285-1</f>
        <v>0.6981044420863638</v>
      </c>
      <c r="Y286" s="909">
        <f t="shared" ref="Y286" si="175">Y285-1</f>
        <v>0.73531056850362408</v>
      </c>
      <c r="Z286" s="909">
        <f t="shared" ref="Z286" si="176">Z285-1</f>
        <v>-0.20561334883602633</v>
      </c>
      <c r="AA286" s="909">
        <f t="shared" ref="AA286" si="177">AA285-1</f>
        <v>0.74605960545887506</v>
      </c>
      <c r="AB286" s="909">
        <f t="shared" ref="AB286" si="178">AB285-1</f>
        <v>0.71914881949377563</v>
      </c>
      <c r="AC286" s="909">
        <f t="shared" ref="AC286" si="179">AC285-1</f>
        <v>0.74478200215164803</v>
      </c>
      <c r="AD286" s="909">
        <f t="shared" ref="AD286" si="180">AD285-1</f>
        <v>0.70634122639402164</v>
      </c>
      <c r="AE286" s="909">
        <f t="shared" ref="AE286" si="181">AE285-1</f>
        <v>-0.18481168786413693</v>
      </c>
      <c r="AF286" s="909">
        <f t="shared" ref="AF286" si="182">AF285-1</f>
        <v>0.69354684687307877</v>
      </c>
      <c r="AG286" s="909">
        <f t="shared" ref="AG286" si="183">AG285-1</f>
        <v>0.71871485064551366</v>
      </c>
      <c r="AH286" s="909">
        <f t="shared" ref="AH286" si="184">AH285-1</f>
        <v>0.68076674362095457</v>
      </c>
      <c r="AI286" s="909">
        <f t="shared" ref="AI286" si="185">AI285-1</f>
        <v>0.70570335900468284</v>
      </c>
      <c r="AJ286" s="909">
        <f t="shared" ref="AJ286" si="186">AJ285-1</f>
        <v>-0.20491609622902973</v>
      </c>
      <c r="AK286" s="909">
        <f t="shared" ref="AK286" si="187">AK285-1</f>
        <v>0.69270802533025555</v>
      </c>
      <c r="AL286" s="909">
        <f t="shared" ref="AL286" si="188">AL285-1</f>
        <v>0.65525359253523763</v>
      </c>
      <c r="AM286" s="909">
        <f t="shared" ref="AM286" si="189">AM285-1</f>
        <v>0.67972991950081019</v>
      </c>
      <c r="AN286" s="909">
        <f t="shared" ref="AN286" si="190">AN285-1</f>
        <v>0.64252264509864654</v>
      </c>
      <c r="AO286" s="909">
        <f t="shared" ref="AO286" si="191">AO285-1</f>
        <v>-0.1954732784020371</v>
      </c>
      <c r="AP286" s="909">
        <f t="shared" ref="AP286" si="192">AP285-1</f>
        <v>0.62981017417405871</v>
      </c>
      <c r="AQ286" s="909">
        <f t="shared" ref="AQ286" si="193">AQ285-1</f>
        <v>0.65382964276684663</v>
      </c>
      <c r="AR286" s="909">
        <f t="shared" ref="AR286" si="194">AR285-1</f>
        <v>0.61711721581629053</v>
      </c>
      <c r="AS286" s="909">
        <f t="shared" ref="AS286" si="195">AS285-1</f>
        <v>0.64090958266445397</v>
      </c>
      <c r="AT286" s="909">
        <f t="shared" ref="AT286" si="196">AT285-1</f>
        <v>-0.21577176974697809</v>
      </c>
      <c r="AU286" s="166"/>
      <c r="AV286" s="166"/>
      <c r="AW286" s="166"/>
      <c r="AX286" s="166"/>
      <c r="AY286" s="166"/>
      <c r="AZ286" s="166"/>
      <c r="BA286" s="166"/>
      <c r="BB286" s="166"/>
      <c r="BC286" s="166"/>
      <c r="BD286" s="166"/>
      <c r="BE286" s="166"/>
      <c r="BF286" s="166"/>
      <c r="BG286" s="166"/>
      <c r="BH286" s="166"/>
      <c r="BI286" s="166"/>
      <c r="BJ286" s="166"/>
      <c r="BK286" s="166"/>
      <c r="BL286" s="166"/>
      <c r="BM286" s="166"/>
      <c r="BN286" s="166"/>
    </row>
    <row r="287" spans="2:66" ht="14.4" x14ac:dyDescent="0.25">
      <c r="B287" s="844"/>
      <c r="C287" s="178"/>
      <c r="D287" s="178"/>
      <c r="E287" s="178"/>
      <c r="F287" s="178"/>
      <c r="G287" s="178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66"/>
      <c r="AV287" s="166"/>
      <c r="AW287" s="166"/>
      <c r="AX287" s="166"/>
      <c r="AY287" s="166"/>
      <c r="AZ287" s="166"/>
      <c r="BA287" s="166"/>
      <c r="BB287" s="166"/>
      <c r="BC287" s="166"/>
      <c r="BD287" s="166"/>
      <c r="BE287" s="166"/>
      <c r="BF287" s="166"/>
      <c r="BG287" s="166"/>
      <c r="BH287" s="166"/>
      <c r="BI287" s="166"/>
      <c r="BJ287" s="166"/>
      <c r="BK287" s="166"/>
      <c r="BL287" s="166"/>
      <c r="BM287" s="166"/>
      <c r="BN287" s="166"/>
    </row>
    <row r="288" spans="2:66" ht="14.4" x14ac:dyDescent="0.25">
      <c r="B288" s="907" t="s">
        <v>404</v>
      </c>
      <c r="C288" s="268">
        <f>C279/((1+$C$26)^C220)</f>
        <v>-5894681.6442265697</v>
      </c>
      <c r="D288" s="268">
        <f>D279/((1+$C$26)^D220)</f>
        <v>-20966760.466095321</v>
      </c>
      <c r="E288" s="268">
        <f t="shared" ref="E288:AT288" si="197">E279/((1+$C$26)^E220)</f>
        <v>-47746241.000733495</v>
      </c>
      <c r="F288" s="268">
        <f t="shared" si="197"/>
        <v>-16989233.20585217</v>
      </c>
      <c r="G288" s="268">
        <f t="shared" si="197"/>
        <v>646977.22905280336</v>
      </c>
      <c r="H288" s="268">
        <f t="shared" si="197"/>
        <v>1119642.1069374501</v>
      </c>
      <c r="I288" s="268">
        <f t="shared" si="197"/>
        <v>1238833.4508696375</v>
      </c>
      <c r="J288" s="268">
        <f t="shared" si="197"/>
        <v>1089144.1823314072</v>
      </c>
      <c r="K288" s="268">
        <f t="shared" si="197"/>
        <v>-735402.25336859666</v>
      </c>
      <c r="L288" s="268">
        <f t="shared" si="197"/>
        <v>920402.34834669158</v>
      </c>
      <c r="M288" s="268">
        <f t="shared" si="197"/>
        <v>883498.76415404992</v>
      </c>
      <c r="N288" s="268">
        <f t="shared" si="197"/>
        <v>768031.82707245892</v>
      </c>
      <c r="O288" s="268">
        <f t="shared" si="197"/>
        <v>717308.5221188236</v>
      </c>
      <c r="P288" s="268">
        <f t="shared" si="197"/>
        <v>-760747.01554395561</v>
      </c>
      <c r="Q288" s="268">
        <f t="shared" si="197"/>
        <v>207681.30598029011</v>
      </c>
      <c r="R288" s="268">
        <f t="shared" si="197"/>
        <v>512304.16722002981</v>
      </c>
      <c r="S288" s="268">
        <f t="shared" si="197"/>
        <v>471658.1747205127</v>
      </c>
      <c r="T288" s="268">
        <f t="shared" si="197"/>
        <v>409485.35458581609</v>
      </c>
      <c r="U288" s="268">
        <f t="shared" si="197"/>
        <v>-554884.30853626481</v>
      </c>
      <c r="V288" s="268">
        <f t="shared" si="197"/>
        <v>-590696.47494130081</v>
      </c>
      <c r="W288" s="268">
        <f t="shared" si="197"/>
        <v>-89052.847307953707</v>
      </c>
      <c r="X288" s="268">
        <f t="shared" si="197"/>
        <v>272961.95694290899</v>
      </c>
      <c r="Y288" s="268">
        <f t="shared" si="197"/>
        <v>254143.35168654946</v>
      </c>
      <c r="Z288" s="268">
        <f t="shared" si="197"/>
        <v>-145247.94947853204</v>
      </c>
      <c r="AA288" s="268">
        <f t="shared" si="197"/>
        <v>100493.75208636632</v>
      </c>
      <c r="AB288" s="268">
        <f t="shared" si="197"/>
        <v>67087.539734003134</v>
      </c>
      <c r="AC288" s="268">
        <f t="shared" si="197"/>
        <v>169116.38760371355</v>
      </c>
      <c r="AD288" s="268">
        <f t="shared" si="197"/>
        <v>146624.40087186161</v>
      </c>
      <c r="AE288" s="268">
        <f t="shared" si="197"/>
        <v>-78717.308170939854</v>
      </c>
      <c r="AF288" s="268">
        <f t="shared" si="197"/>
        <v>117157.51914064771</v>
      </c>
      <c r="AG288" s="268">
        <f t="shared" si="197"/>
        <v>108101.55381955372</v>
      </c>
      <c r="AH288" s="268">
        <f t="shared" si="197"/>
        <v>93611.071807111803</v>
      </c>
      <c r="AI288" s="268">
        <f t="shared" si="197"/>
        <v>86427.325742192988</v>
      </c>
      <c r="AJ288" s="268">
        <f t="shared" si="197"/>
        <v>-52640.697918900172</v>
      </c>
      <c r="AK288" s="268">
        <f t="shared" si="197"/>
        <v>69097.094670371429</v>
      </c>
      <c r="AL288" s="268">
        <f t="shared" si="197"/>
        <v>-29779.104030767408</v>
      </c>
      <c r="AM288" s="268">
        <f t="shared" si="197"/>
        <v>-138298.93089899223</v>
      </c>
      <c r="AN288" s="268">
        <f t="shared" si="197"/>
        <v>-20907.827967184701</v>
      </c>
      <c r="AO288" s="268">
        <f t="shared" si="197"/>
        <v>-30294.441587542413</v>
      </c>
      <c r="AP288" s="268">
        <f t="shared" si="197"/>
        <v>39473.442198429344</v>
      </c>
      <c r="AQ288" s="268">
        <f t="shared" si="197"/>
        <v>36480.43523091761</v>
      </c>
      <c r="AR288" s="268">
        <f t="shared" si="197"/>
        <v>31509.712273897097</v>
      </c>
      <c r="AS288" s="268">
        <f t="shared" si="197"/>
        <v>29139.358428200245</v>
      </c>
      <c r="AT288" s="268">
        <f t="shared" si="197"/>
        <v>193986.59574203758</v>
      </c>
      <c r="AU288" s="166"/>
      <c r="AV288" s="166"/>
      <c r="AW288" s="166"/>
      <c r="AX288" s="166"/>
      <c r="AY288" s="166"/>
      <c r="AZ288" s="166"/>
      <c r="BA288" s="166"/>
      <c r="BB288" s="166"/>
      <c r="BC288" s="166"/>
      <c r="BD288" s="166"/>
      <c r="BE288" s="166"/>
      <c r="BF288" s="166"/>
      <c r="BG288" s="166"/>
      <c r="BH288" s="166"/>
      <c r="BI288" s="166"/>
      <c r="BJ288" s="166"/>
      <c r="BK288" s="166"/>
      <c r="BL288" s="166"/>
      <c r="BM288" s="166"/>
      <c r="BN288" s="166"/>
    </row>
    <row r="289" spans="2:66" ht="14.4" x14ac:dyDescent="0.25">
      <c r="B289" s="907" t="s">
        <v>403</v>
      </c>
      <c r="C289" s="824">
        <f>SUM(C288)</f>
        <v>-5894681.6442265697</v>
      </c>
      <c r="D289" s="824">
        <f>SUM(C288:D288)</f>
        <v>-26861442.110321891</v>
      </c>
      <c r="E289" s="824">
        <f>SUM(C288:E288)</f>
        <v>-74607683.111055389</v>
      </c>
      <c r="F289" s="824">
        <f>SUM(C288:F288)</f>
        <v>-91596916.316907555</v>
      </c>
      <c r="G289" s="824">
        <f>SUM(C288:G288)</f>
        <v>-90949939.087854758</v>
      </c>
      <c r="H289" s="824">
        <f>SUM(C288:H288)</f>
        <v>-89830296.980917305</v>
      </c>
      <c r="I289" s="824">
        <f>SUM(C288:I288)</f>
        <v>-88591463.53004767</v>
      </c>
      <c r="J289" s="824">
        <f>SUM(C288:J288)</f>
        <v>-87502319.347716257</v>
      </c>
      <c r="K289" s="824">
        <f>SUM(C288:K288)</f>
        <v>-88237721.601084858</v>
      </c>
      <c r="L289" s="824">
        <f>SUM(C288:L288)</f>
        <v>-87317319.252738163</v>
      </c>
      <c r="M289" s="824">
        <f>SUM(C288:M288)</f>
        <v>-86433820.488584116</v>
      </c>
      <c r="N289" s="824">
        <f>SUM(C288:N288)</f>
        <v>-85665788.66151166</v>
      </c>
      <c r="O289" s="824">
        <f>SUM(C288:O288)</f>
        <v>-84948480.139392838</v>
      </c>
      <c r="P289" s="824">
        <f>SUM(C288:P288)</f>
        <v>-85709227.15493679</v>
      </c>
      <c r="Q289" s="824">
        <f>SUM(C288:Q288)</f>
        <v>-85501545.848956496</v>
      </c>
      <c r="R289" s="824">
        <f>SUM(C288:R288)</f>
        <v>-84989241.681736469</v>
      </c>
      <c r="S289" s="824">
        <f>SUM(C288:S288)</f>
        <v>-84517583.507015958</v>
      </c>
      <c r="T289" s="824">
        <f>SUM(C288:T288)</f>
        <v>-84108098.152430147</v>
      </c>
      <c r="U289" s="824">
        <f>SUM(C288:U288)</f>
        <v>-84662982.460966408</v>
      </c>
      <c r="V289" s="824">
        <f>SUM(C288:V288)</f>
        <v>-85253678.935907707</v>
      </c>
      <c r="W289" s="824">
        <f>SUM(C288:W288)</f>
        <v>-85342731.783215657</v>
      </c>
      <c r="X289" s="824">
        <f>SUM(C288:X288)</f>
        <v>-85069769.826272741</v>
      </c>
      <c r="Y289" s="824">
        <f>SUM(C288:Y288)</f>
        <v>-84815626.474586189</v>
      </c>
      <c r="Z289" s="824">
        <f>SUM(C288:Z288)</f>
        <v>-84960874.424064726</v>
      </c>
      <c r="AA289" s="824">
        <f>SUM(C288:AA288)</f>
        <v>-84860380.671978354</v>
      </c>
      <c r="AB289" s="824">
        <f>SUM(C288:AB288)</f>
        <v>-84793293.132244349</v>
      </c>
      <c r="AC289" s="824">
        <f>SUM(C288:AC288)</f>
        <v>-84624176.744640633</v>
      </c>
      <c r="AD289" s="824">
        <f>SUM(C288:AD288)</f>
        <v>-84477552.343768775</v>
      </c>
      <c r="AE289" s="824">
        <f>SUM(C288:AE288)</f>
        <v>-84556269.65193972</v>
      </c>
      <c r="AF289" s="824">
        <f>SUM(C288:AF288)</f>
        <v>-84439112.132799074</v>
      </c>
      <c r="AG289" s="824">
        <f>SUM(C288:AG288)</f>
        <v>-84331010.578979522</v>
      </c>
      <c r="AH289" s="824">
        <f>SUM(C288:AH288)</f>
        <v>-84237399.507172406</v>
      </c>
      <c r="AI289" s="824">
        <f>SUM(C288:AI288)</f>
        <v>-84150972.181430206</v>
      </c>
      <c r="AJ289" s="824">
        <f>SUM(C288:AJ288)</f>
        <v>-84203612.879349113</v>
      </c>
      <c r="AK289" s="824">
        <f>SUM(C288:AK288)</f>
        <v>-84134515.784678742</v>
      </c>
      <c r="AL289" s="824">
        <f>SUM(C288:AL288)</f>
        <v>-84164294.888709515</v>
      </c>
      <c r="AM289" s="824">
        <f>SUM(C288:AM288)</f>
        <v>-84302593.81960851</v>
      </c>
      <c r="AN289" s="824">
        <f>SUM(C288:AN288)</f>
        <v>-84323501.647575691</v>
      </c>
      <c r="AO289" s="824">
        <f>SUM(C288:AO288)</f>
        <v>-84353796.089163229</v>
      </c>
      <c r="AP289" s="824">
        <f>SUM(C288:AP288)</f>
        <v>-84314322.646964803</v>
      </c>
      <c r="AQ289" s="824">
        <f>SUM(C288:AQ288)</f>
        <v>-84277842.211733893</v>
      </c>
      <c r="AR289" s="824">
        <f>SUM(C288:AR288)</f>
        <v>-84246332.499459997</v>
      </c>
      <c r="AS289" s="824">
        <f>SUM(C288:AS288)</f>
        <v>-84217193.141031802</v>
      </c>
      <c r="AT289" s="824">
        <f>SUM(C288:AT288)</f>
        <v>-84023206.54528977</v>
      </c>
      <c r="AU289" s="166"/>
      <c r="AV289" s="166"/>
      <c r="AW289" s="166"/>
      <c r="AX289" s="166"/>
      <c r="AY289" s="166"/>
      <c r="AZ289" s="166"/>
      <c r="BA289" s="166"/>
      <c r="BB289" s="166"/>
      <c r="BC289" s="166"/>
      <c r="BD289" s="166"/>
      <c r="BE289" s="166"/>
      <c r="BF289" s="166"/>
      <c r="BG289" s="166"/>
      <c r="BH289" s="166"/>
      <c r="BI289" s="166"/>
      <c r="BJ289" s="166"/>
      <c r="BK289" s="166"/>
      <c r="BL289" s="166"/>
      <c r="BM289" s="166"/>
      <c r="BN289" s="166"/>
    </row>
    <row r="290" spans="2:66" x14ac:dyDescent="0.25"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</row>
    <row r="291" spans="2:66" x14ac:dyDescent="0.25"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</row>
    <row r="292" spans="2:66" s="306" customFormat="1" ht="14.4" x14ac:dyDescent="0.3">
      <c r="B292" s="759" t="s">
        <v>532</v>
      </c>
      <c r="C292" s="759"/>
      <c r="D292" s="759"/>
      <c r="E292" s="759"/>
      <c r="F292" s="759"/>
      <c r="G292" s="759"/>
      <c r="H292" s="759"/>
      <c r="I292" s="759"/>
      <c r="J292" s="759"/>
      <c r="K292" s="759"/>
      <c r="L292" s="759"/>
      <c r="M292" s="759"/>
      <c r="N292" s="759"/>
      <c r="O292" s="759"/>
      <c r="P292" s="759"/>
      <c r="Q292" s="759"/>
      <c r="R292" s="759"/>
      <c r="S292" s="759"/>
      <c r="T292" s="759"/>
      <c r="U292" s="759"/>
      <c r="V292" s="759"/>
      <c r="W292" s="759"/>
      <c r="X292" s="759"/>
      <c r="Y292" s="759"/>
      <c r="Z292" s="759"/>
      <c r="AA292" s="759"/>
      <c r="AB292" s="759"/>
      <c r="AC292" s="759"/>
      <c r="AD292" s="759"/>
      <c r="AE292" s="759"/>
      <c r="AF292" s="759"/>
      <c r="AG292" s="759"/>
      <c r="AH292" s="759"/>
      <c r="AI292" s="759"/>
      <c r="AJ292" s="759"/>
      <c r="AK292" s="759"/>
      <c r="AL292" s="759"/>
      <c r="AM292" s="759"/>
      <c r="AN292" s="759"/>
      <c r="AO292" s="759"/>
      <c r="AP292" s="759"/>
      <c r="AQ292" s="759"/>
      <c r="AR292" s="759"/>
      <c r="AS292" s="759"/>
      <c r="AT292" s="814"/>
    </row>
    <row r="293" spans="2:66" x14ac:dyDescent="0.25"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7"/>
      <c r="AI293" s="177"/>
      <c r="AJ293" s="13"/>
      <c r="AK293" s="38"/>
      <c r="AL293" s="38"/>
      <c r="AM293" s="38"/>
      <c r="AN293" s="38"/>
      <c r="AO293" s="38"/>
      <c r="AP293" s="38"/>
      <c r="AQ293" s="38"/>
      <c r="AR293" s="38"/>
      <c r="AS293" s="38"/>
      <c r="AT293" s="13"/>
      <c r="AU293" s="166"/>
      <c r="AV293" s="166"/>
      <c r="AW293" s="166"/>
      <c r="AX293" s="166"/>
      <c r="AY293" s="166"/>
      <c r="AZ293" s="166"/>
      <c r="BA293" s="166"/>
      <c r="BB293" s="166"/>
      <c r="BC293" s="166"/>
      <c r="BD293" s="166"/>
      <c r="BE293" s="166"/>
      <c r="BF293" s="166"/>
      <c r="BG293" s="166"/>
      <c r="BH293" s="166"/>
      <c r="BI293" s="166"/>
      <c r="BJ293" s="166"/>
      <c r="BK293" s="166"/>
      <c r="BL293" s="166"/>
      <c r="BM293" s="166"/>
      <c r="BN293" s="166"/>
    </row>
    <row r="294" spans="2:66" ht="14.4" x14ac:dyDescent="0.3">
      <c r="B294" s="813" t="s">
        <v>378</v>
      </c>
      <c r="C294" s="179">
        <v>2015</v>
      </c>
      <c r="D294" s="179">
        <v>2016</v>
      </c>
      <c r="E294" s="179">
        <v>2017</v>
      </c>
      <c r="F294" s="179">
        <v>2018</v>
      </c>
      <c r="G294" s="179">
        <v>2019</v>
      </c>
      <c r="H294" s="179">
        <v>2020</v>
      </c>
      <c r="I294" s="179">
        <v>2021</v>
      </c>
      <c r="J294" s="179">
        <v>2022</v>
      </c>
      <c r="K294" s="179">
        <v>2023</v>
      </c>
      <c r="L294" s="179">
        <v>2024</v>
      </c>
      <c r="M294" s="179">
        <v>2025</v>
      </c>
      <c r="N294" s="179">
        <v>2026</v>
      </c>
      <c r="O294" s="179">
        <v>2027</v>
      </c>
      <c r="P294" s="179">
        <v>2028</v>
      </c>
      <c r="Q294" s="179">
        <v>2029</v>
      </c>
      <c r="R294" s="179">
        <v>2030</v>
      </c>
      <c r="S294" s="179">
        <v>2031</v>
      </c>
      <c r="T294" s="179">
        <v>2032</v>
      </c>
      <c r="U294" s="179">
        <v>2033</v>
      </c>
      <c r="V294" s="179">
        <v>2034</v>
      </c>
      <c r="W294" s="179">
        <v>2035</v>
      </c>
      <c r="X294" s="179">
        <v>2036</v>
      </c>
      <c r="Y294" s="179">
        <v>2037</v>
      </c>
      <c r="Z294" s="179">
        <v>2038</v>
      </c>
      <c r="AA294" s="179">
        <v>2039</v>
      </c>
      <c r="AB294" s="179">
        <v>2040</v>
      </c>
      <c r="AC294" s="179">
        <v>2041</v>
      </c>
      <c r="AD294" s="179">
        <v>2042</v>
      </c>
      <c r="AE294" s="179">
        <v>2043</v>
      </c>
      <c r="AF294" s="179">
        <v>2044</v>
      </c>
      <c r="AG294" s="179">
        <v>2045</v>
      </c>
      <c r="AH294" s="179">
        <v>2046</v>
      </c>
      <c r="AI294" s="179">
        <v>2047</v>
      </c>
      <c r="AJ294" s="179">
        <v>2048</v>
      </c>
      <c r="AK294" s="179">
        <v>2049</v>
      </c>
      <c r="AL294" s="179">
        <v>2050</v>
      </c>
      <c r="AM294" s="179">
        <v>2051</v>
      </c>
      <c r="AN294" s="179">
        <v>2052</v>
      </c>
      <c r="AO294" s="179">
        <v>2053</v>
      </c>
      <c r="AP294" s="179">
        <v>2054</v>
      </c>
      <c r="AQ294" s="179">
        <v>2055</v>
      </c>
      <c r="AR294" s="179">
        <v>2056</v>
      </c>
      <c r="AS294" s="179">
        <v>2057</v>
      </c>
      <c r="AT294" s="179">
        <v>2058</v>
      </c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</row>
    <row r="295" spans="2:66" ht="14.4" x14ac:dyDescent="0.3">
      <c r="B295" s="813"/>
      <c r="C295" s="816" t="s">
        <v>134</v>
      </c>
      <c r="D295" s="816" t="s">
        <v>135</v>
      </c>
      <c r="E295" s="816" t="s">
        <v>136</v>
      </c>
      <c r="F295" s="816" t="s">
        <v>137</v>
      </c>
      <c r="G295" s="816" t="s">
        <v>138</v>
      </c>
      <c r="H295" s="816" t="s">
        <v>139</v>
      </c>
      <c r="I295" s="816" t="s">
        <v>140</v>
      </c>
      <c r="J295" s="816" t="s">
        <v>141</v>
      </c>
      <c r="K295" s="816" t="s">
        <v>142</v>
      </c>
      <c r="L295" s="816" t="s">
        <v>143</v>
      </c>
      <c r="M295" s="816" t="s">
        <v>144</v>
      </c>
      <c r="N295" s="816" t="s">
        <v>145</v>
      </c>
      <c r="O295" s="816" t="s">
        <v>146</v>
      </c>
      <c r="P295" s="816" t="s">
        <v>147</v>
      </c>
      <c r="Q295" s="816" t="s">
        <v>148</v>
      </c>
      <c r="R295" s="816" t="s">
        <v>149</v>
      </c>
      <c r="S295" s="816" t="s">
        <v>150</v>
      </c>
      <c r="T295" s="816" t="s">
        <v>151</v>
      </c>
      <c r="U295" s="816" t="s">
        <v>152</v>
      </c>
      <c r="V295" s="816" t="s">
        <v>153</v>
      </c>
      <c r="W295" s="816" t="s">
        <v>154</v>
      </c>
      <c r="X295" s="816" t="s">
        <v>155</v>
      </c>
      <c r="Y295" s="816" t="s">
        <v>156</v>
      </c>
      <c r="Z295" s="816" t="s">
        <v>157</v>
      </c>
      <c r="AA295" s="816" t="s">
        <v>158</v>
      </c>
      <c r="AB295" s="816" t="s">
        <v>159</v>
      </c>
      <c r="AC295" s="816" t="s">
        <v>160</v>
      </c>
      <c r="AD295" s="816" t="s">
        <v>161</v>
      </c>
      <c r="AE295" s="816" t="s">
        <v>162</v>
      </c>
      <c r="AF295" s="816" t="s">
        <v>163</v>
      </c>
      <c r="AG295" s="816" t="s">
        <v>164</v>
      </c>
      <c r="AH295" s="816" t="s">
        <v>165</v>
      </c>
      <c r="AI295" s="816" t="s">
        <v>166</v>
      </c>
      <c r="AJ295" s="816" t="s">
        <v>167</v>
      </c>
      <c r="AK295" s="816" t="s">
        <v>168</v>
      </c>
      <c r="AL295" s="816" t="s">
        <v>169</v>
      </c>
      <c r="AM295" s="816" t="s">
        <v>170</v>
      </c>
      <c r="AN295" s="816" t="s">
        <v>171</v>
      </c>
      <c r="AO295" s="816" t="s">
        <v>172</v>
      </c>
      <c r="AP295" s="816" t="s">
        <v>173</v>
      </c>
      <c r="AQ295" s="816" t="s">
        <v>174</v>
      </c>
      <c r="AR295" s="816" t="s">
        <v>224</v>
      </c>
      <c r="AS295" s="816" t="s">
        <v>225</v>
      </c>
      <c r="AT295" s="816" t="s">
        <v>226</v>
      </c>
      <c r="AU295" s="166"/>
      <c r="AV295" s="166"/>
      <c r="AW295" s="166"/>
      <c r="AX295" s="166"/>
      <c r="AY295" s="166"/>
      <c r="AZ295" s="166"/>
      <c r="BA295" s="166"/>
      <c r="BB295" s="166"/>
      <c r="BC295" s="166"/>
      <c r="BD295" s="166"/>
      <c r="BE295" s="166"/>
      <c r="BF295" s="166"/>
      <c r="BG295" s="166"/>
      <c r="BH295" s="166"/>
      <c r="BI295" s="166"/>
      <c r="BJ295" s="166"/>
      <c r="BK295" s="166"/>
      <c r="BL295" s="166"/>
      <c r="BM295" s="166"/>
      <c r="BN295" s="166"/>
    </row>
    <row r="296" spans="2:66" ht="14.4" x14ac:dyDescent="0.3">
      <c r="B296" s="813"/>
      <c r="C296" s="816">
        <v>0</v>
      </c>
      <c r="D296" s="816">
        <v>1</v>
      </c>
      <c r="E296" s="816">
        <v>2</v>
      </c>
      <c r="F296" s="816">
        <v>3</v>
      </c>
      <c r="G296" s="816">
        <v>4</v>
      </c>
      <c r="H296" s="816">
        <v>5</v>
      </c>
      <c r="I296" s="816">
        <v>6</v>
      </c>
      <c r="J296" s="816">
        <v>7</v>
      </c>
      <c r="K296" s="816">
        <v>8</v>
      </c>
      <c r="L296" s="816">
        <v>9</v>
      </c>
      <c r="M296" s="816">
        <v>10</v>
      </c>
      <c r="N296" s="816">
        <v>11</v>
      </c>
      <c r="O296" s="816">
        <v>12</v>
      </c>
      <c r="P296" s="816">
        <v>13</v>
      </c>
      <c r="Q296" s="816">
        <v>14</v>
      </c>
      <c r="R296" s="816">
        <v>15</v>
      </c>
      <c r="S296" s="816">
        <v>16</v>
      </c>
      <c r="T296" s="816">
        <v>17</v>
      </c>
      <c r="U296" s="816">
        <v>18</v>
      </c>
      <c r="V296" s="816">
        <v>19</v>
      </c>
      <c r="W296" s="816">
        <v>20</v>
      </c>
      <c r="X296" s="816">
        <v>21</v>
      </c>
      <c r="Y296" s="816">
        <v>22</v>
      </c>
      <c r="Z296" s="816">
        <v>23</v>
      </c>
      <c r="AA296" s="816">
        <v>24</v>
      </c>
      <c r="AB296" s="816">
        <v>25</v>
      </c>
      <c r="AC296" s="816">
        <v>26</v>
      </c>
      <c r="AD296" s="816">
        <v>27</v>
      </c>
      <c r="AE296" s="816">
        <v>28</v>
      </c>
      <c r="AF296" s="816">
        <v>29</v>
      </c>
      <c r="AG296" s="816">
        <v>30</v>
      </c>
      <c r="AH296" s="816">
        <v>31</v>
      </c>
      <c r="AI296" s="816">
        <v>32</v>
      </c>
      <c r="AJ296" s="816">
        <v>33</v>
      </c>
      <c r="AK296" s="816">
        <v>34</v>
      </c>
      <c r="AL296" s="816">
        <v>35</v>
      </c>
      <c r="AM296" s="816">
        <v>36</v>
      </c>
      <c r="AN296" s="816">
        <v>37</v>
      </c>
      <c r="AO296" s="816">
        <v>38</v>
      </c>
      <c r="AP296" s="816">
        <v>39</v>
      </c>
      <c r="AQ296" s="816">
        <v>40</v>
      </c>
      <c r="AR296" s="816">
        <v>41</v>
      </c>
      <c r="AS296" s="816">
        <v>42</v>
      </c>
      <c r="AT296" s="816">
        <v>43</v>
      </c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</row>
    <row r="297" spans="2:66" ht="14.4" x14ac:dyDescent="0.3">
      <c r="B297" s="813"/>
      <c r="C297" s="816">
        <v>0</v>
      </c>
      <c r="D297" s="816">
        <v>0</v>
      </c>
      <c r="E297" s="816">
        <v>0</v>
      </c>
      <c r="F297" s="816">
        <v>0</v>
      </c>
      <c r="G297" s="816">
        <v>1</v>
      </c>
      <c r="H297" s="816">
        <v>2</v>
      </c>
      <c r="I297" s="816">
        <v>3</v>
      </c>
      <c r="J297" s="816">
        <v>4</v>
      </c>
      <c r="K297" s="816">
        <v>5</v>
      </c>
      <c r="L297" s="816">
        <v>6</v>
      </c>
      <c r="M297" s="816">
        <v>7</v>
      </c>
      <c r="N297" s="816">
        <v>8</v>
      </c>
      <c r="O297" s="816">
        <v>9</v>
      </c>
      <c r="P297" s="816">
        <v>10</v>
      </c>
      <c r="Q297" s="816">
        <v>11</v>
      </c>
      <c r="R297" s="816">
        <v>12</v>
      </c>
      <c r="S297" s="816">
        <v>13</v>
      </c>
      <c r="T297" s="816">
        <v>14</v>
      </c>
      <c r="U297" s="816">
        <v>15</v>
      </c>
      <c r="V297" s="816">
        <v>16</v>
      </c>
      <c r="W297" s="816">
        <v>17</v>
      </c>
      <c r="X297" s="816">
        <v>18</v>
      </c>
      <c r="Y297" s="816">
        <v>19</v>
      </c>
      <c r="Z297" s="816">
        <v>20</v>
      </c>
      <c r="AA297" s="816">
        <v>21</v>
      </c>
      <c r="AB297" s="816">
        <v>22</v>
      </c>
      <c r="AC297" s="816">
        <v>23</v>
      </c>
      <c r="AD297" s="816">
        <v>24</v>
      </c>
      <c r="AE297" s="816">
        <v>25</v>
      </c>
      <c r="AF297" s="816">
        <v>26</v>
      </c>
      <c r="AG297" s="816">
        <v>27</v>
      </c>
      <c r="AH297" s="816">
        <v>28</v>
      </c>
      <c r="AI297" s="816">
        <v>29</v>
      </c>
      <c r="AJ297" s="816">
        <v>30</v>
      </c>
      <c r="AK297" s="816">
        <v>31</v>
      </c>
      <c r="AL297" s="816">
        <v>32</v>
      </c>
      <c r="AM297" s="816">
        <v>33</v>
      </c>
      <c r="AN297" s="816">
        <v>34</v>
      </c>
      <c r="AO297" s="816">
        <v>35</v>
      </c>
      <c r="AP297" s="816">
        <v>36</v>
      </c>
      <c r="AQ297" s="816">
        <v>37</v>
      </c>
      <c r="AR297" s="816">
        <v>38</v>
      </c>
      <c r="AS297" s="816">
        <v>39</v>
      </c>
      <c r="AT297" s="816">
        <v>40</v>
      </c>
      <c r="AU297" s="166"/>
      <c r="AV297" s="166"/>
      <c r="AW297" s="166"/>
      <c r="AX297" s="166"/>
      <c r="AY297" s="166"/>
      <c r="AZ297" s="166"/>
      <c r="BA297" s="166"/>
      <c r="BB297" s="166"/>
      <c r="BC297" s="166"/>
      <c r="BD297" s="166"/>
      <c r="BE297" s="166"/>
      <c r="BF297" s="166"/>
      <c r="BG297" s="166"/>
      <c r="BH297" s="166"/>
      <c r="BI297" s="166"/>
      <c r="BJ297" s="166"/>
      <c r="BK297" s="166"/>
      <c r="BL297" s="166"/>
      <c r="BM297" s="166"/>
      <c r="BN297" s="166"/>
    </row>
    <row r="298" spans="2:66" ht="14.4" x14ac:dyDescent="0.3">
      <c r="B298" s="813"/>
      <c r="C298" s="798"/>
      <c r="D298" s="798"/>
      <c r="E298" s="798"/>
      <c r="F298" s="798"/>
      <c r="G298" s="798"/>
      <c r="H298" s="798"/>
      <c r="I298" s="798"/>
      <c r="J298" s="798"/>
      <c r="K298" s="798"/>
      <c r="L298" s="798"/>
      <c r="M298" s="798"/>
      <c r="N298" s="798"/>
      <c r="O298" s="798"/>
      <c r="P298" s="798"/>
      <c r="Q298" s="798"/>
      <c r="R298" s="798"/>
      <c r="S298" s="798"/>
      <c r="T298" s="798"/>
      <c r="U298" s="798"/>
      <c r="V298" s="798"/>
      <c r="W298" s="798"/>
      <c r="X298" s="798"/>
      <c r="Y298" s="798"/>
      <c r="Z298" s="798"/>
      <c r="AA298" s="798"/>
      <c r="AB298" s="798"/>
      <c r="AC298" s="798"/>
      <c r="AD298" s="798"/>
      <c r="AE298" s="798"/>
      <c r="AF298" s="798"/>
      <c r="AG298" s="798"/>
      <c r="AH298" s="798"/>
      <c r="AI298" s="798"/>
      <c r="AJ298" s="798"/>
      <c r="AK298" s="798"/>
      <c r="AL298" s="798"/>
      <c r="AM298" s="798"/>
      <c r="AN298" s="798"/>
      <c r="AO298" s="798"/>
      <c r="AP298" s="798"/>
      <c r="AQ298" s="798"/>
      <c r="AR298" s="798"/>
      <c r="AS298" s="798"/>
      <c r="AT298" s="798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</row>
    <row r="299" spans="2:66" ht="14.4" x14ac:dyDescent="0.25">
      <c r="B299" s="830" t="s">
        <v>434</v>
      </c>
      <c r="C299" s="807"/>
      <c r="D299" s="807"/>
      <c r="E299" s="807"/>
      <c r="F299" s="807"/>
      <c r="G299" s="807"/>
      <c r="H299" s="807"/>
      <c r="I299" s="807"/>
      <c r="J299" s="807"/>
      <c r="K299" s="807"/>
      <c r="L299" s="807"/>
      <c r="M299" s="807"/>
      <c r="N299" s="807"/>
      <c r="O299" s="807"/>
      <c r="P299" s="807"/>
      <c r="Q299" s="807"/>
      <c r="R299" s="807"/>
      <c r="S299" s="807"/>
      <c r="T299" s="807"/>
      <c r="U299" s="807"/>
      <c r="V299" s="807"/>
      <c r="W299" s="807"/>
      <c r="X299" s="807"/>
      <c r="Y299" s="807"/>
      <c r="Z299" s="807"/>
      <c r="AA299" s="807"/>
      <c r="AB299" s="807"/>
      <c r="AC299" s="807"/>
      <c r="AD299" s="807"/>
      <c r="AE299" s="807"/>
      <c r="AF299" s="807"/>
      <c r="AG299" s="807"/>
      <c r="AH299" s="807"/>
      <c r="AI299" s="807"/>
      <c r="AJ299" s="807"/>
      <c r="AK299" s="807"/>
      <c r="AL299" s="807"/>
      <c r="AM299" s="807"/>
      <c r="AN299" s="807"/>
      <c r="AO299" s="807"/>
      <c r="AP299" s="807"/>
      <c r="AQ299" s="807"/>
      <c r="AR299" s="807"/>
      <c r="AS299" s="807"/>
      <c r="AT299" s="807"/>
      <c r="AU299" s="166"/>
      <c r="AV299" s="166"/>
      <c r="AW299" s="166"/>
      <c r="AX299" s="166"/>
      <c r="AY299" s="166"/>
      <c r="AZ299" s="166"/>
      <c r="BA299" s="166"/>
      <c r="BB299" s="166"/>
      <c r="BC299" s="166"/>
      <c r="BD299" s="166"/>
      <c r="BE299" s="166"/>
      <c r="BF299" s="166"/>
      <c r="BG299" s="166"/>
      <c r="BH299" s="166"/>
      <c r="BI299" s="166"/>
      <c r="BJ299" s="166"/>
      <c r="BK299" s="166"/>
      <c r="BL299" s="166"/>
      <c r="BM299" s="166"/>
      <c r="BN299" s="166"/>
    </row>
    <row r="300" spans="2:66" x14ac:dyDescent="0.25">
      <c r="B300" s="831" t="s">
        <v>449</v>
      </c>
      <c r="C300" s="178">
        <v>0</v>
      </c>
      <c r="D300" s="178">
        <v>0</v>
      </c>
      <c r="E300" s="178">
        <v>0</v>
      </c>
      <c r="F300" s="178">
        <v>0</v>
      </c>
      <c r="G300" s="268">
        <f>G224</f>
        <v>3489433.6493760138</v>
      </c>
      <c r="H300" s="268">
        <f t="shared" ref="H300:AT300" si="198">H224</f>
        <v>3864615.9241095837</v>
      </c>
      <c r="I300" s="268">
        <f t="shared" si="198"/>
        <v>3667955.0526417415</v>
      </c>
      <c r="J300" s="268">
        <f t="shared" si="198"/>
        <v>3754445.5924109258</v>
      </c>
      <c r="K300" s="268">
        <f t="shared" si="198"/>
        <v>8581249.2635108829</v>
      </c>
      <c r="L300" s="268">
        <f t="shared" si="198"/>
        <v>3933734.6730025862</v>
      </c>
      <c r="M300" s="268">
        <f t="shared" si="198"/>
        <v>4026637.2762531824</v>
      </c>
      <c r="N300" s="268">
        <f t="shared" si="198"/>
        <v>4121783.4832045212</v>
      </c>
      <c r="O300" s="268">
        <f t="shared" si="198"/>
        <v>4219228.6557829175</v>
      </c>
      <c r="P300" s="268">
        <f t="shared" si="198"/>
        <v>9525155.6981958821</v>
      </c>
      <c r="Q300" s="268">
        <f t="shared" si="198"/>
        <v>4421244.3521579085</v>
      </c>
      <c r="R300" s="268">
        <f t="shared" si="198"/>
        <v>4525932.7147169104</v>
      </c>
      <c r="S300" s="268">
        <f t="shared" si="198"/>
        <v>4633155.7948184023</v>
      </c>
      <c r="T300" s="268">
        <f t="shared" si="198"/>
        <v>4742976.2925206041</v>
      </c>
      <c r="U300" s="268">
        <f t="shared" si="198"/>
        <v>10575689.81600501</v>
      </c>
      <c r="V300" s="268">
        <f t="shared" si="198"/>
        <v>4970668.2950297529</v>
      </c>
      <c r="W300" s="268">
        <f t="shared" si="198"/>
        <v>5088673.2772134263</v>
      </c>
      <c r="X300" s="268">
        <f t="shared" si="198"/>
        <v>5209542.7163924491</v>
      </c>
      <c r="Y300" s="268">
        <f t="shared" si="198"/>
        <v>5333347.6438662987</v>
      </c>
      <c r="Z300" s="268">
        <f t="shared" si="198"/>
        <v>11745267.263724331</v>
      </c>
      <c r="AA300" s="268">
        <f t="shared" si="198"/>
        <v>5590057.1209969632</v>
      </c>
      <c r="AB300" s="268">
        <f t="shared" si="198"/>
        <v>5723112.9055465749</v>
      </c>
      <c r="AC300" s="268">
        <f t="shared" si="198"/>
        <v>5859406.7445057584</v>
      </c>
      <c r="AD300" s="268">
        <f t="shared" si="198"/>
        <v>5999019.1305208495</v>
      </c>
      <c r="AE300" s="268">
        <f t="shared" si="198"/>
        <v>13047797.821644107</v>
      </c>
      <c r="AF300" s="268">
        <f t="shared" si="198"/>
        <v>6288531.773346208</v>
      </c>
      <c r="AG300" s="268">
        <f t="shared" si="198"/>
        <v>6438603.4340750668</v>
      </c>
      <c r="AH300" s="268">
        <f t="shared" si="198"/>
        <v>6592336.5593562629</v>
      </c>
      <c r="AI300" s="268">
        <f t="shared" si="198"/>
        <v>6749822.3895147499</v>
      </c>
      <c r="AJ300" s="268">
        <f t="shared" si="198"/>
        <v>14498871.466441935</v>
      </c>
      <c r="AK300" s="268">
        <f t="shared" si="198"/>
        <v>7076428.7815859448</v>
      </c>
      <c r="AL300" s="268">
        <f t="shared" si="198"/>
        <v>7245743.6616738085</v>
      </c>
      <c r="AM300" s="268">
        <f t="shared" si="198"/>
        <v>7419200.0078551713</v>
      </c>
      <c r="AN300" s="268">
        <f t="shared" si="198"/>
        <v>7596901.2726635616</v>
      </c>
      <c r="AO300" s="268">
        <f t="shared" si="198"/>
        <v>16115968.399872713</v>
      </c>
      <c r="AP300" s="268">
        <f t="shared" si="198"/>
        <v>7965465.6146529177</v>
      </c>
      <c r="AQ300" s="268">
        <f t="shared" si="198"/>
        <v>8156549.0501983799</v>
      </c>
      <c r="AR300" s="268">
        <f t="shared" si="198"/>
        <v>8352318.2633171976</v>
      </c>
      <c r="AS300" s="268">
        <f t="shared" si="198"/>
        <v>8552890.5865902863</v>
      </c>
      <c r="AT300" s="268">
        <f t="shared" si="198"/>
        <v>17918696.229972437</v>
      </c>
      <c r="AU300" s="166"/>
      <c r="AV300" s="166"/>
      <c r="AW300" s="166"/>
      <c r="AX300" s="166"/>
      <c r="AY300" s="166"/>
      <c r="AZ300" s="166"/>
      <c r="BA300" s="166"/>
      <c r="BB300" s="166"/>
      <c r="BC300" s="166"/>
      <c r="BD300" s="166"/>
      <c r="BE300" s="166"/>
      <c r="BF300" s="166"/>
      <c r="BG300" s="166"/>
      <c r="BH300" s="166"/>
      <c r="BI300" s="166"/>
      <c r="BJ300" s="166"/>
      <c r="BK300" s="166"/>
      <c r="BL300" s="166"/>
      <c r="BM300" s="166"/>
      <c r="BN300" s="166"/>
    </row>
    <row r="301" spans="2:66" x14ac:dyDescent="0.25">
      <c r="B301" s="832" t="s">
        <v>379</v>
      </c>
      <c r="C301" s="178">
        <v>0</v>
      </c>
      <c r="D301" s="178">
        <v>0</v>
      </c>
      <c r="E301" s="178">
        <v>0</v>
      </c>
      <c r="F301" s="178">
        <v>0</v>
      </c>
      <c r="G301" s="758">
        <f>DEMANDA!C75*PARAMETROS!$C$61</f>
        <v>4986944.2582592117</v>
      </c>
      <c r="H301" s="758">
        <f>DEMANDA!D75*PARAMETROS!$C$61</f>
        <v>6649259.0110122822</v>
      </c>
      <c r="I301" s="758">
        <f>DEMANDA!E75*PARAMETROS!$C$61</f>
        <v>6721899.2651418895</v>
      </c>
      <c r="J301" s="758">
        <f>DEMANDA!F75*PARAMETROS!$C$61</f>
        <v>6794539.5192714948</v>
      </c>
      <c r="K301" s="758">
        <f>DEMANDA!G75*PARAMETROS!$C$61</f>
        <v>6867179.7734011021</v>
      </c>
      <c r="L301" s="758">
        <f>DEMANDA!H75*PARAMETROS!$C$61</f>
        <v>6939820.0275307074</v>
      </c>
      <c r="M301" s="758">
        <f>DEMANDA!I75*PARAMETROS!$C$61</f>
        <v>7012460.2816603137</v>
      </c>
      <c r="N301" s="758">
        <f>DEMANDA!J75*PARAMETROS!$C$61</f>
        <v>7048030.9698073715</v>
      </c>
      <c r="O301" s="758">
        <f>DEMANDA!K75*PARAMETROS!$C$61</f>
        <v>7083601.6579544311</v>
      </c>
      <c r="P301" s="758">
        <f>DEMANDA!L75*PARAMETROS!$C$61</f>
        <v>7119172.3461014898</v>
      </c>
      <c r="Q301" s="758">
        <f>DEMANDA!M75*PARAMETROS!$C$61</f>
        <v>7154743.0342485495</v>
      </c>
      <c r="R301" s="758">
        <f>DEMANDA!N75*PARAMETROS!$C$61</f>
        <v>7190313.722395611</v>
      </c>
      <c r="S301" s="758">
        <f>DEMANDA!O75*PARAMETROS!$C$61</f>
        <v>7193685.1217178525</v>
      </c>
      <c r="T301" s="758">
        <f>DEMANDA!P75*PARAMETROS!$C$61</f>
        <v>7197056.5210400959</v>
      </c>
      <c r="U301" s="758">
        <f>DEMANDA!Q75*PARAMETROS!$C$61</f>
        <v>7200427.9203623384</v>
      </c>
      <c r="V301" s="758">
        <f>DEMANDA!R75*PARAMETROS!$C$61</f>
        <v>7203799.3196845809</v>
      </c>
      <c r="W301" s="758">
        <f>DEMANDA!S75*PARAMETROS!$C$61</f>
        <v>7207170.7190068215</v>
      </c>
      <c r="X301" s="758">
        <f>DEMANDA!T75*PARAMETROS!$C$61</f>
        <v>7251855.7223623917</v>
      </c>
      <c r="Y301" s="758">
        <f>DEMANDA!U75*PARAMETROS!$C$61</f>
        <v>7296540.7257179627</v>
      </c>
      <c r="Z301" s="758">
        <f>DEMANDA!V75*PARAMETROS!$C$61</f>
        <v>7341225.7290735329</v>
      </c>
      <c r="AA301" s="758">
        <f>DEMANDA!W75*PARAMETROS!$C$61</f>
        <v>7385910.7324291049</v>
      </c>
      <c r="AB301" s="758">
        <f>DEMANDA!X75*PARAMETROS!$C$61</f>
        <v>7430595.7357846759</v>
      </c>
      <c r="AC301" s="758">
        <f>DEMANDA!Y75*PARAMETROS!$C$61</f>
        <v>7430595.7357846759</v>
      </c>
      <c r="AD301" s="758">
        <f>DEMANDA!Z75*PARAMETROS!$C$61</f>
        <v>7430595.7357846759</v>
      </c>
      <c r="AE301" s="758">
        <f>DEMANDA!AA75*PARAMETROS!$C$61</f>
        <v>7430595.7357846759</v>
      </c>
      <c r="AF301" s="758">
        <f>DEMANDA!AB75*PARAMETROS!$C$61</f>
        <v>7430595.7357846759</v>
      </c>
      <c r="AG301" s="758">
        <f>DEMANDA!AC75*PARAMETROS!$C$61</f>
        <v>7430595.7357846759</v>
      </c>
      <c r="AH301" s="758">
        <f>DEMANDA!AD75*PARAMETROS!$C$61</f>
        <v>7430595.7357846759</v>
      </c>
      <c r="AI301" s="758">
        <f>DEMANDA!AE75*PARAMETROS!$C$61</f>
        <v>7430595.7357846759</v>
      </c>
      <c r="AJ301" s="758">
        <f>DEMANDA!AF75*PARAMETROS!$C$61</f>
        <v>7430595.7357846759</v>
      </c>
      <c r="AK301" s="758">
        <f>DEMANDA!AG75*PARAMETROS!$C$61</f>
        <v>7430595.7357846759</v>
      </c>
      <c r="AL301" s="758">
        <f>DEMANDA!AH75*PARAMETROS!$C$61</f>
        <v>7430595.7357846759</v>
      </c>
      <c r="AM301" s="758">
        <f>DEMANDA!AI75*PARAMETROS!$C$61</f>
        <v>7430595.7357846759</v>
      </c>
      <c r="AN301" s="758">
        <f>DEMANDA!AJ75*PARAMETROS!$C$61</f>
        <v>7430595.7357846759</v>
      </c>
      <c r="AO301" s="758">
        <f>DEMANDA!AK75*PARAMETROS!$C$61</f>
        <v>7430595.7357846759</v>
      </c>
      <c r="AP301" s="758">
        <f>DEMANDA!AL75*PARAMETROS!$C$61</f>
        <v>7430595.7357846759</v>
      </c>
      <c r="AQ301" s="758">
        <f>DEMANDA!AM75*PARAMETROS!$C$61</f>
        <v>7430595.7357846759</v>
      </c>
      <c r="AR301" s="758">
        <f>DEMANDA!AN75*PARAMETROS!$C$61</f>
        <v>7430595.7357846759</v>
      </c>
      <c r="AS301" s="758">
        <f>DEMANDA!AO75*PARAMETROS!$C$61</f>
        <v>7430595.7357846759</v>
      </c>
      <c r="AT301" s="758">
        <f>DEMANDA!AP75*PARAMETROS!$C$61</f>
        <v>7430595.7357846759</v>
      </c>
      <c r="AU301" s="166"/>
      <c r="AV301" s="166"/>
      <c r="AW301" s="166"/>
      <c r="AX301" s="166"/>
      <c r="AY301" s="166"/>
      <c r="AZ301" s="166"/>
      <c r="BA301" s="166"/>
      <c r="BB301" s="166"/>
      <c r="BC301" s="166"/>
      <c r="BD301" s="166"/>
      <c r="BE301" s="166"/>
      <c r="BF301" s="166"/>
      <c r="BG301" s="166"/>
      <c r="BH301" s="166"/>
      <c r="BI301" s="166"/>
      <c r="BJ301" s="166"/>
      <c r="BK301" s="166"/>
      <c r="BL301" s="166"/>
      <c r="BM301" s="166"/>
      <c r="BN301" s="166"/>
    </row>
    <row r="302" spans="2:66" x14ac:dyDescent="0.25">
      <c r="B302" s="832" t="s">
        <v>395</v>
      </c>
      <c r="C302" s="178">
        <v>0</v>
      </c>
      <c r="D302" s="178">
        <v>0</v>
      </c>
      <c r="E302" s="178">
        <v>0</v>
      </c>
      <c r="F302" s="178">
        <v>0</v>
      </c>
      <c r="G302" s="758">
        <f>'INGRESOS de pasajeros'!C89*PARAMETROS!$C$61</f>
        <v>5074215.7827787483</v>
      </c>
      <c r="H302" s="758">
        <f>'INGRESOS de pasajeros'!D89*PARAMETROS!$C$61</f>
        <v>6765621.0437049968</v>
      </c>
      <c r="I302" s="758">
        <f>'INGRESOS de pasajeros'!E89*PARAMETROS!$C$61</f>
        <v>7150731.231135698</v>
      </c>
      <c r="J302" s="758">
        <f>'INGRESOS de pasajeros'!F89*PARAMETROS!$C$61</f>
        <v>7228005.6610778179</v>
      </c>
      <c r="K302" s="758">
        <f>'INGRESOS de pasajeros'!G89*PARAMETROS!$C$61</f>
        <v>7600413.4066971447</v>
      </c>
      <c r="L302" s="758">
        <f>'INGRESOS de pasajeros'!H89*PARAMETROS!$C$61</f>
        <v>7680809.7236089287</v>
      </c>
      <c r="M302" s="758">
        <f>'INGRESOS de pasajeros'!I89*PARAMETROS!$C$61</f>
        <v>8074758.7645577509</v>
      </c>
      <c r="N302" s="758">
        <f>'INGRESOS de pasajeros'!J89*PARAMETROS!$C$61</f>
        <v>8115717.9592398219</v>
      </c>
      <c r="O302" s="758">
        <f>'INGRESOS de pasajeros'!K89*PARAMETROS!$C$61</f>
        <v>8486206.9109403342</v>
      </c>
      <c r="P302" s="758">
        <f>'INGRESOS de pasajeros'!L89*PARAMETROS!$C$61</f>
        <v>8528820.8570875619</v>
      </c>
      <c r="Q302" s="758">
        <f>'INGRESOS de pasajeros'!M89*PARAMETROS!$C$61</f>
        <v>8917720.769285474</v>
      </c>
      <c r="R302" s="758">
        <f>'INGRESOS de pasajeros'!N89*PARAMETROS!$C$61</f>
        <v>8962056.3188570533</v>
      </c>
      <c r="S302" s="758">
        <f>'INGRESOS de pasajeros'!O89*PARAMETROS!$C$61</f>
        <v>9328495.2956309598</v>
      </c>
      <c r="T302" s="758">
        <f>'INGRESOS de pasajeros'!P89*PARAMETROS!$C$61</f>
        <v>9332867.1971230488</v>
      </c>
      <c r="U302" s="758">
        <f>'INGRESOS de pasajeros'!Q89*PARAMETROS!$C$61</f>
        <v>9714463.5581991859</v>
      </c>
      <c r="V302" s="758">
        <f>'INGRESOS de pasajeros'!R89*PARAMETROS!$C$61</f>
        <v>9719012.0845115501</v>
      </c>
      <c r="W302" s="758">
        <f>'INGRESOS de pasajeros'!S89*PARAMETROS!$C$61</f>
        <v>10116392.459501199</v>
      </c>
      <c r="X302" s="758">
        <f>'INGRESOS de pasajeros'!T89*PARAMETROS!$C$61</f>
        <v>10179114.857599376</v>
      </c>
      <c r="Y302" s="758">
        <f>'INGRESOS de pasajeros'!U89*PARAMETROS!$C$61</f>
        <v>10655607.480827741</v>
      </c>
      <c r="Z302" s="758">
        <f>'INGRESOS de pasajeros'!V89*PARAMETROS!$C$61</f>
        <v>10720863.863809085</v>
      </c>
      <c r="AA302" s="758">
        <f>'INGRESOS de pasajeros'!W89*PARAMETROS!$C$61</f>
        <v>11221879.504760763</v>
      </c>
      <c r="AB302" s="758">
        <f>'INGRESOS de pasajeros'!X89*PARAMETROS!$C$61</f>
        <v>11289772.245614557</v>
      </c>
      <c r="AC302" s="758">
        <f>'INGRESOS de pasajeros'!Y89*PARAMETROS!$C$61</f>
        <v>11745879.044337384</v>
      </c>
      <c r="AD302" s="758">
        <f>'INGRESOS de pasajeros'!Z89*PARAMETROS!$C$61</f>
        <v>11745879.044337384</v>
      </c>
      <c r="AE302" s="758">
        <f>'INGRESOS de pasajeros'!AA89*PARAMETROS!$C$61</f>
        <v>12220412.557728615</v>
      </c>
      <c r="AF302" s="758">
        <f>'INGRESOS de pasajeros'!AB89*PARAMETROS!$C$61</f>
        <v>12220412.557728615</v>
      </c>
      <c r="AG302" s="758">
        <f>'INGRESOS de pasajeros'!AC89*PARAMETROS!$C$61</f>
        <v>12714117.22506085</v>
      </c>
      <c r="AH302" s="758">
        <f>'INGRESOS de pasajeros'!AD89*PARAMETROS!$C$61</f>
        <v>12714117.22506085</v>
      </c>
      <c r="AI302" s="758">
        <f>'INGRESOS de pasajeros'!AE89*PARAMETROS!$C$61</f>
        <v>13227767.560953308</v>
      </c>
      <c r="AJ302" s="758">
        <f>'INGRESOS de pasajeros'!AF89*PARAMETROS!$C$61</f>
        <v>13227767.560953308</v>
      </c>
      <c r="AK302" s="758">
        <f>'INGRESOS de pasajeros'!AG89*PARAMETROS!$C$61</f>
        <v>13762169.370415824</v>
      </c>
      <c r="AL302" s="758">
        <f>'INGRESOS de pasajeros'!AH89*PARAMETROS!$C$61</f>
        <v>13762169.370415824</v>
      </c>
      <c r="AM302" s="758">
        <f>'INGRESOS de pasajeros'!AI89*PARAMETROS!$C$61</f>
        <v>14318161.012980621</v>
      </c>
      <c r="AN302" s="758">
        <f>'INGRESOS de pasajeros'!AJ89*PARAMETROS!$C$61</f>
        <v>14318161.012980621</v>
      </c>
      <c r="AO302" s="758">
        <f>'INGRESOS de pasajeros'!AK89*PARAMETROS!$C$61</f>
        <v>14896614.717905041</v>
      </c>
      <c r="AP302" s="758">
        <f>'INGRESOS de pasajeros'!AL89*PARAMETROS!$C$61</f>
        <v>14896614.717905041</v>
      </c>
      <c r="AQ302" s="758">
        <f>'INGRESOS de pasajeros'!AM89*PARAMETROS!$C$61</f>
        <v>15498437.952508403</v>
      </c>
      <c r="AR302" s="758">
        <f>'INGRESOS de pasajeros'!AN89*PARAMETROS!$C$61</f>
        <v>15498437.952508403</v>
      </c>
      <c r="AS302" s="758">
        <f>'INGRESOS de pasajeros'!AO89*PARAMETROS!$C$61</f>
        <v>16124574.845789742</v>
      </c>
      <c r="AT302" s="758">
        <f>'INGRESOS de pasajeros'!AP89*PARAMETROS!$C$61</f>
        <v>16124574.845789742</v>
      </c>
      <c r="AU302" s="166"/>
      <c r="AV302" s="166"/>
      <c r="AW302" s="166"/>
      <c r="AX302" s="166"/>
      <c r="AY302" s="166"/>
      <c r="AZ302" s="166"/>
      <c r="BA302" s="166"/>
      <c r="BB302" s="166"/>
      <c r="BC302" s="166"/>
      <c r="BD302" s="166"/>
      <c r="BE302" s="166"/>
      <c r="BF302" s="166"/>
      <c r="BG302" s="166"/>
      <c r="BH302" s="166"/>
      <c r="BI302" s="166"/>
      <c r="BJ302" s="166"/>
      <c r="BK302" s="166"/>
      <c r="BL302" s="166"/>
      <c r="BM302" s="166"/>
      <c r="BN302" s="166"/>
    </row>
    <row r="303" spans="2:66" x14ac:dyDescent="0.25">
      <c r="B303" s="832" t="s">
        <v>396</v>
      </c>
      <c r="C303" s="178">
        <v>0</v>
      </c>
      <c r="D303" s="178">
        <v>0</v>
      </c>
      <c r="E303" s="178">
        <v>0</v>
      </c>
      <c r="F303" s="178">
        <v>0</v>
      </c>
      <c r="G303" s="178">
        <f>$C$14*$C$15*12</f>
        <v>420000</v>
      </c>
      <c r="H303" s="178">
        <f t="shared" ref="H303:AT303" si="199">$G$75*((1+$C$25)^G297)</f>
        <v>428400</v>
      </c>
      <c r="I303" s="178">
        <f t="shared" si="199"/>
        <v>436968</v>
      </c>
      <c r="J303" s="178">
        <f t="shared" si="199"/>
        <v>445707.36</v>
      </c>
      <c r="K303" s="178">
        <f t="shared" si="199"/>
        <v>454621.50719999999</v>
      </c>
      <c r="L303" s="178">
        <f t="shared" si="199"/>
        <v>463713.93734400003</v>
      </c>
      <c r="M303" s="178">
        <f t="shared" si="199"/>
        <v>472988.21609088004</v>
      </c>
      <c r="N303" s="178">
        <f t="shared" si="199"/>
        <v>482447.98041269754</v>
      </c>
      <c r="O303" s="178">
        <f t="shared" si="199"/>
        <v>492096.9400209515</v>
      </c>
      <c r="P303" s="178">
        <f t="shared" si="199"/>
        <v>501938.87882137054</v>
      </c>
      <c r="Q303" s="178">
        <f t="shared" si="199"/>
        <v>511977.65639779798</v>
      </c>
      <c r="R303" s="178">
        <f t="shared" si="199"/>
        <v>522217.20952575386</v>
      </c>
      <c r="S303" s="178">
        <f t="shared" si="199"/>
        <v>532661.55371626897</v>
      </c>
      <c r="T303" s="178">
        <f t="shared" si="199"/>
        <v>543314.78479059436</v>
      </c>
      <c r="U303" s="178">
        <f t="shared" si="199"/>
        <v>554181.08048640634</v>
      </c>
      <c r="V303" s="178">
        <f t="shared" si="199"/>
        <v>565264.70209613431</v>
      </c>
      <c r="W303" s="178">
        <f t="shared" si="199"/>
        <v>576569.99613805709</v>
      </c>
      <c r="X303" s="178">
        <f t="shared" si="199"/>
        <v>588101.39606081822</v>
      </c>
      <c r="Y303" s="178">
        <f t="shared" si="199"/>
        <v>599863.42398203455</v>
      </c>
      <c r="Z303" s="178">
        <f t="shared" si="199"/>
        <v>611860.69246167527</v>
      </c>
      <c r="AA303" s="178">
        <f t="shared" si="199"/>
        <v>624097.90631090873</v>
      </c>
      <c r="AB303" s="178">
        <f t="shared" si="199"/>
        <v>636579.8644371269</v>
      </c>
      <c r="AC303" s="178">
        <f t="shared" si="199"/>
        <v>649311.46172586945</v>
      </c>
      <c r="AD303" s="178">
        <f t="shared" si="199"/>
        <v>662297.69096038677</v>
      </c>
      <c r="AE303" s="178">
        <f t="shared" si="199"/>
        <v>675543.6447795945</v>
      </c>
      <c r="AF303" s="178">
        <f t="shared" si="199"/>
        <v>689054.51767518639</v>
      </c>
      <c r="AG303" s="178">
        <f t="shared" si="199"/>
        <v>702835.60802869021</v>
      </c>
      <c r="AH303" s="178">
        <f t="shared" si="199"/>
        <v>716892.3201892639</v>
      </c>
      <c r="AI303" s="178">
        <f t="shared" si="199"/>
        <v>731230.1665930493</v>
      </c>
      <c r="AJ303" s="178">
        <f t="shared" si="199"/>
        <v>745854.76992491016</v>
      </c>
      <c r="AK303" s="178">
        <f t="shared" si="199"/>
        <v>760771.86532340851</v>
      </c>
      <c r="AL303" s="178">
        <f t="shared" si="199"/>
        <v>775987.30262987642</v>
      </c>
      <c r="AM303" s="178">
        <f t="shared" si="199"/>
        <v>791507.04868247418</v>
      </c>
      <c r="AN303" s="178">
        <f t="shared" si="199"/>
        <v>807337.18965612364</v>
      </c>
      <c r="AO303" s="178">
        <f t="shared" si="199"/>
        <v>823483.93344924611</v>
      </c>
      <c r="AP303" s="178">
        <f t="shared" si="199"/>
        <v>839953.61211823102</v>
      </c>
      <c r="AQ303" s="178">
        <f t="shared" si="199"/>
        <v>856752.68436059554</v>
      </c>
      <c r="AR303" s="178">
        <f t="shared" si="199"/>
        <v>873887.73804780759</v>
      </c>
      <c r="AS303" s="178">
        <f t="shared" si="199"/>
        <v>891365.49280876387</v>
      </c>
      <c r="AT303" s="178">
        <f t="shared" si="199"/>
        <v>909192.80266493873</v>
      </c>
      <c r="AU303" s="166"/>
      <c r="AV303" s="166"/>
      <c r="AW303" s="166"/>
      <c r="AX303" s="166"/>
      <c r="AY303" s="166"/>
      <c r="AZ303" s="166"/>
      <c r="BA303" s="166"/>
      <c r="BB303" s="166"/>
      <c r="BC303" s="166"/>
      <c r="BD303" s="166"/>
      <c r="BE303" s="166"/>
      <c r="BF303" s="166"/>
      <c r="BG303" s="166"/>
      <c r="BH303" s="166"/>
      <c r="BI303" s="166"/>
      <c r="BJ303" s="166"/>
      <c r="BK303" s="166"/>
      <c r="BL303" s="166"/>
      <c r="BM303" s="166"/>
      <c r="BN303" s="166"/>
    </row>
    <row r="304" spans="2:66" x14ac:dyDescent="0.25">
      <c r="B304" s="832"/>
      <c r="C304" s="178"/>
      <c r="D304" s="178"/>
      <c r="E304" s="178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178"/>
      <c r="AH304" s="178"/>
      <c r="AI304" s="178"/>
      <c r="AJ304" s="178"/>
      <c r="AK304" s="178"/>
      <c r="AL304" s="178"/>
      <c r="AM304" s="178"/>
      <c r="AN304" s="178"/>
      <c r="AO304" s="178"/>
      <c r="AP304" s="178"/>
      <c r="AQ304" s="178"/>
      <c r="AR304" s="178"/>
      <c r="AS304" s="178"/>
      <c r="AT304" s="178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</row>
    <row r="305" spans="2:66" x14ac:dyDescent="0.25">
      <c r="B305" s="831" t="str">
        <f>B77</f>
        <v>Activos iniciales - Depreciacion 50 años</v>
      </c>
      <c r="C305" s="965">
        <f t="shared" ref="C305:AT311" si="200">C77</f>
        <v>0</v>
      </c>
      <c r="D305" s="965">
        <f t="shared" si="200"/>
        <v>0</v>
      </c>
      <c r="E305" s="965">
        <f t="shared" si="200"/>
        <v>0</v>
      </c>
      <c r="F305" s="965">
        <f t="shared" si="200"/>
        <v>0</v>
      </c>
      <c r="G305" s="965">
        <f t="shared" si="200"/>
        <v>-617417.83808159526</v>
      </c>
      <c r="H305" s="965">
        <f t="shared" si="200"/>
        <v>-617417.83808159526</v>
      </c>
      <c r="I305" s="965">
        <f t="shared" si="200"/>
        <v>-617417.83808159526</v>
      </c>
      <c r="J305" s="965">
        <f t="shared" si="200"/>
        <v>-617417.83808159526</v>
      </c>
      <c r="K305" s="965">
        <f t="shared" si="200"/>
        <v>-617417.83808159526</v>
      </c>
      <c r="L305" s="965">
        <f t="shared" si="200"/>
        <v>-617417.83808159526</v>
      </c>
      <c r="M305" s="965">
        <f t="shared" si="200"/>
        <v>-617417.83808159526</v>
      </c>
      <c r="N305" s="965">
        <f t="shared" si="200"/>
        <v>-617417.83808159526</v>
      </c>
      <c r="O305" s="965">
        <f t="shared" si="200"/>
        <v>-617417.83808159526</v>
      </c>
      <c r="P305" s="965">
        <f t="shared" si="200"/>
        <v>-617417.83808159526</v>
      </c>
      <c r="Q305" s="965">
        <f t="shared" si="200"/>
        <v>-617417.83808159526</v>
      </c>
      <c r="R305" s="965">
        <f t="shared" si="200"/>
        <v>-617417.83808159526</v>
      </c>
      <c r="S305" s="965">
        <f t="shared" si="200"/>
        <v>-617417.83808159526</v>
      </c>
      <c r="T305" s="965">
        <f t="shared" si="200"/>
        <v>-617417.83808159526</v>
      </c>
      <c r="U305" s="965">
        <f t="shared" si="200"/>
        <v>-617417.83808159526</v>
      </c>
      <c r="V305" s="965">
        <f t="shared" si="200"/>
        <v>-617417.83808159526</v>
      </c>
      <c r="W305" s="965">
        <f t="shared" si="200"/>
        <v>-617417.83808159526</v>
      </c>
      <c r="X305" s="965">
        <f t="shared" si="200"/>
        <v>-617417.83808159526</v>
      </c>
      <c r="Y305" s="965">
        <f t="shared" si="200"/>
        <v>-617417.83808159526</v>
      </c>
      <c r="Z305" s="965">
        <f t="shared" si="200"/>
        <v>-617417.83808159526</v>
      </c>
      <c r="AA305" s="965">
        <f t="shared" si="200"/>
        <v>-617417.83808159526</v>
      </c>
      <c r="AB305" s="965">
        <f t="shared" si="200"/>
        <v>-617417.83808159526</v>
      </c>
      <c r="AC305" s="965">
        <f t="shared" si="200"/>
        <v>-617417.83808159526</v>
      </c>
      <c r="AD305" s="965">
        <f t="shared" si="200"/>
        <v>-617417.83808159526</v>
      </c>
      <c r="AE305" s="965">
        <f t="shared" si="200"/>
        <v>-617417.83808159526</v>
      </c>
      <c r="AF305" s="965">
        <f t="shared" si="200"/>
        <v>-617417.83808159526</v>
      </c>
      <c r="AG305" s="965">
        <f t="shared" si="200"/>
        <v>-617417.83808159526</v>
      </c>
      <c r="AH305" s="965">
        <f t="shared" si="200"/>
        <v>-617417.83808159526</v>
      </c>
      <c r="AI305" s="965">
        <f t="shared" si="200"/>
        <v>-617417.83808159526</v>
      </c>
      <c r="AJ305" s="965">
        <f t="shared" si="200"/>
        <v>-617417.83808159526</v>
      </c>
      <c r="AK305" s="965">
        <f t="shared" si="200"/>
        <v>-617417.83808159526</v>
      </c>
      <c r="AL305" s="965">
        <f t="shared" si="200"/>
        <v>-617417.83808159526</v>
      </c>
      <c r="AM305" s="965">
        <f t="shared" si="200"/>
        <v>-617417.83808159526</v>
      </c>
      <c r="AN305" s="965">
        <f t="shared" si="200"/>
        <v>-617417.83808159526</v>
      </c>
      <c r="AO305" s="965">
        <f t="shared" si="200"/>
        <v>-617417.83808159526</v>
      </c>
      <c r="AP305" s="965">
        <f t="shared" si="200"/>
        <v>-617417.83808159526</v>
      </c>
      <c r="AQ305" s="965">
        <f t="shared" si="200"/>
        <v>-617417.83808159526</v>
      </c>
      <c r="AR305" s="965">
        <f t="shared" si="200"/>
        <v>-617417.83808159526</v>
      </c>
      <c r="AS305" s="965">
        <f t="shared" si="200"/>
        <v>-617417.83808159526</v>
      </c>
      <c r="AT305" s="965">
        <f t="shared" si="200"/>
        <v>-617417.83808159526</v>
      </c>
      <c r="AU305" s="166"/>
      <c r="AV305" s="166"/>
      <c r="AW305" s="166"/>
      <c r="AX305" s="166"/>
      <c r="AY305" s="166"/>
      <c r="AZ305" s="166"/>
      <c r="BA305" s="166"/>
      <c r="BB305" s="166"/>
      <c r="BC305" s="166"/>
      <c r="BD305" s="166"/>
      <c r="BE305" s="166"/>
      <c r="BF305" s="166"/>
      <c r="BG305" s="166"/>
      <c r="BH305" s="166"/>
      <c r="BI305" s="166"/>
      <c r="BJ305" s="166"/>
      <c r="BK305" s="166"/>
      <c r="BL305" s="166"/>
      <c r="BM305" s="166"/>
      <c r="BN305" s="166"/>
    </row>
    <row r="306" spans="2:66" x14ac:dyDescent="0.25">
      <c r="B306" s="831" t="str">
        <f t="shared" ref="B306:Q318" si="201">B78</f>
        <v>Activos iniciales - Depreciacion 40 años</v>
      </c>
      <c r="C306" s="965">
        <f t="shared" si="201"/>
        <v>0</v>
      </c>
      <c r="D306" s="965">
        <f t="shared" si="201"/>
        <v>0</v>
      </c>
      <c r="E306" s="965">
        <f t="shared" si="201"/>
        <v>0</v>
      </c>
      <c r="F306" s="965">
        <f t="shared" si="201"/>
        <v>0</v>
      </c>
      <c r="G306" s="965">
        <f t="shared" si="201"/>
        <v>-1345379.6621609791</v>
      </c>
      <c r="H306" s="965">
        <f t="shared" si="201"/>
        <v>-1345379.6621609791</v>
      </c>
      <c r="I306" s="965">
        <f t="shared" si="201"/>
        <v>-1345379.6621609791</v>
      </c>
      <c r="J306" s="965">
        <f t="shared" si="201"/>
        <v>-1345379.6621609791</v>
      </c>
      <c r="K306" s="965">
        <f t="shared" si="201"/>
        <v>-1345379.6621609791</v>
      </c>
      <c r="L306" s="965">
        <f t="shared" si="201"/>
        <v>-1345379.6621609791</v>
      </c>
      <c r="M306" s="965">
        <f t="shared" si="201"/>
        <v>-1345379.6621609791</v>
      </c>
      <c r="N306" s="965">
        <f t="shared" si="201"/>
        <v>-1345379.6621609791</v>
      </c>
      <c r="O306" s="965">
        <f t="shared" si="201"/>
        <v>-1345379.6621609791</v>
      </c>
      <c r="P306" s="965">
        <f t="shared" si="201"/>
        <v>-1345379.6621609791</v>
      </c>
      <c r="Q306" s="965">
        <f t="shared" si="201"/>
        <v>-1345379.6621609791</v>
      </c>
      <c r="R306" s="965">
        <f t="shared" si="200"/>
        <v>-1345379.6621609791</v>
      </c>
      <c r="S306" s="965">
        <f t="shared" si="200"/>
        <v>-1345379.6621609791</v>
      </c>
      <c r="T306" s="965">
        <f t="shared" si="200"/>
        <v>-1345379.6621609791</v>
      </c>
      <c r="U306" s="965">
        <f t="shared" si="200"/>
        <v>-1345379.6621609791</v>
      </c>
      <c r="V306" s="965">
        <f t="shared" si="200"/>
        <v>-1345379.6621609791</v>
      </c>
      <c r="W306" s="965">
        <f t="shared" si="200"/>
        <v>-1345379.6621609791</v>
      </c>
      <c r="X306" s="965">
        <f t="shared" si="200"/>
        <v>-1345379.6621609791</v>
      </c>
      <c r="Y306" s="965">
        <f t="shared" si="200"/>
        <v>-1345379.6621609791</v>
      </c>
      <c r="Z306" s="965">
        <f t="shared" si="200"/>
        <v>-1345379.6621609791</v>
      </c>
      <c r="AA306" s="965">
        <f t="shared" si="200"/>
        <v>-1345379.6621609791</v>
      </c>
      <c r="AB306" s="965">
        <f t="shared" si="200"/>
        <v>-1345379.6621609791</v>
      </c>
      <c r="AC306" s="965">
        <f t="shared" si="200"/>
        <v>-1345379.6621609791</v>
      </c>
      <c r="AD306" s="965">
        <f t="shared" si="200"/>
        <v>-1345379.6621609791</v>
      </c>
      <c r="AE306" s="965">
        <f t="shared" si="200"/>
        <v>-1345379.6621609791</v>
      </c>
      <c r="AF306" s="965">
        <f t="shared" si="200"/>
        <v>-1345379.6621609791</v>
      </c>
      <c r="AG306" s="965">
        <f t="shared" si="200"/>
        <v>-1345379.6621609791</v>
      </c>
      <c r="AH306" s="965">
        <f t="shared" si="200"/>
        <v>-1345379.6621609791</v>
      </c>
      <c r="AI306" s="965">
        <f t="shared" si="200"/>
        <v>-1345379.6621609791</v>
      </c>
      <c r="AJ306" s="965">
        <f t="shared" si="200"/>
        <v>-1345379.6621609791</v>
      </c>
      <c r="AK306" s="965">
        <f t="shared" si="200"/>
        <v>-1345379.6621609791</v>
      </c>
      <c r="AL306" s="965">
        <f t="shared" si="200"/>
        <v>-1345379.6621609791</v>
      </c>
      <c r="AM306" s="965">
        <f t="shared" si="200"/>
        <v>-1345379.6621609791</v>
      </c>
      <c r="AN306" s="965">
        <f t="shared" si="200"/>
        <v>-1345379.6621609791</v>
      </c>
      <c r="AO306" s="965">
        <f t="shared" si="200"/>
        <v>-1345379.6621609791</v>
      </c>
      <c r="AP306" s="965">
        <f t="shared" si="200"/>
        <v>-1345379.6621609791</v>
      </c>
      <c r="AQ306" s="965">
        <f t="shared" si="200"/>
        <v>-1345379.6621609791</v>
      </c>
      <c r="AR306" s="965">
        <f t="shared" si="200"/>
        <v>-1345379.6621609791</v>
      </c>
      <c r="AS306" s="965">
        <f t="shared" si="200"/>
        <v>-1345379.6621609791</v>
      </c>
      <c r="AT306" s="965">
        <f t="shared" si="200"/>
        <v>-1345379.6621609791</v>
      </c>
      <c r="AU306" s="166"/>
      <c r="AV306" s="166"/>
      <c r="AW306" s="166"/>
      <c r="AX306" s="166"/>
      <c r="AY306" s="166"/>
      <c r="AZ306" s="166"/>
      <c r="BA306" s="166"/>
      <c r="BB306" s="166"/>
      <c r="BC306" s="166"/>
      <c r="BD306" s="166"/>
      <c r="BE306" s="166"/>
      <c r="BF306" s="166"/>
      <c r="BG306" s="166"/>
      <c r="BH306" s="166"/>
      <c r="BI306" s="166"/>
      <c r="BJ306" s="166"/>
      <c r="BK306" s="166"/>
      <c r="BL306" s="166"/>
      <c r="BM306" s="166"/>
      <c r="BN306" s="166"/>
    </row>
    <row r="307" spans="2:66" x14ac:dyDescent="0.25">
      <c r="B307" s="831" t="str">
        <f t="shared" si="201"/>
        <v>Activos iniciales - Depreciacion 15 años</v>
      </c>
      <c r="C307" s="965">
        <f t="shared" si="200"/>
        <v>0</v>
      </c>
      <c r="D307" s="965">
        <f t="shared" si="200"/>
        <v>0</v>
      </c>
      <c r="E307" s="965">
        <f t="shared" si="200"/>
        <v>0</v>
      </c>
      <c r="F307" s="965">
        <f t="shared" si="200"/>
        <v>0</v>
      </c>
      <c r="G307" s="965">
        <f t="shared" si="200"/>
        <v>-767500.01943839586</v>
      </c>
      <c r="H307" s="965">
        <f t="shared" si="200"/>
        <v>-767500.01943839586</v>
      </c>
      <c r="I307" s="965">
        <f t="shared" si="200"/>
        <v>-767500.01943839586</v>
      </c>
      <c r="J307" s="965">
        <f t="shared" si="200"/>
        <v>-767500.01943839586</v>
      </c>
      <c r="K307" s="965">
        <f t="shared" si="200"/>
        <v>-767500.01943839586</v>
      </c>
      <c r="L307" s="965">
        <f t="shared" si="200"/>
        <v>-767500.01943839586</v>
      </c>
      <c r="M307" s="965">
        <f t="shared" si="200"/>
        <v>-767500.01943839586</v>
      </c>
      <c r="N307" s="965">
        <f t="shared" si="200"/>
        <v>-767500.01943839586</v>
      </c>
      <c r="O307" s="965">
        <f t="shared" si="200"/>
        <v>-767500.01943839586</v>
      </c>
      <c r="P307" s="965">
        <f t="shared" si="200"/>
        <v>-767500.01943839586</v>
      </c>
      <c r="Q307" s="965">
        <f t="shared" si="200"/>
        <v>-767500.01943839586</v>
      </c>
      <c r="R307" s="965">
        <f t="shared" si="200"/>
        <v>-767500.01943839586</v>
      </c>
      <c r="S307" s="965">
        <f t="shared" si="200"/>
        <v>-767500.01943839586</v>
      </c>
      <c r="T307" s="965">
        <f t="shared" si="200"/>
        <v>-767500.01943839586</v>
      </c>
      <c r="U307" s="965">
        <f t="shared" si="200"/>
        <v>-767500.01943839586</v>
      </c>
      <c r="V307" s="965">
        <f t="shared" si="200"/>
        <v>0</v>
      </c>
      <c r="W307" s="965">
        <f t="shared" si="200"/>
        <v>0</v>
      </c>
      <c r="X307" s="965">
        <f t="shared" si="200"/>
        <v>0</v>
      </c>
      <c r="Y307" s="965">
        <f t="shared" si="200"/>
        <v>0</v>
      </c>
      <c r="Z307" s="965">
        <f t="shared" si="200"/>
        <v>0</v>
      </c>
      <c r="AA307" s="965">
        <f t="shared" si="200"/>
        <v>0</v>
      </c>
      <c r="AB307" s="965">
        <f t="shared" si="200"/>
        <v>0</v>
      </c>
      <c r="AC307" s="965">
        <f t="shared" si="200"/>
        <v>0</v>
      </c>
      <c r="AD307" s="965">
        <f t="shared" si="200"/>
        <v>0</v>
      </c>
      <c r="AE307" s="965">
        <f t="shared" si="200"/>
        <v>0</v>
      </c>
      <c r="AF307" s="965">
        <f t="shared" si="200"/>
        <v>0</v>
      </c>
      <c r="AG307" s="965">
        <f t="shared" si="200"/>
        <v>0</v>
      </c>
      <c r="AH307" s="965">
        <f t="shared" si="200"/>
        <v>0</v>
      </c>
      <c r="AI307" s="965">
        <f t="shared" si="200"/>
        <v>0</v>
      </c>
      <c r="AJ307" s="965">
        <f t="shared" si="200"/>
        <v>0</v>
      </c>
      <c r="AK307" s="965">
        <f t="shared" si="200"/>
        <v>0</v>
      </c>
      <c r="AL307" s="965">
        <f t="shared" si="200"/>
        <v>0</v>
      </c>
      <c r="AM307" s="965">
        <f t="shared" si="200"/>
        <v>0</v>
      </c>
      <c r="AN307" s="965">
        <f t="shared" si="200"/>
        <v>0</v>
      </c>
      <c r="AO307" s="965">
        <f t="shared" si="200"/>
        <v>0</v>
      </c>
      <c r="AP307" s="965">
        <f t="shared" si="200"/>
        <v>0</v>
      </c>
      <c r="AQ307" s="965">
        <f t="shared" si="200"/>
        <v>0</v>
      </c>
      <c r="AR307" s="965">
        <f t="shared" si="200"/>
        <v>0</v>
      </c>
      <c r="AS307" s="965">
        <f t="shared" si="200"/>
        <v>0</v>
      </c>
      <c r="AT307" s="965">
        <f t="shared" si="200"/>
        <v>0</v>
      </c>
      <c r="AU307" s="166"/>
      <c r="AV307" s="166"/>
      <c r="AW307" s="166"/>
      <c r="AX307" s="166"/>
      <c r="AY307" s="166"/>
      <c r="AZ307" s="166"/>
      <c r="BA307" s="166"/>
      <c r="BB307" s="166"/>
      <c r="BC307" s="166"/>
      <c r="BD307" s="166"/>
      <c r="BE307" s="166"/>
      <c r="BF307" s="166"/>
      <c r="BG307" s="166"/>
      <c r="BH307" s="166"/>
      <c r="BI307" s="166"/>
      <c r="BJ307" s="166"/>
      <c r="BK307" s="166"/>
      <c r="BL307" s="166"/>
      <c r="BM307" s="166"/>
      <c r="BN307" s="166"/>
    </row>
    <row r="308" spans="2:66" x14ac:dyDescent="0.25">
      <c r="B308" s="831" t="str">
        <f t="shared" si="201"/>
        <v>Activos iniciales - Depreciacion 10 años</v>
      </c>
      <c r="C308" s="965">
        <f t="shared" si="200"/>
        <v>0</v>
      </c>
      <c r="D308" s="965">
        <f t="shared" si="200"/>
        <v>0</v>
      </c>
      <c r="E308" s="965">
        <f t="shared" si="200"/>
        <v>0</v>
      </c>
      <c r="F308" s="965">
        <f t="shared" si="200"/>
        <v>0</v>
      </c>
      <c r="G308" s="965">
        <f t="shared" si="200"/>
        <v>-287707.11855978414</v>
      </c>
      <c r="H308" s="965">
        <f t="shared" si="200"/>
        <v>-287707.11855978414</v>
      </c>
      <c r="I308" s="965">
        <f t="shared" si="200"/>
        <v>-287707.11855978414</v>
      </c>
      <c r="J308" s="965">
        <f t="shared" si="200"/>
        <v>-287707.11855978414</v>
      </c>
      <c r="K308" s="965">
        <f t="shared" si="200"/>
        <v>-287707.11855978414</v>
      </c>
      <c r="L308" s="965">
        <f t="shared" si="200"/>
        <v>-287707.11855978414</v>
      </c>
      <c r="M308" s="965">
        <f t="shared" si="200"/>
        <v>-287707.11855978414</v>
      </c>
      <c r="N308" s="965">
        <f t="shared" si="200"/>
        <v>-287707.11855978414</v>
      </c>
      <c r="O308" s="965">
        <f t="shared" si="200"/>
        <v>-287707.11855978414</v>
      </c>
      <c r="P308" s="965">
        <f t="shared" si="200"/>
        <v>-287707.11855978414</v>
      </c>
      <c r="Q308" s="965">
        <f t="shared" si="200"/>
        <v>0</v>
      </c>
      <c r="R308" s="965">
        <f t="shared" si="200"/>
        <v>0</v>
      </c>
      <c r="S308" s="965">
        <f t="shared" si="200"/>
        <v>0</v>
      </c>
      <c r="T308" s="965">
        <f t="shared" si="200"/>
        <v>0</v>
      </c>
      <c r="U308" s="965">
        <f t="shared" si="200"/>
        <v>0</v>
      </c>
      <c r="V308" s="965">
        <f t="shared" si="200"/>
        <v>0</v>
      </c>
      <c r="W308" s="965">
        <f t="shared" si="200"/>
        <v>0</v>
      </c>
      <c r="X308" s="965">
        <f t="shared" si="200"/>
        <v>0</v>
      </c>
      <c r="Y308" s="965">
        <f t="shared" si="200"/>
        <v>0</v>
      </c>
      <c r="Z308" s="965">
        <f t="shared" si="200"/>
        <v>0</v>
      </c>
      <c r="AA308" s="965">
        <f t="shared" si="200"/>
        <v>0</v>
      </c>
      <c r="AB308" s="965">
        <f t="shared" si="200"/>
        <v>0</v>
      </c>
      <c r="AC308" s="965">
        <f t="shared" si="200"/>
        <v>0</v>
      </c>
      <c r="AD308" s="965">
        <f t="shared" si="200"/>
        <v>0</v>
      </c>
      <c r="AE308" s="965">
        <f t="shared" si="200"/>
        <v>0</v>
      </c>
      <c r="AF308" s="965">
        <f t="shared" si="200"/>
        <v>0</v>
      </c>
      <c r="AG308" s="965">
        <f t="shared" si="200"/>
        <v>0</v>
      </c>
      <c r="AH308" s="965">
        <f t="shared" si="200"/>
        <v>0</v>
      </c>
      <c r="AI308" s="965">
        <f t="shared" si="200"/>
        <v>0</v>
      </c>
      <c r="AJ308" s="965">
        <f t="shared" si="200"/>
        <v>0</v>
      </c>
      <c r="AK308" s="965">
        <f t="shared" si="200"/>
        <v>0</v>
      </c>
      <c r="AL308" s="965">
        <f t="shared" si="200"/>
        <v>0</v>
      </c>
      <c r="AM308" s="965">
        <f t="shared" si="200"/>
        <v>0</v>
      </c>
      <c r="AN308" s="965">
        <f t="shared" si="200"/>
        <v>0</v>
      </c>
      <c r="AO308" s="965">
        <f t="shared" si="200"/>
        <v>0</v>
      </c>
      <c r="AP308" s="965">
        <f t="shared" si="200"/>
        <v>0</v>
      </c>
      <c r="AQ308" s="965">
        <f t="shared" si="200"/>
        <v>0</v>
      </c>
      <c r="AR308" s="965">
        <f t="shared" si="200"/>
        <v>0</v>
      </c>
      <c r="AS308" s="965">
        <f t="shared" si="200"/>
        <v>0</v>
      </c>
      <c r="AT308" s="965">
        <f t="shared" si="200"/>
        <v>0</v>
      </c>
      <c r="AU308" s="166"/>
      <c r="AV308" s="166"/>
      <c r="AW308" s="166"/>
      <c r="AX308" s="166"/>
      <c r="AY308" s="166"/>
      <c r="AZ308" s="166"/>
      <c r="BA308" s="166"/>
      <c r="BB308" s="166"/>
      <c r="BC308" s="166"/>
      <c r="BD308" s="166"/>
      <c r="BE308" s="166"/>
      <c r="BF308" s="166"/>
      <c r="BG308" s="166"/>
      <c r="BH308" s="166"/>
      <c r="BI308" s="166"/>
      <c r="BJ308" s="166"/>
      <c r="BK308" s="166"/>
      <c r="BL308" s="166"/>
      <c r="BM308" s="166"/>
      <c r="BN308" s="166"/>
    </row>
    <row r="309" spans="2:66" x14ac:dyDescent="0.25">
      <c r="B309" s="831" t="str">
        <f t="shared" si="201"/>
        <v>Activos iniciales - Depreciacion 5 años</v>
      </c>
      <c r="C309" s="965">
        <f t="shared" si="200"/>
        <v>0</v>
      </c>
      <c r="D309" s="965">
        <f t="shared" si="200"/>
        <v>0</v>
      </c>
      <c r="E309" s="965">
        <f t="shared" si="200"/>
        <v>0</v>
      </c>
      <c r="F309" s="965">
        <f t="shared" si="200"/>
        <v>0</v>
      </c>
      <c r="G309" s="965">
        <f t="shared" si="200"/>
        <v>-172591.88242842152</v>
      </c>
      <c r="H309" s="965">
        <f t="shared" si="200"/>
        <v>-172591.88242842152</v>
      </c>
      <c r="I309" s="965">
        <f t="shared" si="200"/>
        <v>-172591.88242842152</v>
      </c>
      <c r="J309" s="965">
        <f t="shared" si="200"/>
        <v>-172591.88242842152</v>
      </c>
      <c r="K309" s="965">
        <f t="shared" si="200"/>
        <v>-172591.88242842152</v>
      </c>
      <c r="L309" s="965">
        <f t="shared" si="200"/>
        <v>0</v>
      </c>
      <c r="M309" s="965">
        <f t="shared" si="200"/>
        <v>0</v>
      </c>
      <c r="N309" s="965">
        <f t="shared" si="200"/>
        <v>0</v>
      </c>
      <c r="O309" s="965">
        <f t="shared" si="200"/>
        <v>0</v>
      </c>
      <c r="P309" s="965">
        <f t="shared" si="200"/>
        <v>0</v>
      </c>
      <c r="Q309" s="965">
        <f t="shared" si="200"/>
        <v>0</v>
      </c>
      <c r="R309" s="965">
        <f t="shared" si="200"/>
        <v>0</v>
      </c>
      <c r="S309" s="965">
        <f t="shared" si="200"/>
        <v>0</v>
      </c>
      <c r="T309" s="965">
        <f t="shared" si="200"/>
        <v>0</v>
      </c>
      <c r="U309" s="965">
        <f t="shared" si="200"/>
        <v>0</v>
      </c>
      <c r="V309" s="965">
        <f t="shared" si="200"/>
        <v>0</v>
      </c>
      <c r="W309" s="965">
        <f t="shared" si="200"/>
        <v>0</v>
      </c>
      <c r="X309" s="965">
        <f t="shared" si="200"/>
        <v>0</v>
      </c>
      <c r="Y309" s="965">
        <f t="shared" si="200"/>
        <v>0</v>
      </c>
      <c r="Z309" s="965">
        <f t="shared" si="200"/>
        <v>0</v>
      </c>
      <c r="AA309" s="965">
        <f t="shared" si="200"/>
        <v>0</v>
      </c>
      <c r="AB309" s="965">
        <f t="shared" si="200"/>
        <v>0</v>
      </c>
      <c r="AC309" s="965">
        <f t="shared" si="200"/>
        <v>0</v>
      </c>
      <c r="AD309" s="965">
        <f t="shared" si="200"/>
        <v>0</v>
      </c>
      <c r="AE309" s="965">
        <f t="shared" si="200"/>
        <v>0</v>
      </c>
      <c r="AF309" s="965">
        <f t="shared" si="200"/>
        <v>0</v>
      </c>
      <c r="AG309" s="965">
        <f t="shared" si="200"/>
        <v>0</v>
      </c>
      <c r="AH309" s="965">
        <f t="shared" si="200"/>
        <v>0</v>
      </c>
      <c r="AI309" s="965">
        <f t="shared" si="200"/>
        <v>0</v>
      </c>
      <c r="AJ309" s="965">
        <f t="shared" si="200"/>
        <v>0</v>
      </c>
      <c r="AK309" s="965">
        <f t="shared" si="200"/>
        <v>0</v>
      </c>
      <c r="AL309" s="965">
        <f t="shared" si="200"/>
        <v>0</v>
      </c>
      <c r="AM309" s="965">
        <f t="shared" si="200"/>
        <v>0</v>
      </c>
      <c r="AN309" s="965">
        <f t="shared" si="200"/>
        <v>0</v>
      </c>
      <c r="AO309" s="965">
        <f t="shared" si="200"/>
        <v>0</v>
      </c>
      <c r="AP309" s="965">
        <f t="shared" si="200"/>
        <v>0</v>
      </c>
      <c r="AQ309" s="965">
        <f t="shared" si="200"/>
        <v>0</v>
      </c>
      <c r="AR309" s="965">
        <f t="shared" si="200"/>
        <v>0</v>
      </c>
      <c r="AS309" s="965">
        <f t="shared" si="200"/>
        <v>0</v>
      </c>
      <c r="AT309" s="965">
        <f t="shared" si="200"/>
        <v>0</v>
      </c>
      <c r="AU309" s="166"/>
      <c r="AV309" s="166"/>
      <c r="AW309" s="166"/>
      <c r="AX309" s="166"/>
      <c r="AY309" s="166"/>
      <c r="AZ309" s="166"/>
      <c r="BA309" s="166"/>
      <c r="BB309" s="166"/>
      <c r="BC309" s="166"/>
      <c r="BD309" s="166"/>
      <c r="BE309" s="166"/>
      <c r="BF309" s="166"/>
      <c r="BG309" s="166"/>
      <c r="BH309" s="166"/>
      <c r="BI309" s="166"/>
      <c r="BJ309" s="166"/>
      <c r="BK309" s="166"/>
      <c r="BL309" s="166"/>
      <c r="BM309" s="166"/>
      <c r="BN309" s="166"/>
    </row>
    <row r="310" spans="2:66" x14ac:dyDescent="0.25">
      <c r="B310" s="831" t="str">
        <f t="shared" si="201"/>
        <v>Activos iniciales - Valor residual</v>
      </c>
      <c r="C310" s="965">
        <f t="shared" si="200"/>
        <v>0</v>
      </c>
      <c r="D310" s="965">
        <f t="shared" si="200"/>
        <v>0</v>
      </c>
      <c r="E310" s="965">
        <f t="shared" si="200"/>
        <v>0</v>
      </c>
      <c r="F310" s="965">
        <f t="shared" si="200"/>
        <v>0</v>
      </c>
      <c r="G310" s="965">
        <f t="shared" si="200"/>
        <v>111877413.20910615</v>
      </c>
      <c r="H310" s="965">
        <f t="shared" si="200"/>
        <v>108686816.68843697</v>
      </c>
      <c r="I310" s="965">
        <f t="shared" si="200"/>
        <v>105496220.16776779</v>
      </c>
      <c r="J310" s="965">
        <f t="shared" si="200"/>
        <v>102305623.64709862</v>
      </c>
      <c r="K310" s="965">
        <f t="shared" si="200"/>
        <v>99115027.126429439</v>
      </c>
      <c r="L310" s="965">
        <f t="shared" si="200"/>
        <v>96097022.488188684</v>
      </c>
      <c r="M310" s="965">
        <f t="shared" si="200"/>
        <v>93079017.849947929</v>
      </c>
      <c r="N310" s="965">
        <f t="shared" si="200"/>
        <v>90061013.211707175</v>
      </c>
      <c r="O310" s="965">
        <f t="shared" si="200"/>
        <v>87043008.57346642</v>
      </c>
      <c r="P310" s="965">
        <f t="shared" si="200"/>
        <v>84025003.935225666</v>
      </c>
      <c r="Q310" s="965">
        <f t="shared" si="200"/>
        <v>81294706.415544689</v>
      </c>
      <c r="R310" s="965">
        <f t="shared" si="200"/>
        <v>78564408.895863712</v>
      </c>
      <c r="S310" s="965">
        <f t="shared" si="200"/>
        <v>75834111.376182735</v>
      </c>
      <c r="T310" s="965">
        <f t="shared" si="200"/>
        <v>73103813.856501758</v>
      </c>
      <c r="U310" s="965">
        <f t="shared" si="200"/>
        <v>70373516.336820781</v>
      </c>
      <c r="V310" s="965">
        <f t="shared" si="200"/>
        <v>68410718.836578205</v>
      </c>
      <c r="W310" s="965">
        <f t="shared" si="200"/>
        <v>66447921.336335629</v>
      </c>
      <c r="X310" s="965">
        <f t="shared" si="200"/>
        <v>64485123.836093053</v>
      </c>
      <c r="Y310" s="965">
        <f t="shared" si="200"/>
        <v>62522326.335850477</v>
      </c>
      <c r="Z310" s="965">
        <f t="shared" si="200"/>
        <v>60559528.835607901</v>
      </c>
      <c r="AA310" s="965">
        <f t="shared" si="200"/>
        <v>58596731.335365325</v>
      </c>
      <c r="AB310" s="965">
        <f t="shared" si="200"/>
        <v>56633933.835122749</v>
      </c>
      <c r="AC310" s="965">
        <f t="shared" si="200"/>
        <v>54671136.334880173</v>
      </c>
      <c r="AD310" s="965">
        <f t="shared" si="200"/>
        <v>52708338.834637597</v>
      </c>
      <c r="AE310" s="965">
        <f t="shared" si="200"/>
        <v>50745541.334395021</v>
      </c>
      <c r="AF310" s="965">
        <f t="shared" si="200"/>
        <v>48782743.834152445</v>
      </c>
      <c r="AG310" s="965">
        <f t="shared" si="200"/>
        <v>46819946.333909869</v>
      </c>
      <c r="AH310" s="965">
        <f t="shared" si="200"/>
        <v>44857148.833667293</v>
      </c>
      <c r="AI310" s="965">
        <f t="shared" si="200"/>
        <v>42894351.333424717</v>
      </c>
      <c r="AJ310" s="965">
        <f t="shared" si="200"/>
        <v>40931553.833182141</v>
      </c>
      <c r="AK310" s="965">
        <f t="shared" si="200"/>
        <v>38968756.332939565</v>
      </c>
      <c r="AL310" s="965">
        <f t="shared" si="200"/>
        <v>37005958.832696989</v>
      </c>
      <c r="AM310" s="965">
        <f t="shared" si="200"/>
        <v>35043161.332454413</v>
      </c>
      <c r="AN310" s="965">
        <f t="shared" si="200"/>
        <v>33080363.832211837</v>
      </c>
      <c r="AO310" s="965">
        <f t="shared" si="200"/>
        <v>31117566.331969261</v>
      </c>
      <c r="AP310" s="965">
        <f t="shared" si="200"/>
        <v>29154768.831726685</v>
      </c>
      <c r="AQ310" s="965">
        <f t="shared" si="200"/>
        <v>27191971.331484109</v>
      </c>
      <c r="AR310" s="965">
        <f t="shared" si="200"/>
        <v>25229173.831241533</v>
      </c>
      <c r="AS310" s="965">
        <f t="shared" si="200"/>
        <v>23266376.330998957</v>
      </c>
      <c r="AT310" s="965">
        <f t="shared" si="200"/>
        <v>21303578.830756381</v>
      </c>
      <c r="AU310" s="166"/>
      <c r="AV310" s="166"/>
      <c r="AW310" s="166"/>
      <c r="AX310" s="166"/>
      <c r="AY310" s="166"/>
      <c r="AZ310" s="166"/>
      <c r="BA310" s="166"/>
      <c r="BB310" s="166"/>
      <c r="BC310" s="166"/>
      <c r="BD310" s="166"/>
      <c r="BE310" s="166"/>
      <c r="BF310" s="166"/>
      <c r="BG310" s="166"/>
      <c r="BH310" s="166"/>
      <c r="BI310" s="166"/>
      <c r="BJ310" s="166"/>
      <c r="BK310" s="166"/>
      <c r="BL310" s="166"/>
      <c r="BM310" s="166"/>
      <c r="BN310" s="166"/>
    </row>
    <row r="311" spans="2:66" x14ac:dyDescent="0.25">
      <c r="B311" s="831" t="str">
        <f t="shared" si="201"/>
        <v>Activos nuevos 1 - Depreciacion 10 años</v>
      </c>
      <c r="C311" s="965">
        <f t="shared" si="200"/>
        <v>0</v>
      </c>
      <c r="D311" s="965">
        <f t="shared" si="200"/>
        <v>0</v>
      </c>
      <c r="E311" s="965">
        <f t="shared" si="200"/>
        <v>0</v>
      </c>
      <c r="F311" s="965">
        <f t="shared" si="200"/>
        <v>0</v>
      </c>
      <c r="G311" s="965">
        <f t="shared" si="200"/>
        <v>0</v>
      </c>
      <c r="H311" s="965">
        <f t="shared" si="200"/>
        <v>0</v>
      </c>
      <c r="I311" s="965">
        <f t="shared" ref="C311:AT316" si="202">I83</f>
        <v>0</v>
      </c>
      <c r="J311" s="965">
        <f t="shared" si="202"/>
        <v>0</v>
      </c>
      <c r="K311" s="965">
        <f t="shared" si="202"/>
        <v>0</v>
      </c>
      <c r="L311" s="965">
        <f t="shared" si="202"/>
        <v>0</v>
      </c>
      <c r="M311" s="965">
        <f t="shared" si="202"/>
        <v>0</v>
      </c>
      <c r="N311" s="965">
        <f t="shared" si="202"/>
        <v>0</v>
      </c>
      <c r="O311" s="965">
        <f t="shared" si="202"/>
        <v>0</v>
      </c>
      <c r="P311" s="965">
        <f t="shared" si="202"/>
        <v>0</v>
      </c>
      <c r="Q311" s="965">
        <f t="shared" si="202"/>
        <v>0</v>
      </c>
      <c r="R311" s="965">
        <f t="shared" si="202"/>
        <v>-358972.64507720724</v>
      </c>
      <c r="S311" s="965">
        <f t="shared" si="202"/>
        <v>-358972.64507720724</v>
      </c>
      <c r="T311" s="965">
        <f t="shared" si="202"/>
        <v>-358972.64507720724</v>
      </c>
      <c r="U311" s="965">
        <f t="shared" si="202"/>
        <v>-358972.64507720724</v>
      </c>
      <c r="V311" s="965">
        <f t="shared" si="202"/>
        <v>-358972.64507720724</v>
      </c>
      <c r="W311" s="965">
        <f t="shared" si="202"/>
        <v>-358972.64507720724</v>
      </c>
      <c r="X311" s="965">
        <f t="shared" si="202"/>
        <v>-358972.64507720724</v>
      </c>
      <c r="Y311" s="965">
        <f t="shared" si="202"/>
        <v>-358972.64507720724</v>
      </c>
      <c r="Z311" s="965">
        <f t="shared" si="202"/>
        <v>-358972.64507720724</v>
      </c>
      <c r="AA311" s="965">
        <f t="shared" si="202"/>
        <v>-358972.64507720724</v>
      </c>
      <c r="AB311" s="965">
        <f t="shared" si="202"/>
        <v>-358972.64507720724</v>
      </c>
      <c r="AC311" s="965">
        <f t="shared" si="202"/>
        <v>0</v>
      </c>
      <c r="AD311" s="965">
        <f t="shared" si="202"/>
        <v>0</v>
      </c>
      <c r="AE311" s="965">
        <f t="shared" si="202"/>
        <v>0</v>
      </c>
      <c r="AF311" s="965">
        <f t="shared" si="202"/>
        <v>0</v>
      </c>
      <c r="AG311" s="965">
        <f t="shared" si="202"/>
        <v>0</v>
      </c>
      <c r="AH311" s="965">
        <f t="shared" si="202"/>
        <v>0</v>
      </c>
      <c r="AI311" s="965">
        <f t="shared" si="202"/>
        <v>0</v>
      </c>
      <c r="AJ311" s="965">
        <f t="shared" si="202"/>
        <v>0</v>
      </c>
      <c r="AK311" s="965">
        <f t="shared" si="202"/>
        <v>0</v>
      </c>
      <c r="AL311" s="965">
        <f t="shared" si="202"/>
        <v>0</v>
      </c>
      <c r="AM311" s="965">
        <f t="shared" si="202"/>
        <v>0</v>
      </c>
      <c r="AN311" s="965">
        <f t="shared" si="202"/>
        <v>0</v>
      </c>
      <c r="AO311" s="965">
        <f t="shared" si="202"/>
        <v>0</v>
      </c>
      <c r="AP311" s="965">
        <f t="shared" si="202"/>
        <v>0</v>
      </c>
      <c r="AQ311" s="965">
        <f t="shared" si="202"/>
        <v>0</v>
      </c>
      <c r="AR311" s="965">
        <f t="shared" si="202"/>
        <v>0</v>
      </c>
      <c r="AS311" s="965">
        <f t="shared" si="202"/>
        <v>0</v>
      </c>
      <c r="AT311" s="965">
        <f t="shared" si="202"/>
        <v>0</v>
      </c>
      <c r="AU311" s="166"/>
      <c r="AV311" s="166"/>
      <c r="AW311" s="166"/>
      <c r="AX311" s="166"/>
      <c r="AY311" s="166"/>
      <c r="AZ311" s="166"/>
      <c r="BA311" s="166"/>
      <c r="BB311" s="166"/>
      <c r="BC311" s="166"/>
      <c r="BD311" s="166"/>
      <c r="BE311" s="166"/>
      <c r="BF311" s="166"/>
      <c r="BG311" s="166"/>
      <c r="BH311" s="166"/>
      <c r="BI311" s="166"/>
      <c r="BJ311" s="166"/>
      <c r="BK311" s="166"/>
      <c r="BL311" s="166"/>
      <c r="BM311" s="166"/>
      <c r="BN311" s="166"/>
    </row>
    <row r="312" spans="2:66" x14ac:dyDescent="0.25">
      <c r="B312" s="831" t="str">
        <f t="shared" si="201"/>
        <v>Activos nuevos 1 - Valor residual</v>
      </c>
      <c r="C312" s="965">
        <f t="shared" si="202"/>
        <v>0</v>
      </c>
      <c r="D312" s="965">
        <f t="shared" si="202"/>
        <v>0</v>
      </c>
      <c r="E312" s="965">
        <f t="shared" si="202"/>
        <v>0</v>
      </c>
      <c r="F312" s="965">
        <f t="shared" si="202"/>
        <v>0</v>
      </c>
      <c r="G312" s="965">
        <f t="shared" si="202"/>
        <v>0</v>
      </c>
      <c r="H312" s="965">
        <f t="shared" si="202"/>
        <v>0</v>
      </c>
      <c r="I312" s="965">
        <f t="shared" si="202"/>
        <v>0</v>
      </c>
      <c r="J312" s="965">
        <f t="shared" si="202"/>
        <v>0</v>
      </c>
      <c r="K312" s="965">
        <f t="shared" si="202"/>
        <v>0</v>
      </c>
      <c r="L312" s="965">
        <f t="shared" si="202"/>
        <v>0</v>
      </c>
      <c r="M312" s="965">
        <f t="shared" si="202"/>
        <v>0</v>
      </c>
      <c r="N312" s="965">
        <f t="shared" si="202"/>
        <v>0</v>
      </c>
      <c r="O312" s="965">
        <f t="shared" si="202"/>
        <v>0</v>
      </c>
      <c r="P312" s="965">
        <f t="shared" si="202"/>
        <v>0</v>
      </c>
      <c r="Q312" s="965">
        <f t="shared" si="202"/>
        <v>0</v>
      </c>
      <c r="R312" s="965">
        <f t="shared" si="202"/>
        <v>3589726.4507720722</v>
      </c>
      <c r="S312" s="965">
        <f t="shared" si="202"/>
        <v>3230753.8056948651</v>
      </c>
      <c r="T312" s="965">
        <f t="shared" si="202"/>
        <v>2871781.1606176579</v>
      </c>
      <c r="U312" s="965">
        <f t="shared" si="202"/>
        <v>2512808.5155404508</v>
      </c>
      <c r="V312" s="965">
        <f t="shared" si="202"/>
        <v>2153835.8704632437</v>
      </c>
      <c r="W312" s="965">
        <f t="shared" si="202"/>
        <v>1794863.2253860366</v>
      </c>
      <c r="X312" s="965">
        <f t="shared" si="202"/>
        <v>1435890.5803088294</v>
      </c>
      <c r="Y312" s="965">
        <f t="shared" si="202"/>
        <v>1076917.9352316223</v>
      </c>
      <c r="Z312" s="965">
        <f t="shared" si="202"/>
        <v>717945.29015441507</v>
      </c>
      <c r="AA312" s="965">
        <f t="shared" si="202"/>
        <v>358972.64507720782</v>
      </c>
      <c r="AB312" s="965">
        <f t="shared" si="202"/>
        <v>5.8207660913467407E-10</v>
      </c>
      <c r="AC312" s="965">
        <f t="shared" si="202"/>
        <v>0</v>
      </c>
      <c r="AD312" s="965">
        <f t="shared" si="202"/>
        <v>0</v>
      </c>
      <c r="AE312" s="965">
        <f t="shared" si="202"/>
        <v>0</v>
      </c>
      <c r="AF312" s="965">
        <f t="shared" si="202"/>
        <v>0</v>
      </c>
      <c r="AG312" s="965">
        <f t="shared" si="202"/>
        <v>0</v>
      </c>
      <c r="AH312" s="965">
        <f t="shared" si="202"/>
        <v>0</v>
      </c>
      <c r="AI312" s="965">
        <f t="shared" si="202"/>
        <v>0</v>
      </c>
      <c r="AJ312" s="965">
        <f t="shared" si="202"/>
        <v>0</v>
      </c>
      <c r="AK312" s="965">
        <f t="shared" si="202"/>
        <v>0</v>
      </c>
      <c r="AL312" s="965">
        <f t="shared" si="202"/>
        <v>0</v>
      </c>
      <c r="AM312" s="965">
        <f t="shared" si="202"/>
        <v>0</v>
      </c>
      <c r="AN312" s="965">
        <f t="shared" si="202"/>
        <v>0</v>
      </c>
      <c r="AO312" s="965">
        <f t="shared" si="202"/>
        <v>0</v>
      </c>
      <c r="AP312" s="965">
        <f t="shared" si="202"/>
        <v>0</v>
      </c>
      <c r="AQ312" s="965">
        <f t="shared" si="202"/>
        <v>0</v>
      </c>
      <c r="AR312" s="965">
        <f t="shared" si="202"/>
        <v>0</v>
      </c>
      <c r="AS312" s="965">
        <f t="shared" si="202"/>
        <v>0</v>
      </c>
      <c r="AT312" s="965">
        <f t="shared" si="202"/>
        <v>0</v>
      </c>
      <c r="AU312" s="166"/>
      <c r="AV312" s="166"/>
      <c r="AW312" s="166"/>
      <c r="AX312" s="166"/>
      <c r="AY312" s="166"/>
      <c r="AZ312" s="166"/>
      <c r="BA312" s="166"/>
      <c r="BB312" s="166"/>
      <c r="BC312" s="166"/>
      <c r="BD312" s="166"/>
      <c r="BE312" s="166"/>
      <c r="BF312" s="166"/>
      <c r="BG312" s="166"/>
      <c r="BH312" s="166"/>
      <c r="BI312" s="166"/>
      <c r="BJ312" s="166"/>
      <c r="BK312" s="166"/>
      <c r="BL312" s="166"/>
      <c r="BM312" s="166"/>
      <c r="BN312" s="166"/>
    </row>
    <row r="313" spans="2:66" x14ac:dyDescent="0.25">
      <c r="B313" s="831" t="str">
        <f t="shared" si="201"/>
        <v>Activos nuevos 2 - Depreciacion 15 años</v>
      </c>
      <c r="C313" s="965">
        <f t="shared" si="202"/>
        <v>0</v>
      </c>
      <c r="D313" s="965">
        <f t="shared" si="202"/>
        <v>0</v>
      </c>
      <c r="E313" s="965">
        <f t="shared" si="202"/>
        <v>0</v>
      </c>
      <c r="F313" s="965">
        <f t="shared" si="202"/>
        <v>0</v>
      </c>
      <c r="G313" s="965">
        <f t="shared" si="202"/>
        <v>0</v>
      </c>
      <c r="H313" s="965">
        <f t="shared" si="202"/>
        <v>0</v>
      </c>
      <c r="I313" s="965">
        <f t="shared" si="202"/>
        <v>0</v>
      </c>
      <c r="J313" s="965">
        <f t="shared" si="202"/>
        <v>0</v>
      </c>
      <c r="K313" s="965">
        <f t="shared" si="202"/>
        <v>0</v>
      </c>
      <c r="L313" s="965">
        <f t="shared" si="202"/>
        <v>0</v>
      </c>
      <c r="M313" s="965">
        <f t="shared" si="202"/>
        <v>0</v>
      </c>
      <c r="N313" s="965">
        <f t="shared" si="202"/>
        <v>0</v>
      </c>
      <c r="O313" s="965">
        <f t="shared" si="202"/>
        <v>0</v>
      </c>
      <c r="P313" s="965">
        <f t="shared" si="202"/>
        <v>0</v>
      </c>
      <c r="Q313" s="965">
        <f t="shared" si="202"/>
        <v>0</v>
      </c>
      <c r="R313" s="965">
        <f t="shared" si="202"/>
        <v>0</v>
      </c>
      <c r="S313" s="965">
        <f t="shared" si="202"/>
        <v>0</v>
      </c>
      <c r="T313" s="965">
        <f t="shared" si="202"/>
        <v>0</v>
      </c>
      <c r="U313" s="965">
        <f t="shared" si="202"/>
        <v>0</v>
      </c>
      <c r="V313" s="965">
        <f t="shared" si="202"/>
        <v>0</v>
      </c>
      <c r="W313" s="965">
        <f t="shared" si="202"/>
        <v>0</v>
      </c>
      <c r="X313" s="965">
        <f t="shared" si="202"/>
        <v>-1079197.8260851221</v>
      </c>
      <c r="Y313" s="965">
        <f t="shared" si="202"/>
        <v>-1079197.8260851221</v>
      </c>
      <c r="Z313" s="965">
        <f t="shared" si="202"/>
        <v>-1079197.8260851221</v>
      </c>
      <c r="AA313" s="965">
        <f t="shared" si="202"/>
        <v>-1079197.8260851221</v>
      </c>
      <c r="AB313" s="965">
        <f t="shared" si="202"/>
        <v>-1079197.8260851221</v>
      </c>
      <c r="AC313" s="965">
        <f t="shared" si="202"/>
        <v>-1079197.8260851221</v>
      </c>
      <c r="AD313" s="965">
        <f t="shared" si="202"/>
        <v>-1079197.8260851221</v>
      </c>
      <c r="AE313" s="965">
        <f t="shared" si="202"/>
        <v>-1079197.8260851221</v>
      </c>
      <c r="AF313" s="965">
        <f t="shared" si="202"/>
        <v>-1079197.8260851221</v>
      </c>
      <c r="AG313" s="965">
        <f t="shared" si="202"/>
        <v>-1079197.8260851221</v>
      </c>
      <c r="AH313" s="965">
        <f t="shared" si="202"/>
        <v>-1079197.8260851221</v>
      </c>
      <c r="AI313" s="965">
        <f t="shared" si="202"/>
        <v>-1079197.8260851221</v>
      </c>
      <c r="AJ313" s="965">
        <f t="shared" si="202"/>
        <v>-1079197.8260851221</v>
      </c>
      <c r="AK313" s="965">
        <f t="shared" si="202"/>
        <v>-1079197.8260851221</v>
      </c>
      <c r="AL313" s="965">
        <f t="shared" si="202"/>
        <v>-1079197.8260851221</v>
      </c>
      <c r="AM313" s="965">
        <f t="shared" si="202"/>
        <v>0</v>
      </c>
      <c r="AN313" s="965">
        <f t="shared" si="202"/>
        <v>0</v>
      </c>
      <c r="AO313" s="965">
        <f t="shared" si="202"/>
        <v>0</v>
      </c>
      <c r="AP313" s="965">
        <f t="shared" si="202"/>
        <v>0</v>
      </c>
      <c r="AQ313" s="965">
        <f t="shared" si="202"/>
        <v>0</v>
      </c>
      <c r="AR313" s="965">
        <f t="shared" si="202"/>
        <v>0</v>
      </c>
      <c r="AS313" s="965">
        <f t="shared" si="202"/>
        <v>0</v>
      </c>
      <c r="AT313" s="965">
        <f t="shared" si="202"/>
        <v>0</v>
      </c>
      <c r="AU313" s="166"/>
      <c r="AV313" s="166"/>
      <c r="AW313" s="166"/>
      <c r="AX313" s="166"/>
      <c r="AY313" s="166"/>
      <c r="AZ313" s="166"/>
      <c r="BA313" s="166"/>
      <c r="BB313" s="166"/>
      <c r="BC313" s="166"/>
      <c r="BD313" s="166"/>
      <c r="BE313" s="166"/>
      <c r="BF313" s="166"/>
      <c r="BG313" s="166"/>
      <c r="BH313" s="166"/>
      <c r="BI313" s="166"/>
      <c r="BJ313" s="166"/>
      <c r="BK313" s="166"/>
      <c r="BL313" s="166"/>
      <c r="BM313" s="166"/>
      <c r="BN313" s="166"/>
    </row>
    <row r="314" spans="2:66" x14ac:dyDescent="0.25">
      <c r="B314" s="831" t="str">
        <f t="shared" si="201"/>
        <v>Activos nuevos 2 - Valor residual</v>
      </c>
      <c r="C314" s="965">
        <f t="shared" si="202"/>
        <v>0</v>
      </c>
      <c r="D314" s="965">
        <f t="shared" si="202"/>
        <v>0</v>
      </c>
      <c r="E314" s="965">
        <f t="shared" si="202"/>
        <v>0</v>
      </c>
      <c r="F314" s="965">
        <f t="shared" si="202"/>
        <v>0</v>
      </c>
      <c r="G314" s="965">
        <f t="shared" si="202"/>
        <v>0</v>
      </c>
      <c r="H314" s="965">
        <f t="shared" si="202"/>
        <v>0</v>
      </c>
      <c r="I314" s="965">
        <f t="shared" si="202"/>
        <v>0</v>
      </c>
      <c r="J314" s="965">
        <f t="shared" si="202"/>
        <v>0</v>
      </c>
      <c r="K314" s="965">
        <f t="shared" si="202"/>
        <v>0</v>
      </c>
      <c r="L314" s="965">
        <f t="shared" si="202"/>
        <v>0</v>
      </c>
      <c r="M314" s="965">
        <f t="shared" si="202"/>
        <v>0</v>
      </c>
      <c r="N314" s="965">
        <f t="shared" si="202"/>
        <v>0</v>
      </c>
      <c r="O314" s="965">
        <f t="shared" si="202"/>
        <v>0</v>
      </c>
      <c r="P314" s="965">
        <f t="shared" si="202"/>
        <v>0</v>
      </c>
      <c r="Q314" s="965">
        <f t="shared" si="202"/>
        <v>0</v>
      </c>
      <c r="R314" s="965">
        <f t="shared" si="202"/>
        <v>0</v>
      </c>
      <c r="S314" s="965">
        <f t="shared" si="202"/>
        <v>0</v>
      </c>
      <c r="T314" s="965">
        <f t="shared" si="202"/>
        <v>0</v>
      </c>
      <c r="U314" s="965">
        <f t="shared" si="202"/>
        <v>0</v>
      </c>
      <c r="V314" s="965">
        <f t="shared" si="202"/>
        <v>0</v>
      </c>
      <c r="W314" s="965">
        <f t="shared" si="202"/>
        <v>0</v>
      </c>
      <c r="X314" s="965">
        <f t="shared" si="202"/>
        <v>15108769.56519171</v>
      </c>
      <c r="Y314" s="965">
        <f t="shared" si="202"/>
        <v>14029571.739106588</v>
      </c>
      <c r="Z314" s="965">
        <f t="shared" si="202"/>
        <v>12950373.913021466</v>
      </c>
      <c r="AA314" s="965">
        <f t="shared" si="202"/>
        <v>11871176.086936343</v>
      </c>
      <c r="AB314" s="965">
        <f t="shared" si="202"/>
        <v>10791978.260851221</v>
      </c>
      <c r="AC314" s="965">
        <f t="shared" si="202"/>
        <v>9712780.4347660989</v>
      </c>
      <c r="AD314" s="965">
        <f t="shared" si="202"/>
        <v>8633582.6086809766</v>
      </c>
      <c r="AE314" s="965">
        <f t="shared" si="202"/>
        <v>7554384.7825958543</v>
      </c>
      <c r="AF314" s="965">
        <f t="shared" si="202"/>
        <v>6475186.956510732</v>
      </c>
      <c r="AG314" s="965">
        <f t="shared" si="202"/>
        <v>5395989.1304256096</v>
      </c>
      <c r="AH314" s="965">
        <f t="shared" si="202"/>
        <v>4316791.3043404873</v>
      </c>
      <c r="AI314" s="965">
        <f t="shared" si="202"/>
        <v>3237593.478255365</v>
      </c>
      <c r="AJ314" s="965">
        <f t="shared" si="202"/>
        <v>2158395.6521702427</v>
      </c>
      <c r="AK314" s="965">
        <f t="shared" si="202"/>
        <v>1079197.8260851207</v>
      </c>
      <c r="AL314" s="965">
        <f t="shared" si="202"/>
        <v>0</v>
      </c>
      <c r="AM314" s="965">
        <f t="shared" si="202"/>
        <v>0</v>
      </c>
      <c r="AN314" s="965">
        <f t="shared" si="202"/>
        <v>0</v>
      </c>
      <c r="AO314" s="965">
        <f t="shared" si="202"/>
        <v>0</v>
      </c>
      <c r="AP314" s="965">
        <f t="shared" si="202"/>
        <v>0</v>
      </c>
      <c r="AQ314" s="965">
        <f t="shared" si="202"/>
        <v>0</v>
      </c>
      <c r="AR314" s="965">
        <f t="shared" si="202"/>
        <v>0</v>
      </c>
      <c r="AS314" s="965">
        <f t="shared" si="202"/>
        <v>0</v>
      </c>
      <c r="AT314" s="965">
        <f t="shared" si="202"/>
        <v>0</v>
      </c>
      <c r="AU314" s="166"/>
      <c r="AV314" s="166"/>
      <c r="AW314" s="166"/>
      <c r="AX314" s="166"/>
      <c r="AY314" s="166"/>
      <c r="AZ314" s="166"/>
      <c r="BA314" s="166"/>
      <c r="BB314" s="166"/>
      <c r="BC314" s="166"/>
      <c r="BD314" s="166"/>
      <c r="BE314" s="166"/>
      <c r="BF314" s="166"/>
      <c r="BG314" s="166"/>
      <c r="BH314" s="166"/>
      <c r="BI314" s="166"/>
      <c r="BJ314" s="166"/>
      <c r="BK314" s="166"/>
      <c r="BL314" s="166"/>
      <c r="BM314" s="166"/>
      <c r="BN314" s="166"/>
    </row>
    <row r="315" spans="2:66" x14ac:dyDescent="0.25">
      <c r="B315" s="831" t="str">
        <f t="shared" si="201"/>
        <v>Activos nuevos 3 - Depreciacion 10 años</v>
      </c>
      <c r="C315" s="965">
        <f t="shared" si="202"/>
        <v>0</v>
      </c>
      <c r="D315" s="965">
        <f t="shared" si="202"/>
        <v>0</v>
      </c>
      <c r="E315" s="965">
        <f t="shared" si="202"/>
        <v>0</v>
      </c>
      <c r="F315" s="965">
        <f t="shared" si="202"/>
        <v>0</v>
      </c>
      <c r="G315" s="965">
        <f t="shared" si="202"/>
        <v>0</v>
      </c>
      <c r="H315" s="965">
        <f t="shared" si="202"/>
        <v>0</v>
      </c>
      <c r="I315" s="965">
        <f t="shared" si="202"/>
        <v>0</v>
      </c>
      <c r="J315" s="965">
        <f t="shared" si="202"/>
        <v>0</v>
      </c>
      <c r="K315" s="965">
        <f t="shared" si="202"/>
        <v>0</v>
      </c>
      <c r="L315" s="965">
        <f t="shared" si="202"/>
        <v>0</v>
      </c>
      <c r="M315" s="965">
        <f t="shared" si="202"/>
        <v>0</v>
      </c>
      <c r="N315" s="965">
        <f t="shared" si="202"/>
        <v>0</v>
      </c>
      <c r="O315" s="965">
        <f t="shared" si="202"/>
        <v>0</v>
      </c>
      <c r="P315" s="965">
        <f t="shared" si="202"/>
        <v>0</v>
      </c>
      <c r="Q315" s="965">
        <f t="shared" si="202"/>
        <v>0</v>
      </c>
      <c r="R315" s="965">
        <f t="shared" si="202"/>
        <v>0</v>
      </c>
      <c r="S315" s="965">
        <f t="shared" si="202"/>
        <v>0</v>
      </c>
      <c r="T315" s="965">
        <f t="shared" si="202"/>
        <v>0</v>
      </c>
      <c r="U315" s="965">
        <f t="shared" si="202"/>
        <v>0</v>
      </c>
      <c r="V315" s="965">
        <f t="shared" si="202"/>
        <v>0</v>
      </c>
      <c r="W315" s="965">
        <f t="shared" si="202"/>
        <v>0</v>
      </c>
      <c r="X315" s="965">
        <f t="shared" si="202"/>
        <v>0</v>
      </c>
      <c r="Y315" s="965">
        <f t="shared" si="202"/>
        <v>0</v>
      </c>
      <c r="Z315" s="965">
        <f t="shared" si="202"/>
        <v>0</v>
      </c>
      <c r="AA315" s="965">
        <f t="shared" si="202"/>
        <v>0</v>
      </c>
      <c r="AB315" s="965">
        <f t="shared" si="202"/>
        <v>0</v>
      </c>
      <c r="AC315" s="965">
        <f t="shared" si="202"/>
        <v>-445437.27272720181</v>
      </c>
      <c r="AD315" s="965">
        <f t="shared" si="202"/>
        <v>-445437.27272720181</v>
      </c>
      <c r="AE315" s="965">
        <f t="shared" si="202"/>
        <v>-445437.27272720181</v>
      </c>
      <c r="AF315" s="965">
        <f t="shared" si="202"/>
        <v>-445437.27272720181</v>
      </c>
      <c r="AG315" s="965">
        <f t="shared" si="202"/>
        <v>-445437.27272720181</v>
      </c>
      <c r="AH315" s="965">
        <f t="shared" si="202"/>
        <v>-445437.27272720181</v>
      </c>
      <c r="AI315" s="965">
        <f t="shared" si="202"/>
        <v>-445437.27272720181</v>
      </c>
      <c r="AJ315" s="965">
        <f t="shared" si="202"/>
        <v>-445437.27272720181</v>
      </c>
      <c r="AK315" s="965">
        <f t="shared" si="202"/>
        <v>-445437.27272720181</v>
      </c>
      <c r="AL315" s="965">
        <f t="shared" si="202"/>
        <v>-445437.27272720181</v>
      </c>
      <c r="AM315" s="965">
        <f t="shared" si="202"/>
        <v>-445437.27272720181</v>
      </c>
      <c r="AN315" s="965">
        <f t="shared" si="202"/>
        <v>0</v>
      </c>
      <c r="AO315" s="965">
        <f t="shared" si="202"/>
        <v>0</v>
      </c>
      <c r="AP315" s="965">
        <f t="shared" si="202"/>
        <v>0</v>
      </c>
      <c r="AQ315" s="965">
        <f t="shared" si="202"/>
        <v>0</v>
      </c>
      <c r="AR315" s="965">
        <f t="shared" si="202"/>
        <v>0</v>
      </c>
      <c r="AS315" s="965">
        <f t="shared" si="202"/>
        <v>0</v>
      </c>
      <c r="AT315" s="965">
        <f t="shared" si="202"/>
        <v>0</v>
      </c>
      <c r="AU315" s="166"/>
      <c r="AV315" s="166"/>
      <c r="AW315" s="166"/>
      <c r="AX315" s="166"/>
      <c r="AY315" s="166"/>
      <c r="AZ315" s="166"/>
      <c r="BA315" s="166"/>
      <c r="BB315" s="166"/>
      <c r="BC315" s="166"/>
      <c r="BD315" s="166"/>
      <c r="BE315" s="166"/>
      <c r="BF315" s="166"/>
      <c r="BG315" s="166"/>
      <c r="BH315" s="166"/>
      <c r="BI315" s="166"/>
      <c r="BJ315" s="166"/>
      <c r="BK315" s="166"/>
      <c r="BL315" s="166"/>
      <c r="BM315" s="166"/>
      <c r="BN315" s="166"/>
    </row>
    <row r="316" spans="2:66" x14ac:dyDescent="0.25">
      <c r="B316" s="831" t="str">
        <f t="shared" si="201"/>
        <v>Activos nuevos 3 - Valor residual</v>
      </c>
      <c r="C316" s="965">
        <f t="shared" si="202"/>
        <v>0</v>
      </c>
      <c r="D316" s="965">
        <f t="shared" si="202"/>
        <v>0</v>
      </c>
      <c r="E316" s="965">
        <f t="shared" si="202"/>
        <v>0</v>
      </c>
      <c r="F316" s="965">
        <f t="shared" si="202"/>
        <v>0</v>
      </c>
      <c r="G316" s="965">
        <f t="shared" si="202"/>
        <v>0</v>
      </c>
      <c r="H316" s="965">
        <f t="shared" si="202"/>
        <v>0</v>
      </c>
      <c r="I316" s="965">
        <f t="shared" si="202"/>
        <v>0</v>
      </c>
      <c r="J316" s="965">
        <f t="shared" si="202"/>
        <v>0</v>
      </c>
      <c r="K316" s="965">
        <f t="shared" si="202"/>
        <v>0</v>
      </c>
      <c r="L316" s="965">
        <f t="shared" si="202"/>
        <v>0</v>
      </c>
      <c r="M316" s="965">
        <f t="shared" si="202"/>
        <v>0</v>
      </c>
      <c r="N316" s="965">
        <f t="shared" si="202"/>
        <v>0</v>
      </c>
      <c r="O316" s="965">
        <f t="shared" si="202"/>
        <v>0</v>
      </c>
      <c r="P316" s="965">
        <f t="shared" si="202"/>
        <v>0</v>
      </c>
      <c r="Q316" s="965">
        <f t="shared" si="202"/>
        <v>0</v>
      </c>
      <c r="R316" s="965">
        <f t="shared" si="202"/>
        <v>0</v>
      </c>
      <c r="S316" s="965">
        <f t="shared" si="202"/>
        <v>0</v>
      </c>
      <c r="T316" s="965">
        <f t="shared" si="202"/>
        <v>0</v>
      </c>
      <c r="U316" s="965">
        <f t="shared" si="202"/>
        <v>0</v>
      </c>
      <c r="V316" s="965">
        <f t="shared" si="202"/>
        <v>0</v>
      </c>
      <c r="W316" s="965">
        <f t="shared" si="202"/>
        <v>0</v>
      </c>
      <c r="X316" s="965">
        <f t="shared" si="202"/>
        <v>0</v>
      </c>
      <c r="Y316" s="965">
        <f t="shared" si="202"/>
        <v>0</v>
      </c>
      <c r="Z316" s="965">
        <f t="shared" si="202"/>
        <v>0</v>
      </c>
      <c r="AA316" s="965">
        <f t="shared" si="202"/>
        <v>0</v>
      </c>
      <c r="AB316" s="965">
        <f t="shared" si="202"/>
        <v>0</v>
      </c>
      <c r="AC316" s="965">
        <f t="shared" si="202"/>
        <v>4454372.7272720179</v>
      </c>
      <c r="AD316" s="965">
        <f t="shared" si="202"/>
        <v>4008935.4545448162</v>
      </c>
      <c r="AE316" s="965">
        <f t="shared" si="202"/>
        <v>3563498.1818176145</v>
      </c>
      <c r="AF316" s="965">
        <f t="shared" si="202"/>
        <v>3118060.9090904128</v>
      </c>
      <c r="AG316" s="965">
        <f t="shared" si="202"/>
        <v>2672623.6363632111</v>
      </c>
      <c r="AH316" s="965">
        <f t="shared" si="202"/>
        <v>2227186.3636360094</v>
      </c>
      <c r="AI316" s="965">
        <f t="shared" si="202"/>
        <v>1781749.0909088077</v>
      </c>
      <c r="AJ316" s="965">
        <f t="shared" si="202"/>
        <v>1336311.818181606</v>
      </c>
      <c r="AK316" s="965">
        <f t="shared" si="202"/>
        <v>890874.5454544042</v>
      </c>
      <c r="AL316" s="965">
        <f t="shared" si="202"/>
        <v>445437.27272720239</v>
      </c>
      <c r="AM316" s="965">
        <f t="shared" si="202"/>
        <v>5.8207660913467407E-10</v>
      </c>
      <c r="AN316" s="965">
        <f t="shared" si="202"/>
        <v>0</v>
      </c>
      <c r="AO316" s="965">
        <f t="shared" si="202"/>
        <v>0</v>
      </c>
      <c r="AP316" s="965">
        <f t="shared" si="202"/>
        <v>0</v>
      </c>
      <c r="AQ316" s="965">
        <f t="shared" si="202"/>
        <v>0</v>
      </c>
      <c r="AR316" s="965">
        <f t="shared" ref="C316:AT318" si="203">AR88</f>
        <v>0</v>
      </c>
      <c r="AS316" s="965">
        <f t="shared" si="203"/>
        <v>0</v>
      </c>
      <c r="AT316" s="965">
        <f t="shared" si="203"/>
        <v>0</v>
      </c>
      <c r="AU316" s="166"/>
      <c r="AV316" s="166"/>
      <c r="AW316" s="166"/>
      <c r="AX316" s="166"/>
      <c r="AY316" s="166"/>
      <c r="AZ316" s="166"/>
      <c r="BA316" s="166"/>
      <c r="BB316" s="166"/>
      <c r="BC316" s="166"/>
      <c r="BD316" s="166"/>
      <c r="BE316" s="166"/>
      <c r="BF316" s="166"/>
      <c r="BG316" s="166"/>
      <c r="BH316" s="166"/>
      <c r="BI316" s="166"/>
      <c r="BJ316" s="166"/>
      <c r="BK316" s="166"/>
      <c r="BL316" s="166"/>
      <c r="BM316" s="166"/>
      <c r="BN316" s="166"/>
    </row>
    <row r="317" spans="2:66" x14ac:dyDescent="0.25">
      <c r="B317" s="831" t="str">
        <f t="shared" si="201"/>
        <v>Activos nuevos 4 - Depreciacion 15 años</v>
      </c>
      <c r="C317" s="965">
        <f t="shared" si="203"/>
        <v>0</v>
      </c>
      <c r="D317" s="965">
        <f t="shared" si="203"/>
        <v>0</v>
      </c>
      <c r="E317" s="965">
        <f t="shared" si="203"/>
        <v>0</v>
      </c>
      <c r="F317" s="965">
        <f t="shared" si="203"/>
        <v>0</v>
      </c>
      <c r="G317" s="965">
        <f t="shared" si="203"/>
        <v>0</v>
      </c>
      <c r="H317" s="965">
        <f t="shared" si="203"/>
        <v>0</v>
      </c>
      <c r="I317" s="965">
        <f t="shared" si="203"/>
        <v>0</v>
      </c>
      <c r="J317" s="965">
        <f t="shared" si="203"/>
        <v>0</v>
      </c>
      <c r="K317" s="965">
        <f t="shared" si="203"/>
        <v>0</v>
      </c>
      <c r="L317" s="965">
        <f t="shared" si="203"/>
        <v>0</v>
      </c>
      <c r="M317" s="965">
        <f t="shared" si="203"/>
        <v>0</v>
      </c>
      <c r="N317" s="965">
        <f t="shared" si="203"/>
        <v>0</v>
      </c>
      <c r="O317" s="965">
        <f t="shared" si="203"/>
        <v>0</v>
      </c>
      <c r="P317" s="965">
        <f t="shared" si="203"/>
        <v>0</v>
      </c>
      <c r="Q317" s="965">
        <f t="shared" si="203"/>
        <v>0</v>
      </c>
      <c r="R317" s="965">
        <f t="shared" si="203"/>
        <v>0</v>
      </c>
      <c r="S317" s="965">
        <f t="shared" si="203"/>
        <v>0</v>
      </c>
      <c r="T317" s="965">
        <f t="shared" si="203"/>
        <v>0</v>
      </c>
      <c r="U317" s="965">
        <f t="shared" si="203"/>
        <v>0</v>
      </c>
      <c r="V317" s="965">
        <f t="shared" si="203"/>
        <v>0</v>
      </c>
      <c r="W317" s="965">
        <f t="shared" si="203"/>
        <v>0</v>
      </c>
      <c r="X317" s="965">
        <f t="shared" si="203"/>
        <v>0</v>
      </c>
      <c r="Y317" s="965">
        <f t="shared" si="203"/>
        <v>0</v>
      </c>
      <c r="Z317" s="965">
        <f t="shared" si="203"/>
        <v>0</v>
      </c>
      <c r="AA317" s="965">
        <f t="shared" si="203"/>
        <v>0</v>
      </c>
      <c r="AB317" s="965">
        <f t="shared" si="203"/>
        <v>0</v>
      </c>
      <c r="AC317" s="965">
        <f t="shared" si="203"/>
        <v>0</v>
      </c>
      <c r="AD317" s="965">
        <f t="shared" si="203"/>
        <v>0</v>
      </c>
      <c r="AE317" s="965">
        <f t="shared" si="203"/>
        <v>0</v>
      </c>
      <c r="AF317" s="965">
        <f t="shared" si="203"/>
        <v>0</v>
      </c>
      <c r="AG317" s="965">
        <f t="shared" si="203"/>
        <v>0</v>
      </c>
      <c r="AH317" s="965">
        <f t="shared" si="203"/>
        <v>0</v>
      </c>
      <c r="AI317" s="965">
        <f t="shared" si="203"/>
        <v>0</v>
      </c>
      <c r="AJ317" s="965">
        <f t="shared" si="203"/>
        <v>0</v>
      </c>
      <c r="AK317" s="965">
        <f t="shared" si="203"/>
        <v>0</v>
      </c>
      <c r="AL317" s="965">
        <f t="shared" si="203"/>
        <v>0</v>
      </c>
      <c r="AM317" s="965">
        <f t="shared" si="203"/>
        <v>0</v>
      </c>
      <c r="AN317" s="965">
        <f t="shared" si="203"/>
        <v>0</v>
      </c>
      <c r="AO317" s="965">
        <f t="shared" si="203"/>
        <v>-1972868.1729611468</v>
      </c>
      <c r="AP317" s="965">
        <f t="shared" si="203"/>
        <v>-1972868.1729611468</v>
      </c>
      <c r="AQ317" s="965">
        <f t="shared" si="203"/>
        <v>-1972868.1729611468</v>
      </c>
      <c r="AR317" s="965">
        <f t="shared" si="203"/>
        <v>-1972868.1729611468</v>
      </c>
      <c r="AS317" s="965">
        <f t="shared" si="203"/>
        <v>-1972868.1729611468</v>
      </c>
      <c r="AT317" s="965">
        <f t="shared" si="203"/>
        <v>-1972868.1729611468</v>
      </c>
      <c r="AU317" s="166"/>
      <c r="AV317" s="166"/>
      <c r="AW317" s="166"/>
      <c r="AX317" s="166"/>
      <c r="AY317" s="166"/>
      <c r="AZ317" s="166"/>
      <c r="BA317" s="166"/>
      <c r="BB317" s="166"/>
      <c r="BC317" s="166"/>
      <c r="BD317" s="166"/>
      <c r="BE317" s="166"/>
      <c r="BF317" s="166"/>
      <c r="BG317" s="166"/>
      <c r="BH317" s="166"/>
      <c r="BI317" s="166"/>
      <c r="BJ317" s="166"/>
      <c r="BK317" s="166"/>
      <c r="BL317" s="166"/>
      <c r="BM317" s="166"/>
      <c r="BN317" s="166"/>
    </row>
    <row r="318" spans="2:66" x14ac:dyDescent="0.25">
      <c r="B318" s="846" t="str">
        <f t="shared" si="201"/>
        <v>Activos nuevos 4 - Valor residual</v>
      </c>
      <c r="C318" s="968">
        <f t="shared" si="203"/>
        <v>0</v>
      </c>
      <c r="D318" s="968">
        <f t="shared" si="203"/>
        <v>0</v>
      </c>
      <c r="E318" s="968">
        <f t="shared" si="203"/>
        <v>0</v>
      </c>
      <c r="F318" s="968">
        <f t="shared" si="203"/>
        <v>0</v>
      </c>
      <c r="G318" s="968">
        <f t="shared" si="203"/>
        <v>0</v>
      </c>
      <c r="H318" s="968">
        <f t="shared" si="203"/>
        <v>0</v>
      </c>
      <c r="I318" s="968">
        <f t="shared" si="203"/>
        <v>0</v>
      </c>
      <c r="J318" s="968">
        <f t="shared" si="203"/>
        <v>0</v>
      </c>
      <c r="K318" s="968">
        <f t="shared" si="203"/>
        <v>0</v>
      </c>
      <c r="L318" s="968">
        <f t="shared" si="203"/>
        <v>0</v>
      </c>
      <c r="M318" s="968">
        <f t="shared" si="203"/>
        <v>0</v>
      </c>
      <c r="N318" s="968">
        <f t="shared" si="203"/>
        <v>0</v>
      </c>
      <c r="O318" s="968">
        <f t="shared" si="203"/>
        <v>0</v>
      </c>
      <c r="P318" s="968">
        <f t="shared" si="203"/>
        <v>0</v>
      </c>
      <c r="Q318" s="968">
        <f t="shared" si="203"/>
        <v>0</v>
      </c>
      <c r="R318" s="968">
        <f t="shared" si="203"/>
        <v>0</v>
      </c>
      <c r="S318" s="968">
        <f t="shared" si="203"/>
        <v>0</v>
      </c>
      <c r="T318" s="968">
        <f t="shared" si="203"/>
        <v>0</v>
      </c>
      <c r="U318" s="968">
        <f t="shared" si="203"/>
        <v>0</v>
      </c>
      <c r="V318" s="968">
        <f t="shared" si="203"/>
        <v>0</v>
      </c>
      <c r="W318" s="968">
        <f t="shared" si="203"/>
        <v>0</v>
      </c>
      <c r="X318" s="968">
        <f t="shared" si="203"/>
        <v>0</v>
      </c>
      <c r="Y318" s="968">
        <f t="shared" si="203"/>
        <v>0</v>
      </c>
      <c r="Z318" s="968">
        <f t="shared" si="203"/>
        <v>0</v>
      </c>
      <c r="AA318" s="968">
        <f t="shared" si="203"/>
        <v>0</v>
      </c>
      <c r="AB318" s="968">
        <f t="shared" si="203"/>
        <v>0</v>
      </c>
      <c r="AC318" s="968">
        <f t="shared" si="203"/>
        <v>0</v>
      </c>
      <c r="AD318" s="968">
        <f t="shared" si="203"/>
        <v>0</v>
      </c>
      <c r="AE318" s="968">
        <f t="shared" si="203"/>
        <v>0</v>
      </c>
      <c r="AF318" s="968">
        <f t="shared" si="203"/>
        <v>0</v>
      </c>
      <c r="AG318" s="968">
        <f t="shared" si="203"/>
        <v>0</v>
      </c>
      <c r="AH318" s="968">
        <f t="shared" si="203"/>
        <v>0</v>
      </c>
      <c r="AI318" s="968">
        <f t="shared" si="203"/>
        <v>0</v>
      </c>
      <c r="AJ318" s="968">
        <f t="shared" si="203"/>
        <v>0</v>
      </c>
      <c r="AK318" s="968">
        <f t="shared" si="203"/>
        <v>0</v>
      </c>
      <c r="AL318" s="968">
        <f t="shared" si="203"/>
        <v>0</v>
      </c>
      <c r="AM318" s="968">
        <f t="shared" si="203"/>
        <v>0</v>
      </c>
      <c r="AN318" s="968">
        <f t="shared" si="203"/>
        <v>0</v>
      </c>
      <c r="AO318" s="968">
        <f t="shared" si="203"/>
        <v>29593022.594417199</v>
      </c>
      <c r="AP318" s="968">
        <f t="shared" si="203"/>
        <v>27620154.421456054</v>
      </c>
      <c r="AQ318" s="968">
        <f t="shared" si="203"/>
        <v>25647286.248494908</v>
      </c>
      <c r="AR318" s="968">
        <f t="shared" si="203"/>
        <v>23674418.075533763</v>
      </c>
      <c r="AS318" s="968">
        <f t="shared" si="203"/>
        <v>21701549.902572617</v>
      </c>
      <c r="AT318" s="968">
        <f t="shared" si="203"/>
        <v>19728681.729611471</v>
      </c>
      <c r="AU318" s="166"/>
      <c r="AV318" s="166"/>
      <c r="AW318" s="166"/>
      <c r="AX318" s="166"/>
      <c r="AY318" s="166"/>
      <c r="AZ318" s="166"/>
      <c r="BA318" s="166"/>
      <c r="BB318" s="166"/>
      <c r="BC318" s="166"/>
      <c r="BD318" s="166"/>
      <c r="BE318" s="166"/>
      <c r="BF318" s="166"/>
      <c r="BG318" s="166"/>
      <c r="BH318" s="166"/>
      <c r="BI318" s="166"/>
      <c r="BJ318" s="166"/>
      <c r="BK318" s="166"/>
      <c r="BL318" s="166"/>
      <c r="BM318" s="166"/>
      <c r="BN318" s="166"/>
    </row>
    <row r="319" spans="2:66" x14ac:dyDescent="0.25">
      <c r="B319" s="845" t="s">
        <v>441</v>
      </c>
      <c r="C319" s="824">
        <v>0</v>
      </c>
      <c r="D319" s="824">
        <v>0</v>
      </c>
      <c r="E319" s="824">
        <v>0</v>
      </c>
      <c r="F319" s="824">
        <v>0</v>
      </c>
      <c r="G319" s="824">
        <f>SUM(G305:G309)+G311+G313+G315+G317</f>
        <v>-3190596.5206691762</v>
      </c>
      <c r="H319" s="824">
        <f t="shared" ref="H319:AT319" si="204">SUM(H305:H309)+H311+H313+H315+H317</f>
        <v>-3190596.5206691762</v>
      </c>
      <c r="I319" s="824">
        <f t="shared" si="204"/>
        <v>-3190596.5206691762</v>
      </c>
      <c r="J319" s="824">
        <f t="shared" si="204"/>
        <v>-3190596.5206691762</v>
      </c>
      <c r="K319" s="824">
        <f t="shared" si="204"/>
        <v>-3190596.5206691762</v>
      </c>
      <c r="L319" s="824">
        <f t="shared" si="204"/>
        <v>-3018004.6382407546</v>
      </c>
      <c r="M319" s="824">
        <f t="shared" si="204"/>
        <v>-3018004.6382407546</v>
      </c>
      <c r="N319" s="824">
        <f t="shared" si="204"/>
        <v>-3018004.6382407546</v>
      </c>
      <c r="O319" s="824">
        <f t="shared" si="204"/>
        <v>-3018004.6382407546</v>
      </c>
      <c r="P319" s="824">
        <f t="shared" si="204"/>
        <v>-3018004.6382407546</v>
      </c>
      <c r="Q319" s="824">
        <f t="shared" si="204"/>
        <v>-2730297.5196809703</v>
      </c>
      <c r="R319" s="824">
        <f t="shared" si="204"/>
        <v>-3089270.1647581775</v>
      </c>
      <c r="S319" s="824">
        <f t="shared" si="204"/>
        <v>-3089270.1647581775</v>
      </c>
      <c r="T319" s="824">
        <f t="shared" si="204"/>
        <v>-3089270.1647581775</v>
      </c>
      <c r="U319" s="824">
        <f t="shared" si="204"/>
        <v>-3089270.1647581775</v>
      </c>
      <c r="V319" s="824">
        <f t="shared" si="204"/>
        <v>-2321770.1453197817</v>
      </c>
      <c r="W319" s="824">
        <f t="shared" si="204"/>
        <v>-2321770.1453197817</v>
      </c>
      <c r="X319" s="824">
        <f t="shared" si="204"/>
        <v>-3400967.9714049036</v>
      </c>
      <c r="Y319" s="824">
        <f t="shared" si="204"/>
        <v>-3400967.9714049036</v>
      </c>
      <c r="Z319" s="824">
        <f t="shared" si="204"/>
        <v>-3400967.9714049036</v>
      </c>
      <c r="AA319" s="824">
        <f t="shared" si="204"/>
        <v>-3400967.9714049036</v>
      </c>
      <c r="AB319" s="824">
        <f t="shared" si="204"/>
        <v>-3400967.9714049036</v>
      </c>
      <c r="AC319" s="824">
        <f t="shared" si="204"/>
        <v>-3487432.5990548981</v>
      </c>
      <c r="AD319" s="824">
        <f t="shared" si="204"/>
        <v>-3487432.5990548981</v>
      </c>
      <c r="AE319" s="824">
        <f t="shared" si="204"/>
        <v>-3487432.5990548981</v>
      </c>
      <c r="AF319" s="824">
        <f t="shared" si="204"/>
        <v>-3487432.5990548981</v>
      </c>
      <c r="AG319" s="824">
        <f t="shared" si="204"/>
        <v>-3487432.5990548981</v>
      </c>
      <c r="AH319" s="824">
        <f t="shared" si="204"/>
        <v>-3487432.5990548981</v>
      </c>
      <c r="AI319" s="824">
        <f t="shared" si="204"/>
        <v>-3487432.5990548981</v>
      </c>
      <c r="AJ319" s="824">
        <f t="shared" si="204"/>
        <v>-3487432.5990548981</v>
      </c>
      <c r="AK319" s="824">
        <f t="shared" si="204"/>
        <v>-3487432.5990548981</v>
      </c>
      <c r="AL319" s="824">
        <f t="shared" si="204"/>
        <v>-3487432.5990548981</v>
      </c>
      <c r="AM319" s="824">
        <f t="shared" si="204"/>
        <v>-2408234.7729697763</v>
      </c>
      <c r="AN319" s="824">
        <f t="shared" si="204"/>
        <v>-1962797.5002425744</v>
      </c>
      <c r="AO319" s="824">
        <f t="shared" si="204"/>
        <v>-3935665.6732037212</v>
      </c>
      <c r="AP319" s="824">
        <f t="shared" si="204"/>
        <v>-3935665.6732037212</v>
      </c>
      <c r="AQ319" s="824">
        <f t="shared" si="204"/>
        <v>-3935665.6732037212</v>
      </c>
      <c r="AR319" s="824">
        <f t="shared" si="204"/>
        <v>-3935665.6732037212</v>
      </c>
      <c r="AS319" s="824">
        <f t="shared" si="204"/>
        <v>-3935665.6732037212</v>
      </c>
      <c r="AT319" s="824">
        <f t="shared" si="204"/>
        <v>-3935665.6732037212</v>
      </c>
      <c r="AU319" s="166"/>
      <c r="AV319" s="166"/>
      <c r="AW319" s="166"/>
      <c r="AX319" s="166"/>
      <c r="AY319" s="166"/>
      <c r="AZ319" s="166"/>
      <c r="BA319" s="166"/>
      <c r="BB319" s="166"/>
      <c r="BC319" s="166"/>
      <c r="BD319" s="166"/>
      <c r="BE319" s="166"/>
      <c r="BF319" s="166"/>
      <c r="BG319" s="166"/>
      <c r="BH319" s="166"/>
      <c r="BI319" s="166"/>
      <c r="BJ319" s="166"/>
      <c r="BK319" s="166"/>
      <c r="BL319" s="166"/>
      <c r="BM319" s="166"/>
      <c r="BN319" s="166"/>
    </row>
    <row r="320" spans="2:66" x14ac:dyDescent="0.25">
      <c r="B320" s="833" t="s">
        <v>435</v>
      </c>
      <c r="C320" s="824">
        <f>C310+C314+C318</f>
        <v>0</v>
      </c>
      <c r="D320" s="824">
        <f t="shared" ref="D320:F320" si="205">D310+D314+D318</f>
        <v>0</v>
      </c>
      <c r="E320" s="824">
        <f t="shared" si="205"/>
        <v>0</v>
      </c>
      <c r="F320" s="824">
        <f t="shared" si="205"/>
        <v>0</v>
      </c>
      <c r="G320" s="824">
        <f>G310+G312+G314+G316+G318</f>
        <v>111877413.20910615</v>
      </c>
      <c r="H320" s="824">
        <f t="shared" ref="H320:AT320" si="206">H310+H312+H314+H316+H318</f>
        <v>108686816.68843697</v>
      </c>
      <c r="I320" s="824">
        <f t="shared" si="206"/>
        <v>105496220.16776779</v>
      </c>
      <c r="J320" s="824">
        <f t="shared" si="206"/>
        <v>102305623.64709862</v>
      </c>
      <c r="K320" s="824">
        <f t="shared" si="206"/>
        <v>99115027.126429439</v>
      </c>
      <c r="L320" s="824">
        <f t="shared" si="206"/>
        <v>96097022.488188684</v>
      </c>
      <c r="M320" s="824">
        <f t="shared" si="206"/>
        <v>93079017.849947929</v>
      </c>
      <c r="N320" s="824">
        <f t="shared" si="206"/>
        <v>90061013.211707175</v>
      </c>
      <c r="O320" s="824">
        <f t="shared" si="206"/>
        <v>87043008.57346642</v>
      </c>
      <c r="P320" s="824">
        <f t="shared" si="206"/>
        <v>84025003.935225666</v>
      </c>
      <c r="Q320" s="824">
        <f t="shared" si="206"/>
        <v>81294706.415544689</v>
      </c>
      <c r="R320" s="824">
        <f t="shared" si="206"/>
        <v>82154135.346635789</v>
      </c>
      <c r="S320" s="824">
        <f t="shared" si="206"/>
        <v>79064865.181877598</v>
      </c>
      <c r="T320" s="824">
        <f t="shared" si="206"/>
        <v>75975595.017119423</v>
      </c>
      <c r="U320" s="824">
        <f t="shared" si="206"/>
        <v>72886324.852361232</v>
      </c>
      <c r="V320" s="824">
        <f t="shared" si="206"/>
        <v>70564554.707041442</v>
      </c>
      <c r="W320" s="824">
        <f t="shared" si="206"/>
        <v>68242784.561721668</v>
      </c>
      <c r="X320" s="824">
        <f t="shared" si="206"/>
        <v>81029783.981593594</v>
      </c>
      <c r="Y320" s="824">
        <f t="shared" si="206"/>
        <v>77628816.010188699</v>
      </c>
      <c r="Z320" s="824">
        <f t="shared" si="206"/>
        <v>74227848.038783774</v>
      </c>
      <c r="AA320" s="824">
        <f t="shared" si="206"/>
        <v>70826880.067378879</v>
      </c>
      <c r="AB320" s="824">
        <f t="shared" si="206"/>
        <v>67425912.095973969</v>
      </c>
      <c r="AC320" s="824">
        <f t="shared" si="206"/>
        <v>68838289.496918291</v>
      </c>
      <c r="AD320" s="824">
        <f t="shared" si="206"/>
        <v>65350856.897863388</v>
      </c>
      <c r="AE320" s="824">
        <f t="shared" si="206"/>
        <v>61863424.298808493</v>
      </c>
      <c r="AF320" s="824">
        <f t="shared" si="206"/>
        <v>58375991.69975359</v>
      </c>
      <c r="AG320" s="824">
        <f t="shared" si="206"/>
        <v>54888559.100698687</v>
      </c>
      <c r="AH320" s="824">
        <f t="shared" si="206"/>
        <v>51401126.501643792</v>
      </c>
      <c r="AI320" s="824">
        <f t="shared" si="206"/>
        <v>47913693.902588889</v>
      </c>
      <c r="AJ320" s="824">
        <f t="shared" si="206"/>
        <v>44426261.303533986</v>
      </c>
      <c r="AK320" s="824">
        <f t="shared" si="206"/>
        <v>40938828.704479091</v>
      </c>
      <c r="AL320" s="824">
        <f t="shared" si="206"/>
        <v>37451396.105424188</v>
      </c>
      <c r="AM320" s="824">
        <f t="shared" si="206"/>
        <v>35043161.332454413</v>
      </c>
      <c r="AN320" s="824">
        <f t="shared" si="206"/>
        <v>33080363.832211837</v>
      </c>
      <c r="AO320" s="824">
        <f t="shared" si="206"/>
        <v>60710588.926386461</v>
      </c>
      <c r="AP320" s="824">
        <f t="shared" si="206"/>
        <v>56774923.253182739</v>
      </c>
      <c r="AQ320" s="824">
        <f t="shared" si="206"/>
        <v>52839257.579979017</v>
      </c>
      <c r="AR320" s="824">
        <f t="shared" si="206"/>
        <v>48903591.906775296</v>
      </c>
      <c r="AS320" s="824">
        <f t="shared" si="206"/>
        <v>44967926.233571574</v>
      </c>
      <c r="AT320" s="824">
        <f t="shared" si="206"/>
        <v>41032260.560367852</v>
      </c>
      <c r="AU320" s="166"/>
      <c r="AV320" s="166"/>
      <c r="AW320" s="166"/>
      <c r="AX320" s="166"/>
      <c r="AY320" s="166"/>
      <c r="AZ320" s="166"/>
      <c r="BA320" s="166"/>
      <c r="BB320" s="166"/>
      <c r="BC320" s="166"/>
      <c r="BD320" s="166"/>
      <c r="BE320" s="166"/>
      <c r="BF320" s="166"/>
      <c r="BG320" s="166"/>
      <c r="BH320" s="166"/>
      <c r="BI320" s="166"/>
      <c r="BJ320" s="166"/>
      <c r="BK320" s="166"/>
      <c r="BL320" s="166"/>
      <c r="BM320" s="166"/>
      <c r="BN320" s="166"/>
    </row>
    <row r="321" spans="2:66" x14ac:dyDescent="0.25">
      <c r="B321" s="481"/>
      <c r="C321" s="382"/>
      <c r="D321" s="382"/>
      <c r="E321" s="382"/>
      <c r="F321" s="382"/>
      <c r="G321" s="382"/>
      <c r="H321" s="382"/>
      <c r="I321" s="382"/>
      <c r="J321" s="382"/>
      <c r="K321" s="382"/>
      <c r="L321" s="382"/>
      <c r="M321" s="382"/>
      <c r="N321" s="382"/>
      <c r="O321" s="382"/>
      <c r="P321" s="382"/>
      <c r="Q321" s="382"/>
      <c r="R321" s="382"/>
      <c r="S321" s="382"/>
      <c r="T321" s="382"/>
      <c r="U321" s="382"/>
      <c r="V321" s="382"/>
      <c r="W321" s="382"/>
      <c r="X321" s="382"/>
      <c r="Y321" s="382"/>
      <c r="Z321" s="382"/>
      <c r="AA321" s="382"/>
      <c r="AB321" s="382"/>
      <c r="AC321" s="382"/>
      <c r="AD321" s="382"/>
      <c r="AE321" s="382"/>
      <c r="AF321" s="382"/>
      <c r="AG321" s="382"/>
      <c r="AH321" s="382"/>
      <c r="AI321" s="382"/>
      <c r="AJ321" s="382"/>
      <c r="AK321" s="382"/>
      <c r="AL321" s="382"/>
      <c r="AM321" s="382"/>
      <c r="AN321" s="382"/>
      <c r="AO321" s="382"/>
      <c r="AP321" s="382"/>
      <c r="AQ321" s="382"/>
      <c r="AR321" s="382"/>
      <c r="AS321" s="382"/>
      <c r="AT321" s="382"/>
      <c r="AU321" s="166"/>
      <c r="AV321" s="166"/>
      <c r="AW321" s="166"/>
      <c r="AX321" s="166"/>
      <c r="AY321" s="166"/>
      <c r="AZ321" s="166"/>
      <c r="BA321" s="166"/>
      <c r="BB321" s="166"/>
      <c r="BC321" s="166"/>
      <c r="BD321" s="166"/>
      <c r="BE321" s="166"/>
      <c r="BF321" s="166"/>
      <c r="BG321" s="166"/>
      <c r="BH321" s="166"/>
      <c r="BI321" s="166"/>
      <c r="BJ321" s="166"/>
      <c r="BK321" s="166"/>
      <c r="BL321" s="166"/>
      <c r="BM321" s="166"/>
      <c r="BN321" s="166"/>
    </row>
    <row r="322" spans="2:66" ht="13.8" thickBot="1" x14ac:dyDescent="0.3">
      <c r="B322" s="834"/>
      <c r="C322" s="178"/>
      <c r="D322" s="178"/>
      <c r="E322" s="178"/>
      <c r="F322" s="178"/>
      <c r="G322" s="178"/>
      <c r="H322" s="178"/>
      <c r="I322" s="178"/>
      <c r="J322" s="178"/>
      <c r="K322" s="178"/>
      <c r="L322" s="178"/>
      <c r="M322" s="178"/>
      <c r="N322" s="178"/>
      <c r="O322" s="178"/>
      <c r="P322" s="178"/>
      <c r="Q322" s="178"/>
      <c r="R322" s="178"/>
      <c r="S322" s="178"/>
      <c r="T322" s="178"/>
      <c r="U322" s="178"/>
      <c r="V322" s="178"/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  <c r="AM322" s="178"/>
      <c r="AN322" s="178"/>
      <c r="AO322" s="178"/>
      <c r="AP322" s="178"/>
      <c r="AQ322" s="178"/>
      <c r="AR322" s="178"/>
      <c r="AS322" s="178"/>
      <c r="AT322" s="178"/>
      <c r="AU322" s="166"/>
      <c r="AV322" s="166"/>
      <c r="AW322" s="166"/>
      <c r="AX322" s="166"/>
      <c r="AY322" s="166"/>
      <c r="AZ322" s="166"/>
      <c r="BA322" s="166"/>
      <c r="BB322" s="166"/>
      <c r="BC322" s="166"/>
      <c r="BD322" s="166"/>
      <c r="BE322" s="166"/>
      <c r="BF322" s="166"/>
      <c r="BG322" s="166"/>
      <c r="BH322" s="166"/>
      <c r="BI322" s="166"/>
      <c r="BJ322" s="166"/>
      <c r="BK322" s="166"/>
      <c r="BL322" s="166"/>
      <c r="BM322" s="166"/>
      <c r="BN322" s="166"/>
    </row>
    <row r="323" spans="2:66" ht="14.4" x14ac:dyDescent="0.25">
      <c r="B323" s="835" t="s">
        <v>390</v>
      </c>
      <c r="C323" s="818"/>
      <c r="D323" s="818"/>
      <c r="E323" s="818"/>
      <c r="F323" s="818"/>
      <c r="G323" s="818"/>
      <c r="H323" s="818"/>
      <c r="I323" s="818"/>
      <c r="J323" s="818"/>
      <c r="K323" s="818"/>
      <c r="L323" s="818"/>
      <c r="M323" s="818"/>
      <c r="N323" s="818"/>
      <c r="O323" s="818"/>
      <c r="P323" s="818"/>
      <c r="Q323" s="818"/>
      <c r="R323" s="818"/>
      <c r="S323" s="818"/>
      <c r="T323" s="818"/>
      <c r="U323" s="818"/>
      <c r="V323" s="818"/>
      <c r="W323" s="818"/>
      <c r="X323" s="818"/>
      <c r="Y323" s="818"/>
      <c r="Z323" s="818"/>
      <c r="AA323" s="818"/>
      <c r="AB323" s="818"/>
      <c r="AC323" s="818"/>
      <c r="AD323" s="818"/>
      <c r="AE323" s="818"/>
      <c r="AF323" s="818"/>
      <c r="AG323" s="818"/>
      <c r="AH323" s="818"/>
      <c r="AI323" s="818"/>
      <c r="AJ323" s="818"/>
      <c r="AK323" s="818"/>
      <c r="AL323" s="818"/>
      <c r="AM323" s="818"/>
      <c r="AN323" s="818"/>
      <c r="AO323" s="818"/>
      <c r="AP323" s="818"/>
      <c r="AQ323" s="818"/>
      <c r="AR323" s="818"/>
      <c r="AS323" s="818"/>
      <c r="AT323" s="819"/>
      <c r="AU323" s="166"/>
      <c r="AV323" s="166"/>
      <c r="AW323" s="166"/>
      <c r="AX323" s="166"/>
      <c r="AY323" s="166"/>
      <c r="AZ323" s="166"/>
      <c r="BA323" s="166"/>
      <c r="BB323" s="166"/>
      <c r="BC323" s="166"/>
      <c r="BD323" s="166"/>
      <c r="BE323" s="166"/>
      <c r="BF323" s="166"/>
      <c r="BG323" s="166"/>
      <c r="BH323" s="166"/>
      <c r="BI323" s="166"/>
      <c r="BJ323" s="166"/>
      <c r="BK323" s="166"/>
      <c r="BL323" s="166"/>
      <c r="BM323" s="166"/>
      <c r="BN323" s="166"/>
    </row>
    <row r="324" spans="2:66" x14ac:dyDescent="0.25">
      <c r="B324" s="836" t="s">
        <v>391</v>
      </c>
      <c r="C324" s="268">
        <v>0</v>
      </c>
      <c r="D324" s="268">
        <v>0</v>
      </c>
      <c r="E324" s="268">
        <v>0</v>
      </c>
      <c r="F324" s="268">
        <v>0</v>
      </c>
      <c r="G324" s="268">
        <f>-G300</f>
        <v>-3489433.6493760138</v>
      </c>
      <c r="H324" s="268">
        <f t="shared" ref="H324:AT324" si="207">-H300</f>
        <v>-3864615.9241095837</v>
      </c>
      <c r="I324" s="268">
        <f t="shared" si="207"/>
        <v>-3667955.0526417415</v>
      </c>
      <c r="J324" s="268">
        <f t="shared" si="207"/>
        <v>-3754445.5924109258</v>
      </c>
      <c r="K324" s="268">
        <f t="shared" si="207"/>
        <v>-8581249.2635108829</v>
      </c>
      <c r="L324" s="268">
        <f t="shared" si="207"/>
        <v>-3933734.6730025862</v>
      </c>
      <c r="M324" s="268">
        <f t="shared" si="207"/>
        <v>-4026637.2762531824</v>
      </c>
      <c r="N324" s="268">
        <f t="shared" si="207"/>
        <v>-4121783.4832045212</v>
      </c>
      <c r="O324" s="268">
        <f t="shared" si="207"/>
        <v>-4219228.6557829175</v>
      </c>
      <c r="P324" s="268">
        <f t="shared" si="207"/>
        <v>-9525155.6981958821</v>
      </c>
      <c r="Q324" s="268">
        <f t="shared" si="207"/>
        <v>-4421244.3521579085</v>
      </c>
      <c r="R324" s="268">
        <f t="shared" si="207"/>
        <v>-4525932.7147169104</v>
      </c>
      <c r="S324" s="268">
        <f t="shared" si="207"/>
        <v>-4633155.7948184023</v>
      </c>
      <c r="T324" s="268">
        <f t="shared" si="207"/>
        <v>-4742976.2925206041</v>
      </c>
      <c r="U324" s="268">
        <f t="shared" si="207"/>
        <v>-10575689.81600501</v>
      </c>
      <c r="V324" s="268">
        <f t="shared" si="207"/>
        <v>-4970668.2950297529</v>
      </c>
      <c r="W324" s="268">
        <f t="shared" si="207"/>
        <v>-5088673.2772134263</v>
      </c>
      <c r="X324" s="268">
        <f t="shared" si="207"/>
        <v>-5209542.7163924491</v>
      </c>
      <c r="Y324" s="268">
        <f t="shared" si="207"/>
        <v>-5333347.6438662987</v>
      </c>
      <c r="Z324" s="268">
        <f t="shared" si="207"/>
        <v>-11745267.263724331</v>
      </c>
      <c r="AA324" s="268">
        <f t="shared" si="207"/>
        <v>-5590057.1209969632</v>
      </c>
      <c r="AB324" s="268">
        <f t="shared" si="207"/>
        <v>-5723112.9055465749</v>
      </c>
      <c r="AC324" s="268">
        <f t="shared" si="207"/>
        <v>-5859406.7445057584</v>
      </c>
      <c r="AD324" s="268">
        <f t="shared" si="207"/>
        <v>-5999019.1305208495</v>
      </c>
      <c r="AE324" s="268">
        <f t="shared" si="207"/>
        <v>-13047797.821644107</v>
      </c>
      <c r="AF324" s="268">
        <f t="shared" si="207"/>
        <v>-6288531.773346208</v>
      </c>
      <c r="AG324" s="268">
        <f t="shared" si="207"/>
        <v>-6438603.4340750668</v>
      </c>
      <c r="AH324" s="268">
        <f t="shared" si="207"/>
        <v>-6592336.5593562629</v>
      </c>
      <c r="AI324" s="268">
        <f t="shared" si="207"/>
        <v>-6749822.3895147499</v>
      </c>
      <c r="AJ324" s="268">
        <f t="shared" si="207"/>
        <v>-14498871.466441935</v>
      </c>
      <c r="AK324" s="268">
        <f t="shared" si="207"/>
        <v>-7076428.7815859448</v>
      </c>
      <c r="AL324" s="268">
        <f t="shared" si="207"/>
        <v>-7245743.6616738085</v>
      </c>
      <c r="AM324" s="268">
        <f t="shared" si="207"/>
        <v>-7419200.0078551713</v>
      </c>
      <c r="AN324" s="268">
        <f t="shared" si="207"/>
        <v>-7596901.2726635616</v>
      </c>
      <c r="AO324" s="268">
        <f t="shared" si="207"/>
        <v>-16115968.399872713</v>
      </c>
      <c r="AP324" s="268">
        <f t="shared" si="207"/>
        <v>-7965465.6146529177</v>
      </c>
      <c r="AQ324" s="268">
        <f t="shared" si="207"/>
        <v>-8156549.0501983799</v>
      </c>
      <c r="AR324" s="268">
        <f t="shared" si="207"/>
        <v>-8352318.2633171976</v>
      </c>
      <c r="AS324" s="268">
        <f t="shared" si="207"/>
        <v>-8552890.5865902863</v>
      </c>
      <c r="AT324" s="799">
        <f t="shared" si="207"/>
        <v>-17918696.229972437</v>
      </c>
      <c r="AU324" s="166"/>
      <c r="AV324" s="166"/>
      <c r="AW324" s="166"/>
      <c r="AX324" s="166"/>
      <c r="AY324" s="166"/>
      <c r="AZ324" s="166"/>
      <c r="BA324" s="166"/>
      <c r="BB324" s="166"/>
      <c r="BC324" s="166"/>
      <c r="BD324" s="166"/>
      <c r="BE324" s="166"/>
      <c r="BF324" s="166"/>
      <c r="BG324" s="166"/>
      <c r="BH324" s="166"/>
      <c r="BI324" s="166"/>
      <c r="BJ324" s="166"/>
      <c r="BK324" s="166"/>
      <c r="BL324" s="166"/>
      <c r="BM324" s="166"/>
      <c r="BN324" s="166"/>
    </row>
    <row r="325" spans="2:66" ht="15" thickBot="1" x14ac:dyDescent="0.3">
      <c r="B325" s="842" t="s">
        <v>389</v>
      </c>
      <c r="C325" s="820"/>
      <c r="D325" s="820"/>
      <c r="E325" s="820"/>
      <c r="F325" s="820"/>
      <c r="G325" s="820">
        <f>G324</f>
        <v>-3489433.6493760138</v>
      </c>
      <c r="H325" s="820">
        <f t="shared" ref="H325:AT325" si="208">H324</f>
        <v>-3864615.9241095837</v>
      </c>
      <c r="I325" s="820">
        <f t="shared" si="208"/>
        <v>-3667955.0526417415</v>
      </c>
      <c r="J325" s="820">
        <f t="shared" si="208"/>
        <v>-3754445.5924109258</v>
      </c>
      <c r="K325" s="820">
        <f t="shared" si="208"/>
        <v>-8581249.2635108829</v>
      </c>
      <c r="L325" s="820">
        <f t="shared" si="208"/>
        <v>-3933734.6730025862</v>
      </c>
      <c r="M325" s="820">
        <f t="shared" si="208"/>
        <v>-4026637.2762531824</v>
      </c>
      <c r="N325" s="820">
        <f t="shared" si="208"/>
        <v>-4121783.4832045212</v>
      </c>
      <c r="O325" s="820">
        <f t="shared" si="208"/>
        <v>-4219228.6557829175</v>
      </c>
      <c r="P325" s="820">
        <f t="shared" si="208"/>
        <v>-9525155.6981958821</v>
      </c>
      <c r="Q325" s="820">
        <f t="shared" si="208"/>
        <v>-4421244.3521579085</v>
      </c>
      <c r="R325" s="820">
        <f t="shared" si="208"/>
        <v>-4525932.7147169104</v>
      </c>
      <c r="S325" s="820">
        <f t="shared" si="208"/>
        <v>-4633155.7948184023</v>
      </c>
      <c r="T325" s="820">
        <f t="shared" si="208"/>
        <v>-4742976.2925206041</v>
      </c>
      <c r="U325" s="820">
        <f t="shared" si="208"/>
        <v>-10575689.81600501</v>
      </c>
      <c r="V325" s="820">
        <f t="shared" si="208"/>
        <v>-4970668.2950297529</v>
      </c>
      <c r="W325" s="820">
        <f t="shared" si="208"/>
        <v>-5088673.2772134263</v>
      </c>
      <c r="X325" s="820">
        <f t="shared" si="208"/>
        <v>-5209542.7163924491</v>
      </c>
      <c r="Y325" s="820">
        <f t="shared" si="208"/>
        <v>-5333347.6438662987</v>
      </c>
      <c r="Z325" s="820">
        <f t="shared" si="208"/>
        <v>-11745267.263724331</v>
      </c>
      <c r="AA325" s="820">
        <f t="shared" si="208"/>
        <v>-5590057.1209969632</v>
      </c>
      <c r="AB325" s="820">
        <f t="shared" si="208"/>
        <v>-5723112.9055465749</v>
      </c>
      <c r="AC325" s="820">
        <f t="shared" si="208"/>
        <v>-5859406.7445057584</v>
      </c>
      <c r="AD325" s="820">
        <f t="shared" si="208"/>
        <v>-5999019.1305208495</v>
      </c>
      <c r="AE325" s="820">
        <f t="shared" si="208"/>
        <v>-13047797.821644107</v>
      </c>
      <c r="AF325" s="820">
        <f t="shared" si="208"/>
        <v>-6288531.773346208</v>
      </c>
      <c r="AG325" s="820">
        <f t="shared" si="208"/>
        <v>-6438603.4340750668</v>
      </c>
      <c r="AH325" s="820">
        <f t="shared" si="208"/>
        <v>-6592336.5593562629</v>
      </c>
      <c r="AI325" s="820">
        <f t="shared" si="208"/>
        <v>-6749822.3895147499</v>
      </c>
      <c r="AJ325" s="820">
        <f t="shared" si="208"/>
        <v>-14498871.466441935</v>
      </c>
      <c r="AK325" s="820">
        <f t="shared" si="208"/>
        <v>-7076428.7815859448</v>
      </c>
      <c r="AL325" s="820">
        <f t="shared" si="208"/>
        <v>-7245743.6616738085</v>
      </c>
      <c r="AM325" s="820">
        <f t="shared" si="208"/>
        <v>-7419200.0078551713</v>
      </c>
      <c r="AN325" s="820">
        <f t="shared" si="208"/>
        <v>-7596901.2726635616</v>
      </c>
      <c r="AO325" s="820">
        <f t="shared" si="208"/>
        <v>-16115968.399872713</v>
      </c>
      <c r="AP325" s="820">
        <f t="shared" si="208"/>
        <v>-7965465.6146529177</v>
      </c>
      <c r="AQ325" s="820">
        <f t="shared" si="208"/>
        <v>-8156549.0501983799</v>
      </c>
      <c r="AR325" s="820">
        <f t="shared" si="208"/>
        <v>-8352318.2633171976</v>
      </c>
      <c r="AS325" s="820">
        <f t="shared" si="208"/>
        <v>-8552890.5865902863</v>
      </c>
      <c r="AT325" s="821">
        <f t="shared" si="208"/>
        <v>-17918696.229972437</v>
      </c>
      <c r="AU325" s="166"/>
      <c r="AV325" s="166"/>
      <c r="AW325" s="166"/>
      <c r="AX325" s="166"/>
      <c r="AY325" s="166"/>
      <c r="AZ325" s="166"/>
      <c r="BA325" s="166"/>
      <c r="BB325" s="166"/>
      <c r="BC325" s="166"/>
      <c r="BD325" s="166"/>
      <c r="BE325" s="166"/>
      <c r="BF325" s="166"/>
      <c r="BG325" s="166"/>
      <c r="BH325" s="166"/>
      <c r="BI325" s="166"/>
      <c r="BJ325" s="166"/>
      <c r="BK325" s="166"/>
      <c r="BL325" s="166"/>
      <c r="BM325" s="166"/>
      <c r="BN325" s="166"/>
    </row>
    <row r="326" spans="2:66" ht="15" thickBot="1" x14ac:dyDescent="0.3">
      <c r="B326" s="837"/>
      <c r="C326" s="824"/>
      <c r="D326" s="824"/>
      <c r="E326" s="824"/>
      <c r="F326" s="824"/>
      <c r="G326" s="824"/>
      <c r="H326" s="824"/>
      <c r="I326" s="824"/>
      <c r="J326" s="824"/>
      <c r="K326" s="824"/>
      <c r="L326" s="824"/>
      <c r="M326" s="824"/>
      <c r="N326" s="824"/>
      <c r="O326" s="824"/>
      <c r="P326" s="824"/>
      <c r="Q326" s="824"/>
      <c r="R326" s="824"/>
      <c r="S326" s="824"/>
      <c r="T326" s="824"/>
      <c r="U326" s="824"/>
      <c r="V326" s="824"/>
      <c r="W326" s="824"/>
      <c r="X326" s="824"/>
      <c r="Y326" s="824"/>
      <c r="Z326" s="824"/>
      <c r="AA326" s="824"/>
      <c r="AB326" s="824"/>
      <c r="AC326" s="824"/>
      <c r="AD326" s="824"/>
      <c r="AE326" s="824"/>
      <c r="AF326" s="824"/>
      <c r="AG326" s="824"/>
      <c r="AH326" s="824"/>
      <c r="AI326" s="824"/>
      <c r="AJ326" s="824"/>
      <c r="AK326" s="824"/>
      <c r="AL326" s="824"/>
      <c r="AM326" s="824"/>
      <c r="AN326" s="824"/>
      <c r="AO326" s="824"/>
      <c r="AP326" s="824"/>
      <c r="AQ326" s="824"/>
      <c r="AR326" s="824"/>
      <c r="AS326" s="824"/>
      <c r="AT326" s="824"/>
      <c r="AU326" s="166"/>
      <c r="AV326" s="166"/>
      <c r="AW326" s="166"/>
      <c r="AX326" s="166"/>
      <c r="AY326" s="166"/>
      <c r="AZ326" s="166"/>
      <c r="BA326" s="166"/>
      <c r="BB326" s="166"/>
      <c r="BC326" s="166"/>
      <c r="BD326" s="166"/>
      <c r="BE326" s="166"/>
      <c r="BF326" s="166"/>
      <c r="BG326" s="166"/>
      <c r="BH326" s="166"/>
      <c r="BI326" s="166"/>
      <c r="BJ326" s="166"/>
      <c r="BK326" s="166"/>
      <c r="BL326" s="166"/>
      <c r="BM326" s="166"/>
      <c r="BN326" s="166"/>
    </row>
    <row r="327" spans="2:66" ht="14.4" x14ac:dyDescent="0.25">
      <c r="B327" s="835" t="s">
        <v>392</v>
      </c>
      <c r="C327" s="818"/>
      <c r="D327" s="818"/>
      <c r="E327" s="818"/>
      <c r="F327" s="818"/>
      <c r="G327" s="818"/>
      <c r="H327" s="818"/>
      <c r="I327" s="818"/>
      <c r="J327" s="818"/>
      <c r="K327" s="818"/>
      <c r="L327" s="818"/>
      <c r="M327" s="818"/>
      <c r="N327" s="818"/>
      <c r="O327" s="818"/>
      <c r="P327" s="818"/>
      <c r="Q327" s="818"/>
      <c r="R327" s="818"/>
      <c r="S327" s="818"/>
      <c r="T327" s="818"/>
      <c r="U327" s="818"/>
      <c r="V327" s="818"/>
      <c r="W327" s="818"/>
      <c r="X327" s="818"/>
      <c r="Y327" s="818"/>
      <c r="Z327" s="818"/>
      <c r="AA327" s="818"/>
      <c r="AB327" s="818"/>
      <c r="AC327" s="818"/>
      <c r="AD327" s="818"/>
      <c r="AE327" s="818"/>
      <c r="AF327" s="818"/>
      <c r="AG327" s="818"/>
      <c r="AH327" s="818"/>
      <c r="AI327" s="818"/>
      <c r="AJ327" s="818"/>
      <c r="AK327" s="818"/>
      <c r="AL327" s="818"/>
      <c r="AM327" s="818"/>
      <c r="AN327" s="818"/>
      <c r="AO327" s="818"/>
      <c r="AP327" s="818"/>
      <c r="AQ327" s="818"/>
      <c r="AR327" s="818"/>
      <c r="AS327" s="818"/>
      <c r="AT327" s="819"/>
      <c r="AU327" s="166"/>
      <c r="AV327" s="166"/>
      <c r="AW327" s="166"/>
      <c r="AX327" s="166"/>
      <c r="AY327" s="166"/>
      <c r="AZ327" s="166"/>
      <c r="BA327" s="166"/>
      <c r="BB327" s="166"/>
      <c r="BC327" s="166"/>
      <c r="BD327" s="166"/>
      <c r="BE327" s="166"/>
      <c r="BF327" s="166"/>
      <c r="BG327" s="166"/>
      <c r="BH327" s="166"/>
      <c r="BI327" s="166"/>
      <c r="BJ327" s="166"/>
      <c r="BK327" s="166"/>
      <c r="BL327" s="166"/>
      <c r="BM327" s="166"/>
      <c r="BN327" s="166"/>
    </row>
    <row r="328" spans="2:66" x14ac:dyDescent="0.25">
      <c r="B328" s="836" t="s">
        <v>393</v>
      </c>
      <c r="C328" s="268">
        <v>0</v>
      </c>
      <c r="D328" s="268">
        <v>0</v>
      </c>
      <c r="E328" s="268">
        <v>0</v>
      </c>
      <c r="F328" s="268">
        <v>0</v>
      </c>
      <c r="G328" s="178">
        <f t="shared" ref="G328:AT328" si="209">G302</f>
        <v>5074215.7827787483</v>
      </c>
      <c r="H328" s="178">
        <f t="shared" si="209"/>
        <v>6765621.0437049968</v>
      </c>
      <c r="I328" s="178">
        <f t="shared" si="209"/>
        <v>7150731.231135698</v>
      </c>
      <c r="J328" s="178">
        <f t="shared" si="209"/>
        <v>7228005.6610778179</v>
      </c>
      <c r="K328" s="178">
        <f t="shared" si="209"/>
        <v>7600413.4066971447</v>
      </c>
      <c r="L328" s="178">
        <f t="shared" si="209"/>
        <v>7680809.7236089287</v>
      </c>
      <c r="M328" s="178">
        <f t="shared" si="209"/>
        <v>8074758.7645577509</v>
      </c>
      <c r="N328" s="178">
        <f t="shared" si="209"/>
        <v>8115717.9592398219</v>
      </c>
      <c r="O328" s="178">
        <f t="shared" si="209"/>
        <v>8486206.9109403342</v>
      </c>
      <c r="P328" s="178">
        <f t="shared" si="209"/>
        <v>8528820.8570875619</v>
      </c>
      <c r="Q328" s="178">
        <f t="shared" si="209"/>
        <v>8917720.769285474</v>
      </c>
      <c r="R328" s="178">
        <f t="shared" si="209"/>
        <v>8962056.3188570533</v>
      </c>
      <c r="S328" s="178">
        <f t="shared" si="209"/>
        <v>9328495.2956309598</v>
      </c>
      <c r="T328" s="178">
        <f t="shared" si="209"/>
        <v>9332867.1971230488</v>
      </c>
      <c r="U328" s="178">
        <f t="shared" si="209"/>
        <v>9714463.5581991859</v>
      </c>
      <c r="V328" s="178">
        <f t="shared" si="209"/>
        <v>9719012.0845115501</v>
      </c>
      <c r="W328" s="178">
        <f t="shared" si="209"/>
        <v>10116392.459501199</v>
      </c>
      <c r="X328" s="178">
        <f t="shared" si="209"/>
        <v>10179114.857599376</v>
      </c>
      <c r="Y328" s="178">
        <f t="shared" si="209"/>
        <v>10655607.480827741</v>
      </c>
      <c r="Z328" s="178">
        <f t="shared" si="209"/>
        <v>10720863.863809085</v>
      </c>
      <c r="AA328" s="178">
        <f t="shared" si="209"/>
        <v>11221879.504760763</v>
      </c>
      <c r="AB328" s="178">
        <f t="shared" si="209"/>
        <v>11289772.245614557</v>
      </c>
      <c r="AC328" s="178">
        <f t="shared" si="209"/>
        <v>11745879.044337384</v>
      </c>
      <c r="AD328" s="178">
        <f t="shared" si="209"/>
        <v>11745879.044337384</v>
      </c>
      <c r="AE328" s="178">
        <f t="shared" si="209"/>
        <v>12220412.557728615</v>
      </c>
      <c r="AF328" s="178">
        <f t="shared" si="209"/>
        <v>12220412.557728615</v>
      </c>
      <c r="AG328" s="178">
        <f t="shared" si="209"/>
        <v>12714117.22506085</v>
      </c>
      <c r="AH328" s="178">
        <f t="shared" si="209"/>
        <v>12714117.22506085</v>
      </c>
      <c r="AI328" s="178">
        <f t="shared" si="209"/>
        <v>13227767.560953308</v>
      </c>
      <c r="AJ328" s="178">
        <f t="shared" si="209"/>
        <v>13227767.560953308</v>
      </c>
      <c r="AK328" s="178">
        <f t="shared" si="209"/>
        <v>13762169.370415824</v>
      </c>
      <c r="AL328" s="178">
        <f t="shared" si="209"/>
        <v>13762169.370415824</v>
      </c>
      <c r="AM328" s="178">
        <f t="shared" si="209"/>
        <v>14318161.012980621</v>
      </c>
      <c r="AN328" s="178">
        <f t="shared" si="209"/>
        <v>14318161.012980621</v>
      </c>
      <c r="AO328" s="178">
        <f t="shared" si="209"/>
        <v>14896614.717905041</v>
      </c>
      <c r="AP328" s="178">
        <f t="shared" si="209"/>
        <v>14896614.717905041</v>
      </c>
      <c r="AQ328" s="178">
        <f t="shared" si="209"/>
        <v>15498437.952508403</v>
      </c>
      <c r="AR328" s="178">
        <f t="shared" si="209"/>
        <v>15498437.952508403</v>
      </c>
      <c r="AS328" s="178">
        <f t="shared" si="209"/>
        <v>16124574.845789742</v>
      </c>
      <c r="AT328" s="265">
        <f t="shared" si="209"/>
        <v>16124574.845789742</v>
      </c>
      <c r="AU328" s="166"/>
      <c r="AV328" s="166"/>
      <c r="AW328" s="166"/>
      <c r="AX328" s="166"/>
      <c r="AY328" s="166"/>
      <c r="AZ328" s="166"/>
      <c r="BA328" s="166"/>
      <c r="BB328" s="166"/>
      <c r="BC328" s="166"/>
      <c r="BD328" s="166"/>
      <c r="BE328" s="166"/>
      <c r="BF328" s="166"/>
      <c r="BG328" s="166"/>
      <c r="BH328" s="166"/>
      <c r="BI328" s="166"/>
      <c r="BJ328" s="166"/>
      <c r="BK328" s="166"/>
      <c r="BL328" s="166"/>
      <c r="BM328" s="166"/>
      <c r="BN328" s="166"/>
    </row>
    <row r="329" spans="2:66" x14ac:dyDescent="0.25">
      <c r="B329" s="836" t="s">
        <v>394</v>
      </c>
      <c r="C329" s="268">
        <v>0</v>
      </c>
      <c r="D329" s="268">
        <v>0</v>
      </c>
      <c r="E329" s="268">
        <v>0</v>
      </c>
      <c r="F329" s="268">
        <v>0</v>
      </c>
      <c r="G329" s="178">
        <f t="shared" ref="G329:AT329" si="210">G303</f>
        <v>420000</v>
      </c>
      <c r="H329" s="178">
        <f t="shared" si="210"/>
        <v>428400</v>
      </c>
      <c r="I329" s="178">
        <f t="shared" si="210"/>
        <v>436968</v>
      </c>
      <c r="J329" s="178">
        <f t="shared" si="210"/>
        <v>445707.36</v>
      </c>
      <c r="K329" s="178">
        <f t="shared" si="210"/>
        <v>454621.50719999999</v>
      </c>
      <c r="L329" s="178">
        <f t="shared" si="210"/>
        <v>463713.93734400003</v>
      </c>
      <c r="M329" s="178">
        <f t="shared" si="210"/>
        <v>472988.21609088004</v>
      </c>
      <c r="N329" s="178">
        <f t="shared" si="210"/>
        <v>482447.98041269754</v>
      </c>
      <c r="O329" s="178">
        <f t="shared" si="210"/>
        <v>492096.9400209515</v>
      </c>
      <c r="P329" s="178">
        <f t="shared" si="210"/>
        <v>501938.87882137054</v>
      </c>
      <c r="Q329" s="178">
        <f t="shared" si="210"/>
        <v>511977.65639779798</v>
      </c>
      <c r="R329" s="178">
        <f t="shared" si="210"/>
        <v>522217.20952575386</v>
      </c>
      <c r="S329" s="178">
        <f t="shared" si="210"/>
        <v>532661.55371626897</v>
      </c>
      <c r="T329" s="178">
        <f t="shared" si="210"/>
        <v>543314.78479059436</v>
      </c>
      <c r="U329" s="178">
        <f t="shared" si="210"/>
        <v>554181.08048640634</v>
      </c>
      <c r="V329" s="178">
        <f t="shared" si="210"/>
        <v>565264.70209613431</v>
      </c>
      <c r="W329" s="178">
        <f t="shared" si="210"/>
        <v>576569.99613805709</v>
      </c>
      <c r="X329" s="178">
        <f t="shared" si="210"/>
        <v>588101.39606081822</v>
      </c>
      <c r="Y329" s="178">
        <f t="shared" si="210"/>
        <v>599863.42398203455</v>
      </c>
      <c r="Z329" s="178">
        <f t="shared" si="210"/>
        <v>611860.69246167527</v>
      </c>
      <c r="AA329" s="178">
        <f t="shared" si="210"/>
        <v>624097.90631090873</v>
      </c>
      <c r="AB329" s="178">
        <f t="shared" si="210"/>
        <v>636579.8644371269</v>
      </c>
      <c r="AC329" s="178">
        <f t="shared" si="210"/>
        <v>649311.46172586945</v>
      </c>
      <c r="AD329" s="178">
        <f t="shared" si="210"/>
        <v>662297.69096038677</v>
      </c>
      <c r="AE329" s="178">
        <f t="shared" si="210"/>
        <v>675543.6447795945</v>
      </c>
      <c r="AF329" s="178">
        <f t="shared" si="210"/>
        <v>689054.51767518639</v>
      </c>
      <c r="AG329" s="178">
        <f t="shared" si="210"/>
        <v>702835.60802869021</v>
      </c>
      <c r="AH329" s="178">
        <f t="shared" si="210"/>
        <v>716892.3201892639</v>
      </c>
      <c r="AI329" s="178">
        <f t="shared" si="210"/>
        <v>731230.1665930493</v>
      </c>
      <c r="AJ329" s="178">
        <f t="shared" si="210"/>
        <v>745854.76992491016</v>
      </c>
      <c r="AK329" s="178">
        <f t="shared" si="210"/>
        <v>760771.86532340851</v>
      </c>
      <c r="AL329" s="178">
        <f t="shared" si="210"/>
        <v>775987.30262987642</v>
      </c>
      <c r="AM329" s="178">
        <f t="shared" si="210"/>
        <v>791507.04868247418</v>
      </c>
      <c r="AN329" s="178">
        <f t="shared" si="210"/>
        <v>807337.18965612364</v>
      </c>
      <c r="AO329" s="178">
        <f t="shared" si="210"/>
        <v>823483.93344924611</v>
      </c>
      <c r="AP329" s="178">
        <f t="shared" si="210"/>
        <v>839953.61211823102</v>
      </c>
      <c r="AQ329" s="178">
        <f t="shared" si="210"/>
        <v>856752.68436059554</v>
      </c>
      <c r="AR329" s="178">
        <f t="shared" si="210"/>
        <v>873887.73804780759</v>
      </c>
      <c r="AS329" s="178">
        <f t="shared" si="210"/>
        <v>891365.49280876387</v>
      </c>
      <c r="AT329" s="265">
        <f t="shared" si="210"/>
        <v>909192.80266493873</v>
      </c>
      <c r="AU329" s="166"/>
      <c r="AV329" s="166"/>
      <c r="AW329" s="166"/>
      <c r="AX329" s="166"/>
      <c r="AY329" s="166"/>
      <c r="AZ329" s="166"/>
      <c r="BA329" s="166"/>
      <c r="BB329" s="166"/>
      <c r="BC329" s="166"/>
      <c r="BD329" s="166"/>
      <c r="BE329" s="166"/>
      <c r="BF329" s="166"/>
      <c r="BG329" s="166"/>
      <c r="BH329" s="166"/>
      <c r="BI329" s="166"/>
      <c r="BJ329" s="166"/>
      <c r="BK329" s="166"/>
      <c r="BL329" s="166"/>
      <c r="BM329" s="166"/>
      <c r="BN329" s="166"/>
    </row>
    <row r="330" spans="2:66" ht="15" thickBot="1" x14ac:dyDescent="0.3">
      <c r="B330" s="842" t="s">
        <v>388</v>
      </c>
      <c r="C330" s="822">
        <v>0</v>
      </c>
      <c r="D330" s="822">
        <v>0</v>
      </c>
      <c r="E330" s="822">
        <v>0</v>
      </c>
      <c r="F330" s="822">
        <v>0</v>
      </c>
      <c r="G330" s="822">
        <f>G328+G329</f>
        <v>5494215.7827787483</v>
      </c>
      <c r="H330" s="822">
        <f t="shared" ref="H330:AT330" si="211">H328+H329</f>
        <v>7194021.0437049968</v>
      </c>
      <c r="I330" s="822">
        <f t="shared" si="211"/>
        <v>7587699.231135698</v>
      </c>
      <c r="J330" s="822">
        <f t="shared" si="211"/>
        <v>7673713.0210778182</v>
      </c>
      <c r="K330" s="822">
        <f t="shared" si="211"/>
        <v>8055034.9138971446</v>
      </c>
      <c r="L330" s="822">
        <f t="shared" si="211"/>
        <v>8144523.6609529285</v>
      </c>
      <c r="M330" s="822">
        <f t="shared" si="211"/>
        <v>8547746.9806486312</v>
      </c>
      <c r="N330" s="822">
        <f t="shared" si="211"/>
        <v>8598165.9396525193</v>
      </c>
      <c r="O330" s="822">
        <f t="shared" si="211"/>
        <v>8978303.8509612866</v>
      </c>
      <c r="P330" s="822">
        <f t="shared" si="211"/>
        <v>9030759.735908933</v>
      </c>
      <c r="Q330" s="822">
        <f t="shared" si="211"/>
        <v>9429698.4256832711</v>
      </c>
      <c r="R330" s="822">
        <f t="shared" si="211"/>
        <v>9484273.528382808</v>
      </c>
      <c r="S330" s="822">
        <f t="shared" si="211"/>
        <v>9861156.8493472282</v>
      </c>
      <c r="T330" s="822">
        <f t="shared" si="211"/>
        <v>9876181.981913643</v>
      </c>
      <c r="U330" s="822">
        <f t="shared" si="211"/>
        <v>10268644.638685592</v>
      </c>
      <c r="V330" s="822">
        <f t="shared" si="211"/>
        <v>10284276.786607685</v>
      </c>
      <c r="W330" s="822">
        <f t="shared" si="211"/>
        <v>10692962.455639256</v>
      </c>
      <c r="X330" s="822">
        <f t="shared" si="211"/>
        <v>10767216.253660195</v>
      </c>
      <c r="Y330" s="822">
        <f t="shared" si="211"/>
        <v>11255470.904809777</v>
      </c>
      <c r="Z330" s="822">
        <f t="shared" si="211"/>
        <v>11332724.55627076</v>
      </c>
      <c r="AA330" s="822">
        <f t="shared" si="211"/>
        <v>11845977.411071671</v>
      </c>
      <c r="AB330" s="822">
        <f t="shared" si="211"/>
        <v>11926352.110051684</v>
      </c>
      <c r="AC330" s="822">
        <f t="shared" si="211"/>
        <v>12395190.506063255</v>
      </c>
      <c r="AD330" s="822">
        <f t="shared" si="211"/>
        <v>12408176.735297771</v>
      </c>
      <c r="AE330" s="822">
        <f t="shared" si="211"/>
        <v>12895956.202508209</v>
      </c>
      <c r="AF330" s="822">
        <f t="shared" si="211"/>
        <v>12909467.0754038</v>
      </c>
      <c r="AG330" s="822">
        <f t="shared" si="211"/>
        <v>13416952.83308954</v>
      </c>
      <c r="AH330" s="822">
        <f t="shared" si="211"/>
        <v>13431009.545250114</v>
      </c>
      <c r="AI330" s="822">
        <f t="shared" si="211"/>
        <v>13958997.727546357</v>
      </c>
      <c r="AJ330" s="822">
        <f t="shared" si="211"/>
        <v>13973622.330878219</v>
      </c>
      <c r="AK330" s="822">
        <f t="shared" si="211"/>
        <v>14522941.235739231</v>
      </c>
      <c r="AL330" s="822">
        <f t="shared" si="211"/>
        <v>14538156.6730457</v>
      </c>
      <c r="AM330" s="822">
        <f t="shared" si="211"/>
        <v>15109668.061663095</v>
      </c>
      <c r="AN330" s="822">
        <f t="shared" si="211"/>
        <v>15125498.202636745</v>
      </c>
      <c r="AO330" s="822">
        <f t="shared" si="211"/>
        <v>15720098.651354287</v>
      </c>
      <c r="AP330" s="822">
        <f t="shared" si="211"/>
        <v>15736568.330023272</v>
      </c>
      <c r="AQ330" s="822">
        <f t="shared" si="211"/>
        <v>16355190.636868998</v>
      </c>
      <c r="AR330" s="822">
        <f t="shared" si="211"/>
        <v>16372325.690556211</v>
      </c>
      <c r="AS330" s="822">
        <f t="shared" si="211"/>
        <v>17015940.338598505</v>
      </c>
      <c r="AT330" s="823">
        <f t="shared" si="211"/>
        <v>17033767.648454681</v>
      </c>
      <c r="AU330" s="166"/>
      <c r="AV330" s="166"/>
      <c r="AW330" s="166"/>
      <c r="AX330" s="166"/>
      <c r="AY330" s="166"/>
      <c r="AZ330" s="166"/>
      <c r="BA330" s="166"/>
      <c r="BB330" s="166"/>
      <c r="BC330" s="166"/>
      <c r="BD330" s="166"/>
      <c r="BE330" s="166"/>
      <c r="BF330" s="166"/>
      <c r="BG330" s="166"/>
      <c r="BH330" s="166"/>
      <c r="BI330" s="166"/>
      <c r="BJ330" s="166"/>
      <c r="BK330" s="166"/>
      <c r="BL330" s="166"/>
      <c r="BM330" s="166"/>
      <c r="BN330" s="166"/>
    </row>
    <row r="331" spans="2:66" ht="15" thickBot="1" x14ac:dyDescent="0.3">
      <c r="B331" s="838"/>
      <c r="C331" s="178"/>
      <c r="D331" s="178"/>
      <c r="E331" s="178"/>
      <c r="F331" s="178"/>
      <c r="G331" s="178"/>
      <c r="H331" s="178"/>
      <c r="I331" s="178"/>
      <c r="J331" s="178"/>
      <c r="K331" s="178"/>
      <c r="L331" s="178"/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  <c r="Y331" s="178"/>
      <c r="Z331" s="178"/>
      <c r="AA331" s="178"/>
      <c r="AB331" s="178"/>
      <c r="AC331" s="178"/>
      <c r="AD331" s="178"/>
      <c r="AE331" s="178"/>
      <c r="AF331" s="178"/>
      <c r="AG331" s="178"/>
      <c r="AH331" s="178"/>
      <c r="AI331" s="178"/>
      <c r="AJ331" s="178"/>
      <c r="AK331" s="178"/>
      <c r="AL331" s="178"/>
      <c r="AM331" s="178"/>
      <c r="AN331" s="178"/>
      <c r="AO331" s="178"/>
      <c r="AP331" s="178"/>
      <c r="AQ331" s="178"/>
      <c r="AR331" s="178"/>
      <c r="AS331" s="178"/>
      <c r="AT331" s="178"/>
      <c r="AU331" s="166"/>
      <c r="AV331" s="166"/>
      <c r="AW331" s="166"/>
      <c r="AX331" s="166"/>
      <c r="AY331" s="166"/>
      <c r="AZ331" s="166"/>
      <c r="BA331" s="166"/>
      <c r="BB331" s="166"/>
      <c r="BC331" s="166"/>
      <c r="BD331" s="166"/>
      <c r="BE331" s="166"/>
      <c r="BF331" s="166"/>
      <c r="BG331" s="166"/>
      <c r="BH331" s="166"/>
      <c r="BI331" s="166"/>
      <c r="BJ331" s="166"/>
      <c r="BK331" s="166"/>
      <c r="BL331" s="166"/>
      <c r="BM331" s="166"/>
      <c r="BN331" s="166"/>
    </row>
    <row r="332" spans="2:66" ht="15" thickBot="1" x14ac:dyDescent="0.3">
      <c r="B332" s="843" t="s">
        <v>387</v>
      </c>
      <c r="C332" s="825"/>
      <c r="D332" s="825"/>
      <c r="E332" s="825"/>
      <c r="F332" s="825"/>
      <c r="G332" s="826">
        <f>G330+G325</f>
        <v>2004782.1334027345</v>
      </c>
      <c r="H332" s="826">
        <f t="shared" ref="H332:AT332" si="212">H330+H325</f>
        <v>3329405.1195954131</v>
      </c>
      <c r="I332" s="826">
        <f t="shared" si="212"/>
        <v>3919744.1784939566</v>
      </c>
      <c r="J332" s="826">
        <f t="shared" si="212"/>
        <v>3919267.4286668925</v>
      </c>
      <c r="K332" s="826">
        <f t="shared" si="212"/>
        <v>-526214.34961373825</v>
      </c>
      <c r="L332" s="826">
        <f t="shared" si="212"/>
        <v>4210788.9879503418</v>
      </c>
      <c r="M332" s="826">
        <f t="shared" si="212"/>
        <v>4521109.7043954488</v>
      </c>
      <c r="N332" s="826">
        <f t="shared" si="212"/>
        <v>4476382.4564479981</v>
      </c>
      <c r="O332" s="826">
        <f t="shared" si="212"/>
        <v>4759075.1951783691</v>
      </c>
      <c r="P332" s="826">
        <f t="shared" si="212"/>
        <v>-494395.96228694916</v>
      </c>
      <c r="Q332" s="826">
        <f t="shared" si="212"/>
        <v>5008454.0735253626</v>
      </c>
      <c r="R332" s="826">
        <f t="shared" si="212"/>
        <v>4958340.8136658976</v>
      </c>
      <c r="S332" s="826">
        <f t="shared" si="212"/>
        <v>5228001.0545288259</v>
      </c>
      <c r="T332" s="826">
        <f t="shared" si="212"/>
        <v>5133205.6893930389</v>
      </c>
      <c r="U332" s="826">
        <f t="shared" si="212"/>
        <v>-307045.17731941864</v>
      </c>
      <c r="V332" s="826">
        <f t="shared" si="212"/>
        <v>5313608.4915779317</v>
      </c>
      <c r="W332" s="826">
        <f t="shared" si="212"/>
        <v>5604289.1784258299</v>
      </c>
      <c r="X332" s="826">
        <f t="shared" si="212"/>
        <v>5557673.5372677455</v>
      </c>
      <c r="Y332" s="826">
        <f t="shared" si="212"/>
        <v>5922123.260943478</v>
      </c>
      <c r="Z332" s="826">
        <f t="shared" si="212"/>
        <v>-412542.70745357126</v>
      </c>
      <c r="AA332" s="826">
        <f t="shared" si="212"/>
        <v>6255920.2900747079</v>
      </c>
      <c r="AB332" s="826">
        <f t="shared" si="212"/>
        <v>6203239.2045051092</v>
      </c>
      <c r="AC332" s="826">
        <f t="shared" si="212"/>
        <v>6535783.7615574962</v>
      </c>
      <c r="AD332" s="826">
        <f t="shared" si="212"/>
        <v>6409157.6047769217</v>
      </c>
      <c r="AE332" s="826">
        <f t="shared" si="212"/>
        <v>-151841.61913589761</v>
      </c>
      <c r="AF332" s="826">
        <f t="shared" si="212"/>
        <v>6620935.3020575922</v>
      </c>
      <c r="AG332" s="826">
        <f t="shared" si="212"/>
        <v>6978349.399014473</v>
      </c>
      <c r="AH332" s="826">
        <f t="shared" si="212"/>
        <v>6838672.9858938511</v>
      </c>
      <c r="AI332" s="826">
        <f t="shared" si="212"/>
        <v>7209175.3380316067</v>
      </c>
      <c r="AJ332" s="826">
        <f t="shared" si="212"/>
        <v>-525249.13556371629</v>
      </c>
      <c r="AK332" s="826">
        <f t="shared" si="212"/>
        <v>7446512.4541532863</v>
      </c>
      <c r="AL332" s="826">
        <f t="shared" si="212"/>
        <v>7292413.0113718919</v>
      </c>
      <c r="AM332" s="826">
        <f t="shared" si="212"/>
        <v>7690468.0538079236</v>
      </c>
      <c r="AN332" s="826">
        <f t="shared" si="212"/>
        <v>7528596.9299731832</v>
      </c>
      <c r="AO332" s="826">
        <f t="shared" si="212"/>
        <v>-395869.74851842597</v>
      </c>
      <c r="AP332" s="826">
        <f t="shared" si="212"/>
        <v>7771102.7153703542</v>
      </c>
      <c r="AQ332" s="826">
        <f t="shared" si="212"/>
        <v>8198641.5866706185</v>
      </c>
      <c r="AR332" s="826">
        <f t="shared" si="212"/>
        <v>8020007.4272390138</v>
      </c>
      <c r="AS332" s="826">
        <f t="shared" si="212"/>
        <v>8463049.7520082183</v>
      </c>
      <c r="AT332" s="827">
        <f t="shared" si="212"/>
        <v>-884928.58151775599</v>
      </c>
      <c r="AU332" s="166"/>
      <c r="AV332" s="166"/>
      <c r="AW332" s="166"/>
      <c r="AX332" s="166"/>
      <c r="AY332" s="166"/>
      <c r="AZ332" s="166"/>
      <c r="BA332" s="166"/>
      <c r="BB332" s="166"/>
      <c r="BC332" s="166"/>
      <c r="BD332" s="166"/>
      <c r="BE332" s="166"/>
      <c r="BF332" s="166"/>
      <c r="BG332" s="166"/>
      <c r="BH332" s="166"/>
      <c r="BI332" s="166"/>
      <c r="BJ332" s="166"/>
      <c r="BK332" s="166"/>
      <c r="BL332" s="166"/>
      <c r="BM332" s="166"/>
      <c r="BN332" s="166"/>
    </row>
    <row r="333" spans="2:66" ht="15" thickBot="1" x14ac:dyDescent="0.3">
      <c r="B333" s="839"/>
      <c r="C333" s="801"/>
      <c r="D333" s="801"/>
      <c r="E333" s="801"/>
      <c r="F333" s="801"/>
      <c r="G333" s="824"/>
      <c r="H333" s="824"/>
      <c r="I333" s="824"/>
      <c r="J333" s="824"/>
      <c r="K333" s="824"/>
      <c r="L333" s="824"/>
      <c r="M333" s="824"/>
      <c r="N333" s="824"/>
      <c r="O333" s="824"/>
      <c r="P333" s="824"/>
      <c r="Q333" s="824"/>
      <c r="R333" s="824"/>
      <c r="S333" s="824"/>
      <c r="T333" s="824"/>
      <c r="U333" s="824"/>
      <c r="V333" s="824"/>
      <c r="W333" s="824"/>
      <c r="X333" s="824"/>
      <c r="Y333" s="824"/>
      <c r="Z333" s="824"/>
      <c r="AA333" s="824"/>
      <c r="AB333" s="824"/>
      <c r="AC333" s="824"/>
      <c r="AD333" s="824"/>
      <c r="AE333" s="824"/>
      <c r="AF333" s="824"/>
      <c r="AG333" s="824"/>
      <c r="AH333" s="824"/>
      <c r="AI333" s="824"/>
      <c r="AJ333" s="824"/>
      <c r="AK333" s="824"/>
      <c r="AL333" s="824"/>
      <c r="AM333" s="824"/>
      <c r="AN333" s="824"/>
      <c r="AO333" s="824"/>
      <c r="AP333" s="824"/>
      <c r="AQ333" s="824"/>
      <c r="AR333" s="824"/>
      <c r="AS333" s="824"/>
      <c r="AT333" s="824"/>
      <c r="AU333" s="166"/>
      <c r="AV333" s="166"/>
      <c r="AW333" s="166"/>
      <c r="AX333" s="166"/>
      <c r="AY333" s="166"/>
      <c r="AZ333" s="166"/>
      <c r="BA333" s="166"/>
      <c r="BB333" s="166"/>
      <c r="BC333" s="166"/>
      <c r="BD333" s="166"/>
      <c r="BE333" s="166"/>
      <c r="BF333" s="166"/>
      <c r="BG333" s="166"/>
      <c r="BH333" s="166"/>
      <c r="BI333" s="166"/>
      <c r="BJ333" s="166"/>
      <c r="BK333" s="166"/>
      <c r="BL333" s="166"/>
      <c r="BM333" s="166"/>
      <c r="BN333" s="166"/>
    </row>
    <row r="334" spans="2:66" ht="14.4" x14ac:dyDescent="0.25">
      <c r="B334" s="835" t="s">
        <v>397</v>
      </c>
      <c r="C334" s="818"/>
      <c r="D334" s="818"/>
      <c r="E334" s="818"/>
      <c r="F334" s="818"/>
      <c r="G334" s="818"/>
      <c r="H334" s="818"/>
      <c r="I334" s="818"/>
      <c r="J334" s="818"/>
      <c r="K334" s="818"/>
      <c r="L334" s="818"/>
      <c r="M334" s="818"/>
      <c r="N334" s="818"/>
      <c r="O334" s="818"/>
      <c r="P334" s="818"/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  <c r="AA334" s="818"/>
      <c r="AB334" s="818"/>
      <c r="AC334" s="818"/>
      <c r="AD334" s="818"/>
      <c r="AE334" s="818"/>
      <c r="AF334" s="818"/>
      <c r="AG334" s="818"/>
      <c r="AH334" s="818"/>
      <c r="AI334" s="818"/>
      <c r="AJ334" s="818"/>
      <c r="AK334" s="818"/>
      <c r="AL334" s="818"/>
      <c r="AM334" s="818"/>
      <c r="AN334" s="818"/>
      <c r="AO334" s="818"/>
      <c r="AP334" s="818"/>
      <c r="AQ334" s="818"/>
      <c r="AR334" s="818"/>
      <c r="AS334" s="818"/>
      <c r="AT334" s="819"/>
      <c r="AU334" s="166"/>
      <c r="AV334" s="166"/>
      <c r="AW334" s="166"/>
      <c r="AX334" s="166"/>
      <c r="AY334" s="166"/>
      <c r="AZ334" s="166"/>
      <c r="BA334" s="166"/>
      <c r="BB334" s="166"/>
      <c r="BC334" s="166"/>
      <c r="BD334" s="166"/>
      <c r="BE334" s="166"/>
      <c r="BF334" s="166"/>
      <c r="BG334" s="166"/>
      <c r="BH334" s="166"/>
      <c r="BI334" s="166"/>
      <c r="BJ334" s="166"/>
      <c r="BK334" s="166"/>
      <c r="BL334" s="166"/>
      <c r="BM334" s="166"/>
      <c r="BN334" s="166"/>
    </row>
    <row r="335" spans="2:66" x14ac:dyDescent="0.25">
      <c r="B335" s="836" t="s">
        <v>442</v>
      </c>
      <c r="C335" s="268">
        <v>0</v>
      </c>
      <c r="D335" s="268">
        <v>0</v>
      </c>
      <c r="E335" s="268">
        <v>0</v>
      </c>
      <c r="F335" s="268">
        <v>0</v>
      </c>
      <c r="G335" s="178">
        <f>G332</f>
        <v>2004782.1334027345</v>
      </c>
      <c r="H335" s="178">
        <f t="shared" ref="H335:AT335" si="213">H332</f>
        <v>3329405.1195954131</v>
      </c>
      <c r="I335" s="178">
        <f t="shared" si="213"/>
        <v>3919744.1784939566</v>
      </c>
      <c r="J335" s="178">
        <f t="shared" si="213"/>
        <v>3919267.4286668925</v>
      </c>
      <c r="K335" s="178">
        <f t="shared" si="213"/>
        <v>-526214.34961373825</v>
      </c>
      <c r="L335" s="178">
        <f t="shared" si="213"/>
        <v>4210788.9879503418</v>
      </c>
      <c r="M335" s="178">
        <f t="shared" si="213"/>
        <v>4521109.7043954488</v>
      </c>
      <c r="N335" s="178">
        <f t="shared" si="213"/>
        <v>4476382.4564479981</v>
      </c>
      <c r="O335" s="178">
        <f t="shared" si="213"/>
        <v>4759075.1951783691</v>
      </c>
      <c r="P335" s="178">
        <f t="shared" si="213"/>
        <v>-494395.96228694916</v>
      </c>
      <c r="Q335" s="178">
        <f t="shared" si="213"/>
        <v>5008454.0735253626</v>
      </c>
      <c r="R335" s="178">
        <f t="shared" si="213"/>
        <v>4958340.8136658976</v>
      </c>
      <c r="S335" s="178">
        <f t="shared" si="213"/>
        <v>5228001.0545288259</v>
      </c>
      <c r="T335" s="178">
        <f t="shared" si="213"/>
        <v>5133205.6893930389</v>
      </c>
      <c r="U335" s="178">
        <f t="shared" si="213"/>
        <v>-307045.17731941864</v>
      </c>
      <c r="V335" s="178">
        <f t="shared" si="213"/>
        <v>5313608.4915779317</v>
      </c>
      <c r="W335" s="178">
        <f t="shared" si="213"/>
        <v>5604289.1784258299</v>
      </c>
      <c r="X335" s="178">
        <f t="shared" si="213"/>
        <v>5557673.5372677455</v>
      </c>
      <c r="Y335" s="178">
        <f t="shared" si="213"/>
        <v>5922123.260943478</v>
      </c>
      <c r="Z335" s="178">
        <f t="shared" si="213"/>
        <v>-412542.70745357126</v>
      </c>
      <c r="AA335" s="178">
        <f t="shared" si="213"/>
        <v>6255920.2900747079</v>
      </c>
      <c r="AB335" s="178">
        <f t="shared" si="213"/>
        <v>6203239.2045051092</v>
      </c>
      <c r="AC335" s="178">
        <f t="shared" si="213"/>
        <v>6535783.7615574962</v>
      </c>
      <c r="AD335" s="178">
        <f t="shared" si="213"/>
        <v>6409157.6047769217</v>
      </c>
      <c r="AE335" s="178">
        <f t="shared" si="213"/>
        <v>-151841.61913589761</v>
      </c>
      <c r="AF335" s="178">
        <f t="shared" si="213"/>
        <v>6620935.3020575922</v>
      </c>
      <c r="AG335" s="178">
        <f t="shared" si="213"/>
        <v>6978349.399014473</v>
      </c>
      <c r="AH335" s="178">
        <f t="shared" si="213"/>
        <v>6838672.9858938511</v>
      </c>
      <c r="AI335" s="178">
        <f t="shared" si="213"/>
        <v>7209175.3380316067</v>
      </c>
      <c r="AJ335" s="178">
        <f t="shared" si="213"/>
        <v>-525249.13556371629</v>
      </c>
      <c r="AK335" s="178">
        <f t="shared" si="213"/>
        <v>7446512.4541532863</v>
      </c>
      <c r="AL335" s="178">
        <f t="shared" si="213"/>
        <v>7292413.0113718919</v>
      </c>
      <c r="AM335" s="178">
        <f t="shared" si="213"/>
        <v>7690468.0538079236</v>
      </c>
      <c r="AN335" s="178">
        <f t="shared" si="213"/>
        <v>7528596.9299731832</v>
      </c>
      <c r="AO335" s="178">
        <f t="shared" si="213"/>
        <v>-395869.74851842597</v>
      </c>
      <c r="AP335" s="178">
        <f t="shared" si="213"/>
        <v>7771102.7153703542</v>
      </c>
      <c r="AQ335" s="178">
        <f t="shared" si="213"/>
        <v>8198641.5866706185</v>
      </c>
      <c r="AR335" s="178">
        <f t="shared" si="213"/>
        <v>8020007.4272390138</v>
      </c>
      <c r="AS335" s="178">
        <f t="shared" si="213"/>
        <v>8463049.7520082183</v>
      </c>
      <c r="AT335" s="265">
        <f t="shared" si="213"/>
        <v>-884928.58151775599</v>
      </c>
      <c r="AU335" s="166"/>
      <c r="AV335" s="166"/>
      <c r="AW335" s="166"/>
      <c r="AX335" s="166"/>
      <c r="AY335" s="166"/>
      <c r="AZ335" s="166"/>
      <c r="BA335" s="166"/>
      <c r="BB335" s="166"/>
      <c r="BC335" s="166"/>
      <c r="BD335" s="166"/>
      <c r="BE335" s="166"/>
      <c r="BF335" s="166"/>
      <c r="BG335" s="166"/>
      <c r="BH335" s="166"/>
      <c r="BI335" s="166"/>
      <c r="BJ335" s="166"/>
      <c r="BK335" s="166"/>
      <c r="BL335" s="166"/>
      <c r="BM335" s="166"/>
      <c r="BN335" s="166"/>
    </row>
    <row r="336" spans="2:66" x14ac:dyDescent="0.25">
      <c r="B336" s="836" t="s">
        <v>440</v>
      </c>
      <c r="C336" s="268">
        <v>0</v>
      </c>
      <c r="D336" s="268">
        <v>0</v>
      </c>
      <c r="E336" s="268">
        <v>0</v>
      </c>
      <c r="F336" s="268">
        <v>0</v>
      </c>
      <c r="G336" s="178">
        <f>IF(G335&gt;0,-$C$23*G335,0)</f>
        <v>0</v>
      </c>
      <c r="H336" s="178">
        <f t="shared" ref="H336:AT336" si="214">IF(H335&gt;0,-$C$23*H335,0)</f>
        <v>0</v>
      </c>
      <c r="I336" s="178">
        <f t="shared" si="214"/>
        <v>0</v>
      </c>
      <c r="J336" s="178">
        <f t="shared" si="214"/>
        <v>0</v>
      </c>
      <c r="K336" s="178">
        <f t="shared" si="214"/>
        <v>0</v>
      </c>
      <c r="L336" s="178">
        <f t="shared" si="214"/>
        <v>0</v>
      </c>
      <c r="M336" s="178">
        <f t="shared" si="214"/>
        <v>0</v>
      </c>
      <c r="N336" s="178">
        <f t="shared" si="214"/>
        <v>0</v>
      </c>
      <c r="O336" s="178">
        <f t="shared" si="214"/>
        <v>0</v>
      </c>
      <c r="P336" s="178">
        <f t="shared" si="214"/>
        <v>0</v>
      </c>
      <c r="Q336" s="178">
        <f t="shared" si="214"/>
        <v>0</v>
      </c>
      <c r="R336" s="178">
        <f t="shared" si="214"/>
        <v>0</v>
      </c>
      <c r="S336" s="178">
        <f t="shared" si="214"/>
        <v>0</v>
      </c>
      <c r="T336" s="178">
        <f t="shared" si="214"/>
        <v>0</v>
      </c>
      <c r="U336" s="178">
        <f t="shared" si="214"/>
        <v>0</v>
      </c>
      <c r="V336" s="178">
        <f t="shared" si="214"/>
        <v>0</v>
      </c>
      <c r="W336" s="178">
        <f t="shared" si="214"/>
        <v>0</v>
      </c>
      <c r="X336" s="178">
        <f t="shared" si="214"/>
        <v>0</v>
      </c>
      <c r="Y336" s="178">
        <f t="shared" si="214"/>
        <v>0</v>
      </c>
      <c r="Z336" s="178">
        <f t="shared" si="214"/>
        <v>0</v>
      </c>
      <c r="AA336" s="178">
        <f t="shared" si="214"/>
        <v>0</v>
      </c>
      <c r="AB336" s="178">
        <f t="shared" si="214"/>
        <v>0</v>
      </c>
      <c r="AC336" s="178">
        <f t="shared" si="214"/>
        <v>0</v>
      </c>
      <c r="AD336" s="178">
        <f t="shared" si="214"/>
        <v>0</v>
      </c>
      <c r="AE336" s="178">
        <f t="shared" si="214"/>
        <v>0</v>
      </c>
      <c r="AF336" s="178">
        <f t="shared" si="214"/>
        <v>0</v>
      </c>
      <c r="AG336" s="178">
        <f t="shared" si="214"/>
        <v>0</v>
      </c>
      <c r="AH336" s="178">
        <f t="shared" si="214"/>
        <v>0</v>
      </c>
      <c r="AI336" s="178">
        <f t="shared" si="214"/>
        <v>0</v>
      </c>
      <c r="AJ336" s="178">
        <f t="shared" si="214"/>
        <v>0</v>
      </c>
      <c r="AK336" s="178">
        <f t="shared" si="214"/>
        <v>0</v>
      </c>
      <c r="AL336" s="178">
        <f t="shared" si="214"/>
        <v>0</v>
      </c>
      <c r="AM336" s="178">
        <f t="shared" si="214"/>
        <v>0</v>
      </c>
      <c r="AN336" s="178">
        <f t="shared" si="214"/>
        <v>0</v>
      </c>
      <c r="AO336" s="178">
        <f t="shared" si="214"/>
        <v>0</v>
      </c>
      <c r="AP336" s="178">
        <f t="shared" si="214"/>
        <v>0</v>
      </c>
      <c r="AQ336" s="178">
        <f t="shared" si="214"/>
        <v>0</v>
      </c>
      <c r="AR336" s="178">
        <f t="shared" si="214"/>
        <v>0</v>
      </c>
      <c r="AS336" s="178">
        <f t="shared" si="214"/>
        <v>0</v>
      </c>
      <c r="AT336" s="265">
        <f t="shared" si="214"/>
        <v>0</v>
      </c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66"/>
      <c r="BN336" s="166"/>
    </row>
    <row r="337" spans="2:66" ht="14.4" x14ac:dyDescent="0.25">
      <c r="B337" s="840" t="s">
        <v>175</v>
      </c>
      <c r="C337" s="800">
        <v>0</v>
      </c>
      <c r="D337" s="800">
        <v>0</v>
      </c>
      <c r="E337" s="800">
        <v>0</v>
      </c>
      <c r="F337" s="800">
        <v>0</v>
      </c>
      <c r="G337" s="261">
        <f>G319</f>
        <v>-3190596.5206691762</v>
      </c>
      <c r="H337" s="261">
        <f t="shared" ref="H337:AT337" si="215">H319</f>
        <v>-3190596.5206691762</v>
      </c>
      <c r="I337" s="261">
        <f t="shared" si="215"/>
        <v>-3190596.5206691762</v>
      </c>
      <c r="J337" s="261">
        <f t="shared" si="215"/>
        <v>-3190596.5206691762</v>
      </c>
      <c r="K337" s="261">
        <f t="shared" si="215"/>
        <v>-3190596.5206691762</v>
      </c>
      <c r="L337" s="261">
        <f t="shared" si="215"/>
        <v>-3018004.6382407546</v>
      </c>
      <c r="M337" s="261">
        <f t="shared" si="215"/>
        <v>-3018004.6382407546</v>
      </c>
      <c r="N337" s="261">
        <f t="shared" si="215"/>
        <v>-3018004.6382407546</v>
      </c>
      <c r="O337" s="261">
        <f t="shared" si="215"/>
        <v>-3018004.6382407546</v>
      </c>
      <c r="P337" s="261">
        <f t="shared" si="215"/>
        <v>-3018004.6382407546</v>
      </c>
      <c r="Q337" s="261">
        <f t="shared" si="215"/>
        <v>-2730297.5196809703</v>
      </c>
      <c r="R337" s="261">
        <f t="shared" si="215"/>
        <v>-3089270.1647581775</v>
      </c>
      <c r="S337" s="261">
        <f t="shared" si="215"/>
        <v>-3089270.1647581775</v>
      </c>
      <c r="T337" s="261">
        <f t="shared" si="215"/>
        <v>-3089270.1647581775</v>
      </c>
      <c r="U337" s="261">
        <f t="shared" si="215"/>
        <v>-3089270.1647581775</v>
      </c>
      <c r="V337" s="261">
        <f t="shared" si="215"/>
        <v>-2321770.1453197817</v>
      </c>
      <c r="W337" s="261">
        <f t="shared" si="215"/>
        <v>-2321770.1453197817</v>
      </c>
      <c r="X337" s="261">
        <f t="shared" si="215"/>
        <v>-3400967.9714049036</v>
      </c>
      <c r="Y337" s="261">
        <f t="shared" si="215"/>
        <v>-3400967.9714049036</v>
      </c>
      <c r="Z337" s="261">
        <f t="shared" si="215"/>
        <v>-3400967.9714049036</v>
      </c>
      <c r="AA337" s="261">
        <f t="shared" si="215"/>
        <v>-3400967.9714049036</v>
      </c>
      <c r="AB337" s="261">
        <f t="shared" si="215"/>
        <v>-3400967.9714049036</v>
      </c>
      <c r="AC337" s="261">
        <f t="shared" si="215"/>
        <v>-3487432.5990548981</v>
      </c>
      <c r="AD337" s="261">
        <f t="shared" si="215"/>
        <v>-3487432.5990548981</v>
      </c>
      <c r="AE337" s="261">
        <f t="shared" si="215"/>
        <v>-3487432.5990548981</v>
      </c>
      <c r="AF337" s="261">
        <f t="shared" si="215"/>
        <v>-3487432.5990548981</v>
      </c>
      <c r="AG337" s="261">
        <f t="shared" si="215"/>
        <v>-3487432.5990548981</v>
      </c>
      <c r="AH337" s="261">
        <f t="shared" si="215"/>
        <v>-3487432.5990548981</v>
      </c>
      <c r="AI337" s="261">
        <f t="shared" si="215"/>
        <v>-3487432.5990548981</v>
      </c>
      <c r="AJ337" s="261">
        <f t="shared" si="215"/>
        <v>-3487432.5990548981</v>
      </c>
      <c r="AK337" s="261">
        <f t="shared" si="215"/>
        <v>-3487432.5990548981</v>
      </c>
      <c r="AL337" s="261">
        <f t="shared" si="215"/>
        <v>-3487432.5990548981</v>
      </c>
      <c r="AM337" s="261">
        <f t="shared" si="215"/>
        <v>-2408234.7729697763</v>
      </c>
      <c r="AN337" s="261">
        <f t="shared" si="215"/>
        <v>-1962797.5002425744</v>
      </c>
      <c r="AO337" s="261">
        <f t="shared" si="215"/>
        <v>-3935665.6732037212</v>
      </c>
      <c r="AP337" s="261">
        <f t="shared" si="215"/>
        <v>-3935665.6732037212</v>
      </c>
      <c r="AQ337" s="261">
        <f t="shared" si="215"/>
        <v>-3935665.6732037212</v>
      </c>
      <c r="AR337" s="261">
        <f t="shared" si="215"/>
        <v>-3935665.6732037212</v>
      </c>
      <c r="AS337" s="261">
        <f t="shared" si="215"/>
        <v>-3935665.6732037212</v>
      </c>
      <c r="AT337" s="266">
        <f t="shared" si="215"/>
        <v>-3935665.6732037212</v>
      </c>
      <c r="AU337" s="166"/>
      <c r="AV337" s="166"/>
      <c r="AW337" s="166"/>
      <c r="AX337" s="166"/>
      <c r="AY337" s="166"/>
      <c r="AZ337" s="166"/>
      <c r="BA337" s="166"/>
      <c r="BB337" s="166"/>
      <c r="BC337" s="166"/>
      <c r="BD337" s="166"/>
      <c r="BE337" s="166"/>
      <c r="BF337" s="166"/>
      <c r="BG337" s="166"/>
      <c r="BH337" s="166"/>
      <c r="BI337" s="166"/>
      <c r="BJ337" s="166"/>
      <c r="BK337" s="166"/>
      <c r="BL337" s="166"/>
      <c r="BM337" s="166"/>
      <c r="BN337" s="166"/>
    </row>
    <row r="338" spans="2:66" x14ac:dyDescent="0.25">
      <c r="B338" s="836" t="s">
        <v>444</v>
      </c>
      <c r="C338" s="268">
        <v>0</v>
      </c>
      <c r="D338" s="268">
        <v>0</v>
      </c>
      <c r="E338" s="268">
        <v>0</v>
      </c>
      <c r="F338" s="268">
        <v>0</v>
      </c>
      <c r="G338" s="178">
        <f t="shared" ref="G338:AT338" si="216">G335+G336+G337</f>
        <v>-1185814.3872664417</v>
      </c>
      <c r="H338" s="178">
        <f t="shared" si="216"/>
        <v>138808.59892623685</v>
      </c>
      <c r="I338" s="178">
        <f t="shared" si="216"/>
        <v>729147.65782478033</v>
      </c>
      <c r="J338" s="178">
        <f t="shared" si="216"/>
        <v>728670.90799771622</v>
      </c>
      <c r="K338" s="178">
        <f t="shared" si="216"/>
        <v>-3716810.8702829145</v>
      </c>
      <c r="L338" s="178">
        <f t="shared" si="216"/>
        <v>1192784.3497095872</v>
      </c>
      <c r="M338" s="178">
        <f t="shared" si="216"/>
        <v>1503105.0661546942</v>
      </c>
      <c r="N338" s="178">
        <f t="shared" si="216"/>
        <v>1458377.8182072435</v>
      </c>
      <c r="O338" s="178">
        <f t="shared" si="216"/>
        <v>1741070.5569376145</v>
      </c>
      <c r="P338" s="178">
        <f t="shared" si="216"/>
        <v>-3512400.6005277038</v>
      </c>
      <c r="Q338" s="178">
        <f t="shared" si="216"/>
        <v>2278156.5538443923</v>
      </c>
      <c r="R338" s="178">
        <f t="shared" si="216"/>
        <v>1869070.6489077201</v>
      </c>
      <c r="S338" s="178">
        <f t="shared" si="216"/>
        <v>2138730.8897706484</v>
      </c>
      <c r="T338" s="178">
        <f t="shared" si="216"/>
        <v>2043935.5246348614</v>
      </c>
      <c r="U338" s="178">
        <f t="shared" si="216"/>
        <v>-3396315.3420775961</v>
      </c>
      <c r="V338" s="178">
        <f t="shared" si="216"/>
        <v>2991838.3462581499</v>
      </c>
      <c r="W338" s="178">
        <f t="shared" si="216"/>
        <v>3282519.0331060481</v>
      </c>
      <c r="X338" s="178">
        <f t="shared" si="216"/>
        <v>2156705.5658628419</v>
      </c>
      <c r="Y338" s="178">
        <f t="shared" si="216"/>
        <v>2521155.2895385744</v>
      </c>
      <c r="Z338" s="178">
        <f t="shared" si="216"/>
        <v>-3813510.6788584748</v>
      </c>
      <c r="AA338" s="178">
        <f t="shared" si="216"/>
        <v>2854952.3186698044</v>
      </c>
      <c r="AB338" s="178">
        <f t="shared" si="216"/>
        <v>2802271.2331002057</v>
      </c>
      <c r="AC338" s="178">
        <f t="shared" si="216"/>
        <v>3048351.162502598</v>
      </c>
      <c r="AD338" s="178">
        <f t="shared" si="216"/>
        <v>2921725.0057220235</v>
      </c>
      <c r="AE338" s="178">
        <f t="shared" si="216"/>
        <v>-3639274.2181907957</v>
      </c>
      <c r="AF338" s="178">
        <f t="shared" si="216"/>
        <v>3133502.7030026941</v>
      </c>
      <c r="AG338" s="178">
        <f t="shared" si="216"/>
        <v>3490916.7999595748</v>
      </c>
      <c r="AH338" s="178">
        <f t="shared" si="216"/>
        <v>3351240.386838953</v>
      </c>
      <c r="AI338" s="178">
        <f t="shared" si="216"/>
        <v>3721742.7389767086</v>
      </c>
      <c r="AJ338" s="178">
        <f t="shared" si="216"/>
        <v>-4012681.7346186144</v>
      </c>
      <c r="AK338" s="178">
        <f t="shared" si="216"/>
        <v>3959079.8550983882</v>
      </c>
      <c r="AL338" s="178">
        <f t="shared" si="216"/>
        <v>3804980.4123169938</v>
      </c>
      <c r="AM338" s="178">
        <f t="shared" si="216"/>
        <v>5282233.2808381468</v>
      </c>
      <c r="AN338" s="178">
        <f t="shared" si="216"/>
        <v>5565799.4297306091</v>
      </c>
      <c r="AO338" s="178">
        <f t="shared" si="216"/>
        <v>-4331535.4217221476</v>
      </c>
      <c r="AP338" s="178">
        <f t="shared" si="216"/>
        <v>3835437.0421666331</v>
      </c>
      <c r="AQ338" s="178">
        <f t="shared" si="216"/>
        <v>4262975.9134668969</v>
      </c>
      <c r="AR338" s="178">
        <f t="shared" si="216"/>
        <v>4084341.7540352927</v>
      </c>
      <c r="AS338" s="178">
        <f t="shared" si="216"/>
        <v>4527384.0788044967</v>
      </c>
      <c r="AT338" s="265">
        <f t="shared" si="216"/>
        <v>-4820594.2547214776</v>
      </c>
      <c r="AU338" s="166"/>
      <c r="AV338" s="166"/>
      <c r="AW338" s="166"/>
      <c r="AX338" s="166"/>
      <c r="AY338" s="166"/>
      <c r="AZ338" s="166"/>
      <c r="BA338" s="166"/>
      <c r="BB338" s="166"/>
      <c r="BC338" s="166"/>
      <c r="BD338" s="166"/>
      <c r="BE338" s="166"/>
      <c r="BF338" s="166"/>
      <c r="BG338" s="166"/>
      <c r="BH338" s="166"/>
      <c r="BI338" s="166"/>
      <c r="BJ338" s="166"/>
      <c r="BK338" s="166"/>
      <c r="BL338" s="166"/>
      <c r="BM338" s="166"/>
      <c r="BN338" s="166"/>
    </row>
    <row r="339" spans="2:66" x14ac:dyDescent="0.25">
      <c r="B339" s="836" t="s">
        <v>443</v>
      </c>
      <c r="C339" s="268">
        <v>0</v>
      </c>
      <c r="D339" s="268">
        <v>0</v>
      </c>
      <c r="E339" s="268">
        <v>0</v>
      </c>
      <c r="F339" s="268">
        <v>0</v>
      </c>
      <c r="G339" s="178">
        <f>IF(G338&gt;0,-$C$24*G338,0)</f>
        <v>0</v>
      </c>
      <c r="H339" s="178">
        <f t="shared" ref="H339:AT339" si="217">IF(H338&gt;0,-$C$24*H338,0)</f>
        <v>-48583.009624182894</v>
      </c>
      <c r="I339" s="178">
        <f t="shared" si="217"/>
        <v>-255201.68023867309</v>
      </c>
      <c r="J339" s="178">
        <f t="shared" si="217"/>
        <v>-255034.81779920065</v>
      </c>
      <c r="K339" s="178">
        <f t="shared" si="217"/>
        <v>0</v>
      </c>
      <c r="L339" s="178">
        <f t="shared" si="217"/>
        <v>-417474.52239835548</v>
      </c>
      <c r="M339" s="178">
        <f t="shared" si="217"/>
        <v>-526086.77315414289</v>
      </c>
      <c r="N339" s="178">
        <f t="shared" si="217"/>
        <v>-510432.23637253518</v>
      </c>
      <c r="O339" s="178">
        <f t="shared" si="217"/>
        <v>-609374.69492816506</v>
      </c>
      <c r="P339" s="178">
        <f t="shared" si="217"/>
        <v>0</v>
      </c>
      <c r="Q339" s="178">
        <f t="shared" si="217"/>
        <v>-797354.79384553724</v>
      </c>
      <c r="R339" s="178">
        <f t="shared" si="217"/>
        <v>-654174.72711770202</v>
      </c>
      <c r="S339" s="178">
        <f t="shared" si="217"/>
        <v>-748555.81141972693</v>
      </c>
      <c r="T339" s="178">
        <f t="shared" si="217"/>
        <v>-715377.43362220144</v>
      </c>
      <c r="U339" s="178">
        <f t="shared" si="217"/>
        <v>0</v>
      </c>
      <c r="V339" s="178">
        <f t="shared" si="217"/>
        <v>-1047143.4211903524</v>
      </c>
      <c r="W339" s="178">
        <f t="shared" si="217"/>
        <v>-1148881.6615871168</v>
      </c>
      <c r="X339" s="178">
        <f t="shared" si="217"/>
        <v>-754846.94805199467</v>
      </c>
      <c r="Y339" s="178">
        <f t="shared" si="217"/>
        <v>-882404.35133850097</v>
      </c>
      <c r="Z339" s="178">
        <f t="shared" si="217"/>
        <v>0</v>
      </c>
      <c r="AA339" s="178">
        <f t="shared" si="217"/>
        <v>-999233.31153443141</v>
      </c>
      <c r="AB339" s="178">
        <f t="shared" si="217"/>
        <v>-980794.93158507196</v>
      </c>
      <c r="AC339" s="178">
        <f t="shared" si="217"/>
        <v>-1066922.9068759093</v>
      </c>
      <c r="AD339" s="178">
        <f t="shared" si="217"/>
        <v>-1022603.7520027081</v>
      </c>
      <c r="AE339" s="178">
        <f t="shared" si="217"/>
        <v>0</v>
      </c>
      <c r="AF339" s="178">
        <f t="shared" si="217"/>
        <v>-1096725.9460509429</v>
      </c>
      <c r="AG339" s="178">
        <f t="shared" si="217"/>
        <v>-1221820.879985851</v>
      </c>
      <c r="AH339" s="178">
        <f t="shared" si="217"/>
        <v>-1172934.1353936335</v>
      </c>
      <c r="AI339" s="178">
        <f t="shared" si="217"/>
        <v>-1302609.9586418478</v>
      </c>
      <c r="AJ339" s="178">
        <f t="shared" si="217"/>
        <v>0</v>
      </c>
      <c r="AK339" s="178">
        <f t="shared" si="217"/>
        <v>-1385677.9492844357</v>
      </c>
      <c r="AL339" s="178">
        <f t="shared" si="217"/>
        <v>-1331743.1443109477</v>
      </c>
      <c r="AM339" s="178">
        <f t="shared" si="217"/>
        <v>-1848781.6482933513</v>
      </c>
      <c r="AN339" s="178">
        <f t="shared" si="217"/>
        <v>-1948029.800405713</v>
      </c>
      <c r="AO339" s="178">
        <f t="shared" si="217"/>
        <v>0</v>
      </c>
      <c r="AP339" s="178">
        <f t="shared" si="217"/>
        <v>-1342402.9647583214</v>
      </c>
      <c r="AQ339" s="178">
        <f t="shared" si="217"/>
        <v>-1492041.5697134137</v>
      </c>
      <c r="AR339" s="178">
        <f t="shared" si="217"/>
        <v>-1429519.6139123524</v>
      </c>
      <c r="AS339" s="178">
        <f t="shared" si="217"/>
        <v>-1584584.4275815738</v>
      </c>
      <c r="AT339" s="265">
        <f t="shared" si="217"/>
        <v>0</v>
      </c>
      <c r="AU339" s="166"/>
      <c r="AV339" s="166"/>
      <c r="AW339" s="166"/>
      <c r="AX339" s="166"/>
      <c r="AY339" s="166"/>
      <c r="AZ339" s="166"/>
      <c r="BA339" s="166"/>
      <c r="BB339" s="166"/>
      <c r="BC339" s="166"/>
      <c r="BD339" s="166"/>
      <c r="BE339" s="166"/>
      <c r="BF339" s="166"/>
      <c r="BG339" s="166"/>
      <c r="BH339" s="166"/>
      <c r="BI339" s="166"/>
      <c r="BJ339" s="166"/>
      <c r="BK339" s="166"/>
      <c r="BL339" s="166"/>
      <c r="BM339" s="166"/>
      <c r="BN339" s="166"/>
    </row>
    <row r="340" spans="2:66" ht="14.4" x14ac:dyDescent="0.25">
      <c r="B340" s="841" t="s">
        <v>445</v>
      </c>
      <c r="C340" s="801">
        <v>0</v>
      </c>
      <c r="D340" s="801">
        <v>0</v>
      </c>
      <c r="E340" s="801">
        <v>0</v>
      </c>
      <c r="F340" s="801">
        <v>0</v>
      </c>
      <c r="G340" s="262">
        <f>G338+G339</f>
        <v>-1185814.3872664417</v>
      </c>
      <c r="H340" s="262">
        <f t="shared" ref="H340:AT340" si="218">H338+H339</f>
        <v>90225.589302053966</v>
      </c>
      <c r="I340" s="262">
        <f t="shared" si="218"/>
        <v>473945.97758610721</v>
      </c>
      <c r="J340" s="262">
        <f t="shared" si="218"/>
        <v>473636.09019851557</v>
      </c>
      <c r="K340" s="262">
        <f t="shared" si="218"/>
        <v>-3716810.8702829145</v>
      </c>
      <c r="L340" s="262">
        <f t="shared" si="218"/>
        <v>775309.82731123175</v>
      </c>
      <c r="M340" s="262">
        <f t="shared" si="218"/>
        <v>977018.29300055129</v>
      </c>
      <c r="N340" s="262">
        <f t="shared" si="218"/>
        <v>947945.58183470834</v>
      </c>
      <c r="O340" s="262">
        <f t="shared" si="218"/>
        <v>1131695.8620094494</v>
      </c>
      <c r="P340" s="262">
        <f t="shared" si="218"/>
        <v>-3512400.6005277038</v>
      </c>
      <c r="Q340" s="262">
        <f t="shared" si="218"/>
        <v>1480801.7599988552</v>
      </c>
      <c r="R340" s="262">
        <f t="shared" si="218"/>
        <v>1214895.9217900182</v>
      </c>
      <c r="S340" s="262">
        <f t="shared" si="218"/>
        <v>1390175.0783509216</v>
      </c>
      <c r="T340" s="262">
        <f t="shared" si="218"/>
        <v>1328558.0910126599</v>
      </c>
      <c r="U340" s="262">
        <f t="shared" si="218"/>
        <v>-3396315.3420775961</v>
      </c>
      <c r="V340" s="262">
        <f t="shared" si="218"/>
        <v>1944694.9250677975</v>
      </c>
      <c r="W340" s="262">
        <f t="shared" si="218"/>
        <v>2133637.3715189314</v>
      </c>
      <c r="X340" s="262">
        <f t="shared" si="218"/>
        <v>1401858.6178108472</v>
      </c>
      <c r="Y340" s="262">
        <f t="shared" si="218"/>
        <v>1638750.9382000733</v>
      </c>
      <c r="Z340" s="262">
        <f t="shared" si="218"/>
        <v>-3813510.6788584748</v>
      </c>
      <c r="AA340" s="262">
        <f t="shared" si="218"/>
        <v>1855719.0071353731</v>
      </c>
      <c r="AB340" s="262">
        <f t="shared" si="218"/>
        <v>1821476.3015151336</v>
      </c>
      <c r="AC340" s="262">
        <f t="shared" si="218"/>
        <v>1981428.2556266887</v>
      </c>
      <c r="AD340" s="262">
        <f t="shared" si="218"/>
        <v>1899121.2537193154</v>
      </c>
      <c r="AE340" s="262">
        <f t="shared" si="218"/>
        <v>-3639274.2181907957</v>
      </c>
      <c r="AF340" s="262">
        <f t="shared" si="218"/>
        <v>2036776.7569517512</v>
      </c>
      <c r="AG340" s="262">
        <f t="shared" si="218"/>
        <v>2269095.9199737236</v>
      </c>
      <c r="AH340" s="262">
        <f t="shared" si="218"/>
        <v>2178306.2514453195</v>
      </c>
      <c r="AI340" s="262">
        <f t="shared" si="218"/>
        <v>2419132.780334861</v>
      </c>
      <c r="AJ340" s="262">
        <f t="shared" si="218"/>
        <v>-4012681.7346186144</v>
      </c>
      <c r="AK340" s="262">
        <f t="shared" si="218"/>
        <v>2573401.9058139524</v>
      </c>
      <c r="AL340" s="262">
        <f t="shared" si="218"/>
        <v>2473237.2680060463</v>
      </c>
      <c r="AM340" s="262">
        <f t="shared" si="218"/>
        <v>3433451.6325447955</v>
      </c>
      <c r="AN340" s="262">
        <f t="shared" si="218"/>
        <v>3617769.6293248963</v>
      </c>
      <c r="AO340" s="262">
        <f t="shared" si="218"/>
        <v>-4331535.4217221476</v>
      </c>
      <c r="AP340" s="262">
        <f t="shared" si="218"/>
        <v>2493034.0774083119</v>
      </c>
      <c r="AQ340" s="262">
        <f t="shared" si="218"/>
        <v>2770934.3437534831</v>
      </c>
      <c r="AR340" s="262">
        <f t="shared" si="218"/>
        <v>2654822.1401229403</v>
      </c>
      <c r="AS340" s="262">
        <f t="shared" si="218"/>
        <v>2942799.6512229228</v>
      </c>
      <c r="AT340" s="267">
        <f t="shared" si="218"/>
        <v>-4820594.2547214776</v>
      </c>
      <c r="AU340" s="166"/>
      <c r="AV340" s="166"/>
      <c r="AW340" s="166"/>
      <c r="AX340" s="166"/>
      <c r="AY340" s="166"/>
      <c r="AZ340" s="166"/>
      <c r="BA340" s="166"/>
      <c r="BB340" s="166"/>
      <c r="BC340" s="166"/>
      <c r="BD340" s="166"/>
      <c r="BE340" s="166"/>
      <c r="BF340" s="166"/>
      <c r="BG340" s="166"/>
      <c r="BH340" s="166"/>
      <c r="BI340" s="166"/>
      <c r="BJ340" s="166"/>
      <c r="BK340" s="166"/>
      <c r="BL340" s="166"/>
      <c r="BM340" s="166"/>
      <c r="BN340" s="166"/>
    </row>
    <row r="341" spans="2:66" x14ac:dyDescent="0.25">
      <c r="B341" s="836" t="s">
        <v>446</v>
      </c>
      <c r="C341" s="268">
        <v>0</v>
      </c>
      <c r="D341" s="268">
        <v>0</v>
      </c>
      <c r="E341" s="268">
        <v>0</v>
      </c>
      <c r="F341" s="268">
        <v>0</v>
      </c>
      <c r="G341" s="178">
        <f>-G337</f>
        <v>3190596.5206691762</v>
      </c>
      <c r="H341" s="178">
        <f t="shared" ref="H341:AT341" si="219">-H337</f>
        <v>3190596.5206691762</v>
      </c>
      <c r="I341" s="178">
        <f t="shared" si="219"/>
        <v>3190596.5206691762</v>
      </c>
      <c r="J341" s="178">
        <f t="shared" si="219"/>
        <v>3190596.5206691762</v>
      </c>
      <c r="K341" s="178">
        <f t="shared" si="219"/>
        <v>3190596.5206691762</v>
      </c>
      <c r="L341" s="178">
        <f t="shared" si="219"/>
        <v>3018004.6382407546</v>
      </c>
      <c r="M341" s="178">
        <f t="shared" si="219"/>
        <v>3018004.6382407546</v>
      </c>
      <c r="N341" s="178">
        <f t="shared" si="219"/>
        <v>3018004.6382407546</v>
      </c>
      <c r="O341" s="178">
        <f t="shared" si="219"/>
        <v>3018004.6382407546</v>
      </c>
      <c r="P341" s="178">
        <f t="shared" si="219"/>
        <v>3018004.6382407546</v>
      </c>
      <c r="Q341" s="178">
        <f t="shared" si="219"/>
        <v>2730297.5196809703</v>
      </c>
      <c r="R341" s="178">
        <f t="shared" si="219"/>
        <v>3089270.1647581775</v>
      </c>
      <c r="S341" s="178">
        <f t="shared" si="219"/>
        <v>3089270.1647581775</v>
      </c>
      <c r="T341" s="178">
        <f t="shared" si="219"/>
        <v>3089270.1647581775</v>
      </c>
      <c r="U341" s="178">
        <f t="shared" si="219"/>
        <v>3089270.1647581775</v>
      </c>
      <c r="V341" s="178">
        <f t="shared" si="219"/>
        <v>2321770.1453197817</v>
      </c>
      <c r="W341" s="178">
        <f t="shared" si="219"/>
        <v>2321770.1453197817</v>
      </c>
      <c r="X341" s="178">
        <f t="shared" si="219"/>
        <v>3400967.9714049036</v>
      </c>
      <c r="Y341" s="178">
        <f t="shared" si="219"/>
        <v>3400967.9714049036</v>
      </c>
      <c r="Z341" s="178">
        <f t="shared" si="219"/>
        <v>3400967.9714049036</v>
      </c>
      <c r="AA341" s="178">
        <f t="shared" si="219"/>
        <v>3400967.9714049036</v>
      </c>
      <c r="AB341" s="178">
        <f t="shared" si="219"/>
        <v>3400967.9714049036</v>
      </c>
      <c r="AC341" s="178">
        <f t="shared" si="219"/>
        <v>3487432.5990548981</v>
      </c>
      <c r="AD341" s="178">
        <f t="shared" si="219"/>
        <v>3487432.5990548981</v>
      </c>
      <c r="AE341" s="178">
        <f t="shared" si="219"/>
        <v>3487432.5990548981</v>
      </c>
      <c r="AF341" s="178">
        <f t="shared" si="219"/>
        <v>3487432.5990548981</v>
      </c>
      <c r="AG341" s="178">
        <f t="shared" si="219"/>
        <v>3487432.5990548981</v>
      </c>
      <c r="AH341" s="178">
        <f t="shared" si="219"/>
        <v>3487432.5990548981</v>
      </c>
      <c r="AI341" s="178">
        <f t="shared" si="219"/>
        <v>3487432.5990548981</v>
      </c>
      <c r="AJ341" s="178">
        <f t="shared" si="219"/>
        <v>3487432.5990548981</v>
      </c>
      <c r="AK341" s="178">
        <f t="shared" si="219"/>
        <v>3487432.5990548981</v>
      </c>
      <c r="AL341" s="178">
        <f t="shared" si="219"/>
        <v>3487432.5990548981</v>
      </c>
      <c r="AM341" s="178">
        <f t="shared" si="219"/>
        <v>2408234.7729697763</v>
      </c>
      <c r="AN341" s="178">
        <f t="shared" si="219"/>
        <v>1962797.5002425744</v>
      </c>
      <c r="AO341" s="178">
        <f t="shared" si="219"/>
        <v>3935665.6732037212</v>
      </c>
      <c r="AP341" s="178">
        <f t="shared" si="219"/>
        <v>3935665.6732037212</v>
      </c>
      <c r="AQ341" s="178">
        <f t="shared" si="219"/>
        <v>3935665.6732037212</v>
      </c>
      <c r="AR341" s="178">
        <f t="shared" si="219"/>
        <v>3935665.6732037212</v>
      </c>
      <c r="AS341" s="178">
        <f t="shared" si="219"/>
        <v>3935665.6732037212</v>
      </c>
      <c r="AT341" s="265">
        <f t="shared" si="219"/>
        <v>3935665.6732037212</v>
      </c>
      <c r="AU341" s="166"/>
      <c r="AV341" s="166"/>
      <c r="AW341" s="166"/>
      <c r="AX341" s="166"/>
      <c r="AY341" s="166"/>
      <c r="AZ341" s="166"/>
      <c r="BA341" s="166"/>
      <c r="BB341" s="166"/>
      <c r="BC341" s="166"/>
      <c r="BD341" s="166"/>
      <c r="BE341" s="166"/>
      <c r="BF341" s="166"/>
      <c r="BG341" s="166"/>
      <c r="BH341" s="166"/>
      <c r="BI341" s="166"/>
      <c r="BJ341" s="166"/>
      <c r="BK341" s="166"/>
      <c r="BL341" s="166"/>
      <c r="BM341" s="166"/>
      <c r="BN341" s="166"/>
    </row>
    <row r="342" spans="2:66" ht="15" thickBot="1" x14ac:dyDescent="0.3">
      <c r="B342" s="842" t="s">
        <v>386</v>
      </c>
      <c r="C342" s="828"/>
      <c r="D342" s="828"/>
      <c r="E342" s="828"/>
      <c r="F342" s="828"/>
      <c r="G342" s="828">
        <f>G340+G341</f>
        <v>2004782.1334027345</v>
      </c>
      <c r="H342" s="828">
        <f t="shared" ref="H342:AT342" si="220">H340+H341</f>
        <v>3280822.1099712304</v>
      </c>
      <c r="I342" s="828">
        <f t="shared" si="220"/>
        <v>3664542.4982552836</v>
      </c>
      <c r="J342" s="828">
        <f t="shared" si="220"/>
        <v>3664232.6108676917</v>
      </c>
      <c r="K342" s="828">
        <f t="shared" si="220"/>
        <v>-526214.34961373825</v>
      </c>
      <c r="L342" s="828">
        <f t="shared" si="220"/>
        <v>3793314.4655519864</v>
      </c>
      <c r="M342" s="828">
        <f t="shared" si="220"/>
        <v>3995022.931241306</v>
      </c>
      <c r="N342" s="828">
        <f t="shared" si="220"/>
        <v>3965950.2200754629</v>
      </c>
      <c r="O342" s="828">
        <f t="shared" si="220"/>
        <v>4149700.500250204</v>
      </c>
      <c r="P342" s="828">
        <f t="shared" si="220"/>
        <v>-494395.96228694916</v>
      </c>
      <c r="Q342" s="828">
        <f t="shared" si="220"/>
        <v>4211099.2796798255</v>
      </c>
      <c r="R342" s="828">
        <f t="shared" si="220"/>
        <v>4304166.0865481962</v>
      </c>
      <c r="S342" s="828">
        <f t="shared" si="220"/>
        <v>4479445.2431090996</v>
      </c>
      <c r="T342" s="828">
        <f t="shared" si="220"/>
        <v>4417828.2557708379</v>
      </c>
      <c r="U342" s="828">
        <f t="shared" si="220"/>
        <v>-307045.17731941864</v>
      </c>
      <c r="V342" s="828">
        <f t="shared" si="220"/>
        <v>4266465.0703875795</v>
      </c>
      <c r="W342" s="828">
        <f t="shared" si="220"/>
        <v>4455407.5168387126</v>
      </c>
      <c r="X342" s="828">
        <f t="shared" si="220"/>
        <v>4802826.5892157508</v>
      </c>
      <c r="Y342" s="828">
        <f t="shared" si="220"/>
        <v>5039718.9096049769</v>
      </c>
      <c r="Z342" s="828">
        <f t="shared" si="220"/>
        <v>-412542.70745357126</v>
      </c>
      <c r="AA342" s="828">
        <f t="shared" si="220"/>
        <v>5256686.9785402771</v>
      </c>
      <c r="AB342" s="828">
        <f t="shared" si="220"/>
        <v>5222444.2729200367</v>
      </c>
      <c r="AC342" s="828">
        <f t="shared" si="220"/>
        <v>5468860.8546815868</v>
      </c>
      <c r="AD342" s="828">
        <f t="shared" si="220"/>
        <v>5386553.852774214</v>
      </c>
      <c r="AE342" s="828">
        <f t="shared" si="220"/>
        <v>-151841.61913589761</v>
      </c>
      <c r="AF342" s="828">
        <f t="shared" si="220"/>
        <v>5524209.3560066493</v>
      </c>
      <c r="AG342" s="828">
        <f t="shared" si="220"/>
        <v>5756528.5190286217</v>
      </c>
      <c r="AH342" s="828">
        <f t="shared" si="220"/>
        <v>5665738.8505002176</v>
      </c>
      <c r="AI342" s="828">
        <f t="shared" si="220"/>
        <v>5906565.3793897592</v>
      </c>
      <c r="AJ342" s="828">
        <f t="shared" si="220"/>
        <v>-525249.13556371629</v>
      </c>
      <c r="AK342" s="828">
        <f t="shared" si="220"/>
        <v>6060834.5048688501</v>
      </c>
      <c r="AL342" s="828">
        <f t="shared" si="220"/>
        <v>5960669.8670609444</v>
      </c>
      <c r="AM342" s="828">
        <f t="shared" si="220"/>
        <v>5841686.4055145718</v>
      </c>
      <c r="AN342" s="828">
        <f t="shared" si="220"/>
        <v>5580567.1295674704</v>
      </c>
      <c r="AO342" s="828">
        <f t="shared" si="220"/>
        <v>-395869.74851842644</v>
      </c>
      <c r="AP342" s="828">
        <f t="shared" si="220"/>
        <v>6428699.7506120335</v>
      </c>
      <c r="AQ342" s="828">
        <f t="shared" si="220"/>
        <v>6706600.0169572048</v>
      </c>
      <c r="AR342" s="828">
        <f t="shared" si="220"/>
        <v>6590487.8133266615</v>
      </c>
      <c r="AS342" s="828">
        <f t="shared" si="220"/>
        <v>6878465.3244266436</v>
      </c>
      <c r="AT342" s="829">
        <f t="shared" si="220"/>
        <v>-884928.58151775645</v>
      </c>
      <c r="AU342" s="166"/>
      <c r="AV342" s="166"/>
      <c r="AW342" s="166"/>
      <c r="AX342" s="166"/>
      <c r="AY342" s="166"/>
      <c r="AZ342" s="166"/>
      <c r="BA342" s="166"/>
      <c r="BB342" s="166"/>
      <c r="BC342" s="166"/>
      <c r="BD342" s="166"/>
      <c r="BE342" s="166"/>
      <c r="BF342" s="166"/>
      <c r="BG342" s="166"/>
      <c r="BH342" s="166"/>
      <c r="BI342" s="166"/>
      <c r="BJ342" s="166"/>
      <c r="BK342" s="166"/>
      <c r="BL342" s="166"/>
      <c r="BM342" s="166"/>
      <c r="BN342" s="166"/>
    </row>
    <row r="343" spans="2:66" ht="15" thickBot="1" x14ac:dyDescent="0.3">
      <c r="B343" s="839"/>
      <c r="C343" s="811"/>
      <c r="D343" s="811"/>
      <c r="E343" s="811"/>
      <c r="F343" s="811"/>
      <c r="G343" s="811"/>
      <c r="H343" s="811"/>
      <c r="I343" s="811"/>
      <c r="J343" s="811"/>
      <c r="K343" s="811"/>
      <c r="L343" s="811"/>
      <c r="M343" s="811"/>
      <c r="N343" s="811"/>
      <c r="O343" s="811"/>
      <c r="P343" s="811"/>
      <c r="Q343" s="811"/>
      <c r="R343" s="811"/>
      <c r="S343" s="811"/>
      <c r="T343" s="811"/>
      <c r="U343" s="811"/>
      <c r="V343" s="811"/>
      <c r="W343" s="811"/>
      <c r="X343" s="811"/>
      <c r="Y343" s="811"/>
      <c r="Z343" s="811"/>
      <c r="AA343" s="811"/>
      <c r="AB343" s="811"/>
      <c r="AC343" s="811"/>
      <c r="AD343" s="811"/>
      <c r="AE343" s="811"/>
      <c r="AF343" s="811"/>
      <c r="AG343" s="811"/>
      <c r="AH343" s="811"/>
      <c r="AI343" s="811"/>
      <c r="AJ343" s="811"/>
      <c r="AK343" s="811"/>
      <c r="AL343" s="811"/>
      <c r="AM343" s="811"/>
      <c r="AN343" s="811"/>
      <c r="AO343" s="811"/>
      <c r="AP343" s="811"/>
      <c r="AQ343" s="811"/>
      <c r="AR343" s="811"/>
      <c r="AS343" s="811"/>
      <c r="AT343" s="811"/>
      <c r="AU343" s="166"/>
      <c r="AV343" s="166"/>
      <c r="AW343" s="166"/>
      <c r="AX343" s="166"/>
      <c r="AY343" s="166"/>
      <c r="AZ343" s="166"/>
      <c r="BA343" s="166"/>
      <c r="BB343" s="166"/>
      <c r="BC343" s="166"/>
      <c r="BD343" s="166"/>
      <c r="BE343" s="166"/>
      <c r="BF343" s="166"/>
      <c r="BG343" s="166"/>
      <c r="BH343" s="166"/>
      <c r="BI343" s="166"/>
      <c r="BJ343" s="166"/>
      <c r="BK343" s="166"/>
      <c r="BL343" s="166"/>
      <c r="BM343" s="166"/>
      <c r="BN343" s="166"/>
    </row>
    <row r="344" spans="2:66" ht="14.4" x14ac:dyDescent="0.25">
      <c r="B344" s="835" t="s">
        <v>447</v>
      </c>
      <c r="C344" s="818"/>
      <c r="D344" s="818"/>
      <c r="E344" s="818"/>
      <c r="F344" s="818"/>
      <c r="G344" s="818"/>
      <c r="H344" s="818"/>
      <c r="I344" s="818"/>
      <c r="J344" s="818"/>
      <c r="K344" s="818"/>
      <c r="L344" s="818"/>
      <c r="M344" s="818"/>
      <c r="N344" s="818"/>
      <c r="O344" s="818"/>
      <c r="P344" s="818"/>
      <c r="Q344" s="818"/>
      <c r="R344" s="818"/>
      <c r="S344" s="818"/>
      <c r="T344" s="818"/>
      <c r="U344" s="818"/>
      <c r="V344" s="818"/>
      <c r="W344" s="818"/>
      <c r="X344" s="818"/>
      <c r="Y344" s="818"/>
      <c r="Z344" s="818"/>
      <c r="AA344" s="818"/>
      <c r="AB344" s="818"/>
      <c r="AC344" s="818"/>
      <c r="AD344" s="818"/>
      <c r="AE344" s="818"/>
      <c r="AF344" s="818"/>
      <c r="AG344" s="818"/>
      <c r="AH344" s="818"/>
      <c r="AI344" s="818"/>
      <c r="AJ344" s="818"/>
      <c r="AK344" s="818"/>
      <c r="AL344" s="818"/>
      <c r="AM344" s="818"/>
      <c r="AN344" s="818"/>
      <c r="AO344" s="818"/>
      <c r="AP344" s="818"/>
      <c r="AQ344" s="818"/>
      <c r="AR344" s="818"/>
      <c r="AS344" s="818"/>
      <c r="AT344" s="819"/>
      <c r="AU344" s="166"/>
      <c r="AV344" s="166"/>
      <c r="AW344" s="166"/>
      <c r="AX344" s="166"/>
      <c r="AY344" s="166"/>
      <c r="AZ344" s="166"/>
      <c r="BA344" s="166"/>
      <c r="BB344" s="166"/>
      <c r="BC344" s="166"/>
      <c r="BD344" s="166"/>
      <c r="BE344" s="166"/>
      <c r="BF344" s="166"/>
      <c r="BG344" s="166"/>
      <c r="BH344" s="166"/>
      <c r="BI344" s="166"/>
      <c r="BJ344" s="166"/>
      <c r="BK344" s="166"/>
      <c r="BL344" s="166"/>
      <c r="BM344" s="166"/>
      <c r="BN344" s="166"/>
    </row>
    <row r="345" spans="2:66" x14ac:dyDescent="0.25">
      <c r="B345" s="836" t="s">
        <v>448</v>
      </c>
      <c r="C345" s="268">
        <f>C269</f>
        <v>-5894681.6442265697</v>
      </c>
      <c r="D345" s="268">
        <f t="shared" ref="D345:F345" si="221">D269</f>
        <v>-23692439.326687708</v>
      </c>
      <c r="E345" s="268">
        <f t="shared" si="221"/>
        <v>-60967175.133836582</v>
      </c>
      <c r="F345" s="268">
        <f t="shared" si="221"/>
        <v>-24513713.625024468</v>
      </c>
      <c r="G345" s="178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  <c r="AN345" s="178"/>
      <c r="AO345" s="178"/>
      <c r="AP345" s="178"/>
      <c r="AQ345" s="178"/>
      <c r="AR345" s="178"/>
      <c r="AS345" s="178"/>
      <c r="AT345" s="265"/>
      <c r="AU345" s="166"/>
      <c r="AV345" s="166"/>
      <c r="AW345" s="166"/>
      <c r="AX345" s="166"/>
      <c r="AY345" s="166"/>
      <c r="AZ345" s="166"/>
      <c r="BA345" s="166"/>
      <c r="BB345" s="166"/>
      <c r="BC345" s="166"/>
      <c r="BD345" s="166"/>
      <c r="BE345" s="166"/>
      <c r="BF345" s="166"/>
      <c r="BG345" s="166"/>
      <c r="BH345" s="166"/>
      <c r="BI345" s="166"/>
      <c r="BJ345" s="166"/>
      <c r="BK345" s="166"/>
      <c r="BL345" s="166"/>
      <c r="BM345" s="166"/>
      <c r="BN345" s="166"/>
    </row>
    <row r="346" spans="2:66" x14ac:dyDescent="0.25">
      <c r="B346" s="836" t="s">
        <v>383</v>
      </c>
      <c r="C346" s="178"/>
      <c r="D346" s="178"/>
      <c r="E346" s="178"/>
      <c r="F346" s="178"/>
      <c r="G346" s="268">
        <f t="shared" ref="G346:AT346" si="222">G270</f>
        <v>0</v>
      </c>
      <c r="H346" s="268">
        <f t="shared" si="222"/>
        <v>0</v>
      </c>
      <c r="I346" s="268">
        <f t="shared" si="222"/>
        <v>0</v>
      </c>
      <c r="J346" s="268">
        <f t="shared" si="222"/>
        <v>0</v>
      </c>
      <c r="K346" s="268">
        <f t="shared" si="222"/>
        <v>0</v>
      </c>
      <c r="L346" s="268">
        <f t="shared" si="222"/>
        <v>0</v>
      </c>
      <c r="M346" s="268">
        <f t="shared" si="222"/>
        <v>0</v>
      </c>
      <c r="N346" s="268">
        <f t="shared" si="222"/>
        <v>0</v>
      </c>
      <c r="O346" s="268">
        <f t="shared" si="222"/>
        <v>0</v>
      </c>
      <c r="P346" s="268">
        <f t="shared" si="222"/>
        <v>-1622325.5979653969</v>
      </c>
      <c r="Q346" s="268">
        <f t="shared" si="222"/>
        <v>-1967400.8528066755</v>
      </c>
      <c r="R346" s="268">
        <f t="shared" si="222"/>
        <v>0</v>
      </c>
      <c r="S346" s="268">
        <f t="shared" si="222"/>
        <v>0</v>
      </c>
      <c r="T346" s="268">
        <f t="shared" si="222"/>
        <v>0</v>
      </c>
      <c r="U346" s="268">
        <f t="shared" si="222"/>
        <v>-2860937.4426897997</v>
      </c>
      <c r="V346" s="268">
        <f t="shared" si="222"/>
        <v>-9092783.3309384733</v>
      </c>
      <c r="W346" s="268">
        <f t="shared" si="222"/>
        <v>-4234246.6176485606</v>
      </c>
      <c r="X346" s="268">
        <f t="shared" si="222"/>
        <v>0</v>
      </c>
      <c r="Y346" s="268">
        <f t="shared" si="222"/>
        <v>0</v>
      </c>
      <c r="Z346" s="268">
        <f t="shared" si="222"/>
        <v>0</v>
      </c>
      <c r="AA346" s="268">
        <f t="shared" si="222"/>
        <v>-2013088.3571152827</v>
      </c>
      <c r="AB346" s="268">
        <f t="shared" si="222"/>
        <v>-2441284.3701567352</v>
      </c>
      <c r="AC346" s="268">
        <f t="shared" si="222"/>
        <v>0</v>
      </c>
      <c r="AD346" s="268">
        <f t="shared" si="222"/>
        <v>0</v>
      </c>
      <c r="AE346" s="268">
        <f t="shared" si="222"/>
        <v>0</v>
      </c>
      <c r="AF346" s="268">
        <f t="shared" si="222"/>
        <v>0</v>
      </c>
      <c r="AG346" s="268">
        <f t="shared" si="222"/>
        <v>0</v>
      </c>
      <c r="AH346" s="268">
        <f t="shared" si="222"/>
        <v>0</v>
      </c>
      <c r="AI346" s="268">
        <f t="shared" si="222"/>
        <v>0</v>
      </c>
      <c r="AJ346" s="268">
        <f t="shared" si="222"/>
        <v>0</v>
      </c>
      <c r="AK346" s="268">
        <f t="shared" si="222"/>
        <v>0</v>
      </c>
      <c r="AL346" s="268">
        <f t="shared" si="222"/>
        <v>-6452806.6782633755</v>
      </c>
      <c r="AM346" s="268">
        <f t="shared" si="222"/>
        <v>-15383573.173465244</v>
      </c>
      <c r="AN346" s="268">
        <f t="shared" si="222"/>
        <v>-5783774.5697274376</v>
      </c>
      <c r="AO346" s="268">
        <f t="shared" si="222"/>
        <v>0</v>
      </c>
      <c r="AP346" s="268">
        <f t="shared" si="222"/>
        <v>0</v>
      </c>
      <c r="AQ346" s="268">
        <f t="shared" si="222"/>
        <v>0</v>
      </c>
      <c r="AR346" s="268">
        <f t="shared" si="222"/>
        <v>0</v>
      </c>
      <c r="AS346" s="268">
        <f t="shared" si="222"/>
        <v>0</v>
      </c>
      <c r="AT346" s="799">
        <f t="shared" si="222"/>
        <v>0</v>
      </c>
      <c r="AU346" s="166"/>
      <c r="AV346" s="166"/>
      <c r="AW346" s="166"/>
      <c r="AX346" s="166"/>
      <c r="AY346" s="166"/>
      <c r="AZ346" s="166"/>
      <c r="BA346" s="166"/>
      <c r="BB346" s="166"/>
      <c r="BC346" s="166"/>
      <c r="BD346" s="166"/>
      <c r="BE346" s="166"/>
      <c r="BF346" s="166"/>
      <c r="BG346" s="166"/>
      <c r="BH346" s="166"/>
      <c r="BI346" s="166"/>
      <c r="BJ346" s="166"/>
      <c r="BK346" s="166"/>
      <c r="BL346" s="166"/>
      <c r="BM346" s="166"/>
      <c r="BN346" s="166"/>
    </row>
    <row r="347" spans="2:66" x14ac:dyDescent="0.25">
      <c r="B347" s="836" t="s">
        <v>384</v>
      </c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8"/>
      <c r="Z347" s="178"/>
      <c r="AA347" s="178"/>
      <c r="AB347" s="178"/>
      <c r="AC347" s="178"/>
      <c r="AD347" s="178"/>
      <c r="AE347" s="178"/>
      <c r="AF347" s="178"/>
      <c r="AG347" s="178"/>
      <c r="AH347" s="178"/>
      <c r="AI347" s="178"/>
      <c r="AJ347" s="758">
        <f>AJ320</f>
        <v>44426261.303533986</v>
      </c>
      <c r="AK347" s="178"/>
      <c r="AL347" s="178"/>
      <c r="AM347" s="178"/>
      <c r="AN347" s="178"/>
      <c r="AO347" s="178"/>
      <c r="AP347" s="178"/>
      <c r="AQ347" s="178"/>
      <c r="AR347" s="178"/>
      <c r="AS347" s="178"/>
      <c r="AT347" s="847">
        <f>AT320</f>
        <v>41032260.560367852</v>
      </c>
      <c r="AU347" s="166"/>
      <c r="AV347" s="166"/>
      <c r="AW347" s="166"/>
      <c r="AX347" s="166"/>
      <c r="AY347" s="166"/>
      <c r="AZ347" s="166"/>
      <c r="BA347" s="166"/>
      <c r="BB347" s="166"/>
      <c r="BC347" s="166"/>
      <c r="BD347" s="166"/>
      <c r="BE347" s="166"/>
      <c r="BF347" s="166"/>
      <c r="BG347" s="166"/>
      <c r="BH347" s="166"/>
      <c r="BI347" s="166"/>
      <c r="BJ347" s="166"/>
      <c r="BK347" s="166"/>
      <c r="BL347" s="166"/>
      <c r="BM347" s="166"/>
      <c r="BN347" s="166"/>
    </row>
    <row r="348" spans="2:66" ht="15" thickBot="1" x14ac:dyDescent="0.3">
      <c r="B348" s="842" t="s">
        <v>385</v>
      </c>
      <c r="C348" s="822">
        <f t="shared" ref="C348:AT348" si="223">C345+C346+C347</f>
        <v>-5894681.6442265697</v>
      </c>
      <c r="D348" s="822">
        <f t="shared" si="223"/>
        <v>-23692439.326687708</v>
      </c>
      <c r="E348" s="822">
        <f t="shared" si="223"/>
        <v>-60967175.133836582</v>
      </c>
      <c r="F348" s="822">
        <f t="shared" si="223"/>
        <v>-24513713.625024468</v>
      </c>
      <c r="G348" s="822">
        <f t="shared" si="223"/>
        <v>0</v>
      </c>
      <c r="H348" s="822">
        <f t="shared" si="223"/>
        <v>0</v>
      </c>
      <c r="I348" s="822">
        <f t="shared" si="223"/>
        <v>0</v>
      </c>
      <c r="J348" s="822">
        <f t="shared" si="223"/>
        <v>0</v>
      </c>
      <c r="K348" s="822">
        <f t="shared" si="223"/>
        <v>0</v>
      </c>
      <c r="L348" s="822">
        <f t="shared" si="223"/>
        <v>0</v>
      </c>
      <c r="M348" s="822">
        <f t="shared" si="223"/>
        <v>0</v>
      </c>
      <c r="N348" s="822">
        <f t="shared" si="223"/>
        <v>0</v>
      </c>
      <c r="O348" s="822">
        <f t="shared" si="223"/>
        <v>0</v>
      </c>
      <c r="P348" s="822">
        <f t="shared" si="223"/>
        <v>-1622325.5979653969</v>
      </c>
      <c r="Q348" s="822">
        <f t="shared" si="223"/>
        <v>-1967400.8528066755</v>
      </c>
      <c r="R348" s="822">
        <f t="shared" si="223"/>
        <v>0</v>
      </c>
      <c r="S348" s="822">
        <f t="shared" si="223"/>
        <v>0</v>
      </c>
      <c r="T348" s="822">
        <f t="shared" si="223"/>
        <v>0</v>
      </c>
      <c r="U348" s="822">
        <f t="shared" si="223"/>
        <v>-2860937.4426897997</v>
      </c>
      <c r="V348" s="822">
        <f t="shared" si="223"/>
        <v>-9092783.3309384733</v>
      </c>
      <c r="W348" s="822">
        <f t="shared" si="223"/>
        <v>-4234246.6176485606</v>
      </c>
      <c r="X348" s="822">
        <f t="shared" si="223"/>
        <v>0</v>
      </c>
      <c r="Y348" s="822">
        <f t="shared" si="223"/>
        <v>0</v>
      </c>
      <c r="Z348" s="822">
        <f t="shared" si="223"/>
        <v>0</v>
      </c>
      <c r="AA348" s="822">
        <f t="shared" si="223"/>
        <v>-2013088.3571152827</v>
      </c>
      <c r="AB348" s="822">
        <f t="shared" si="223"/>
        <v>-2441284.3701567352</v>
      </c>
      <c r="AC348" s="822">
        <f t="shared" si="223"/>
        <v>0</v>
      </c>
      <c r="AD348" s="822">
        <f t="shared" si="223"/>
        <v>0</v>
      </c>
      <c r="AE348" s="822">
        <f t="shared" si="223"/>
        <v>0</v>
      </c>
      <c r="AF348" s="822">
        <f t="shared" si="223"/>
        <v>0</v>
      </c>
      <c r="AG348" s="822">
        <f t="shared" si="223"/>
        <v>0</v>
      </c>
      <c r="AH348" s="822">
        <f t="shared" si="223"/>
        <v>0</v>
      </c>
      <c r="AI348" s="822">
        <f t="shared" si="223"/>
        <v>0</v>
      </c>
      <c r="AJ348" s="822">
        <f t="shared" si="223"/>
        <v>44426261.303533986</v>
      </c>
      <c r="AK348" s="822">
        <f t="shared" si="223"/>
        <v>0</v>
      </c>
      <c r="AL348" s="822">
        <f t="shared" si="223"/>
        <v>-6452806.6782633755</v>
      </c>
      <c r="AM348" s="822">
        <f t="shared" si="223"/>
        <v>-15383573.173465244</v>
      </c>
      <c r="AN348" s="822">
        <f t="shared" si="223"/>
        <v>-5783774.5697274376</v>
      </c>
      <c r="AO348" s="822">
        <f t="shared" si="223"/>
        <v>0</v>
      </c>
      <c r="AP348" s="822">
        <f t="shared" si="223"/>
        <v>0</v>
      </c>
      <c r="AQ348" s="822">
        <f t="shared" si="223"/>
        <v>0</v>
      </c>
      <c r="AR348" s="822">
        <f t="shared" si="223"/>
        <v>0</v>
      </c>
      <c r="AS348" s="822">
        <f t="shared" si="223"/>
        <v>0</v>
      </c>
      <c r="AT348" s="823">
        <f t="shared" si="223"/>
        <v>41032260.560367852</v>
      </c>
      <c r="AU348" s="166"/>
      <c r="AV348" s="166"/>
      <c r="AW348" s="166"/>
      <c r="AX348" s="166"/>
      <c r="AY348" s="166"/>
      <c r="AZ348" s="166"/>
      <c r="BA348" s="166"/>
      <c r="BB348" s="166"/>
      <c r="BC348" s="166"/>
      <c r="BD348" s="166"/>
      <c r="BE348" s="166"/>
      <c r="BF348" s="166"/>
      <c r="BG348" s="166"/>
      <c r="BH348" s="166"/>
      <c r="BI348" s="166"/>
      <c r="BJ348" s="166"/>
      <c r="BK348" s="166"/>
      <c r="BL348" s="166"/>
      <c r="BM348" s="166"/>
      <c r="BN348" s="166"/>
    </row>
    <row r="349" spans="2:66" ht="14.4" x14ac:dyDescent="0.25">
      <c r="B349" s="838"/>
      <c r="C349" s="178"/>
      <c r="D349" s="178"/>
      <c r="E349" s="178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  <c r="AU349" s="166"/>
      <c r="AV349" s="166"/>
      <c r="AW349" s="166"/>
      <c r="AX349" s="166"/>
      <c r="AY349" s="166"/>
      <c r="AZ349" s="166"/>
      <c r="BA349" s="166"/>
      <c r="BB349" s="166"/>
      <c r="BC349" s="166"/>
      <c r="BD349" s="166"/>
      <c r="BE349" s="166"/>
      <c r="BF349" s="166"/>
      <c r="BG349" s="166"/>
      <c r="BH349" s="166"/>
      <c r="BI349" s="166"/>
      <c r="BJ349" s="166"/>
      <c r="BK349" s="166"/>
      <c r="BL349" s="166"/>
      <c r="BM349" s="166"/>
      <c r="BN349" s="166"/>
    </row>
    <row r="350" spans="2:66" ht="14.4" x14ac:dyDescent="0.25">
      <c r="B350" s="838"/>
      <c r="C350" s="178"/>
      <c r="D350" s="178"/>
      <c r="E350" s="884" t="s">
        <v>473</v>
      </c>
      <c r="F350" s="178">
        <f>C348+D348+E348+F348</f>
        <v>-115068009.72977532</v>
      </c>
      <c r="G350" s="178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  <c r="AM350" s="178"/>
      <c r="AN350" s="178"/>
      <c r="AO350" s="178"/>
      <c r="AP350" s="178"/>
      <c r="AQ350" s="178"/>
      <c r="AR350" s="178"/>
      <c r="AS350" s="178"/>
      <c r="AT350" s="178"/>
      <c r="AU350" s="166"/>
      <c r="AV350" s="166"/>
      <c r="AW350" s="166"/>
      <c r="AX350" s="166"/>
      <c r="AY350" s="166"/>
      <c r="AZ350" s="166"/>
      <c r="BA350" s="166"/>
      <c r="BB350" s="166"/>
      <c r="BC350" s="166"/>
      <c r="BD350" s="166"/>
      <c r="BE350" s="166"/>
      <c r="BF350" s="166"/>
      <c r="BG350" s="166"/>
      <c r="BH350" s="166"/>
      <c r="BI350" s="166"/>
      <c r="BJ350" s="166"/>
      <c r="BK350" s="166"/>
      <c r="BL350" s="166"/>
      <c r="BM350" s="166"/>
      <c r="BN350" s="166"/>
    </row>
    <row r="351" spans="2:66" ht="14.4" x14ac:dyDescent="0.25">
      <c r="B351" s="838"/>
      <c r="C351" s="178"/>
      <c r="D351" s="178"/>
      <c r="E351" s="178"/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  <c r="AM351" s="178"/>
      <c r="AN351" s="178"/>
      <c r="AO351" s="178"/>
      <c r="AP351" s="178"/>
      <c r="AQ351" s="178"/>
      <c r="AR351" s="178"/>
      <c r="AS351" s="178"/>
      <c r="AT351" s="178"/>
      <c r="AU351" s="166"/>
      <c r="AV351" s="166"/>
      <c r="AW351" s="166"/>
      <c r="AX351" s="166"/>
      <c r="AY351" s="166"/>
      <c r="AZ351" s="166"/>
      <c r="BA351" s="166"/>
      <c r="BB351" s="166"/>
      <c r="BC351" s="166"/>
      <c r="BD351" s="166"/>
      <c r="BE351" s="166"/>
      <c r="BF351" s="166"/>
      <c r="BG351" s="166"/>
      <c r="BH351" s="166"/>
      <c r="BI351" s="166"/>
      <c r="BJ351" s="166"/>
      <c r="BK351" s="166"/>
      <c r="BL351" s="166"/>
      <c r="BM351" s="166"/>
      <c r="BN351" s="166"/>
    </row>
    <row r="352" spans="2:66" ht="14.4" x14ac:dyDescent="0.25">
      <c r="B352" s="844" t="s">
        <v>436</v>
      </c>
      <c r="C352" s="178">
        <f t="shared" ref="C352:AJ352" si="224">C342+C348</f>
        <v>-5894681.6442265697</v>
      </c>
      <c r="D352" s="178">
        <f t="shared" si="224"/>
        <v>-23692439.326687708</v>
      </c>
      <c r="E352" s="178">
        <f t="shared" si="224"/>
        <v>-60967175.133836582</v>
      </c>
      <c r="F352" s="178">
        <f t="shared" si="224"/>
        <v>-24513713.625024468</v>
      </c>
      <c r="G352" s="178">
        <f t="shared" si="224"/>
        <v>2004782.1334027345</v>
      </c>
      <c r="H352" s="178">
        <f t="shared" si="224"/>
        <v>3280822.1099712304</v>
      </c>
      <c r="I352" s="178">
        <f t="shared" si="224"/>
        <v>3664542.4982552836</v>
      </c>
      <c r="J352" s="178">
        <f t="shared" si="224"/>
        <v>3664232.6108676917</v>
      </c>
      <c r="K352" s="178">
        <f t="shared" si="224"/>
        <v>-526214.34961373825</v>
      </c>
      <c r="L352" s="178">
        <f t="shared" si="224"/>
        <v>3793314.4655519864</v>
      </c>
      <c r="M352" s="178">
        <f t="shared" si="224"/>
        <v>3995022.931241306</v>
      </c>
      <c r="N352" s="178">
        <f t="shared" si="224"/>
        <v>3965950.2200754629</v>
      </c>
      <c r="O352" s="178">
        <f t="shared" si="224"/>
        <v>4149700.500250204</v>
      </c>
      <c r="P352" s="178">
        <f t="shared" si="224"/>
        <v>-2116721.5602523461</v>
      </c>
      <c r="Q352" s="178">
        <f t="shared" si="224"/>
        <v>2243698.4268731503</v>
      </c>
      <c r="R352" s="178">
        <f t="shared" si="224"/>
        <v>4304166.0865481962</v>
      </c>
      <c r="S352" s="178">
        <f t="shared" si="224"/>
        <v>4479445.2431090996</v>
      </c>
      <c r="T352" s="178">
        <f t="shared" si="224"/>
        <v>4417828.2557708379</v>
      </c>
      <c r="U352" s="178">
        <f t="shared" si="224"/>
        <v>-3167982.6200092183</v>
      </c>
      <c r="V352" s="178">
        <f t="shared" si="224"/>
        <v>-4826318.2605508938</v>
      </c>
      <c r="W352" s="178">
        <f t="shared" si="224"/>
        <v>221160.89919015206</v>
      </c>
      <c r="X352" s="178">
        <f t="shared" si="224"/>
        <v>4802826.5892157508</v>
      </c>
      <c r="Y352" s="178">
        <f t="shared" si="224"/>
        <v>5039718.9096049769</v>
      </c>
      <c r="Z352" s="178">
        <f t="shared" si="224"/>
        <v>-412542.70745357126</v>
      </c>
      <c r="AA352" s="178">
        <f t="shared" si="224"/>
        <v>3243598.6214249944</v>
      </c>
      <c r="AB352" s="178">
        <f t="shared" si="224"/>
        <v>2781159.9027633015</v>
      </c>
      <c r="AC352" s="178">
        <f t="shared" si="224"/>
        <v>5468860.8546815868</v>
      </c>
      <c r="AD352" s="178">
        <f t="shared" si="224"/>
        <v>5386553.852774214</v>
      </c>
      <c r="AE352" s="178">
        <f t="shared" si="224"/>
        <v>-151841.61913589761</v>
      </c>
      <c r="AF352" s="178">
        <f t="shared" si="224"/>
        <v>5524209.3560066493</v>
      </c>
      <c r="AG352" s="178">
        <f t="shared" si="224"/>
        <v>5756528.5190286217</v>
      </c>
      <c r="AH352" s="178">
        <f t="shared" si="224"/>
        <v>5665738.8505002176</v>
      </c>
      <c r="AI352" s="178">
        <f t="shared" si="224"/>
        <v>5906565.3793897592</v>
      </c>
      <c r="AJ352" s="178">
        <f t="shared" si="224"/>
        <v>43901012.16797027</v>
      </c>
      <c r="AK352" s="178"/>
      <c r="AL352" s="178"/>
      <c r="AM352" s="178"/>
      <c r="AN352" s="178"/>
      <c r="AO352" s="178"/>
      <c r="AP352" s="178"/>
      <c r="AQ352" s="178"/>
      <c r="AR352" s="178"/>
      <c r="AS352" s="178"/>
      <c r="AT352" s="178"/>
      <c r="AU352" s="166"/>
      <c r="AV352" s="166"/>
      <c r="AW352" s="166"/>
      <c r="AX352" s="166"/>
      <c r="AY352" s="166"/>
      <c r="AZ352" s="166"/>
      <c r="BA352" s="166"/>
      <c r="BB352" s="166"/>
      <c r="BC352" s="166"/>
      <c r="BD352" s="166"/>
      <c r="BE352" s="166"/>
      <c r="BF352" s="166"/>
      <c r="BG352" s="166"/>
      <c r="BH352" s="166"/>
      <c r="BI352" s="166"/>
      <c r="BJ352" s="166"/>
      <c r="BK352" s="166"/>
      <c r="BL352" s="166"/>
      <c r="BM352" s="166"/>
      <c r="BN352" s="166"/>
    </row>
    <row r="353" spans="2:66" ht="14.4" x14ac:dyDescent="0.25">
      <c r="B353" s="844" t="s">
        <v>438</v>
      </c>
      <c r="C353" s="178"/>
      <c r="D353" s="178"/>
      <c r="E353" s="178"/>
      <c r="F353" s="178"/>
      <c r="G353" s="178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848">
        <f>IRR(C352:AJ352)</f>
        <v>4.2443816330182127E-3</v>
      </c>
      <c r="AK353" s="178"/>
      <c r="AL353" s="178"/>
      <c r="AM353" s="178"/>
      <c r="AN353" s="178"/>
      <c r="AO353" s="178"/>
      <c r="AP353" s="178"/>
      <c r="AQ353" s="178"/>
      <c r="AR353" s="178"/>
      <c r="AS353" s="178"/>
      <c r="AT353" s="178"/>
      <c r="AU353" s="166"/>
      <c r="AV353" s="166"/>
      <c r="AW353" s="166"/>
      <c r="AX353" s="166"/>
      <c r="AY353" s="166"/>
      <c r="AZ353" s="166"/>
      <c r="BA353" s="166"/>
      <c r="BB353" s="166"/>
      <c r="BC353" s="166"/>
      <c r="BD353" s="166"/>
      <c r="BE353" s="166"/>
      <c r="BF353" s="166"/>
      <c r="BG353" s="166"/>
      <c r="BH353" s="166"/>
      <c r="BI353" s="166"/>
      <c r="BJ353" s="166"/>
      <c r="BK353" s="166"/>
      <c r="BL353" s="166"/>
      <c r="BM353" s="166"/>
      <c r="BN353" s="166"/>
    </row>
    <row r="354" spans="2:66" ht="14.4" x14ac:dyDescent="0.25">
      <c r="B354" s="844"/>
      <c r="C354" s="178"/>
      <c r="D354" s="178"/>
      <c r="E354" s="178"/>
      <c r="F354" s="178"/>
      <c r="G354" s="178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66"/>
      <c r="AV354" s="166"/>
      <c r="AW354" s="166"/>
      <c r="AX354" s="166"/>
      <c r="AY354" s="166"/>
      <c r="AZ354" s="166"/>
      <c r="BA354" s="166"/>
      <c r="BB354" s="166"/>
      <c r="BC354" s="166"/>
      <c r="BD354" s="166"/>
      <c r="BE354" s="166"/>
      <c r="BF354" s="166"/>
      <c r="BG354" s="166"/>
      <c r="BH354" s="166"/>
      <c r="BI354" s="166"/>
      <c r="BJ354" s="166"/>
      <c r="BK354" s="166"/>
      <c r="BL354" s="166"/>
      <c r="BM354" s="166"/>
      <c r="BN354" s="166"/>
    </row>
    <row r="355" spans="2:66" ht="14.4" x14ac:dyDescent="0.25">
      <c r="B355" s="844" t="s">
        <v>437</v>
      </c>
      <c r="C355" s="178">
        <f>C342+C348</f>
        <v>-5894681.6442265697</v>
      </c>
      <c r="D355" s="178">
        <f t="shared" ref="D355:AI355" si="225">D342+D348</f>
        <v>-23692439.326687708</v>
      </c>
      <c r="E355" s="178">
        <f t="shared" si="225"/>
        <v>-60967175.133836582</v>
      </c>
      <c r="F355" s="178">
        <f t="shared" si="225"/>
        <v>-24513713.625024468</v>
      </c>
      <c r="G355" s="178">
        <f t="shared" si="225"/>
        <v>2004782.1334027345</v>
      </c>
      <c r="H355" s="178">
        <f t="shared" si="225"/>
        <v>3280822.1099712304</v>
      </c>
      <c r="I355" s="178">
        <f t="shared" si="225"/>
        <v>3664542.4982552836</v>
      </c>
      <c r="J355" s="178">
        <f t="shared" si="225"/>
        <v>3664232.6108676917</v>
      </c>
      <c r="K355" s="178">
        <f t="shared" si="225"/>
        <v>-526214.34961373825</v>
      </c>
      <c r="L355" s="178">
        <f t="shared" si="225"/>
        <v>3793314.4655519864</v>
      </c>
      <c r="M355" s="178">
        <f t="shared" si="225"/>
        <v>3995022.931241306</v>
      </c>
      <c r="N355" s="178">
        <f t="shared" si="225"/>
        <v>3965950.2200754629</v>
      </c>
      <c r="O355" s="178">
        <f t="shared" si="225"/>
        <v>4149700.500250204</v>
      </c>
      <c r="P355" s="178">
        <f t="shared" si="225"/>
        <v>-2116721.5602523461</v>
      </c>
      <c r="Q355" s="178">
        <f t="shared" si="225"/>
        <v>2243698.4268731503</v>
      </c>
      <c r="R355" s="178">
        <f t="shared" si="225"/>
        <v>4304166.0865481962</v>
      </c>
      <c r="S355" s="178">
        <f t="shared" si="225"/>
        <v>4479445.2431090996</v>
      </c>
      <c r="T355" s="178">
        <f t="shared" si="225"/>
        <v>4417828.2557708379</v>
      </c>
      <c r="U355" s="178">
        <f t="shared" si="225"/>
        <v>-3167982.6200092183</v>
      </c>
      <c r="V355" s="178">
        <f t="shared" si="225"/>
        <v>-4826318.2605508938</v>
      </c>
      <c r="W355" s="178">
        <f t="shared" si="225"/>
        <v>221160.89919015206</v>
      </c>
      <c r="X355" s="178">
        <f t="shared" si="225"/>
        <v>4802826.5892157508</v>
      </c>
      <c r="Y355" s="178">
        <f t="shared" si="225"/>
        <v>5039718.9096049769</v>
      </c>
      <c r="Z355" s="178">
        <f t="shared" si="225"/>
        <v>-412542.70745357126</v>
      </c>
      <c r="AA355" s="178">
        <f t="shared" si="225"/>
        <v>3243598.6214249944</v>
      </c>
      <c r="AB355" s="178">
        <f t="shared" si="225"/>
        <v>2781159.9027633015</v>
      </c>
      <c r="AC355" s="178">
        <f t="shared" si="225"/>
        <v>5468860.8546815868</v>
      </c>
      <c r="AD355" s="178">
        <f t="shared" si="225"/>
        <v>5386553.852774214</v>
      </c>
      <c r="AE355" s="178">
        <f t="shared" si="225"/>
        <v>-151841.61913589761</v>
      </c>
      <c r="AF355" s="178">
        <f t="shared" si="225"/>
        <v>5524209.3560066493</v>
      </c>
      <c r="AG355" s="178">
        <f t="shared" si="225"/>
        <v>5756528.5190286217</v>
      </c>
      <c r="AH355" s="178">
        <f t="shared" si="225"/>
        <v>5665738.8505002176</v>
      </c>
      <c r="AI355" s="178">
        <f t="shared" si="225"/>
        <v>5906565.3793897592</v>
      </c>
      <c r="AJ355" s="178">
        <f>AJ342+AJ346</f>
        <v>-525249.13556371629</v>
      </c>
      <c r="AK355" s="178">
        <f t="shared" ref="AK355:AT355" si="226">AK342+AK348</f>
        <v>6060834.5048688501</v>
      </c>
      <c r="AL355" s="178">
        <f t="shared" si="226"/>
        <v>-492136.8112024311</v>
      </c>
      <c r="AM355" s="178">
        <f t="shared" si="226"/>
        <v>-9541886.7679506727</v>
      </c>
      <c r="AN355" s="178">
        <f t="shared" si="226"/>
        <v>-203207.44015996717</v>
      </c>
      <c r="AO355" s="178">
        <f t="shared" si="226"/>
        <v>-395869.74851842644</v>
      </c>
      <c r="AP355" s="178">
        <f t="shared" si="226"/>
        <v>6428699.7506120335</v>
      </c>
      <c r="AQ355" s="178">
        <f t="shared" si="226"/>
        <v>6706600.0169572048</v>
      </c>
      <c r="AR355" s="178">
        <f t="shared" si="226"/>
        <v>6590487.8133266615</v>
      </c>
      <c r="AS355" s="178">
        <f t="shared" si="226"/>
        <v>6878465.3244266436</v>
      </c>
      <c r="AT355" s="178">
        <f t="shared" si="226"/>
        <v>40147331.978850096</v>
      </c>
      <c r="AU355" s="166"/>
      <c r="AV355" s="166"/>
      <c r="AW355" s="166"/>
      <c r="AX355" s="166"/>
      <c r="AY355" s="166"/>
      <c r="AZ355" s="166"/>
      <c r="BA355" s="166"/>
      <c r="BB355" s="166"/>
      <c r="BC355" s="166"/>
      <c r="BD355" s="166"/>
      <c r="BE355" s="166"/>
      <c r="BF355" s="166"/>
      <c r="BG355" s="166"/>
      <c r="BH355" s="166"/>
      <c r="BI355" s="166"/>
      <c r="BJ355" s="166"/>
      <c r="BK355" s="166"/>
      <c r="BL355" s="166"/>
      <c r="BM355" s="166"/>
      <c r="BN355" s="166"/>
    </row>
    <row r="356" spans="2:66" ht="14.4" x14ac:dyDescent="0.25">
      <c r="B356" s="844" t="s">
        <v>439</v>
      </c>
      <c r="C356" s="178"/>
      <c r="D356" s="178"/>
      <c r="E356" s="178"/>
      <c r="F356" s="178"/>
      <c r="G356" s="178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849">
        <f>IRR(C355:AT355)</f>
        <v>8.4613302833238535E-3</v>
      </c>
      <c r="AU356" s="166"/>
      <c r="AV356" s="166"/>
      <c r="AW356" s="166"/>
      <c r="AX356" s="166"/>
      <c r="AY356" s="166"/>
      <c r="AZ356" s="166"/>
      <c r="BA356" s="166"/>
      <c r="BB356" s="166"/>
      <c r="BC356" s="166"/>
      <c r="BD356" s="166"/>
      <c r="BE356" s="166"/>
      <c r="BF356" s="166"/>
      <c r="BG356" s="166"/>
      <c r="BH356" s="166"/>
      <c r="BI356" s="166"/>
      <c r="BJ356" s="166"/>
      <c r="BK356" s="166"/>
      <c r="BL356" s="166"/>
      <c r="BM356" s="166"/>
      <c r="BN356" s="166"/>
    </row>
    <row r="357" spans="2:66" ht="14.4" x14ac:dyDescent="0.25">
      <c r="B357" s="844"/>
      <c r="C357" s="178"/>
      <c r="D357" s="178"/>
      <c r="E357" s="178"/>
      <c r="F357" s="178"/>
      <c r="G357" s="178"/>
      <c r="H357" s="178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8"/>
      <c r="V357" s="178"/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/>
      <c r="AS357" s="178"/>
      <c r="AT357" s="178"/>
      <c r="AU357" s="166"/>
      <c r="AV357" s="166"/>
      <c r="AW357" s="166"/>
      <c r="AX357" s="166"/>
      <c r="AY357" s="166"/>
      <c r="AZ357" s="166"/>
      <c r="BA357" s="166"/>
      <c r="BB357" s="166"/>
      <c r="BC357" s="166"/>
      <c r="BD357" s="166"/>
      <c r="BE357" s="166"/>
      <c r="BF357" s="166"/>
      <c r="BG357" s="166"/>
      <c r="BH357" s="166"/>
      <c r="BI357" s="166"/>
      <c r="BJ357" s="166"/>
      <c r="BK357" s="166"/>
      <c r="BL357" s="166"/>
      <c r="BM357" s="166"/>
      <c r="BN357" s="166"/>
    </row>
    <row r="358" spans="2:66" ht="14.4" x14ac:dyDescent="0.25">
      <c r="B358" s="844" t="s">
        <v>450</v>
      </c>
      <c r="C358" s="178">
        <f>C332</f>
        <v>0</v>
      </c>
      <c r="D358" s="178">
        <f t="shared" ref="D358:AT358" si="227">D332</f>
        <v>0</v>
      </c>
      <c r="E358" s="178">
        <f t="shared" si="227"/>
        <v>0</v>
      </c>
      <c r="F358" s="178">
        <f t="shared" si="227"/>
        <v>0</v>
      </c>
      <c r="G358" s="178">
        <f t="shared" si="227"/>
        <v>2004782.1334027345</v>
      </c>
      <c r="H358" s="178">
        <f t="shared" si="227"/>
        <v>3329405.1195954131</v>
      </c>
      <c r="I358" s="178">
        <f t="shared" si="227"/>
        <v>3919744.1784939566</v>
      </c>
      <c r="J358" s="178">
        <f t="shared" si="227"/>
        <v>3919267.4286668925</v>
      </c>
      <c r="K358" s="178">
        <f t="shared" si="227"/>
        <v>-526214.34961373825</v>
      </c>
      <c r="L358" s="178">
        <f t="shared" si="227"/>
        <v>4210788.9879503418</v>
      </c>
      <c r="M358" s="178">
        <f t="shared" si="227"/>
        <v>4521109.7043954488</v>
      </c>
      <c r="N358" s="178">
        <f t="shared" si="227"/>
        <v>4476382.4564479981</v>
      </c>
      <c r="O358" s="178">
        <f t="shared" si="227"/>
        <v>4759075.1951783691</v>
      </c>
      <c r="P358" s="178">
        <f t="shared" si="227"/>
        <v>-494395.96228694916</v>
      </c>
      <c r="Q358" s="178">
        <f t="shared" si="227"/>
        <v>5008454.0735253626</v>
      </c>
      <c r="R358" s="178">
        <f t="shared" si="227"/>
        <v>4958340.8136658976</v>
      </c>
      <c r="S358" s="178">
        <f t="shared" si="227"/>
        <v>5228001.0545288259</v>
      </c>
      <c r="T358" s="178">
        <f t="shared" si="227"/>
        <v>5133205.6893930389</v>
      </c>
      <c r="U358" s="178">
        <f t="shared" si="227"/>
        <v>-307045.17731941864</v>
      </c>
      <c r="V358" s="178">
        <f t="shared" si="227"/>
        <v>5313608.4915779317</v>
      </c>
      <c r="W358" s="178">
        <f t="shared" si="227"/>
        <v>5604289.1784258299</v>
      </c>
      <c r="X358" s="178">
        <f t="shared" si="227"/>
        <v>5557673.5372677455</v>
      </c>
      <c r="Y358" s="178">
        <f t="shared" si="227"/>
        <v>5922123.260943478</v>
      </c>
      <c r="Z358" s="178">
        <f t="shared" si="227"/>
        <v>-412542.70745357126</v>
      </c>
      <c r="AA358" s="178">
        <f t="shared" si="227"/>
        <v>6255920.2900747079</v>
      </c>
      <c r="AB358" s="178">
        <f t="shared" si="227"/>
        <v>6203239.2045051092</v>
      </c>
      <c r="AC358" s="178">
        <f t="shared" si="227"/>
        <v>6535783.7615574962</v>
      </c>
      <c r="AD358" s="178">
        <f t="shared" si="227"/>
        <v>6409157.6047769217</v>
      </c>
      <c r="AE358" s="178">
        <f t="shared" si="227"/>
        <v>-151841.61913589761</v>
      </c>
      <c r="AF358" s="178">
        <f t="shared" si="227"/>
        <v>6620935.3020575922</v>
      </c>
      <c r="AG358" s="178">
        <f t="shared" si="227"/>
        <v>6978349.399014473</v>
      </c>
      <c r="AH358" s="178">
        <f t="shared" si="227"/>
        <v>6838672.9858938511</v>
      </c>
      <c r="AI358" s="178">
        <f t="shared" si="227"/>
        <v>7209175.3380316067</v>
      </c>
      <c r="AJ358" s="178">
        <f t="shared" si="227"/>
        <v>-525249.13556371629</v>
      </c>
      <c r="AK358" s="178">
        <f t="shared" si="227"/>
        <v>7446512.4541532863</v>
      </c>
      <c r="AL358" s="178">
        <f t="shared" si="227"/>
        <v>7292413.0113718919</v>
      </c>
      <c r="AM358" s="178">
        <f t="shared" si="227"/>
        <v>7690468.0538079236</v>
      </c>
      <c r="AN358" s="178">
        <f t="shared" si="227"/>
        <v>7528596.9299731832</v>
      </c>
      <c r="AO358" s="178">
        <f t="shared" si="227"/>
        <v>-395869.74851842597</v>
      </c>
      <c r="AP358" s="178">
        <f t="shared" si="227"/>
        <v>7771102.7153703542</v>
      </c>
      <c r="AQ358" s="178">
        <f t="shared" si="227"/>
        <v>8198641.5866706185</v>
      </c>
      <c r="AR358" s="178">
        <f t="shared" si="227"/>
        <v>8020007.4272390138</v>
      </c>
      <c r="AS358" s="178">
        <f t="shared" si="227"/>
        <v>8463049.7520082183</v>
      </c>
      <c r="AT358" s="178">
        <f t="shared" si="227"/>
        <v>-884928.58151775599</v>
      </c>
      <c r="AU358" s="166"/>
      <c r="AV358" s="166"/>
      <c r="AW358" s="166"/>
      <c r="AX358" s="166"/>
      <c r="AY358" s="166"/>
      <c r="AZ358" s="166"/>
      <c r="BA358" s="166"/>
      <c r="BB358" s="166"/>
      <c r="BC358" s="166"/>
      <c r="BD358" s="166"/>
      <c r="BE358" s="166"/>
      <c r="BF358" s="166"/>
      <c r="BG358" s="166"/>
      <c r="BH358" s="166"/>
      <c r="BI358" s="166"/>
      <c r="BJ358" s="166"/>
      <c r="BK358" s="166"/>
      <c r="BL358" s="166"/>
      <c r="BM358" s="166"/>
      <c r="BN358" s="166"/>
    </row>
    <row r="359" spans="2:66" ht="14.4" x14ac:dyDescent="0.25">
      <c r="B359" s="844" t="s">
        <v>451</v>
      </c>
      <c r="C359" s="178">
        <f>C358+C319</f>
        <v>0</v>
      </c>
      <c r="D359" s="178">
        <f t="shared" ref="D359:AT359" si="228">D358+D319</f>
        <v>0</v>
      </c>
      <c r="E359" s="178">
        <f t="shared" si="228"/>
        <v>0</v>
      </c>
      <c r="F359" s="178">
        <f t="shared" si="228"/>
        <v>0</v>
      </c>
      <c r="G359" s="178">
        <f t="shared" si="228"/>
        <v>-1185814.3872664417</v>
      </c>
      <c r="H359" s="178">
        <f t="shared" si="228"/>
        <v>138808.59892623685</v>
      </c>
      <c r="I359" s="178">
        <f t="shared" si="228"/>
        <v>729147.65782478033</v>
      </c>
      <c r="J359" s="178">
        <f t="shared" si="228"/>
        <v>728670.90799771622</v>
      </c>
      <c r="K359" s="178">
        <f t="shared" si="228"/>
        <v>-3716810.8702829145</v>
      </c>
      <c r="L359" s="178">
        <f t="shared" si="228"/>
        <v>1192784.3497095872</v>
      </c>
      <c r="M359" s="178">
        <f t="shared" si="228"/>
        <v>1503105.0661546942</v>
      </c>
      <c r="N359" s="178">
        <f t="shared" si="228"/>
        <v>1458377.8182072435</v>
      </c>
      <c r="O359" s="178">
        <f t="shared" si="228"/>
        <v>1741070.5569376145</v>
      </c>
      <c r="P359" s="178">
        <f t="shared" si="228"/>
        <v>-3512400.6005277038</v>
      </c>
      <c r="Q359" s="178">
        <f t="shared" si="228"/>
        <v>2278156.5538443923</v>
      </c>
      <c r="R359" s="178">
        <f t="shared" si="228"/>
        <v>1869070.6489077201</v>
      </c>
      <c r="S359" s="178">
        <f t="shared" si="228"/>
        <v>2138730.8897706484</v>
      </c>
      <c r="T359" s="178">
        <f t="shared" si="228"/>
        <v>2043935.5246348614</v>
      </c>
      <c r="U359" s="178">
        <f t="shared" si="228"/>
        <v>-3396315.3420775961</v>
      </c>
      <c r="V359" s="178">
        <f t="shared" si="228"/>
        <v>2991838.3462581499</v>
      </c>
      <c r="W359" s="178">
        <f t="shared" si="228"/>
        <v>3282519.0331060481</v>
      </c>
      <c r="X359" s="178">
        <f t="shared" si="228"/>
        <v>2156705.5658628419</v>
      </c>
      <c r="Y359" s="178">
        <f t="shared" si="228"/>
        <v>2521155.2895385744</v>
      </c>
      <c r="Z359" s="178">
        <f t="shared" si="228"/>
        <v>-3813510.6788584748</v>
      </c>
      <c r="AA359" s="178">
        <f t="shared" si="228"/>
        <v>2854952.3186698044</v>
      </c>
      <c r="AB359" s="178">
        <f t="shared" si="228"/>
        <v>2802271.2331002057</v>
      </c>
      <c r="AC359" s="178">
        <f t="shared" si="228"/>
        <v>3048351.162502598</v>
      </c>
      <c r="AD359" s="178">
        <f t="shared" si="228"/>
        <v>2921725.0057220235</v>
      </c>
      <c r="AE359" s="178">
        <f t="shared" si="228"/>
        <v>-3639274.2181907957</v>
      </c>
      <c r="AF359" s="178">
        <f t="shared" si="228"/>
        <v>3133502.7030026941</v>
      </c>
      <c r="AG359" s="178">
        <f t="shared" si="228"/>
        <v>3490916.7999595748</v>
      </c>
      <c r="AH359" s="178">
        <f t="shared" si="228"/>
        <v>3351240.386838953</v>
      </c>
      <c r="AI359" s="178">
        <f t="shared" si="228"/>
        <v>3721742.7389767086</v>
      </c>
      <c r="AJ359" s="178">
        <f t="shared" si="228"/>
        <v>-4012681.7346186144</v>
      </c>
      <c r="AK359" s="178">
        <f t="shared" si="228"/>
        <v>3959079.8550983882</v>
      </c>
      <c r="AL359" s="178">
        <f t="shared" si="228"/>
        <v>3804980.4123169938</v>
      </c>
      <c r="AM359" s="178">
        <f t="shared" si="228"/>
        <v>5282233.2808381468</v>
      </c>
      <c r="AN359" s="178">
        <f t="shared" si="228"/>
        <v>5565799.4297306091</v>
      </c>
      <c r="AO359" s="178">
        <f t="shared" si="228"/>
        <v>-4331535.4217221476</v>
      </c>
      <c r="AP359" s="178">
        <f t="shared" si="228"/>
        <v>3835437.0421666331</v>
      </c>
      <c r="AQ359" s="178">
        <f t="shared" si="228"/>
        <v>4262975.9134668969</v>
      </c>
      <c r="AR359" s="178">
        <f t="shared" si="228"/>
        <v>4084341.7540352927</v>
      </c>
      <c r="AS359" s="178">
        <f t="shared" si="228"/>
        <v>4527384.0788044967</v>
      </c>
      <c r="AT359" s="178">
        <f t="shared" si="228"/>
        <v>-4820594.2547214776</v>
      </c>
      <c r="AU359" s="166"/>
      <c r="AV359" s="166"/>
      <c r="AW359" s="166"/>
      <c r="AX359" s="166"/>
      <c r="AY359" s="166"/>
      <c r="AZ359" s="166"/>
      <c r="BA359" s="166"/>
      <c r="BB359" s="166"/>
      <c r="BC359" s="166"/>
      <c r="BD359" s="166"/>
      <c r="BE359" s="166"/>
      <c r="BF359" s="166"/>
      <c r="BG359" s="166"/>
      <c r="BH359" s="166"/>
      <c r="BI359" s="166"/>
      <c r="BJ359" s="166"/>
      <c r="BK359" s="166"/>
      <c r="BL359" s="166"/>
      <c r="BM359" s="166"/>
      <c r="BN359" s="166"/>
    </row>
    <row r="360" spans="2:66" ht="14.4" x14ac:dyDescent="0.25">
      <c r="B360" s="844"/>
      <c r="C360" s="178"/>
      <c r="D360" s="178"/>
      <c r="E360" s="178"/>
      <c r="F360" s="178"/>
      <c r="G360" s="178"/>
      <c r="H360" s="178"/>
      <c r="I360" s="178"/>
      <c r="J360" s="178"/>
      <c r="K360" s="178"/>
      <c r="L360" s="178"/>
      <c r="M360" s="178"/>
      <c r="N360" s="178"/>
      <c r="O360" s="178"/>
      <c r="P360" s="178"/>
      <c r="Q360" s="178"/>
      <c r="R360" s="178"/>
      <c r="S360" s="178"/>
      <c r="T360" s="178"/>
      <c r="U360" s="178"/>
      <c r="V360" s="178"/>
      <c r="W360" s="178"/>
      <c r="X360" s="178"/>
      <c r="Y360" s="178"/>
      <c r="Z360" s="178"/>
      <c r="AA360" s="178"/>
      <c r="AB360" s="178"/>
      <c r="AC360" s="178"/>
      <c r="AD360" s="178"/>
      <c r="AE360" s="178"/>
      <c r="AF360" s="178"/>
      <c r="AG360" s="178"/>
      <c r="AH360" s="178"/>
      <c r="AI360" s="178"/>
      <c r="AJ360" s="178"/>
      <c r="AK360" s="178"/>
      <c r="AL360" s="178"/>
      <c r="AM360" s="178"/>
      <c r="AN360" s="178"/>
      <c r="AO360" s="178"/>
      <c r="AP360" s="178"/>
      <c r="AQ360" s="178"/>
      <c r="AR360" s="178"/>
      <c r="AS360" s="178"/>
      <c r="AT360" s="178"/>
      <c r="AU360" s="166"/>
      <c r="AV360" s="166"/>
      <c r="AW360" s="166"/>
      <c r="AX360" s="166"/>
      <c r="AY360" s="166"/>
      <c r="AZ360" s="166"/>
      <c r="BA360" s="166"/>
      <c r="BB360" s="166"/>
      <c r="BC360" s="166"/>
      <c r="BD360" s="166"/>
      <c r="BE360" s="166"/>
      <c r="BF360" s="166"/>
      <c r="BG360" s="166"/>
      <c r="BH360" s="166"/>
      <c r="BI360" s="166"/>
      <c r="BJ360" s="166"/>
      <c r="BK360" s="166"/>
      <c r="BL360" s="166"/>
      <c r="BM360" s="166"/>
      <c r="BN360" s="166"/>
    </row>
    <row r="361" spans="2:66" ht="14.4" x14ac:dyDescent="0.25">
      <c r="B361" s="844" t="s">
        <v>489</v>
      </c>
      <c r="C361" s="908"/>
      <c r="D361" s="908"/>
      <c r="E361" s="908"/>
      <c r="F361" s="908"/>
      <c r="G361" s="909">
        <f>ABS(G330)/ABS(G325)</f>
        <v>1.57452937492055</v>
      </c>
      <c r="H361" s="909">
        <f t="shared" ref="H361:AT361" si="229">ABS(H330)/ABS(H325)</f>
        <v>1.8615099624324287</v>
      </c>
      <c r="I361" s="909">
        <f t="shared" si="229"/>
        <v>2.0686456410284721</v>
      </c>
      <c r="J361" s="909">
        <f t="shared" si="229"/>
        <v>2.0439004460709538</v>
      </c>
      <c r="K361" s="909">
        <f t="shared" si="229"/>
        <v>0.93867858473109478</v>
      </c>
      <c r="L361" s="909">
        <f t="shared" si="229"/>
        <v>2.0704303513018285</v>
      </c>
      <c r="M361" s="909">
        <f t="shared" si="229"/>
        <v>2.1228003403878426</v>
      </c>
      <c r="N361" s="909">
        <f t="shared" si="229"/>
        <v>2.0860304707145341</v>
      </c>
      <c r="O361" s="909">
        <f t="shared" si="229"/>
        <v>2.1279491071562413</v>
      </c>
      <c r="P361" s="909">
        <f t="shared" si="229"/>
        <v>0.94809576053642985</v>
      </c>
      <c r="Q361" s="909">
        <f t="shared" si="229"/>
        <v>2.1328154869071758</v>
      </c>
      <c r="R361" s="909">
        <f t="shared" si="229"/>
        <v>2.0955401076871807</v>
      </c>
      <c r="S361" s="909">
        <f t="shared" si="229"/>
        <v>2.1283887885608515</v>
      </c>
      <c r="T361" s="909">
        <f t="shared" si="229"/>
        <v>2.0822752155619675</v>
      </c>
      <c r="U361" s="909">
        <f t="shared" si="229"/>
        <v>0.97096688890641025</v>
      </c>
      <c r="V361" s="909">
        <f t="shared" si="229"/>
        <v>2.0689927744506891</v>
      </c>
      <c r="W361" s="909">
        <f t="shared" si="229"/>
        <v>2.1013261950853241</v>
      </c>
      <c r="X361" s="909">
        <f t="shared" si="229"/>
        <v>2.066825600600195</v>
      </c>
      <c r="Y361" s="909">
        <f t="shared" si="229"/>
        <v>2.1103951319870009</v>
      </c>
      <c r="Z361" s="909">
        <f t="shared" si="229"/>
        <v>0.96487583482006201</v>
      </c>
      <c r="AA361" s="909">
        <f t="shared" si="229"/>
        <v>2.1191156288147179</v>
      </c>
      <c r="AB361" s="909">
        <f t="shared" si="229"/>
        <v>2.0838925086543756</v>
      </c>
      <c r="AC361" s="909">
        <f t="shared" si="229"/>
        <v>2.1154343855179474</v>
      </c>
      <c r="AD361" s="909">
        <f t="shared" si="229"/>
        <v>2.0683675889895792</v>
      </c>
      <c r="AE361" s="909">
        <f t="shared" si="229"/>
        <v>0.98836266309368948</v>
      </c>
      <c r="AF361" s="909">
        <f t="shared" si="229"/>
        <v>2.0528586863662306</v>
      </c>
      <c r="AG361" s="909">
        <f t="shared" si="229"/>
        <v>2.0838296643776668</v>
      </c>
      <c r="AH361" s="909">
        <f t="shared" si="229"/>
        <v>2.0373670889402593</v>
      </c>
      <c r="AI361" s="909">
        <f t="shared" si="229"/>
        <v>2.0680540793533204</v>
      </c>
      <c r="AJ361" s="909">
        <f t="shared" si="229"/>
        <v>0.96377310214940382</v>
      </c>
      <c r="AK361" s="909">
        <f t="shared" si="229"/>
        <v>2.0522980848094399</v>
      </c>
      <c r="AL361" s="909">
        <f t="shared" si="229"/>
        <v>2.0064409330328563</v>
      </c>
      <c r="AM361" s="909">
        <f t="shared" si="229"/>
        <v>2.0365629779040253</v>
      </c>
      <c r="AN361" s="909">
        <f t="shared" si="229"/>
        <v>1.9910089205797419</v>
      </c>
      <c r="AO361" s="909">
        <f t="shared" si="229"/>
        <v>0.97543617989958631</v>
      </c>
      <c r="AP361" s="909">
        <f t="shared" si="229"/>
        <v>1.9755993047129572</v>
      </c>
      <c r="AQ361" s="909">
        <f t="shared" si="229"/>
        <v>2.0051605815416771</v>
      </c>
      <c r="AR361" s="909">
        <f t="shared" si="229"/>
        <v>1.9602133413021783</v>
      </c>
      <c r="AS361" s="909">
        <f t="shared" si="229"/>
        <v>1.9894958512946574</v>
      </c>
      <c r="AT361" s="909">
        <f t="shared" si="229"/>
        <v>0.95061423162933334</v>
      </c>
      <c r="AU361" s="166"/>
      <c r="AV361" s="166"/>
      <c r="AW361" s="166"/>
      <c r="AX361" s="166"/>
      <c r="AY361" s="166"/>
      <c r="AZ361" s="166"/>
      <c r="BA361" s="166"/>
      <c r="BB361" s="166"/>
      <c r="BC361" s="166"/>
      <c r="BD361" s="166"/>
      <c r="BE361" s="166"/>
      <c r="BF361" s="166"/>
      <c r="BG361" s="166"/>
      <c r="BH361" s="166"/>
      <c r="BI361" s="166"/>
      <c r="BJ361" s="166"/>
      <c r="BK361" s="166"/>
      <c r="BL361" s="166"/>
      <c r="BM361" s="166"/>
      <c r="BN361" s="166"/>
    </row>
    <row r="362" spans="2:66" ht="14.4" x14ac:dyDescent="0.25">
      <c r="B362" s="844" t="s">
        <v>490</v>
      </c>
      <c r="C362" s="908"/>
      <c r="D362" s="908"/>
      <c r="E362" s="908"/>
      <c r="F362" s="908"/>
      <c r="G362" s="909">
        <f>G361-1</f>
        <v>0.57452937492055001</v>
      </c>
      <c r="H362" s="909">
        <f t="shared" ref="H362" si="230">H361-1</f>
        <v>0.86150996243242872</v>
      </c>
      <c r="I362" s="909">
        <f t="shared" ref="I362" si="231">I361-1</f>
        <v>1.0686456410284721</v>
      </c>
      <c r="J362" s="909">
        <f t="shared" ref="J362" si="232">J361-1</f>
        <v>1.0439004460709538</v>
      </c>
      <c r="K362" s="909">
        <f t="shared" ref="K362" si="233">K361-1</f>
        <v>-6.1321415268905222E-2</v>
      </c>
      <c r="L362" s="909">
        <f t="shared" ref="L362" si="234">L361-1</f>
        <v>1.0704303513018285</v>
      </c>
      <c r="M362" s="909">
        <f t="shared" ref="M362" si="235">M361-1</f>
        <v>1.1228003403878426</v>
      </c>
      <c r="N362" s="909">
        <f t="shared" ref="N362" si="236">N361-1</f>
        <v>1.0860304707145341</v>
      </c>
      <c r="O362" s="909">
        <f t="shared" ref="O362" si="237">O361-1</f>
        <v>1.1279491071562413</v>
      </c>
      <c r="P362" s="909">
        <f t="shared" ref="P362" si="238">P361-1</f>
        <v>-5.1904239463570145E-2</v>
      </c>
      <c r="Q362" s="909">
        <f t="shared" ref="Q362" si="239">Q361-1</f>
        <v>1.1328154869071758</v>
      </c>
      <c r="R362" s="909">
        <f t="shared" ref="R362" si="240">R361-1</f>
        <v>1.0955401076871807</v>
      </c>
      <c r="S362" s="909">
        <f t="shared" ref="S362" si="241">S361-1</f>
        <v>1.1283887885608515</v>
      </c>
      <c r="T362" s="909">
        <f t="shared" ref="T362" si="242">T361-1</f>
        <v>1.0822752155619675</v>
      </c>
      <c r="U362" s="909">
        <f t="shared" ref="U362" si="243">U361-1</f>
        <v>-2.9033111093589747E-2</v>
      </c>
      <c r="V362" s="909">
        <f t="shared" ref="V362" si="244">V361-1</f>
        <v>1.0689927744506891</v>
      </c>
      <c r="W362" s="909">
        <f t="shared" ref="W362" si="245">W361-1</f>
        <v>1.1013261950853241</v>
      </c>
      <c r="X362" s="909">
        <f t="shared" ref="X362" si="246">X361-1</f>
        <v>1.066825600600195</v>
      </c>
      <c r="Y362" s="909">
        <f t="shared" ref="Y362" si="247">Y361-1</f>
        <v>1.1103951319870009</v>
      </c>
      <c r="Z362" s="909">
        <f t="shared" ref="Z362" si="248">Z361-1</f>
        <v>-3.5124165179937994E-2</v>
      </c>
      <c r="AA362" s="909">
        <f t="shared" ref="AA362" si="249">AA361-1</f>
        <v>1.1191156288147179</v>
      </c>
      <c r="AB362" s="909">
        <f t="shared" ref="AB362" si="250">AB361-1</f>
        <v>1.0838925086543756</v>
      </c>
      <c r="AC362" s="909">
        <f t="shared" ref="AC362" si="251">AC361-1</f>
        <v>1.1154343855179474</v>
      </c>
      <c r="AD362" s="909">
        <f t="shared" ref="AD362" si="252">AD361-1</f>
        <v>1.0683675889895792</v>
      </c>
      <c r="AE362" s="909">
        <f t="shared" ref="AE362" si="253">AE361-1</f>
        <v>-1.1637336906310525E-2</v>
      </c>
      <c r="AF362" s="909">
        <f t="shared" ref="AF362" si="254">AF361-1</f>
        <v>1.0528586863662306</v>
      </c>
      <c r="AG362" s="909">
        <f t="shared" ref="AG362" si="255">AG361-1</f>
        <v>1.0838296643776668</v>
      </c>
      <c r="AH362" s="909">
        <f t="shared" ref="AH362" si="256">AH361-1</f>
        <v>1.0373670889402593</v>
      </c>
      <c r="AI362" s="909">
        <f t="shared" ref="AI362" si="257">AI361-1</f>
        <v>1.0680540793533204</v>
      </c>
      <c r="AJ362" s="909">
        <f t="shared" ref="AJ362" si="258">AJ361-1</f>
        <v>-3.6226897850596185E-2</v>
      </c>
      <c r="AK362" s="909">
        <f t="shared" ref="AK362" si="259">AK361-1</f>
        <v>1.0522980848094399</v>
      </c>
      <c r="AL362" s="909">
        <f t="shared" ref="AL362" si="260">AL361-1</f>
        <v>1.0064409330328563</v>
      </c>
      <c r="AM362" s="909">
        <f t="shared" ref="AM362" si="261">AM361-1</f>
        <v>1.0365629779040253</v>
      </c>
      <c r="AN362" s="909">
        <f t="shared" ref="AN362" si="262">AN361-1</f>
        <v>0.99100892057974188</v>
      </c>
      <c r="AO362" s="909">
        <f t="shared" ref="AO362" si="263">AO361-1</f>
        <v>-2.4563820100413691E-2</v>
      </c>
      <c r="AP362" s="909">
        <f t="shared" ref="AP362" si="264">AP361-1</f>
        <v>0.97559930471295719</v>
      </c>
      <c r="AQ362" s="909">
        <f t="shared" ref="AQ362" si="265">AQ361-1</f>
        <v>1.0051605815416771</v>
      </c>
      <c r="AR362" s="909">
        <f t="shared" ref="AR362" si="266">AR361-1</f>
        <v>0.96021334130217828</v>
      </c>
      <c r="AS362" s="909">
        <f t="shared" ref="AS362" si="267">AS361-1</f>
        <v>0.98949585129465745</v>
      </c>
      <c r="AT362" s="909">
        <f t="shared" ref="AT362" si="268">AT361-1</f>
        <v>-4.9385768370666661E-2</v>
      </c>
      <c r="AU362" s="166"/>
      <c r="AV362" s="166"/>
      <c r="AW362" s="166"/>
      <c r="AX362" s="166"/>
      <c r="AY362" s="166"/>
      <c r="AZ362" s="166"/>
      <c r="BA362" s="166"/>
      <c r="BB362" s="166"/>
      <c r="BC362" s="166"/>
      <c r="BD362" s="166"/>
      <c r="BE362" s="166"/>
      <c r="BF362" s="166"/>
      <c r="BG362" s="166"/>
      <c r="BH362" s="166"/>
      <c r="BI362" s="166"/>
      <c r="BJ362" s="166"/>
      <c r="BK362" s="166"/>
      <c r="BL362" s="166"/>
      <c r="BM362" s="166"/>
      <c r="BN362" s="166"/>
    </row>
    <row r="363" spans="2:66" ht="14.4" x14ac:dyDescent="0.25">
      <c r="B363" s="844"/>
      <c r="C363" s="178"/>
      <c r="D363" s="178"/>
      <c r="E363" s="178"/>
      <c r="F363" s="178"/>
      <c r="G363" s="178"/>
      <c r="H363" s="178"/>
      <c r="I363" s="178"/>
      <c r="J363" s="178"/>
      <c r="K363" s="178"/>
      <c r="L363" s="178"/>
      <c r="M363" s="178"/>
      <c r="N363" s="178"/>
      <c r="O363" s="178"/>
      <c r="P363" s="178"/>
      <c r="Q363" s="178"/>
      <c r="R363" s="178"/>
      <c r="S363" s="178"/>
      <c r="T363" s="178"/>
      <c r="U363" s="178"/>
      <c r="V363" s="178"/>
      <c r="W363" s="178"/>
      <c r="X363" s="178"/>
      <c r="Y363" s="178"/>
      <c r="Z363" s="178"/>
      <c r="AA363" s="178"/>
      <c r="AB363" s="178"/>
      <c r="AC363" s="178"/>
      <c r="AD363" s="178"/>
      <c r="AE363" s="178"/>
      <c r="AF363" s="178"/>
      <c r="AG363" s="178"/>
      <c r="AH363" s="178"/>
      <c r="AI363" s="178"/>
      <c r="AJ363" s="178"/>
      <c r="AK363" s="178"/>
      <c r="AL363" s="178"/>
      <c r="AM363" s="178"/>
      <c r="AN363" s="178"/>
      <c r="AO363" s="178"/>
      <c r="AP363" s="178"/>
      <c r="AQ363" s="178"/>
      <c r="AR363" s="178"/>
      <c r="AS363" s="178"/>
      <c r="AT363" s="178"/>
      <c r="AU363" s="166"/>
      <c r="AV363" s="166"/>
      <c r="AW363" s="166"/>
      <c r="AX363" s="166"/>
      <c r="AY363" s="166"/>
      <c r="AZ363" s="166"/>
      <c r="BA363" s="166"/>
      <c r="BB363" s="166"/>
      <c r="BC363" s="166"/>
      <c r="BD363" s="166"/>
      <c r="BE363" s="166"/>
      <c r="BF363" s="166"/>
      <c r="BG363" s="166"/>
      <c r="BH363" s="166"/>
      <c r="BI363" s="166"/>
      <c r="BJ363" s="166"/>
      <c r="BK363" s="166"/>
      <c r="BL363" s="166"/>
      <c r="BM363" s="166"/>
      <c r="BN363" s="166"/>
    </row>
    <row r="364" spans="2:66" ht="14.4" x14ac:dyDescent="0.25">
      <c r="B364" s="907" t="s">
        <v>404</v>
      </c>
      <c r="C364" s="268">
        <f>C355/((1+$C$26)^C296)</f>
        <v>-5894681.6442265697</v>
      </c>
      <c r="D364" s="268">
        <f>D355/((1+$C$26)^D296)</f>
        <v>-20966760.466095321</v>
      </c>
      <c r="E364" s="268">
        <f t="shared" ref="E364:AT364" si="269">E355/((1+$C$26)^E296)</f>
        <v>-47746241.000733495</v>
      </c>
      <c r="F364" s="268">
        <f t="shared" si="269"/>
        <v>-16989233.20585217</v>
      </c>
      <c r="G364" s="268">
        <f t="shared" si="269"/>
        <v>1229570.4273329119</v>
      </c>
      <c r="H364" s="268">
        <f t="shared" si="269"/>
        <v>1780698.7984335609</v>
      </c>
      <c r="I364" s="268">
        <f t="shared" si="269"/>
        <v>1760147.6564781393</v>
      </c>
      <c r="J364" s="268">
        <f t="shared" si="269"/>
        <v>1557521.0724110277</v>
      </c>
      <c r="K364" s="268">
        <f t="shared" si="269"/>
        <v>-197940.71698696728</v>
      </c>
      <c r="L364" s="268">
        <f t="shared" si="269"/>
        <v>1262736.8538327827</v>
      </c>
      <c r="M364" s="268">
        <f t="shared" si="269"/>
        <v>1176887.2060403682</v>
      </c>
      <c r="N364" s="268">
        <f t="shared" si="269"/>
        <v>1033913.9151172343</v>
      </c>
      <c r="O364" s="268">
        <f t="shared" si="269"/>
        <v>957360.33799582161</v>
      </c>
      <c r="P364" s="268">
        <f t="shared" si="269"/>
        <v>-432159.40422476025</v>
      </c>
      <c r="Q364" s="268">
        <f t="shared" si="269"/>
        <v>405383.69294167735</v>
      </c>
      <c r="R364" s="268">
        <f t="shared" si="269"/>
        <v>688196.35650816304</v>
      </c>
      <c r="S364" s="268">
        <f t="shared" si="269"/>
        <v>633824.6662225927</v>
      </c>
      <c r="T364" s="268">
        <f t="shared" si="269"/>
        <v>553191.23371443083</v>
      </c>
      <c r="U364" s="268">
        <f t="shared" si="269"/>
        <v>-351051.47943710804</v>
      </c>
      <c r="V364" s="268">
        <f t="shared" si="269"/>
        <v>-473288.04099874402</v>
      </c>
      <c r="W364" s="268">
        <f t="shared" si="269"/>
        <v>19192.850363182304</v>
      </c>
      <c r="X364" s="268">
        <f t="shared" si="269"/>
        <v>368849.83467858995</v>
      </c>
      <c r="Y364" s="268">
        <f t="shared" si="269"/>
        <v>342515.75877744774</v>
      </c>
      <c r="Z364" s="268">
        <f t="shared" si="269"/>
        <v>-24812.168073775134</v>
      </c>
      <c r="AA364" s="268">
        <f t="shared" si="269"/>
        <v>172641.20695888143</v>
      </c>
      <c r="AB364" s="268">
        <f t="shared" si="269"/>
        <v>130998.06246804915</v>
      </c>
      <c r="AC364" s="268">
        <f t="shared" si="269"/>
        <v>227959.31490681227</v>
      </c>
      <c r="AD364" s="268">
        <f t="shared" si="269"/>
        <v>198697.7878657543</v>
      </c>
      <c r="AE364" s="268">
        <f t="shared" si="269"/>
        <v>-4956.720249297955</v>
      </c>
      <c r="AF364" s="268">
        <f t="shared" si="269"/>
        <v>159586.17590973378</v>
      </c>
      <c r="AG364" s="268">
        <f t="shared" si="269"/>
        <v>147165.956034206</v>
      </c>
      <c r="AH364" s="268">
        <f t="shared" si="269"/>
        <v>128181.33925370677</v>
      </c>
      <c r="AI364" s="268">
        <f t="shared" si="269"/>
        <v>118256.44631868628</v>
      </c>
      <c r="AJ364" s="268">
        <f t="shared" si="269"/>
        <v>-9306.2927773163883</v>
      </c>
      <c r="AK364" s="268">
        <f t="shared" si="269"/>
        <v>95031.010441209859</v>
      </c>
      <c r="AL364" s="268">
        <f t="shared" si="269"/>
        <v>-6828.7360919723014</v>
      </c>
      <c r="AM364" s="268">
        <f t="shared" si="269"/>
        <v>-117168.34434720248</v>
      </c>
      <c r="AN364" s="268">
        <f t="shared" si="269"/>
        <v>-2208.1938505566018</v>
      </c>
      <c r="AO364" s="268">
        <f t="shared" si="269"/>
        <v>-3806.8999470524564</v>
      </c>
      <c r="AP364" s="268">
        <f t="shared" si="269"/>
        <v>54709.638717295253</v>
      </c>
      <c r="AQ364" s="268">
        <f t="shared" si="269"/>
        <v>50508.522716075211</v>
      </c>
      <c r="AR364" s="268">
        <f t="shared" si="269"/>
        <v>43923.948986425945</v>
      </c>
      <c r="AS364" s="268">
        <f t="shared" si="269"/>
        <v>40569.245043877243</v>
      </c>
      <c r="AT364" s="268">
        <f t="shared" si="269"/>
        <v>209548.04790769721</v>
      </c>
      <c r="AU364" s="166"/>
      <c r="AV364" s="166"/>
      <c r="AW364" s="166"/>
      <c r="AX364" s="166"/>
      <c r="AY364" s="166"/>
      <c r="AZ364" s="166"/>
      <c r="BA364" s="166"/>
      <c r="BB364" s="166"/>
      <c r="BC364" s="166"/>
      <c r="BD364" s="166"/>
      <c r="BE364" s="166"/>
      <c r="BF364" s="166"/>
      <c r="BG364" s="166"/>
      <c r="BH364" s="166"/>
      <c r="BI364" s="166"/>
      <c r="BJ364" s="166"/>
      <c r="BK364" s="166"/>
      <c r="BL364" s="166"/>
      <c r="BM364" s="166"/>
      <c r="BN364" s="166"/>
    </row>
    <row r="365" spans="2:66" ht="14.4" x14ac:dyDescent="0.25">
      <c r="B365" s="907" t="s">
        <v>403</v>
      </c>
      <c r="C365" s="824">
        <f>SUM(C364)</f>
        <v>-5894681.6442265697</v>
      </c>
      <c r="D365" s="824">
        <f>SUM(C364:D364)</f>
        <v>-26861442.110321891</v>
      </c>
      <c r="E365" s="824">
        <f>SUM(C364:E364)</f>
        <v>-74607683.111055389</v>
      </c>
      <c r="F365" s="824">
        <f>SUM(C364:F364)</f>
        <v>-91596916.316907555</v>
      </c>
      <c r="G365" s="824">
        <f>SUM(C364:G364)</f>
        <v>-90367345.889574647</v>
      </c>
      <c r="H365" s="824">
        <f>SUM(C364:H364)</f>
        <v>-88586647.09114109</v>
      </c>
      <c r="I365" s="824">
        <f>SUM(C364:I364)</f>
        <v>-86826499.434662953</v>
      </c>
      <c r="J365" s="824">
        <f>SUM(C364:J364)</f>
        <v>-85268978.362251922</v>
      </c>
      <c r="K365" s="824">
        <f>SUM(C364:K364)</f>
        <v>-85466919.079238892</v>
      </c>
      <c r="L365" s="824">
        <f>SUM(C364:L364)</f>
        <v>-84204182.22540611</v>
      </c>
      <c r="M365" s="824">
        <f>SUM(C364:M364)</f>
        <v>-83027295.019365743</v>
      </c>
      <c r="N365" s="824">
        <f>SUM(C364:N364)</f>
        <v>-81993381.104248509</v>
      </c>
      <c r="O365" s="824">
        <f>SUM(C364:O364)</f>
        <v>-81036020.766252682</v>
      </c>
      <c r="P365" s="824">
        <f>SUM(C364:P364)</f>
        <v>-81468180.170477435</v>
      </c>
      <c r="Q365" s="824">
        <f>SUM(C364:Q364)</f>
        <v>-81062796.477535754</v>
      </c>
      <c r="R365" s="824">
        <f>SUM(C364:R364)</f>
        <v>-80374600.121027589</v>
      </c>
      <c r="S365" s="824">
        <f>SUM(C364:S364)</f>
        <v>-79740775.454805002</v>
      </c>
      <c r="T365" s="824">
        <f>SUM(C364:T364)</f>
        <v>-79187584.22109057</v>
      </c>
      <c r="U365" s="824">
        <f>SUM(C364:U364)</f>
        <v>-79538635.700527683</v>
      </c>
      <c r="V365" s="824">
        <f>SUM(C364:V364)</f>
        <v>-80011923.741526425</v>
      </c>
      <c r="W365" s="824">
        <f>SUM(C364:W364)</f>
        <v>-79992730.891163245</v>
      </c>
      <c r="X365" s="824">
        <f>SUM(C364:X364)</f>
        <v>-79623881.056484655</v>
      </c>
      <c r="Y365" s="824">
        <f>SUM(C364:Y364)</f>
        <v>-79281365.2977072</v>
      </c>
      <c r="Z365" s="824">
        <f>SUM(C364:Z364)</f>
        <v>-79306177.465780973</v>
      </c>
      <c r="AA365" s="824">
        <f>SUM(C364:AA364)</f>
        <v>-79133536.258822098</v>
      </c>
      <c r="AB365" s="824">
        <f>SUM(C364:AB364)</f>
        <v>-79002538.196354046</v>
      </c>
      <c r="AC365" s="824">
        <f>SUM(C364:AC364)</f>
        <v>-78774578.881447241</v>
      </c>
      <c r="AD365" s="824">
        <f>SUM(C364:AD364)</f>
        <v>-78575881.093581483</v>
      </c>
      <c r="AE365" s="824">
        <f>SUM(C364:AE364)</f>
        <v>-78580837.813830778</v>
      </c>
      <c r="AF365" s="824">
        <f>SUM(C364:AF364)</f>
        <v>-78421251.63792105</v>
      </c>
      <c r="AG365" s="824">
        <f>SUM(C364:AG364)</f>
        <v>-78274085.681886837</v>
      </c>
      <c r="AH365" s="824">
        <f>SUM(C364:AH364)</f>
        <v>-78145904.342633128</v>
      </c>
      <c r="AI365" s="824">
        <f>SUM(C364:AI364)</f>
        <v>-78027647.896314442</v>
      </c>
      <c r="AJ365" s="824">
        <f>SUM(C364:AJ364)</f>
        <v>-78036954.189091757</v>
      </c>
      <c r="AK365" s="824">
        <f>SUM(C364:AK364)</f>
        <v>-77941923.178650543</v>
      </c>
      <c r="AL365" s="824">
        <f>SUM(C364:AL364)</f>
        <v>-77948751.914742514</v>
      </c>
      <c r="AM365" s="824">
        <f>SUM(C364:AM364)</f>
        <v>-78065920.259089723</v>
      </c>
      <c r="AN365" s="824">
        <f>SUM(C364:AN364)</f>
        <v>-78068128.452940285</v>
      </c>
      <c r="AO365" s="824">
        <f>SUM(C364:AO364)</f>
        <v>-78071935.352887332</v>
      </c>
      <c r="AP365" s="824">
        <f>SUM(C364:AP364)</f>
        <v>-78017225.714170039</v>
      </c>
      <c r="AQ365" s="824">
        <f>SUM(C364:AQ364)</f>
        <v>-77966717.191453964</v>
      </c>
      <c r="AR365" s="824">
        <f>SUM(C364:AR364)</f>
        <v>-77922793.242467538</v>
      </c>
      <c r="AS365" s="824">
        <f>SUM(C364:AS364)</f>
        <v>-77882223.997423664</v>
      </c>
      <c r="AT365" s="824">
        <f>SUM(C364:AT364)</f>
        <v>-77672675.949515969</v>
      </c>
      <c r="AU365" s="166"/>
      <c r="AV365" s="166"/>
      <c r="AW365" s="166"/>
      <c r="AX365" s="166"/>
      <c r="AY365" s="166"/>
      <c r="AZ365" s="166"/>
      <c r="BA365" s="166"/>
      <c r="BB365" s="166"/>
      <c r="BC365" s="166"/>
      <c r="BD365" s="166"/>
      <c r="BE365" s="166"/>
      <c r="BF365" s="166"/>
      <c r="BG365" s="166"/>
      <c r="BH365" s="166"/>
      <c r="BI365" s="166"/>
      <c r="BJ365" s="166"/>
      <c r="BK365" s="166"/>
      <c r="BL365" s="166"/>
      <c r="BM365" s="166"/>
      <c r="BN365" s="166"/>
    </row>
    <row r="366" spans="2:66" x14ac:dyDescent="0.25">
      <c r="AU366" s="166"/>
      <c r="AV366" s="166"/>
      <c r="AW366" s="166"/>
      <c r="AX366" s="166"/>
      <c r="AY366" s="166"/>
      <c r="AZ366" s="166"/>
      <c r="BA366" s="166"/>
      <c r="BB366" s="166"/>
      <c r="BC366" s="166"/>
      <c r="BD366" s="166"/>
      <c r="BE366" s="166"/>
      <c r="BF366" s="166"/>
      <c r="BG366" s="166"/>
      <c r="BH366" s="166"/>
      <c r="BI366" s="166"/>
      <c r="BJ366" s="166"/>
      <c r="BK366" s="166"/>
      <c r="BL366" s="166"/>
      <c r="BM366" s="166"/>
      <c r="BN366" s="166"/>
    </row>
    <row r="367" spans="2:66" x14ac:dyDescent="0.25">
      <c r="AU367" s="166"/>
      <c r="AV367" s="166"/>
      <c r="AW367" s="166"/>
      <c r="AX367" s="166"/>
      <c r="AY367" s="166"/>
      <c r="AZ367" s="166"/>
      <c r="BA367" s="166"/>
      <c r="BB367" s="166"/>
      <c r="BC367" s="166"/>
      <c r="BD367" s="166"/>
      <c r="BE367" s="166"/>
      <c r="BF367" s="166"/>
      <c r="BG367" s="166"/>
      <c r="BH367" s="166"/>
      <c r="BI367" s="166"/>
      <c r="BJ367" s="166"/>
      <c r="BK367" s="166"/>
      <c r="BL367" s="166"/>
      <c r="BM367" s="166"/>
      <c r="BN367" s="166"/>
    </row>
    <row r="368" spans="2:66" s="306" customFormat="1" ht="14.4" x14ac:dyDescent="0.3">
      <c r="B368" s="759" t="s">
        <v>533</v>
      </c>
      <c r="C368" s="759"/>
      <c r="D368" s="759"/>
      <c r="E368" s="759"/>
      <c r="F368" s="759"/>
      <c r="G368" s="759"/>
      <c r="H368" s="759"/>
      <c r="I368" s="759"/>
      <c r="J368" s="759"/>
      <c r="K368" s="759"/>
      <c r="L368" s="759"/>
      <c r="M368" s="759"/>
      <c r="N368" s="759"/>
      <c r="O368" s="759"/>
      <c r="P368" s="759"/>
      <c r="Q368" s="759"/>
      <c r="R368" s="759"/>
      <c r="S368" s="759"/>
      <c r="T368" s="759"/>
      <c r="U368" s="759"/>
      <c r="V368" s="759"/>
      <c r="W368" s="759"/>
      <c r="X368" s="759"/>
      <c r="Y368" s="759"/>
      <c r="Z368" s="759"/>
      <c r="AA368" s="759"/>
      <c r="AB368" s="759"/>
      <c r="AC368" s="759"/>
      <c r="AD368" s="759"/>
      <c r="AE368" s="759"/>
      <c r="AF368" s="759"/>
      <c r="AG368" s="759"/>
      <c r="AH368" s="759"/>
      <c r="AI368" s="759"/>
      <c r="AJ368" s="759"/>
      <c r="AK368" s="759"/>
      <c r="AL368" s="759"/>
      <c r="AM368" s="759"/>
      <c r="AN368" s="759"/>
      <c r="AO368" s="759"/>
      <c r="AP368" s="759"/>
      <c r="AQ368" s="759"/>
      <c r="AR368" s="759"/>
      <c r="AS368" s="759"/>
      <c r="AT368" s="814"/>
    </row>
    <row r="369" spans="2:57" x14ac:dyDescent="0.25"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177"/>
      <c r="AE369" s="177"/>
      <c r="AF369" s="177"/>
      <c r="AG369" s="177"/>
      <c r="AH369" s="177"/>
      <c r="AI369" s="177"/>
      <c r="AJ369" s="13"/>
      <c r="AK369" s="38"/>
      <c r="AL369" s="38"/>
      <c r="AM369" s="38"/>
      <c r="AN369" s="38"/>
      <c r="AO369" s="38"/>
      <c r="AP369" s="38"/>
      <c r="AQ369" s="38"/>
      <c r="AR369" s="38"/>
      <c r="AS369" s="38"/>
      <c r="AT369" s="13"/>
      <c r="AU369" s="166"/>
      <c r="AV369" s="166"/>
      <c r="AW369" s="166"/>
      <c r="AX369" s="166"/>
      <c r="AY369" s="166"/>
      <c r="AZ369" s="166"/>
      <c r="BA369" s="166"/>
      <c r="BB369" s="166"/>
      <c r="BC369" s="166"/>
      <c r="BD369" s="166"/>
      <c r="BE369" s="166"/>
    </row>
    <row r="370" spans="2:57" ht="14.4" x14ac:dyDescent="0.3">
      <c r="B370" s="813" t="s">
        <v>378</v>
      </c>
      <c r="C370" s="179">
        <v>2015</v>
      </c>
      <c r="D370" s="179">
        <v>2016</v>
      </c>
      <c r="E370" s="179">
        <v>2017</v>
      </c>
      <c r="F370" s="179">
        <v>2018</v>
      </c>
      <c r="G370" s="179">
        <v>2019</v>
      </c>
      <c r="H370" s="179">
        <v>2020</v>
      </c>
      <c r="I370" s="179">
        <v>2021</v>
      </c>
      <c r="J370" s="179">
        <v>2022</v>
      </c>
      <c r="K370" s="179">
        <v>2023</v>
      </c>
      <c r="L370" s="179">
        <v>2024</v>
      </c>
      <c r="M370" s="179">
        <v>2025</v>
      </c>
      <c r="N370" s="179">
        <v>2026</v>
      </c>
      <c r="O370" s="179">
        <v>2027</v>
      </c>
      <c r="P370" s="179">
        <v>2028</v>
      </c>
      <c r="Q370" s="179">
        <v>2029</v>
      </c>
      <c r="R370" s="179">
        <v>2030</v>
      </c>
      <c r="S370" s="179">
        <v>2031</v>
      </c>
      <c r="T370" s="179">
        <v>2032</v>
      </c>
      <c r="U370" s="179">
        <v>2033</v>
      </c>
      <c r="V370" s="179">
        <v>2034</v>
      </c>
      <c r="W370" s="179">
        <v>2035</v>
      </c>
      <c r="X370" s="179">
        <v>2036</v>
      </c>
      <c r="Y370" s="179">
        <v>2037</v>
      </c>
      <c r="Z370" s="179">
        <v>2038</v>
      </c>
      <c r="AA370" s="179">
        <v>2039</v>
      </c>
      <c r="AB370" s="179">
        <v>2040</v>
      </c>
      <c r="AC370" s="179">
        <v>2041</v>
      </c>
      <c r="AD370" s="179">
        <v>2042</v>
      </c>
      <c r="AE370" s="179">
        <v>2043</v>
      </c>
      <c r="AF370" s="179">
        <v>2044</v>
      </c>
      <c r="AG370" s="179">
        <v>2045</v>
      </c>
      <c r="AH370" s="179">
        <v>2046</v>
      </c>
      <c r="AI370" s="179">
        <v>2047</v>
      </c>
      <c r="AJ370" s="179">
        <v>2048</v>
      </c>
      <c r="AK370" s="179">
        <v>2049</v>
      </c>
      <c r="AL370" s="179">
        <v>2050</v>
      </c>
      <c r="AM370" s="179">
        <v>2051</v>
      </c>
      <c r="AN370" s="179">
        <v>2052</v>
      </c>
      <c r="AO370" s="179">
        <v>2053</v>
      </c>
      <c r="AP370" s="179">
        <v>2054</v>
      </c>
      <c r="AQ370" s="179">
        <v>2055</v>
      </c>
      <c r="AR370" s="179">
        <v>2056</v>
      </c>
      <c r="AS370" s="179">
        <v>2057</v>
      </c>
      <c r="AT370" s="179">
        <v>2058</v>
      </c>
      <c r="AU370" s="166"/>
      <c r="AV370" s="166"/>
      <c r="AW370" s="166"/>
      <c r="AX370" s="166"/>
      <c r="AY370" s="166"/>
      <c r="AZ370" s="166"/>
      <c r="BA370" s="166"/>
      <c r="BB370" s="166"/>
      <c r="BC370" s="166"/>
      <c r="BD370" s="166"/>
      <c r="BE370" s="166"/>
    </row>
    <row r="371" spans="2:57" ht="14.4" x14ac:dyDescent="0.3">
      <c r="B371" s="813"/>
      <c r="C371" s="816" t="s">
        <v>134</v>
      </c>
      <c r="D371" s="816" t="s">
        <v>135</v>
      </c>
      <c r="E371" s="816" t="s">
        <v>136</v>
      </c>
      <c r="F371" s="816" t="s">
        <v>137</v>
      </c>
      <c r="G371" s="816" t="s">
        <v>138</v>
      </c>
      <c r="H371" s="816" t="s">
        <v>139</v>
      </c>
      <c r="I371" s="816" t="s">
        <v>140</v>
      </c>
      <c r="J371" s="816" t="s">
        <v>141</v>
      </c>
      <c r="K371" s="816" t="s">
        <v>142</v>
      </c>
      <c r="L371" s="816" t="s">
        <v>143</v>
      </c>
      <c r="M371" s="816" t="s">
        <v>144</v>
      </c>
      <c r="N371" s="816" t="s">
        <v>145</v>
      </c>
      <c r="O371" s="816" t="s">
        <v>146</v>
      </c>
      <c r="P371" s="816" t="s">
        <v>147</v>
      </c>
      <c r="Q371" s="816" t="s">
        <v>148</v>
      </c>
      <c r="R371" s="816" t="s">
        <v>149</v>
      </c>
      <c r="S371" s="816" t="s">
        <v>150</v>
      </c>
      <c r="T371" s="816" t="s">
        <v>151</v>
      </c>
      <c r="U371" s="816" t="s">
        <v>152</v>
      </c>
      <c r="V371" s="816" t="s">
        <v>153</v>
      </c>
      <c r="W371" s="816" t="s">
        <v>154</v>
      </c>
      <c r="X371" s="816" t="s">
        <v>155</v>
      </c>
      <c r="Y371" s="816" t="s">
        <v>156</v>
      </c>
      <c r="Z371" s="816" t="s">
        <v>157</v>
      </c>
      <c r="AA371" s="816" t="s">
        <v>158</v>
      </c>
      <c r="AB371" s="816" t="s">
        <v>159</v>
      </c>
      <c r="AC371" s="816" t="s">
        <v>160</v>
      </c>
      <c r="AD371" s="816" t="s">
        <v>161</v>
      </c>
      <c r="AE371" s="816" t="s">
        <v>162</v>
      </c>
      <c r="AF371" s="816" t="s">
        <v>163</v>
      </c>
      <c r="AG371" s="816" t="s">
        <v>164</v>
      </c>
      <c r="AH371" s="816" t="s">
        <v>165</v>
      </c>
      <c r="AI371" s="816" t="s">
        <v>166</v>
      </c>
      <c r="AJ371" s="816" t="s">
        <v>167</v>
      </c>
      <c r="AK371" s="816" t="s">
        <v>168</v>
      </c>
      <c r="AL371" s="816" t="s">
        <v>169</v>
      </c>
      <c r="AM371" s="816" t="s">
        <v>170</v>
      </c>
      <c r="AN371" s="816" t="s">
        <v>171</v>
      </c>
      <c r="AO371" s="816" t="s">
        <v>172</v>
      </c>
      <c r="AP371" s="816" t="s">
        <v>173</v>
      </c>
      <c r="AQ371" s="816" t="s">
        <v>174</v>
      </c>
      <c r="AR371" s="816" t="s">
        <v>224</v>
      </c>
      <c r="AS371" s="816" t="s">
        <v>225</v>
      </c>
      <c r="AT371" s="816" t="s">
        <v>226</v>
      </c>
      <c r="AU371" s="166"/>
      <c r="AV371" s="166"/>
      <c r="AW371" s="166"/>
      <c r="AX371" s="166"/>
      <c r="AY371" s="166"/>
      <c r="AZ371" s="166"/>
      <c r="BA371" s="166"/>
      <c r="BB371" s="166"/>
      <c r="BC371" s="166"/>
      <c r="BD371" s="166"/>
      <c r="BE371" s="166"/>
    </row>
    <row r="372" spans="2:57" ht="14.4" x14ac:dyDescent="0.3">
      <c r="B372" s="813"/>
      <c r="C372" s="816">
        <v>0</v>
      </c>
      <c r="D372" s="816">
        <v>1</v>
      </c>
      <c r="E372" s="816">
        <v>2</v>
      </c>
      <c r="F372" s="816">
        <v>3</v>
      </c>
      <c r="G372" s="816">
        <v>4</v>
      </c>
      <c r="H372" s="816">
        <v>5</v>
      </c>
      <c r="I372" s="816">
        <v>6</v>
      </c>
      <c r="J372" s="816">
        <v>7</v>
      </c>
      <c r="K372" s="816">
        <v>8</v>
      </c>
      <c r="L372" s="816">
        <v>9</v>
      </c>
      <c r="M372" s="816">
        <v>10</v>
      </c>
      <c r="N372" s="816">
        <v>11</v>
      </c>
      <c r="O372" s="816">
        <v>12</v>
      </c>
      <c r="P372" s="816">
        <v>13</v>
      </c>
      <c r="Q372" s="816">
        <v>14</v>
      </c>
      <c r="R372" s="816">
        <v>15</v>
      </c>
      <c r="S372" s="816">
        <v>16</v>
      </c>
      <c r="T372" s="816">
        <v>17</v>
      </c>
      <c r="U372" s="816">
        <v>18</v>
      </c>
      <c r="V372" s="816">
        <v>19</v>
      </c>
      <c r="W372" s="816">
        <v>20</v>
      </c>
      <c r="X372" s="816">
        <v>21</v>
      </c>
      <c r="Y372" s="816">
        <v>22</v>
      </c>
      <c r="Z372" s="816">
        <v>23</v>
      </c>
      <c r="AA372" s="816">
        <v>24</v>
      </c>
      <c r="AB372" s="816">
        <v>25</v>
      </c>
      <c r="AC372" s="816">
        <v>26</v>
      </c>
      <c r="AD372" s="816">
        <v>27</v>
      </c>
      <c r="AE372" s="816">
        <v>28</v>
      </c>
      <c r="AF372" s="816">
        <v>29</v>
      </c>
      <c r="AG372" s="816">
        <v>30</v>
      </c>
      <c r="AH372" s="816">
        <v>31</v>
      </c>
      <c r="AI372" s="816">
        <v>32</v>
      </c>
      <c r="AJ372" s="816">
        <v>33</v>
      </c>
      <c r="AK372" s="816">
        <v>34</v>
      </c>
      <c r="AL372" s="816">
        <v>35</v>
      </c>
      <c r="AM372" s="816">
        <v>36</v>
      </c>
      <c r="AN372" s="816">
        <v>37</v>
      </c>
      <c r="AO372" s="816">
        <v>38</v>
      </c>
      <c r="AP372" s="816">
        <v>39</v>
      </c>
      <c r="AQ372" s="816">
        <v>40</v>
      </c>
      <c r="AR372" s="816">
        <v>41</v>
      </c>
      <c r="AS372" s="816">
        <v>42</v>
      </c>
      <c r="AT372" s="816">
        <v>43</v>
      </c>
      <c r="AU372" s="166"/>
      <c r="AV372" s="166"/>
      <c r="AW372" s="166"/>
      <c r="AX372" s="166"/>
      <c r="AY372" s="166"/>
      <c r="AZ372" s="166"/>
      <c r="BA372" s="166"/>
      <c r="BB372" s="166"/>
      <c r="BC372" s="166"/>
      <c r="BD372" s="166"/>
      <c r="BE372" s="166"/>
    </row>
    <row r="373" spans="2:57" ht="14.4" x14ac:dyDescent="0.3">
      <c r="B373" s="813"/>
      <c r="C373" s="816">
        <v>0</v>
      </c>
      <c r="D373" s="816">
        <v>0</v>
      </c>
      <c r="E373" s="816">
        <v>0</v>
      </c>
      <c r="F373" s="816">
        <v>0</v>
      </c>
      <c r="G373" s="816">
        <v>1</v>
      </c>
      <c r="H373" s="816">
        <v>2</v>
      </c>
      <c r="I373" s="816">
        <v>3</v>
      </c>
      <c r="J373" s="816">
        <v>4</v>
      </c>
      <c r="K373" s="816">
        <v>5</v>
      </c>
      <c r="L373" s="816">
        <v>6</v>
      </c>
      <c r="M373" s="816">
        <v>7</v>
      </c>
      <c r="N373" s="816">
        <v>8</v>
      </c>
      <c r="O373" s="816">
        <v>9</v>
      </c>
      <c r="P373" s="816">
        <v>10</v>
      </c>
      <c r="Q373" s="816">
        <v>11</v>
      </c>
      <c r="R373" s="816">
        <v>12</v>
      </c>
      <c r="S373" s="816">
        <v>13</v>
      </c>
      <c r="T373" s="816">
        <v>14</v>
      </c>
      <c r="U373" s="816">
        <v>15</v>
      </c>
      <c r="V373" s="816">
        <v>16</v>
      </c>
      <c r="W373" s="816">
        <v>17</v>
      </c>
      <c r="X373" s="816">
        <v>18</v>
      </c>
      <c r="Y373" s="816">
        <v>19</v>
      </c>
      <c r="Z373" s="816">
        <v>20</v>
      </c>
      <c r="AA373" s="816">
        <v>21</v>
      </c>
      <c r="AB373" s="816">
        <v>22</v>
      </c>
      <c r="AC373" s="816">
        <v>23</v>
      </c>
      <c r="AD373" s="816">
        <v>24</v>
      </c>
      <c r="AE373" s="816">
        <v>25</v>
      </c>
      <c r="AF373" s="816">
        <v>26</v>
      </c>
      <c r="AG373" s="816">
        <v>27</v>
      </c>
      <c r="AH373" s="816">
        <v>28</v>
      </c>
      <c r="AI373" s="816">
        <v>29</v>
      </c>
      <c r="AJ373" s="816">
        <v>30</v>
      </c>
      <c r="AK373" s="816">
        <v>31</v>
      </c>
      <c r="AL373" s="816">
        <v>32</v>
      </c>
      <c r="AM373" s="816">
        <v>33</v>
      </c>
      <c r="AN373" s="816">
        <v>34</v>
      </c>
      <c r="AO373" s="816">
        <v>35</v>
      </c>
      <c r="AP373" s="816">
        <v>36</v>
      </c>
      <c r="AQ373" s="816">
        <v>37</v>
      </c>
      <c r="AR373" s="816">
        <v>38</v>
      </c>
      <c r="AS373" s="816">
        <v>39</v>
      </c>
      <c r="AT373" s="816">
        <v>40</v>
      </c>
      <c r="AU373" s="166"/>
      <c r="AV373" s="166"/>
      <c r="AW373" s="166"/>
      <c r="AX373" s="166"/>
      <c r="AY373" s="166"/>
      <c r="AZ373" s="166"/>
      <c r="BA373" s="166"/>
      <c r="BB373" s="166"/>
      <c r="BC373" s="166"/>
      <c r="BD373" s="166"/>
      <c r="BE373" s="166"/>
    </row>
    <row r="374" spans="2:57" ht="14.4" x14ac:dyDescent="0.3">
      <c r="B374" s="813"/>
      <c r="C374" s="798"/>
      <c r="D374" s="798"/>
      <c r="E374" s="798"/>
      <c r="F374" s="798"/>
      <c r="G374" s="798"/>
      <c r="H374" s="798"/>
      <c r="I374" s="798"/>
      <c r="J374" s="798"/>
      <c r="K374" s="798"/>
      <c r="L374" s="798"/>
      <c r="M374" s="798"/>
      <c r="N374" s="798"/>
      <c r="O374" s="798"/>
      <c r="P374" s="798"/>
      <c r="Q374" s="798"/>
      <c r="R374" s="798"/>
      <c r="S374" s="798"/>
      <c r="T374" s="798"/>
      <c r="U374" s="798"/>
      <c r="V374" s="798"/>
      <c r="W374" s="798"/>
      <c r="X374" s="798"/>
      <c r="Y374" s="798"/>
      <c r="Z374" s="798"/>
      <c r="AA374" s="798"/>
      <c r="AB374" s="798"/>
      <c r="AC374" s="798"/>
      <c r="AD374" s="798"/>
      <c r="AE374" s="798"/>
      <c r="AF374" s="798"/>
      <c r="AG374" s="798"/>
      <c r="AH374" s="798"/>
      <c r="AI374" s="798"/>
      <c r="AJ374" s="798"/>
      <c r="AK374" s="798"/>
      <c r="AL374" s="798"/>
      <c r="AM374" s="798"/>
      <c r="AN374" s="798"/>
      <c r="AO374" s="798"/>
      <c r="AP374" s="798"/>
      <c r="AQ374" s="798"/>
      <c r="AR374" s="798"/>
      <c r="AS374" s="798"/>
      <c r="AT374" s="798"/>
      <c r="AU374" s="166"/>
      <c r="AV374" s="166"/>
      <c r="AW374" s="166"/>
      <c r="AX374" s="166"/>
      <c r="AY374" s="166"/>
      <c r="AZ374" s="166"/>
      <c r="BA374" s="166"/>
      <c r="BB374" s="166"/>
      <c r="BC374" s="166"/>
      <c r="BD374" s="166"/>
      <c r="BE374" s="166"/>
    </row>
    <row r="375" spans="2:57" ht="14.4" x14ac:dyDescent="0.25">
      <c r="B375" s="830" t="s">
        <v>434</v>
      </c>
      <c r="C375" s="807"/>
      <c r="D375" s="807"/>
      <c r="E375" s="807"/>
      <c r="F375" s="807"/>
      <c r="G375" s="807"/>
      <c r="H375" s="807"/>
      <c r="I375" s="807"/>
      <c r="J375" s="807"/>
      <c r="K375" s="807"/>
      <c r="L375" s="807"/>
      <c r="M375" s="807"/>
      <c r="N375" s="807"/>
      <c r="O375" s="807"/>
      <c r="P375" s="807"/>
      <c r="Q375" s="807"/>
      <c r="R375" s="807"/>
      <c r="S375" s="807"/>
      <c r="T375" s="807"/>
      <c r="U375" s="807"/>
      <c r="V375" s="807"/>
      <c r="W375" s="807"/>
      <c r="X375" s="807"/>
      <c r="Y375" s="807"/>
      <c r="Z375" s="807"/>
      <c r="AA375" s="807"/>
      <c r="AB375" s="807"/>
      <c r="AC375" s="807"/>
      <c r="AD375" s="807"/>
      <c r="AE375" s="807"/>
      <c r="AF375" s="807"/>
      <c r="AG375" s="807"/>
      <c r="AH375" s="807"/>
      <c r="AI375" s="807"/>
      <c r="AJ375" s="807"/>
      <c r="AK375" s="807"/>
      <c r="AL375" s="807"/>
      <c r="AM375" s="807"/>
      <c r="AN375" s="807"/>
      <c r="AO375" s="807"/>
      <c r="AP375" s="807"/>
      <c r="AQ375" s="807"/>
      <c r="AR375" s="807"/>
      <c r="AS375" s="807"/>
      <c r="AT375" s="807"/>
    </row>
    <row r="376" spans="2:57" x14ac:dyDescent="0.25">
      <c r="B376" s="831" t="s">
        <v>449</v>
      </c>
      <c r="C376" s="178">
        <v>0</v>
      </c>
      <c r="D376" s="178">
        <v>0</v>
      </c>
      <c r="E376" s="178">
        <v>0</v>
      </c>
      <c r="F376" s="178">
        <v>0</v>
      </c>
      <c r="G376" s="268">
        <f>G300</f>
        <v>3489433.6493760138</v>
      </c>
      <c r="H376" s="268">
        <f t="shared" ref="H376:AT376" si="270">H300</f>
        <v>3864615.9241095837</v>
      </c>
      <c r="I376" s="268">
        <f t="shared" si="270"/>
        <v>3667955.0526417415</v>
      </c>
      <c r="J376" s="268">
        <f t="shared" si="270"/>
        <v>3754445.5924109258</v>
      </c>
      <c r="K376" s="268">
        <f t="shared" si="270"/>
        <v>8581249.2635108829</v>
      </c>
      <c r="L376" s="268">
        <f t="shared" si="270"/>
        <v>3933734.6730025862</v>
      </c>
      <c r="M376" s="268">
        <f t="shared" si="270"/>
        <v>4026637.2762531824</v>
      </c>
      <c r="N376" s="268">
        <f t="shared" si="270"/>
        <v>4121783.4832045212</v>
      </c>
      <c r="O376" s="268">
        <f t="shared" si="270"/>
        <v>4219228.6557829175</v>
      </c>
      <c r="P376" s="268">
        <f t="shared" si="270"/>
        <v>9525155.6981958821</v>
      </c>
      <c r="Q376" s="268">
        <f t="shared" si="270"/>
        <v>4421244.3521579085</v>
      </c>
      <c r="R376" s="268">
        <f t="shared" si="270"/>
        <v>4525932.7147169104</v>
      </c>
      <c r="S376" s="268">
        <f t="shared" si="270"/>
        <v>4633155.7948184023</v>
      </c>
      <c r="T376" s="268">
        <f t="shared" si="270"/>
        <v>4742976.2925206041</v>
      </c>
      <c r="U376" s="268">
        <f t="shared" si="270"/>
        <v>10575689.81600501</v>
      </c>
      <c r="V376" s="268">
        <f t="shared" si="270"/>
        <v>4970668.2950297529</v>
      </c>
      <c r="W376" s="268">
        <f t="shared" si="270"/>
        <v>5088673.2772134263</v>
      </c>
      <c r="X376" s="268">
        <f t="shared" si="270"/>
        <v>5209542.7163924491</v>
      </c>
      <c r="Y376" s="268">
        <f t="shared" si="270"/>
        <v>5333347.6438662987</v>
      </c>
      <c r="Z376" s="268">
        <f t="shared" si="270"/>
        <v>11745267.263724331</v>
      </c>
      <c r="AA376" s="268">
        <f t="shared" si="270"/>
        <v>5590057.1209969632</v>
      </c>
      <c r="AB376" s="268">
        <f t="shared" si="270"/>
        <v>5723112.9055465749</v>
      </c>
      <c r="AC376" s="268">
        <f t="shared" si="270"/>
        <v>5859406.7445057584</v>
      </c>
      <c r="AD376" s="268">
        <f t="shared" si="270"/>
        <v>5999019.1305208495</v>
      </c>
      <c r="AE376" s="268">
        <f t="shared" si="270"/>
        <v>13047797.821644107</v>
      </c>
      <c r="AF376" s="268">
        <f t="shared" si="270"/>
        <v>6288531.773346208</v>
      </c>
      <c r="AG376" s="268">
        <f t="shared" si="270"/>
        <v>6438603.4340750668</v>
      </c>
      <c r="AH376" s="268">
        <f t="shared" si="270"/>
        <v>6592336.5593562629</v>
      </c>
      <c r="AI376" s="268">
        <f t="shared" si="270"/>
        <v>6749822.3895147499</v>
      </c>
      <c r="AJ376" s="268">
        <f t="shared" si="270"/>
        <v>14498871.466441935</v>
      </c>
      <c r="AK376" s="268">
        <f t="shared" si="270"/>
        <v>7076428.7815859448</v>
      </c>
      <c r="AL376" s="268">
        <f t="shared" si="270"/>
        <v>7245743.6616738085</v>
      </c>
      <c r="AM376" s="268">
        <f t="shared" si="270"/>
        <v>7419200.0078551713</v>
      </c>
      <c r="AN376" s="268">
        <f t="shared" si="270"/>
        <v>7596901.2726635616</v>
      </c>
      <c r="AO376" s="268">
        <f t="shared" si="270"/>
        <v>16115968.399872713</v>
      </c>
      <c r="AP376" s="268">
        <f t="shared" si="270"/>
        <v>7965465.6146529177</v>
      </c>
      <c r="AQ376" s="268">
        <f t="shared" si="270"/>
        <v>8156549.0501983799</v>
      </c>
      <c r="AR376" s="268">
        <f t="shared" si="270"/>
        <v>8352318.2633171976</v>
      </c>
      <c r="AS376" s="268">
        <f t="shared" si="270"/>
        <v>8552890.5865902863</v>
      </c>
      <c r="AT376" s="268">
        <f t="shared" si="270"/>
        <v>17918696.229972437</v>
      </c>
    </row>
    <row r="377" spans="2:57" x14ac:dyDescent="0.25">
      <c r="B377" s="832" t="s">
        <v>379</v>
      </c>
      <c r="C377" s="178">
        <v>0</v>
      </c>
      <c r="D377" s="178">
        <v>0</v>
      </c>
      <c r="E377" s="178">
        <v>0</v>
      </c>
      <c r="F377" s="178">
        <v>0</v>
      </c>
      <c r="G377" s="758">
        <f>DEMANDA!C76*PARAMETROS!$C$61</f>
        <v>4939241.1928208387</v>
      </c>
      <c r="H377" s="758">
        <f>DEMANDA!D76*PARAMETROS!$C$61</f>
        <v>6585654.9237611191</v>
      </c>
      <c r="I377" s="758">
        <f>DEMANDA!E76*PARAMETROS!$C$61</f>
        <v>6645355.0360016944</v>
      </c>
      <c r="J377" s="758">
        <f>DEMANDA!F76*PARAMETROS!$C$61</f>
        <v>6705055.1482422706</v>
      </c>
      <c r="K377" s="758">
        <f>DEMANDA!G76*PARAMETROS!$C$61</f>
        <v>6764755.2604828477</v>
      </c>
      <c r="L377" s="758">
        <f>DEMANDA!H76*PARAMETROS!$C$61</f>
        <v>6824455.3727234239</v>
      </c>
      <c r="M377" s="758">
        <f>DEMANDA!I76*PARAMETROS!$C$61</f>
        <v>6884155.4849639982</v>
      </c>
      <c r="N377" s="758">
        <f>DEMANDA!J76*PARAMETROS!$C$61</f>
        <v>6921920.784393549</v>
      </c>
      <c r="O377" s="758">
        <f>DEMANDA!K76*PARAMETROS!$C$61</f>
        <v>6959686.0838230997</v>
      </c>
      <c r="P377" s="758">
        <f>DEMANDA!L76*PARAMETROS!$C$61</f>
        <v>6997451.3832526496</v>
      </c>
      <c r="Q377" s="758">
        <f>DEMANDA!M76*PARAMETROS!$C$61</f>
        <v>7035216.6826822003</v>
      </c>
      <c r="R377" s="758">
        <f>DEMANDA!N76*PARAMETROS!$C$61</f>
        <v>7072981.9821117474</v>
      </c>
      <c r="S377" s="758">
        <f>DEMANDA!O76*PARAMETROS!$C$61</f>
        <v>7069579.308719608</v>
      </c>
      <c r="T377" s="758">
        <f>DEMANDA!P76*PARAMETROS!$C$61</f>
        <v>7066176.6353274677</v>
      </c>
      <c r="U377" s="758">
        <f>DEMANDA!Q76*PARAMETROS!$C$61</f>
        <v>7062773.9619353274</v>
      </c>
      <c r="V377" s="758">
        <f>DEMANDA!R76*PARAMETROS!$C$61</f>
        <v>7059371.288543188</v>
      </c>
      <c r="W377" s="758">
        <f>DEMANDA!S76*PARAMETROS!$C$61</f>
        <v>7055968.6151510514</v>
      </c>
      <c r="X377" s="758">
        <f>DEMANDA!T76*PARAMETROS!$C$61</f>
        <v>7103981.1356402859</v>
      </c>
      <c r="Y377" s="758">
        <f>DEMANDA!U76*PARAMETROS!$C$61</f>
        <v>7151993.6561295204</v>
      </c>
      <c r="Z377" s="758">
        <f>DEMANDA!V76*PARAMETROS!$C$61</f>
        <v>7200006.1766187558</v>
      </c>
      <c r="AA377" s="758">
        <f>DEMANDA!W76*PARAMETROS!$C$61</f>
        <v>7248018.6971079903</v>
      </c>
      <c r="AB377" s="758">
        <f>DEMANDA!X76*PARAMETROS!$C$61</f>
        <v>7296031.2175972257</v>
      </c>
      <c r="AC377" s="758">
        <f>DEMANDA!Y76*PARAMETROS!$C$61</f>
        <v>7296031.2175972257</v>
      </c>
      <c r="AD377" s="758">
        <f>DEMANDA!Z76*PARAMETROS!$C$61</f>
        <v>7296031.2175972257</v>
      </c>
      <c r="AE377" s="758">
        <f>DEMANDA!AA76*PARAMETROS!$C$61</f>
        <v>7296031.2175972257</v>
      </c>
      <c r="AF377" s="758">
        <f>DEMANDA!AB76*PARAMETROS!$C$61</f>
        <v>7296031.2175972257</v>
      </c>
      <c r="AG377" s="758">
        <f>DEMANDA!AC76*PARAMETROS!$C$61</f>
        <v>7296031.2175972257</v>
      </c>
      <c r="AH377" s="758">
        <f>DEMANDA!AD76*PARAMETROS!$C$61</f>
        <v>7296031.2175972257</v>
      </c>
      <c r="AI377" s="758">
        <f>DEMANDA!AE76*PARAMETROS!$C$61</f>
        <v>7296031.2175972257</v>
      </c>
      <c r="AJ377" s="758">
        <f>DEMANDA!AF76*PARAMETROS!$C$61</f>
        <v>7296031.2175972257</v>
      </c>
      <c r="AK377" s="758">
        <f>DEMANDA!AG76*PARAMETROS!$C$61</f>
        <v>7296031.2175972257</v>
      </c>
      <c r="AL377" s="758">
        <f>DEMANDA!AH76*PARAMETROS!$C$61</f>
        <v>7296031.2175972257</v>
      </c>
      <c r="AM377" s="758">
        <f>DEMANDA!AI76*PARAMETROS!$C$61</f>
        <v>7296031.2175972257</v>
      </c>
      <c r="AN377" s="758">
        <f>DEMANDA!AJ76*PARAMETROS!$C$61</f>
        <v>7296031.2175972257</v>
      </c>
      <c r="AO377" s="758">
        <f>DEMANDA!AK76*PARAMETROS!$C$61</f>
        <v>7296031.2175972257</v>
      </c>
      <c r="AP377" s="758">
        <f>DEMANDA!AL76*PARAMETROS!$C$61</f>
        <v>7296031.2175972257</v>
      </c>
      <c r="AQ377" s="758">
        <f>DEMANDA!AM76*PARAMETROS!$C$61</f>
        <v>7296031.2175972257</v>
      </c>
      <c r="AR377" s="758">
        <f>DEMANDA!AN76*PARAMETROS!$C$61</f>
        <v>7296031.2175972257</v>
      </c>
      <c r="AS377" s="758">
        <f>DEMANDA!AO76*PARAMETROS!$C$61</f>
        <v>7296031.2175972257</v>
      </c>
      <c r="AT377" s="758">
        <f>DEMANDA!AP76*PARAMETROS!$C$61</f>
        <v>7296031.2175972257</v>
      </c>
    </row>
    <row r="378" spans="2:57" x14ac:dyDescent="0.25">
      <c r="B378" s="832" t="s">
        <v>395</v>
      </c>
      <c r="C378" s="178">
        <v>0</v>
      </c>
      <c r="D378" s="178">
        <v>0</v>
      </c>
      <c r="E378" s="178">
        <v>0</v>
      </c>
      <c r="F378" s="178">
        <v>0</v>
      </c>
      <c r="G378" s="758">
        <f>'INGRESOS de pasajeros'!C90*PARAMETROS!$C$61</f>
        <v>6030813.4964342443</v>
      </c>
      <c r="H378" s="758">
        <f>'INGRESOS de pasajeros'!D90*PARAMETROS!$C$61</f>
        <v>8041084.6619123276</v>
      </c>
      <c r="I378" s="758">
        <f>'INGRESOS de pasajeros'!E90*PARAMETROS!$C$61</f>
        <v>8483164.5206606612</v>
      </c>
      <c r="J378" s="758">
        <f>'INGRESOS de pasajeros'!F90*PARAMETROS!$C$61</f>
        <v>8559375.0272919871</v>
      </c>
      <c r="K378" s="758">
        <f>'INGRESOS de pasajeros'!G90*PARAMETROS!$C$61</f>
        <v>8984463.1894938108</v>
      </c>
      <c r="L378" s="758">
        <f>'INGRESOS de pasajeros'!H90*PARAMETROS!$C$61</f>
        <v>9063752.6005930435</v>
      </c>
      <c r="M378" s="758">
        <f>'INGRESOS de pasajeros'!I90*PARAMETROS!$C$61</f>
        <v>9512420.9089646377</v>
      </c>
      <c r="N378" s="758">
        <f>'INGRESOS de pasajeros'!J90*PARAMETROS!$C$61</f>
        <v>9564604.4229354672</v>
      </c>
      <c r="O378" s="758">
        <f>'INGRESOS de pasajeros'!K90*PARAMETROS!$C$61</f>
        <v>10005306.169557309</v>
      </c>
      <c r="P378" s="758">
        <f>'INGRESOS de pasajeros'!L90*PARAMETROS!$C$61</f>
        <v>10059597.897492554</v>
      </c>
      <c r="Q378" s="758">
        <f>'INGRESOS de pasajeros'!M90*PARAMETROS!$C$61</f>
        <v>10522490.766295088</v>
      </c>
      <c r="R378" s="758">
        <f>'INGRESOS de pasajeros'!N90*PARAMETROS!$C$61</f>
        <v>10578975.880038917</v>
      </c>
      <c r="S378" s="758">
        <f>'INGRESOS de pasajeros'!O90*PARAMETROS!$C$61</f>
        <v>11001071.557783002</v>
      </c>
      <c r="T378" s="758">
        <f>'INGRESOS de pasajeros'!P90*PARAMETROS!$C$61</f>
        <v>10995776.609973513</v>
      </c>
      <c r="U378" s="758">
        <f>'INGRESOS de pasajeros'!Q90*PARAMETROS!$C$61</f>
        <v>11434497.121315453</v>
      </c>
      <c r="V378" s="758">
        <f>'INGRESOS de pasajeros'!R90*PARAMETROS!$C$61</f>
        <v>11428988.257614467</v>
      </c>
      <c r="W378" s="758">
        <f>'INGRESOS de pasajeros'!S90*PARAMETROS!$C$61</f>
        <v>11884987.961427584</v>
      </c>
      <c r="X378" s="758">
        <f>'INGRESOS de pasajeros'!T90*PARAMETROS!$C$61</f>
        <v>11965859.668649616</v>
      </c>
      <c r="Y378" s="758">
        <f>'INGRESOS de pasajeros'!U90*PARAMETROS!$C$61</f>
        <v>12533419.323456867</v>
      </c>
      <c r="Z378" s="758">
        <f>'INGRESOS de pasajeros'!V90*PARAMETROS!$C$61</f>
        <v>12617558.247650672</v>
      </c>
      <c r="AA378" s="758">
        <f>'INGRESOS de pasajeros'!W90*PARAMETROS!$C$61</f>
        <v>13214845.73758699</v>
      </c>
      <c r="AB378" s="758">
        <f>'INGRESOS de pasajeros'!X90*PARAMETROS!$C$61</f>
        <v>13302383.874318223</v>
      </c>
      <c r="AC378" s="758">
        <f>'INGRESOS de pasajeros'!Y90*PARAMETROS!$C$61</f>
        <v>13839800.182840681</v>
      </c>
      <c r="AD378" s="758">
        <f>'INGRESOS de pasajeros'!Z90*PARAMETROS!$C$61</f>
        <v>13839800.182840681</v>
      </c>
      <c r="AE378" s="758">
        <f>'INGRESOS de pasajeros'!AA90*PARAMETROS!$C$61</f>
        <v>14398928.110227443</v>
      </c>
      <c r="AF378" s="758">
        <f>'INGRESOS de pasajeros'!AB90*PARAMETROS!$C$61</f>
        <v>14398928.110227443</v>
      </c>
      <c r="AG378" s="758">
        <f>'INGRESOS de pasajeros'!AC90*PARAMETROS!$C$61</f>
        <v>14980644.805880632</v>
      </c>
      <c r="AH378" s="758">
        <f>'INGRESOS de pasajeros'!AD90*PARAMETROS!$C$61</f>
        <v>14980644.805880632</v>
      </c>
      <c r="AI378" s="758">
        <f>'INGRESOS de pasajeros'!AE90*PARAMETROS!$C$61</f>
        <v>15585862.856038207</v>
      </c>
      <c r="AJ378" s="758">
        <f>'INGRESOS de pasajeros'!AF90*PARAMETROS!$C$61</f>
        <v>15585862.856038207</v>
      </c>
      <c r="AK378" s="758">
        <f>'INGRESOS de pasajeros'!AG90*PARAMETROS!$C$61</f>
        <v>16215531.715422152</v>
      </c>
      <c r="AL378" s="758">
        <f>'INGRESOS de pasajeros'!AH90*PARAMETROS!$C$61</f>
        <v>16215531.715422152</v>
      </c>
      <c r="AM378" s="758">
        <f>'INGRESOS de pasajeros'!AI90*PARAMETROS!$C$61</f>
        <v>16870639.196725205</v>
      </c>
      <c r="AN378" s="758">
        <f>'INGRESOS de pasajeros'!AJ90*PARAMETROS!$C$61</f>
        <v>16870639.196725205</v>
      </c>
      <c r="AO378" s="758">
        <f>'INGRESOS de pasajeros'!AK90*PARAMETROS!$C$61</f>
        <v>17552213.020272911</v>
      </c>
      <c r="AP378" s="758">
        <f>'INGRESOS de pasajeros'!AL90*PARAMETROS!$C$61</f>
        <v>17552213.020272911</v>
      </c>
      <c r="AQ378" s="758">
        <f>'INGRESOS de pasajeros'!AM90*PARAMETROS!$C$61</f>
        <v>18261322.426291931</v>
      </c>
      <c r="AR378" s="758">
        <f>'INGRESOS de pasajeros'!AN90*PARAMETROS!$C$61</f>
        <v>18261322.426291931</v>
      </c>
      <c r="AS378" s="758">
        <f>'INGRESOS de pasajeros'!AO90*PARAMETROS!$C$61</f>
        <v>18999079.852314129</v>
      </c>
      <c r="AT378" s="758">
        <f>'INGRESOS de pasajeros'!AP90*PARAMETROS!$C$61</f>
        <v>18999079.852314129</v>
      </c>
    </row>
    <row r="379" spans="2:57" x14ac:dyDescent="0.25">
      <c r="B379" s="832" t="s">
        <v>396</v>
      </c>
      <c r="C379" s="178">
        <v>0</v>
      </c>
      <c r="D379" s="178">
        <v>0</v>
      </c>
      <c r="E379" s="178">
        <v>0</v>
      </c>
      <c r="F379" s="178">
        <v>0</v>
      </c>
      <c r="G379" s="178">
        <f>$C$14*$C$15*12</f>
        <v>420000</v>
      </c>
      <c r="H379" s="178">
        <f t="shared" ref="H379:AT379" si="271">$G$75*((1+$C$25)^G373)</f>
        <v>428400</v>
      </c>
      <c r="I379" s="178">
        <f t="shared" si="271"/>
        <v>436968</v>
      </c>
      <c r="J379" s="178">
        <f t="shared" si="271"/>
        <v>445707.36</v>
      </c>
      <c r="K379" s="178">
        <f t="shared" si="271"/>
        <v>454621.50719999999</v>
      </c>
      <c r="L379" s="178">
        <f t="shared" si="271"/>
        <v>463713.93734400003</v>
      </c>
      <c r="M379" s="178">
        <f t="shared" si="271"/>
        <v>472988.21609088004</v>
      </c>
      <c r="N379" s="178">
        <f t="shared" si="271"/>
        <v>482447.98041269754</v>
      </c>
      <c r="O379" s="178">
        <f t="shared" si="271"/>
        <v>492096.9400209515</v>
      </c>
      <c r="P379" s="178">
        <f t="shared" si="271"/>
        <v>501938.87882137054</v>
      </c>
      <c r="Q379" s="178">
        <f t="shared" si="271"/>
        <v>511977.65639779798</v>
      </c>
      <c r="R379" s="178">
        <f t="shared" si="271"/>
        <v>522217.20952575386</v>
      </c>
      <c r="S379" s="178">
        <f t="shared" si="271"/>
        <v>532661.55371626897</v>
      </c>
      <c r="T379" s="178">
        <f t="shared" si="271"/>
        <v>543314.78479059436</v>
      </c>
      <c r="U379" s="178">
        <f t="shared" si="271"/>
        <v>554181.08048640634</v>
      </c>
      <c r="V379" s="178">
        <f t="shared" si="271"/>
        <v>565264.70209613431</v>
      </c>
      <c r="W379" s="178">
        <f t="shared" si="271"/>
        <v>576569.99613805709</v>
      </c>
      <c r="X379" s="178">
        <f t="shared" si="271"/>
        <v>588101.39606081822</v>
      </c>
      <c r="Y379" s="178">
        <f t="shared" si="271"/>
        <v>599863.42398203455</v>
      </c>
      <c r="Z379" s="178">
        <f t="shared" si="271"/>
        <v>611860.69246167527</v>
      </c>
      <c r="AA379" s="178">
        <f t="shared" si="271"/>
        <v>624097.90631090873</v>
      </c>
      <c r="AB379" s="178">
        <f t="shared" si="271"/>
        <v>636579.8644371269</v>
      </c>
      <c r="AC379" s="178">
        <f t="shared" si="271"/>
        <v>649311.46172586945</v>
      </c>
      <c r="AD379" s="178">
        <f t="shared" si="271"/>
        <v>662297.69096038677</v>
      </c>
      <c r="AE379" s="178">
        <f t="shared" si="271"/>
        <v>675543.6447795945</v>
      </c>
      <c r="AF379" s="178">
        <f t="shared" si="271"/>
        <v>689054.51767518639</v>
      </c>
      <c r="AG379" s="178">
        <f t="shared" si="271"/>
        <v>702835.60802869021</v>
      </c>
      <c r="AH379" s="178">
        <f t="shared" si="271"/>
        <v>716892.3201892639</v>
      </c>
      <c r="AI379" s="178">
        <f t="shared" si="271"/>
        <v>731230.1665930493</v>
      </c>
      <c r="AJ379" s="178">
        <f t="shared" si="271"/>
        <v>745854.76992491016</v>
      </c>
      <c r="AK379" s="178">
        <f t="shared" si="271"/>
        <v>760771.86532340851</v>
      </c>
      <c r="AL379" s="178">
        <f t="shared" si="271"/>
        <v>775987.30262987642</v>
      </c>
      <c r="AM379" s="178">
        <f t="shared" si="271"/>
        <v>791507.04868247418</v>
      </c>
      <c r="AN379" s="178">
        <f t="shared" si="271"/>
        <v>807337.18965612364</v>
      </c>
      <c r="AO379" s="178">
        <f t="shared" si="271"/>
        <v>823483.93344924611</v>
      </c>
      <c r="AP379" s="178">
        <f t="shared" si="271"/>
        <v>839953.61211823102</v>
      </c>
      <c r="AQ379" s="178">
        <f t="shared" si="271"/>
        <v>856752.68436059554</v>
      </c>
      <c r="AR379" s="178">
        <f t="shared" si="271"/>
        <v>873887.73804780759</v>
      </c>
      <c r="AS379" s="178">
        <f t="shared" si="271"/>
        <v>891365.49280876387</v>
      </c>
      <c r="AT379" s="178">
        <f t="shared" si="271"/>
        <v>909192.80266493873</v>
      </c>
    </row>
    <row r="380" spans="2:57" x14ac:dyDescent="0.25">
      <c r="B380" s="832"/>
      <c r="C380" s="178"/>
      <c r="D380" s="178"/>
      <c r="E380" s="178"/>
      <c r="F380" s="178"/>
      <c r="G380" s="178"/>
      <c r="H380" s="178"/>
      <c r="I380" s="178"/>
      <c r="J380" s="178"/>
      <c r="K380" s="178"/>
      <c r="L380" s="178"/>
      <c r="M380" s="178"/>
      <c r="N380" s="178"/>
      <c r="O380" s="178"/>
      <c r="P380" s="178"/>
      <c r="Q380" s="178"/>
      <c r="R380" s="178"/>
      <c r="S380" s="178"/>
      <c r="T380" s="178"/>
      <c r="U380" s="178"/>
      <c r="V380" s="178"/>
      <c r="W380" s="178"/>
      <c r="X380" s="178"/>
      <c r="Y380" s="178"/>
      <c r="Z380" s="178"/>
      <c r="AA380" s="178"/>
      <c r="AB380" s="178"/>
      <c r="AC380" s="178"/>
      <c r="AD380" s="178"/>
      <c r="AE380" s="178"/>
      <c r="AF380" s="178"/>
      <c r="AG380" s="178"/>
      <c r="AH380" s="178"/>
      <c r="AI380" s="178"/>
      <c r="AJ380" s="178"/>
      <c r="AK380" s="178"/>
      <c r="AL380" s="178"/>
      <c r="AM380" s="178"/>
      <c r="AN380" s="178"/>
      <c r="AO380" s="178"/>
      <c r="AP380" s="178"/>
      <c r="AQ380" s="178"/>
      <c r="AR380" s="178"/>
      <c r="AS380" s="178"/>
      <c r="AT380" s="178"/>
    </row>
    <row r="381" spans="2:57" x14ac:dyDescent="0.25">
      <c r="B381" s="831" t="str">
        <f>B77</f>
        <v>Activos iniciales - Depreciacion 50 años</v>
      </c>
      <c r="C381" s="965">
        <f t="shared" ref="C381:AT381" si="272">C77</f>
        <v>0</v>
      </c>
      <c r="D381" s="965">
        <f t="shared" si="272"/>
        <v>0</v>
      </c>
      <c r="E381" s="965">
        <f t="shared" si="272"/>
        <v>0</v>
      </c>
      <c r="F381" s="965">
        <f t="shared" si="272"/>
        <v>0</v>
      </c>
      <c r="G381" s="965">
        <f t="shared" si="272"/>
        <v>-617417.83808159526</v>
      </c>
      <c r="H381" s="965">
        <f t="shared" si="272"/>
        <v>-617417.83808159526</v>
      </c>
      <c r="I381" s="965">
        <f t="shared" si="272"/>
        <v>-617417.83808159526</v>
      </c>
      <c r="J381" s="965">
        <f t="shared" si="272"/>
        <v>-617417.83808159526</v>
      </c>
      <c r="K381" s="965">
        <f t="shared" si="272"/>
        <v>-617417.83808159526</v>
      </c>
      <c r="L381" s="965">
        <f t="shared" si="272"/>
        <v>-617417.83808159526</v>
      </c>
      <c r="M381" s="965">
        <f t="shared" si="272"/>
        <v>-617417.83808159526</v>
      </c>
      <c r="N381" s="965">
        <f t="shared" si="272"/>
        <v>-617417.83808159526</v>
      </c>
      <c r="O381" s="965">
        <f t="shared" si="272"/>
        <v>-617417.83808159526</v>
      </c>
      <c r="P381" s="965">
        <f t="shared" si="272"/>
        <v>-617417.83808159526</v>
      </c>
      <c r="Q381" s="965">
        <f t="shared" si="272"/>
        <v>-617417.83808159526</v>
      </c>
      <c r="R381" s="965">
        <f t="shared" si="272"/>
        <v>-617417.83808159526</v>
      </c>
      <c r="S381" s="965">
        <f t="shared" si="272"/>
        <v>-617417.83808159526</v>
      </c>
      <c r="T381" s="965">
        <f t="shared" si="272"/>
        <v>-617417.83808159526</v>
      </c>
      <c r="U381" s="965">
        <f t="shared" si="272"/>
        <v>-617417.83808159526</v>
      </c>
      <c r="V381" s="965">
        <f t="shared" si="272"/>
        <v>-617417.83808159526</v>
      </c>
      <c r="W381" s="965">
        <f t="shared" si="272"/>
        <v>-617417.83808159526</v>
      </c>
      <c r="X381" s="965">
        <f t="shared" si="272"/>
        <v>-617417.83808159526</v>
      </c>
      <c r="Y381" s="965">
        <f t="shared" si="272"/>
        <v>-617417.83808159526</v>
      </c>
      <c r="Z381" s="965">
        <f t="shared" si="272"/>
        <v>-617417.83808159526</v>
      </c>
      <c r="AA381" s="965">
        <f t="shared" si="272"/>
        <v>-617417.83808159526</v>
      </c>
      <c r="AB381" s="965">
        <f t="shared" si="272"/>
        <v>-617417.83808159526</v>
      </c>
      <c r="AC381" s="965">
        <f t="shared" si="272"/>
        <v>-617417.83808159526</v>
      </c>
      <c r="AD381" s="965">
        <f t="shared" si="272"/>
        <v>-617417.83808159526</v>
      </c>
      <c r="AE381" s="965">
        <f t="shared" si="272"/>
        <v>-617417.83808159526</v>
      </c>
      <c r="AF381" s="965">
        <f t="shared" si="272"/>
        <v>-617417.83808159526</v>
      </c>
      <c r="AG381" s="965">
        <f t="shared" si="272"/>
        <v>-617417.83808159526</v>
      </c>
      <c r="AH381" s="965">
        <f t="shared" si="272"/>
        <v>-617417.83808159526</v>
      </c>
      <c r="AI381" s="965">
        <f t="shared" si="272"/>
        <v>-617417.83808159526</v>
      </c>
      <c r="AJ381" s="965">
        <f t="shared" si="272"/>
        <v>-617417.83808159526</v>
      </c>
      <c r="AK381" s="965">
        <f t="shared" si="272"/>
        <v>-617417.83808159526</v>
      </c>
      <c r="AL381" s="965">
        <f t="shared" si="272"/>
        <v>-617417.83808159526</v>
      </c>
      <c r="AM381" s="965">
        <f t="shared" si="272"/>
        <v>-617417.83808159526</v>
      </c>
      <c r="AN381" s="965">
        <f t="shared" si="272"/>
        <v>-617417.83808159526</v>
      </c>
      <c r="AO381" s="965">
        <f t="shared" si="272"/>
        <v>-617417.83808159526</v>
      </c>
      <c r="AP381" s="965">
        <f t="shared" si="272"/>
        <v>-617417.83808159526</v>
      </c>
      <c r="AQ381" s="965">
        <f t="shared" si="272"/>
        <v>-617417.83808159526</v>
      </c>
      <c r="AR381" s="965">
        <f t="shared" si="272"/>
        <v>-617417.83808159526</v>
      </c>
      <c r="AS381" s="965">
        <f t="shared" si="272"/>
        <v>-617417.83808159526</v>
      </c>
      <c r="AT381" s="965">
        <f t="shared" si="272"/>
        <v>-617417.83808159526</v>
      </c>
    </row>
    <row r="382" spans="2:57" x14ac:dyDescent="0.25">
      <c r="B382" s="831" t="str">
        <f t="shared" ref="B382:AT382" si="273">B78</f>
        <v>Activos iniciales - Depreciacion 40 años</v>
      </c>
      <c r="C382" s="965">
        <f t="shared" si="273"/>
        <v>0</v>
      </c>
      <c r="D382" s="965">
        <f t="shared" si="273"/>
        <v>0</v>
      </c>
      <c r="E382" s="965">
        <f t="shared" si="273"/>
        <v>0</v>
      </c>
      <c r="F382" s="965">
        <f t="shared" si="273"/>
        <v>0</v>
      </c>
      <c r="G382" s="965">
        <f t="shared" si="273"/>
        <v>-1345379.6621609791</v>
      </c>
      <c r="H382" s="965">
        <f t="shared" si="273"/>
        <v>-1345379.6621609791</v>
      </c>
      <c r="I382" s="965">
        <f t="shared" si="273"/>
        <v>-1345379.6621609791</v>
      </c>
      <c r="J382" s="965">
        <f t="shared" si="273"/>
        <v>-1345379.6621609791</v>
      </c>
      <c r="K382" s="965">
        <f t="shared" si="273"/>
        <v>-1345379.6621609791</v>
      </c>
      <c r="L382" s="965">
        <f t="shared" si="273"/>
        <v>-1345379.6621609791</v>
      </c>
      <c r="M382" s="965">
        <f t="shared" si="273"/>
        <v>-1345379.6621609791</v>
      </c>
      <c r="N382" s="965">
        <f t="shared" si="273"/>
        <v>-1345379.6621609791</v>
      </c>
      <c r="O382" s="965">
        <f t="shared" si="273"/>
        <v>-1345379.6621609791</v>
      </c>
      <c r="P382" s="965">
        <f t="shared" si="273"/>
        <v>-1345379.6621609791</v>
      </c>
      <c r="Q382" s="965">
        <f t="shared" si="273"/>
        <v>-1345379.6621609791</v>
      </c>
      <c r="R382" s="965">
        <f t="shared" si="273"/>
        <v>-1345379.6621609791</v>
      </c>
      <c r="S382" s="965">
        <f t="shared" si="273"/>
        <v>-1345379.6621609791</v>
      </c>
      <c r="T382" s="965">
        <f t="shared" si="273"/>
        <v>-1345379.6621609791</v>
      </c>
      <c r="U382" s="965">
        <f t="shared" si="273"/>
        <v>-1345379.6621609791</v>
      </c>
      <c r="V382" s="965">
        <f t="shared" si="273"/>
        <v>-1345379.6621609791</v>
      </c>
      <c r="W382" s="965">
        <f t="shared" si="273"/>
        <v>-1345379.6621609791</v>
      </c>
      <c r="X382" s="965">
        <f t="shared" si="273"/>
        <v>-1345379.6621609791</v>
      </c>
      <c r="Y382" s="965">
        <f t="shared" si="273"/>
        <v>-1345379.6621609791</v>
      </c>
      <c r="Z382" s="965">
        <f t="shared" si="273"/>
        <v>-1345379.6621609791</v>
      </c>
      <c r="AA382" s="965">
        <f t="shared" si="273"/>
        <v>-1345379.6621609791</v>
      </c>
      <c r="AB382" s="965">
        <f t="shared" si="273"/>
        <v>-1345379.6621609791</v>
      </c>
      <c r="AC382" s="965">
        <f t="shared" si="273"/>
        <v>-1345379.6621609791</v>
      </c>
      <c r="AD382" s="965">
        <f t="shared" si="273"/>
        <v>-1345379.6621609791</v>
      </c>
      <c r="AE382" s="965">
        <f t="shared" si="273"/>
        <v>-1345379.6621609791</v>
      </c>
      <c r="AF382" s="965">
        <f t="shared" si="273"/>
        <v>-1345379.6621609791</v>
      </c>
      <c r="AG382" s="965">
        <f t="shared" si="273"/>
        <v>-1345379.6621609791</v>
      </c>
      <c r="AH382" s="965">
        <f t="shared" si="273"/>
        <v>-1345379.6621609791</v>
      </c>
      <c r="AI382" s="965">
        <f t="shared" si="273"/>
        <v>-1345379.6621609791</v>
      </c>
      <c r="AJ382" s="965">
        <f t="shared" si="273"/>
        <v>-1345379.6621609791</v>
      </c>
      <c r="AK382" s="965">
        <f t="shared" si="273"/>
        <v>-1345379.6621609791</v>
      </c>
      <c r="AL382" s="965">
        <f t="shared" si="273"/>
        <v>-1345379.6621609791</v>
      </c>
      <c r="AM382" s="965">
        <f t="shared" si="273"/>
        <v>-1345379.6621609791</v>
      </c>
      <c r="AN382" s="965">
        <f t="shared" si="273"/>
        <v>-1345379.6621609791</v>
      </c>
      <c r="AO382" s="965">
        <f t="shared" si="273"/>
        <v>-1345379.6621609791</v>
      </c>
      <c r="AP382" s="965">
        <f t="shared" si="273"/>
        <v>-1345379.6621609791</v>
      </c>
      <c r="AQ382" s="965">
        <f t="shared" si="273"/>
        <v>-1345379.6621609791</v>
      </c>
      <c r="AR382" s="965">
        <f t="shared" si="273"/>
        <v>-1345379.6621609791</v>
      </c>
      <c r="AS382" s="965">
        <f t="shared" si="273"/>
        <v>-1345379.6621609791</v>
      </c>
      <c r="AT382" s="965">
        <f t="shared" si="273"/>
        <v>-1345379.6621609791</v>
      </c>
    </row>
    <row r="383" spans="2:57" x14ac:dyDescent="0.25">
      <c r="B383" s="831" t="str">
        <f t="shared" ref="B383:AT383" si="274">B79</f>
        <v>Activos iniciales - Depreciacion 15 años</v>
      </c>
      <c r="C383" s="965">
        <f t="shared" si="274"/>
        <v>0</v>
      </c>
      <c r="D383" s="965">
        <f t="shared" si="274"/>
        <v>0</v>
      </c>
      <c r="E383" s="965">
        <f t="shared" si="274"/>
        <v>0</v>
      </c>
      <c r="F383" s="965">
        <f t="shared" si="274"/>
        <v>0</v>
      </c>
      <c r="G383" s="965">
        <f t="shared" si="274"/>
        <v>-767500.01943839586</v>
      </c>
      <c r="H383" s="965">
        <f t="shared" si="274"/>
        <v>-767500.01943839586</v>
      </c>
      <c r="I383" s="965">
        <f t="shared" si="274"/>
        <v>-767500.01943839586</v>
      </c>
      <c r="J383" s="965">
        <f t="shared" si="274"/>
        <v>-767500.01943839586</v>
      </c>
      <c r="K383" s="965">
        <f t="shared" si="274"/>
        <v>-767500.01943839586</v>
      </c>
      <c r="L383" s="965">
        <f t="shared" si="274"/>
        <v>-767500.01943839586</v>
      </c>
      <c r="M383" s="965">
        <f t="shared" si="274"/>
        <v>-767500.01943839586</v>
      </c>
      <c r="N383" s="965">
        <f t="shared" si="274"/>
        <v>-767500.01943839586</v>
      </c>
      <c r="O383" s="965">
        <f t="shared" si="274"/>
        <v>-767500.01943839586</v>
      </c>
      <c r="P383" s="965">
        <f t="shared" si="274"/>
        <v>-767500.01943839586</v>
      </c>
      <c r="Q383" s="965">
        <f t="shared" si="274"/>
        <v>-767500.01943839586</v>
      </c>
      <c r="R383" s="965">
        <f t="shared" si="274"/>
        <v>-767500.01943839586</v>
      </c>
      <c r="S383" s="965">
        <f t="shared" si="274"/>
        <v>-767500.01943839586</v>
      </c>
      <c r="T383" s="965">
        <f t="shared" si="274"/>
        <v>-767500.01943839586</v>
      </c>
      <c r="U383" s="965">
        <f t="shared" si="274"/>
        <v>-767500.01943839586</v>
      </c>
      <c r="V383" s="965">
        <f t="shared" si="274"/>
        <v>0</v>
      </c>
      <c r="W383" s="965">
        <f t="shared" si="274"/>
        <v>0</v>
      </c>
      <c r="X383" s="965">
        <f t="shared" si="274"/>
        <v>0</v>
      </c>
      <c r="Y383" s="965">
        <f t="shared" si="274"/>
        <v>0</v>
      </c>
      <c r="Z383" s="965">
        <f t="shared" si="274"/>
        <v>0</v>
      </c>
      <c r="AA383" s="965">
        <f t="shared" si="274"/>
        <v>0</v>
      </c>
      <c r="AB383" s="965">
        <f t="shared" si="274"/>
        <v>0</v>
      </c>
      <c r="AC383" s="965">
        <f t="shared" si="274"/>
        <v>0</v>
      </c>
      <c r="AD383" s="965">
        <f t="shared" si="274"/>
        <v>0</v>
      </c>
      <c r="AE383" s="965">
        <f t="shared" si="274"/>
        <v>0</v>
      </c>
      <c r="AF383" s="965">
        <f t="shared" si="274"/>
        <v>0</v>
      </c>
      <c r="AG383" s="965">
        <f t="shared" si="274"/>
        <v>0</v>
      </c>
      <c r="AH383" s="965">
        <f t="shared" si="274"/>
        <v>0</v>
      </c>
      <c r="AI383" s="965">
        <f t="shared" si="274"/>
        <v>0</v>
      </c>
      <c r="AJ383" s="965">
        <f t="shared" si="274"/>
        <v>0</v>
      </c>
      <c r="AK383" s="965">
        <f t="shared" si="274"/>
        <v>0</v>
      </c>
      <c r="AL383" s="965">
        <f t="shared" si="274"/>
        <v>0</v>
      </c>
      <c r="AM383" s="965">
        <f t="shared" si="274"/>
        <v>0</v>
      </c>
      <c r="AN383" s="965">
        <f t="shared" si="274"/>
        <v>0</v>
      </c>
      <c r="AO383" s="965">
        <f t="shared" si="274"/>
        <v>0</v>
      </c>
      <c r="AP383" s="965">
        <f t="shared" si="274"/>
        <v>0</v>
      </c>
      <c r="AQ383" s="965">
        <f t="shared" si="274"/>
        <v>0</v>
      </c>
      <c r="AR383" s="965">
        <f t="shared" si="274"/>
        <v>0</v>
      </c>
      <c r="AS383" s="965">
        <f t="shared" si="274"/>
        <v>0</v>
      </c>
      <c r="AT383" s="965">
        <f t="shared" si="274"/>
        <v>0</v>
      </c>
    </row>
    <row r="384" spans="2:57" x14ac:dyDescent="0.25">
      <c r="B384" s="831" t="str">
        <f t="shared" ref="B384:AT384" si="275">B80</f>
        <v>Activos iniciales - Depreciacion 10 años</v>
      </c>
      <c r="C384" s="965">
        <f t="shared" si="275"/>
        <v>0</v>
      </c>
      <c r="D384" s="965">
        <f t="shared" si="275"/>
        <v>0</v>
      </c>
      <c r="E384" s="965">
        <f t="shared" si="275"/>
        <v>0</v>
      </c>
      <c r="F384" s="965">
        <f t="shared" si="275"/>
        <v>0</v>
      </c>
      <c r="G384" s="965">
        <f t="shared" si="275"/>
        <v>-287707.11855978414</v>
      </c>
      <c r="H384" s="965">
        <f t="shared" si="275"/>
        <v>-287707.11855978414</v>
      </c>
      <c r="I384" s="965">
        <f t="shared" si="275"/>
        <v>-287707.11855978414</v>
      </c>
      <c r="J384" s="965">
        <f t="shared" si="275"/>
        <v>-287707.11855978414</v>
      </c>
      <c r="K384" s="965">
        <f t="shared" si="275"/>
        <v>-287707.11855978414</v>
      </c>
      <c r="L384" s="965">
        <f t="shared" si="275"/>
        <v>-287707.11855978414</v>
      </c>
      <c r="M384" s="965">
        <f t="shared" si="275"/>
        <v>-287707.11855978414</v>
      </c>
      <c r="N384" s="965">
        <f t="shared" si="275"/>
        <v>-287707.11855978414</v>
      </c>
      <c r="O384" s="965">
        <f t="shared" si="275"/>
        <v>-287707.11855978414</v>
      </c>
      <c r="P384" s="965">
        <f t="shared" si="275"/>
        <v>-287707.11855978414</v>
      </c>
      <c r="Q384" s="965">
        <f t="shared" si="275"/>
        <v>0</v>
      </c>
      <c r="R384" s="965">
        <f t="shared" si="275"/>
        <v>0</v>
      </c>
      <c r="S384" s="965">
        <f t="shared" si="275"/>
        <v>0</v>
      </c>
      <c r="T384" s="965">
        <f t="shared" si="275"/>
        <v>0</v>
      </c>
      <c r="U384" s="965">
        <f t="shared" si="275"/>
        <v>0</v>
      </c>
      <c r="V384" s="965">
        <f t="shared" si="275"/>
        <v>0</v>
      </c>
      <c r="W384" s="965">
        <f t="shared" si="275"/>
        <v>0</v>
      </c>
      <c r="X384" s="965">
        <f t="shared" si="275"/>
        <v>0</v>
      </c>
      <c r="Y384" s="965">
        <f t="shared" si="275"/>
        <v>0</v>
      </c>
      <c r="Z384" s="965">
        <f t="shared" si="275"/>
        <v>0</v>
      </c>
      <c r="AA384" s="965">
        <f t="shared" si="275"/>
        <v>0</v>
      </c>
      <c r="AB384" s="965">
        <f t="shared" si="275"/>
        <v>0</v>
      </c>
      <c r="AC384" s="965">
        <f t="shared" si="275"/>
        <v>0</v>
      </c>
      <c r="AD384" s="965">
        <f t="shared" si="275"/>
        <v>0</v>
      </c>
      <c r="AE384" s="965">
        <f t="shared" si="275"/>
        <v>0</v>
      </c>
      <c r="AF384" s="965">
        <f t="shared" si="275"/>
        <v>0</v>
      </c>
      <c r="AG384" s="965">
        <f t="shared" si="275"/>
        <v>0</v>
      </c>
      <c r="AH384" s="965">
        <f t="shared" si="275"/>
        <v>0</v>
      </c>
      <c r="AI384" s="965">
        <f t="shared" si="275"/>
        <v>0</v>
      </c>
      <c r="AJ384" s="965">
        <f t="shared" si="275"/>
        <v>0</v>
      </c>
      <c r="AK384" s="965">
        <f t="shared" si="275"/>
        <v>0</v>
      </c>
      <c r="AL384" s="965">
        <f t="shared" si="275"/>
        <v>0</v>
      </c>
      <c r="AM384" s="965">
        <f t="shared" si="275"/>
        <v>0</v>
      </c>
      <c r="AN384" s="965">
        <f t="shared" si="275"/>
        <v>0</v>
      </c>
      <c r="AO384" s="965">
        <f t="shared" si="275"/>
        <v>0</v>
      </c>
      <c r="AP384" s="965">
        <f t="shared" si="275"/>
        <v>0</v>
      </c>
      <c r="AQ384" s="965">
        <f t="shared" si="275"/>
        <v>0</v>
      </c>
      <c r="AR384" s="965">
        <f t="shared" si="275"/>
        <v>0</v>
      </c>
      <c r="AS384" s="965">
        <f t="shared" si="275"/>
        <v>0</v>
      </c>
      <c r="AT384" s="965">
        <f t="shared" si="275"/>
        <v>0</v>
      </c>
    </row>
    <row r="385" spans="2:46" x14ac:dyDescent="0.25">
      <c r="B385" s="831" t="str">
        <f t="shared" ref="B385:AT385" si="276">B81</f>
        <v>Activos iniciales - Depreciacion 5 años</v>
      </c>
      <c r="C385" s="965">
        <f t="shared" si="276"/>
        <v>0</v>
      </c>
      <c r="D385" s="965">
        <f t="shared" si="276"/>
        <v>0</v>
      </c>
      <c r="E385" s="965">
        <f t="shared" si="276"/>
        <v>0</v>
      </c>
      <c r="F385" s="965">
        <f t="shared" si="276"/>
        <v>0</v>
      </c>
      <c r="G385" s="965">
        <f t="shared" si="276"/>
        <v>-172591.88242842152</v>
      </c>
      <c r="H385" s="965">
        <f t="shared" si="276"/>
        <v>-172591.88242842152</v>
      </c>
      <c r="I385" s="965">
        <f t="shared" si="276"/>
        <v>-172591.88242842152</v>
      </c>
      <c r="J385" s="965">
        <f t="shared" si="276"/>
        <v>-172591.88242842152</v>
      </c>
      <c r="K385" s="965">
        <f t="shared" si="276"/>
        <v>-172591.88242842152</v>
      </c>
      <c r="L385" s="965">
        <f t="shared" si="276"/>
        <v>0</v>
      </c>
      <c r="M385" s="965">
        <f t="shared" si="276"/>
        <v>0</v>
      </c>
      <c r="N385" s="965">
        <f t="shared" si="276"/>
        <v>0</v>
      </c>
      <c r="O385" s="965">
        <f t="shared" si="276"/>
        <v>0</v>
      </c>
      <c r="P385" s="965">
        <f t="shared" si="276"/>
        <v>0</v>
      </c>
      <c r="Q385" s="965">
        <f t="shared" si="276"/>
        <v>0</v>
      </c>
      <c r="R385" s="965">
        <f t="shared" si="276"/>
        <v>0</v>
      </c>
      <c r="S385" s="965">
        <f t="shared" si="276"/>
        <v>0</v>
      </c>
      <c r="T385" s="965">
        <f t="shared" si="276"/>
        <v>0</v>
      </c>
      <c r="U385" s="965">
        <f t="shared" si="276"/>
        <v>0</v>
      </c>
      <c r="V385" s="965">
        <f t="shared" si="276"/>
        <v>0</v>
      </c>
      <c r="W385" s="965">
        <f t="shared" si="276"/>
        <v>0</v>
      </c>
      <c r="X385" s="965">
        <f t="shared" si="276"/>
        <v>0</v>
      </c>
      <c r="Y385" s="965">
        <f t="shared" si="276"/>
        <v>0</v>
      </c>
      <c r="Z385" s="965">
        <f t="shared" si="276"/>
        <v>0</v>
      </c>
      <c r="AA385" s="965">
        <f t="shared" si="276"/>
        <v>0</v>
      </c>
      <c r="AB385" s="965">
        <f t="shared" si="276"/>
        <v>0</v>
      </c>
      <c r="AC385" s="965">
        <f t="shared" si="276"/>
        <v>0</v>
      </c>
      <c r="AD385" s="965">
        <f t="shared" si="276"/>
        <v>0</v>
      </c>
      <c r="AE385" s="965">
        <f t="shared" si="276"/>
        <v>0</v>
      </c>
      <c r="AF385" s="965">
        <f t="shared" si="276"/>
        <v>0</v>
      </c>
      <c r="AG385" s="965">
        <f t="shared" si="276"/>
        <v>0</v>
      </c>
      <c r="AH385" s="965">
        <f t="shared" si="276"/>
        <v>0</v>
      </c>
      <c r="AI385" s="965">
        <f t="shared" si="276"/>
        <v>0</v>
      </c>
      <c r="AJ385" s="965">
        <f t="shared" si="276"/>
        <v>0</v>
      </c>
      <c r="AK385" s="965">
        <f t="shared" si="276"/>
        <v>0</v>
      </c>
      <c r="AL385" s="965">
        <f t="shared" si="276"/>
        <v>0</v>
      </c>
      <c r="AM385" s="965">
        <f t="shared" si="276"/>
        <v>0</v>
      </c>
      <c r="AN385" s="965">
        <f t="shared" si="276"/>
        <v>0</v>
      </c>
      <c r="AO385" s="965">
        <f t="shared" si="276"/>
        <v>0</v>
      </c>
      <c r="AP385" s="965">
        <f t="shared" si="276"/>
        <v>0</v>
      </c>
      <c r="AQ385" s="965">
        <f t="shared" si="276"/>
        <v>0</v>
      </c>
      <c r="AR385" s="965">
        <f t="shared" si="276"/>
        <v>0</v>
      </c>
      <c r="AS385" s="965">
        <f t="shared" si="276"/>
        <v>0</v>
      </c>
      <c r="AT385" s="965">
        <f t="shared" si="276"/>
        <v>0</v>
      </c>
    </row>
    <row r="386" spans="2:46" x14ac:dyDescent="0.25">
      <c r="B386" s="831" t="str">
        <f t="shared" ref="B386:AT386" si="277">B82</f>
        <v>Activos iniciales - Valor residual</v>
      </c>
      <c r="C386" s="965">
        <f t="shared" si="277"/>
        <v>0</v>
      </c>
      <c r="D386" s="965">
        <f t="shared" si="277"/>
        <v>0</v>
      </c>
      <c r="E386" s="965">
        <f t="shared" si="277"/>
        <v>0</v>
      </c>
      <c r="F386" s="965">
        <f t="shared" si="277"/>
        <v>0</v>
      </c>
      <c r="G386" s="965">
        <f t="shared" si="277"/>
        <v>111877413.20910615</v>
      </c>
      <c r="H386" s="965">
        <f t="shared" si="277"/>
        <v>108686816.68843697</v>
      </c>
      <c r="I386" s="965">
        <f t="shared" si="277"/>
        <v>105496220.16776779</v>
      </c>
      <c r="J386" s="965">
        <f t="shared" si="277"/>
        <v>102305623.64709862</v>
      </c>
      <c r="K386" s="965">
        <f t="shared" si="277"/>
        <v>99115027.126429439</v>
      </c>
      <c r="L386" s="965">
        <f t="shared" si="277"/>
        <v>96097022.488188684</v>
      </c>
      <c r="M386" s="965">
        <f t="shared" si="277"/>
        <v>93079017.849947929</v>
      </c>
      <c r="N386" s="965">
        <f t="shared" si="277"/>
        <v>90061013.211707175</v>
      </c>
      <c r="O386" s="965">
        <f t="shared" si="277"/>
        <v>87043008.57346642</v>
      </c>
      <c r="P386" s="965">
        <f t="shared" si="277"/>
        <v>84025003.935225666</v>
      </c>
      <c r="Q386" s="965">
        <f t="shared" si="277"/>
        <v>81294706.415544689</v>
      </c>
      <c r="R386" s="965">
        <f t="shared" si="277"/>
        <v>78564408.895863712</v>
      </c>
      <c r="S386" s="965">
        <f t="shared" si="277"/>
        <v>75834111.376182735</v>
      </c>
      <c r="T386" s="965">
        <f t="shared" si="277"/>
        <v>73103813.856501758</v>
      </c>
      <c r="U386" s="965">
        <f t="shared" si="277"/>
        <v>70373516.336820781</v>
      </c>
      <c r="V386" s="965">
        <f t="shared" si="277"/>
        <v>68410718.836578205</v>
      </c>
      <c r="W386" s="965">
        <f t="shared" si="277"/>
        <v>66447921.336335629</v>
      </c>
      <c r="X386" s="965">
        <f t="shared" si="277"/>
        <v>64485123.836093053</v>
      </c>
      <c r="Y386" s="965">
        <f t="shared" si="277"/>
        <v>62522326.335850477</v>
      </c>
      <c r="Z386" s="965">
        <f t="shared" si="277"/>
        <v>60559528.835607901</v>
      </c>
      <c r="AA386" s="965">
        <f t="shared" si="277"/>
        <v>58596731.335365325</v>
      </c>
      <c r="AB386" s="965">
        <f t="shared" si="277"/>
        <v>56633933.835122749</v>
      </c>
      <c r="AC386" s="965">
        <f t="shared" si="277"/>
        <v>54671136.334880173</v>
      </c>
      <c r="AD386" s="965">
        <f t="shared" si="277"/>
        <v>52708338.834637597</v>
      </c>
      <c r="AE386" s="965">
        <f t="shared" si="277"/>
        <v>50745541.334395021</v>
      </c>
      <c r="AF386" s="965">
        <f t="shared" si="277"/>
        <v>48782743.834152445</v>
      </c>
      <c r="AG386" s="965">
        <f t="shared" si="277"/>
        <v>46819946.333909869</v>
      </c>
      <c r="AH386" s="965">
        <f t="shared" si="277"/>
        <v>44857148.833667293</v>
      </c>
      <c r="AI386" s="965">
        <f t="shared" si="277"/>
        <v>42894351.333424717</v>
      </c>
      <c r="AJ386" s="965">
        <f t="shared" si="277"/>
        <v>40931553.833182141</v>
      </c>
      <c r="AK386" s="965">
        <f t="shared" si="277"/>
        <v>38968756.332939565</v>
      </c>
      <c r="AL386" s="965">
        <f t="shared" si="277"/>
        <v>37005958.832696989</v>
      </c>
      <c r="AM386" s="965">
        <f t="shared" si="277"/>
        <v>35043161.332454413</v>
      </c>
      <c r="AN386" s="965">
        <f t="shared" si="277"/>
        <v>33080363.832211837</v>
      </c>
      <c r="AO386" s="965">
        <f t="shared" si="277"/>
        <v>31117566.331969261</v>
      </c>
      <c r="AP386" s="965">
        <f t="shared" si="277"/>
        <v>29154768.831726685</v>
      </c>
      <c r="AQ386" s="965">
        <f t="shared" si="277"/>
        <v>27191971.331484109</v>
      </c>
      <c r="AR386" s="965">
        <f t="shared" si="277"/>
        <v>25229173.831241533</v>
      </c>
      <c r="AS386" s="965">
        <f t="shared" si="277"/>
        <v>23266376.330998957</v>
      </c>
      <c r="AT386" s="965">
        <f t="shared" si="277"/>
        <v>21303578.830756381</v>
      </c>
    </row>
    <row r="387" spans="2:46" x14ac:dyDescent="0.25">
      <c r="B387" s="831" t="str">
        <f t="shared" ref="B387:AT387" si="278">B83</f>
        <v>Activos nuevos 1 - Depreciacion 10 años</v>
      </c>
      <c r="C387" s="965">
        <f t="shared" si="278"/>
        <v>0</v>
      </c>
      <c r="D387" s="965">
        <f t="shared" si="278"/>
        <v>0</v>
      </c>
      <c r="E387" s="965">
        <f t="shared" si="278"/>
        <v>0</v>
      </c>
      <c r="F387" s="965">
        <f t="shared" si="278"/>
        <v>0</v>
      </c>
      <c r="G387" s="965">
        <f t="shared" si="278"/>
        <v>0</v>
      </c>
      <c r="H387" s="965">
        <f t="shared" si="278"/>
        <v>0</v>
      </c>
      <c r="I387" s="965">
        <f t="shared" si="278"/>
        <v>0</v>
      </c>
      <c r="J387" s="965">
        <f t="shared" si="278"/>
        <v>0</v>
      </c>
      <c r="K387" s="965">
        <f t="shared" si="278"/>
        <v>0</v>
      </c>
      <c r="L387" s="965">
        <f t="shared" si="278"/>
        <v>0</v>
      </c>
      <c r="M387" s="965">
        <f t="shared" si="278"/>
        <v>0</v>
      </c>
      <c r="N387" s="965">
        <f t="shared" si="278"/>
        <v>0</v>
      </c>
      <c r="O387" s="965">
        <f t="shared" si="278"/>
        <v>0</v>
      </c>
      <c r="P387" s="965">
        <f t="shared" si="278"/>
        <v>0</v>
      </c>
      <c r="Q387" s="965">
        <f t="shared" si="278"/>
        <v>0</v>
      </c>
      <c r="R387" s="965">
        <f t="shared" si="278"/>
        <v>-358972.64507720724</v>
      </c>
      <c r="S387" s="965">
        <f t="shared" si="278"/>
        <v>-358972.64507720724</v>
      </c>
      <c r="T387" s="965">
        <f t="shared" si="278"/>
        <v>-358972.64507720724</v>
      </c>
      <c r="U387" s="965">
        <f t="shared" si="278"/>
        <v>-358972.64507720724</v>
      </c>
      <c r="V387" s="965">
        <f t="shared" si="278"/>
        <v>-358972.64507720724</v>
      </c>
      <c r="W387" s="965">
        <f t="shared" si="278"/>
        <v>-358972.64507720724</v>
      </c>
      <c r="X387" s="965">
        <f t="shared" si="278"/>
        <v>-358972.64507720724</v>
      </c>
      <c r="Y387" s="965">
        <f t="shared" si="278"/>
        <v>-358972.64507720724</v>
      </c>
      <c r="Z387" s="965">
        <f t="shared" si="278"/>
        <v>-358972.64507720724</v>
      </c>
      <c r="AA387" s="965">
        <f t="shared" si="278"/>
        <v>-358972.64507720724</v>
      </c>
      <c r="AB387" s="965">
        <f t="shared" si="278"/>
        <v>-358972.64507720724</v>
      </c>
      <c r="AC387" s="965">
        <f t="shared" si="278"/>
        <v>0</v>
      </c>
      <c r="AD387" s="965">
        <f t="shared" si="278"/>
        <v>0</v>
      </c>
      <c r="AE387" s="965">
        <f t="shared" si="278"/>
        <v>0</v>
      </c>
      <c r="AF387" s="965">
        <f t="shared" si="278"/>
        <v>0</v>
      </c>
      <c r="AG387" s="965">
        <f t="shared" si="278"/>
        <v>0</v>
      </c>
      <c r="AH387" s="965">
        <f t="shared" si="278"/>
        <v>0</v>
      </c>
      <c r="AI387" s="965">
        <f t="shared" si="278"/>
        <v>0</v>
      </c>
      <c r="AJ387" s="965">
        <f t="shared" si="278"/>
        <v>0</v>
      </c>
      <c r="AK387" s="965">
        <f t="shared" si="278"/>
        <v>0</v>
      </c>
      <c r="AL387" s="965">
        <f t="shared" si="278"/>
        <v>0</v>
      </c>
      <c r="AM387" s="965">
        <f t="shared" si="278"/>
        <v>0</v>
      </c>
      <c r="AN387" s="965">
        <f t="shared" si="278"/>
        <v>0</v>
      </c>
      <c r="AO387" s="965">
        <f t="shared" si="278"/>
        <v>0</v>
      </c>
      <c r="AP387" s="965">
        <f t="shared" si="278"/>
        <v>0</v>
      </c>
      <c r="AQ387" s="965">
        <f t="shared" si="278"/>
        <v>0</v>
      </c>
      <c r="AR387" s="965">
        <f t="shared" si="278"/>
        <v>0</v>
      </c>
      <c r="AS387" s="965">
        <f t="shared" si="278"/>
        <v>0</v>
      </c>
      <c r="AT387" s="965">
        <f t="shared" si="278"/>
        <v>0</v>
      </c>
    </row>
    <row r="388" spans="2:46" x14ac:dyDescent="0.25">
      <c r="B388" s="831" t="str">
        <f t="shared" ref="B388:AT388" si="279">B84</f>
        <v>Activos nuevos 1 - Valor residual</v>
      </c>
      <c r="C388" s="965">
        <f t="shared" si="279"/>
        <v>0</v>
      </c>
      <c r="D388" s="965">
        <f t="shared" si="279"/>
        <v>0</v>
      </c>
      <c r="E388" s="965">
        <f t="shared" si="279"/>
        <v>0</v>
      </c>
      <c r="F388" s="965">
        <f t="shared" si="279"/>
        <v>0</v>
      </c>
      <c r="G388" s="965">
        <f t="shared" si="279"/>
        <v>0</v>
      </c>
      <c r="H388" s="965">
        <f t="shared" si="279"/>
        <v>0</v>
      </c>
      <c r="I388" s="965">
        <f t="shared" si="279"/>
        <v>0</v>
      </c>
      <c r="J388" s="965">
        <f t="shared" si="279"/>
        <v>0</v>
      </c>
      <c r="K388" s="965">
        <f t="shared" si="279"/>
        <v>0</v>
      </c>
      <c r="L388" s="965">
        <f t="shared" si="279"/>
        <v>0</v>
      </c>
      <c r="M388" s="965">
        <f t="shared" si="279"/>
        <v>0</v>
      </c>
      <c r="N388" s="965">
        <f t="shared" si="279"/>
        <v>0</v>
      </c>
      <c r="O388" s="965">
        <f t="shared" si="279"/>
        <v>0</v>
      </c>
      <c r="P388" s="965">
        <f t="shared" si="279"/>
        <v>0</v>
      </c>
      <c r="Q388" s="965">
        <f t="shared" si="279"/>
        <v>0</v>
      </c>
      <c r="R388" s="965">
        <f t="shared" si="279"/>
        <v>3589726.4507720722</v>
      </c>
      <c r="S388" s="965">
        <f t="shared" si="279"/>
        <v>3230753.8056948651</v>
      </c>
      <c r="T388" s="965">
        <f t="shared" si="279"/>
        <v>2871781.1606176579</v>
      </c>
      <c r="U388" s="965">
        <f t="shared" si="279"/>
        <v>2512808.5155404508</v>
      </c>
      <c r="V388" s="965">
        <f t="shared" si="279"/>
        <v>2153835.8704632437</v>
      </c>
      <c r="W388" s="965">
        <f t="shared" si="279"/>
        <v>1794863.2253860366</v>
      </c>
      <c r="X388" s="965">
        <f t="shared" si="279"/>
        <v>1435890.5803088294</v>
      </c>
      <c r="Y388" s="965">
        <f t="shared" si="279"/>
        <v>1076917.9352316223</v>
      </c>
      <c r="Z388" s="965">
        <f t="shared" si="279"/>
        <v>717945.29015441507</v>
      </c>
      <c r="AA388" s="965">
        <f t="shared" si="279"/>
        <v>358972.64507720782</v>
      </c>
      <c r="AB388" s="965">
        <f t="shared" si="279"/>
        <v>5.8207660913467407E-10</v>
      </c>
      <c r="AC388" s="965">
        <f t="shared" si="279"/>
        <v>0</v>
      </c>
      <c r="AD388" s="965">
        <f t="shared" si="279"/>
        <v>0</v>
      </c>
      <c r="AE388" s="965">
        <f t="shared" si="279"/>
        <v>0</v>
      </c>
      <c r="AF388" s="965">
        <f t="shared" si="279"/>
        <v>0</v>
      </c>
      <c r="AG388" s="965">
        <f t="shared" si="279"/>
        <v>0</v>
      </c>
      <c r="AH388" s="965">
        <f t="shared" si="279"/>
        <v>0</v>
      </c>
      <c r="AI388" s="965">
        <f t="shared" si="279"/>
        <v>0</v>
      </c>
      <c r="AJ388" s="965">
        <f t="shared" si="279"/>
        <v>0</v>
      </c>
      <c r="AK388" s="965">
        <f t="shared" si="279"/>
        <v>0</v>
      </c>
      <c r="AL388" s="965">
        <f t="shared" si="279"/>
        <v>0</v>
      </c>
      <c r="AM388" s="965">
        <f t="shared" si="279"/>
        <v>0</v>
      </c>
      <c r="AN388" s="965">
        <f t="shared" si="279"/>
        <v>0</v>
      </c>
      <c r="AO388" s="965">
        <f t="shared" si="279"/>
        <v>0</v>
      </c>
      <c r="AP388" s="965">
        <f t="shared" si="279"/>
        <v>0</v>
      </c>
      <c r="AQ388" s="965">
        <f t="shared" si="279"/>
        <v>0</v>
      </c>
      <c r="AR388" s="965">
        <f t="shared" si="279"/>
        <v>0</v>
      </c>
      <c r="AS388" s="965">
        <f t="shared" si="279"/>
        <v>0</v>
      </c>
      <c r="AT388" s="965">
        <f t="shared" si="279"/>
        <v>0</v>
      </c>
    </row>
    <row r="389" spans="2:46" x14ac:dyDescent="0.25">
      <c r="B389" s="831" t="str">
        <f t="shared" ref="B389:AT389" si="280">B85</f>
        <v>Activos nuevos 2 - Depreciacion 15 años</v>
      </c>
      <c r="C389" s="965">
        <f t="shared" si="280"/>
        <v>0</v>
      </c>
      <c r="D389" s="965">
        <f t="shared" si="280"/>
        <v>0</v>
      </c>
      <c r="E389" s="965">
        <f t="shared" si="280"/>
        <v>0</v>
      </c>
      <c r="F389" s="965">
        <f t="shared" si="280"/>
        <v>0</v>
      </c>
      <c r="G389" s="965">
        <f t="shared" si="280"/>
        <v>0</v>
      </c>
      <c r="H389" s="965">
        <f t="shared" si="280"/>
        <v>0</v>
      </c>
      <c r="I389" s="965">
        <f t="shared" si="280"/>
        <v>0</v>
      </c>
      <c r="J389" s="965">
        <f t="shared" si="280"/>
        <v>0</v>
      </c>
      <c r="K389" s="965">
        <f t="shared" si="280"/>
        <v>0</v>
      </c>
      <c r="L389" s="965">
        <f t="shared" si="280"/>
        <v>0</v>
      </c>
      <c r="M389" s="965">
        <f t="shared" si="280"/>
        <v>0</v>
      </c>
      <c r="N389" s="965">
        <f t="shared" si="280"/>
        <v>0</v>
      </c>
      <c r="O389" s="965">
        <f t="shared" si="280"/>
        <v>0</v>
      </c>
      <c r="P389" s="965">
        <f t="shared" si="280"/>
        <v>0</v>
      </c>
      <c r="Q389" s="965">
        <f t="shared" si="280"/>
        <v>0</v>
      </c>
      <c r="R389" s="965">
        <f t="shared" si="280"/>
        <v>0</v>
      </c>
      <c r="S389" s="965">
        <f t="shared" si="280"/>
        <v>0</v>
      </c>
      <c r="T389" s="965">
        <f t="shared" si="280"/>
        <v>0</v>
      </c>
      <c r="U389" s="965">
        <f t="shared" si="280"/>
        <v>0</v>
      </c>
      <c r="V389" s="965">
        <f t="shared" si="280"/>
        <v>0</v>
      </c>
      <c r="W389" s="965">
        <f t="shared" si="280"/>
        <v>0</v>
      </c>
      <c r="X389" s="965">
        <f t="shared" si="280"/>
        <v>-1079197.8260851221</v>
      </c>
      <c r="Y389" s="965">
        <f t="shared" si="280"/>
        <v>-1079197.8260851221</v>
      </c>
      <c r="Z389" s="965">
        <f t="shared" si="280"/>
        <v>-1079197.8260851221</v>
      </c>
      <c r="AA389" s="965">
        <f t="shared" si="280"/>
        <v>-1079197.8260851221</v>
      </c>
      <c r="AB389" s="965">
        <f t="shared" si="280"/>
        <v>-1079197.8260851221</v>
      </c>
      <c r="AC389" s="965">
        <f t="shared" si="280"/>
        <v>-1079197.8260851221</v>
      </c>
      <c r="AD389" s="965">
        <f t="shared" si="280"/>
        <v>-1079197.8260851221</v>
      </c>
      <c r="AE389" s="965">
        <f t="shared" si="280"/>
        <v>-1079197.8260851221</v>
      </c>
      <c r="AF389" s="965">
        <f t="shared" si="280"/>
        <v>-1079197.8260851221</v>
      </c>
      <c r="AG389" s="965">
        <f t="shared" si="280"/>
        <v>-1079197.8260851221</v>
      </c>
      <c r="AH389" s="965">
        <f t="shared" si="280"/>
        <v>-1079197.8260851221</v>
      </c>
      <c r="AI389" s="965">
        <f t="shared" si="280"/>
        <v>-1079197.8260851221</v>
      </c>
      <c r="AJ389" s="965">
        <f t="shared" si="280"/>
        <v>-1079197.8260851221</v>
      </c>
      <c r="AK389" s="965">
        <f t="shared" si="280"/>
        <v>-1079197.8260851221</v>
      </c>
      <c r="AL389" s="965">
        <f t="shared" si="280"/>
        <v>-1079197.8260851221</v>
      </c>
      <c r="AM389" s="965">
        <f t="shared" si="280"/>
        <v>0</v>
      </c>
      <c r="AN389" s="965">
        <f t="shared" si="280"/>
        <v>0</v>
      </c>
      <c r="AO389" s="965">
        <f t="shared" si="280"/>
        <v>0</v>
      </c>
      <c r="AP389" s="965">
        <f t="shared" si="280"/>
        <v>0</v>
      </c>
      <c r="AQ389" s="965">
        <f t="shared" si="280"/>
        <v>0</v>
      </c>
      <c r="AR389" s="965">
        <f t="shared" si="280"/>
        <v>0</v>
      </c>
      <c r="AS389" s="965">
        <f t="shared" si="280"/>
        <v>0</v>
      </c>
      <c r="AT389" s="965">
        <f t="shared" si="280"/>
        <v>0</v>
      </c>
    </row>
    <row r="390" spans="2:46" x14ac:dyDescent="0.25">
      <c r="B390" s="831" t="str">
        <f t="shared" ref="B390:AT390" si="281">B86</f>
        <v>Activos nuevos 2 - Valor residual</v>
      </c>
      <c r="C390" s="965">
        <f t="shared" si="281"/>
        <v>0</v>
      </c>
      <c r="D390" s="965">
        <f t="shared" si="281"/>
        <v>0</v>
      </c>
      <c r="E390" s="965">
        <f t="shared" si="281"/>
        <v>0</v>
      </c>
      <c r="F390" s="965">
        <f t="shared" si="281"/>
        <v>0</v>
      </c>
      <c r="G390" s="965">
        <f t="shared" si="281"/>
        <v>0</v>
      </c>
      <c r="H390" s="965">
        <f t="shared" si="281"/>
        <v>0</v>
      </c>
      <c r="I390" s="965">
        <f t="shared" si="281"/>
        <v>0</v>
      </c>
      <c r="J390" s="965">
        <f t="shared" si="281"/>
        <v>0</v>
      </c>
      <c r="K390" s="965">
        <f t="shared" si="281"/>
        <v>0</v>
      </c>
      <c r="L390" s="965">
        <f t="shared" si="281"/>
        <v>0</v>
      </c>
      <c r="M390" s="965">
        <f t="shared" si="281"/>
        <v>0</v>
      </c>
      <c r="N390" s="965">
        <f t="shared" si="281"/>
        <v>0</v>
      </c>
      <c r="O390" s="965">
        <f t="shared" si="281"/>
        <v>0</v>
      </c>
      <c r="P390" s="965">
        <f t="shared" si="281"/>
        <v>0</v>
      </c>
      <c r="Q390" s="965">
        <f t="shared" si="281"/>
        <v>0</v>
      </c>
      <c r="R390" s="965">
        <f t="shared" si="281"/>
        <v>0</v>
      </c>
      <c r="S390" s="965">
        <f t="shared" si="281"/>
        <v>0</v>
      </c>
      <c r="T390" s="965">
        <f t="shared" si="281"/>
        <v>0</v>
      </c>
      <c r="U390" s="965">
        <f t="shared" si="281"/>
        <v>0</v>
      </c>
      <c r="V390" s="965">
        <f t="shared" si="281"/>
        <v>0</v>
      </c>
      <c r="W390" s="965">
        <f t="shared" si="281"/>
        <v>0</v>
      </c>
      <c r="X390" s="965">
        <f t="shared" si="281"/>
        <v>15108769.56519171</v>
      </c>
      <c r="Y390" s="965">
        <f t="shared" si="281"/>
        <v>14029571.739106588</v>
      </c>
      <c r="Z390" s="965">
        <f t="shared" si="281"/>
        <v>12950373.913021466</v>
      </c>
      <c r="AA390" s="965">
        <f t="shared" si="281"/>
        <v>11871176.086936343</v>
      </c>
      <c r="AB390" s="965">
        <f t="shared" si="281"/>
        <v>10791978.260851221</v>
      </c>
      <c r="AC390" s="965">
        <f t="shared" si="281"/>
        <v>9712780.4347660989</v>
      </c>
      <c r="AD390" s="965">
        <f t="shared" si="281"/>
        <v>8633582.6086809766</v>
      </c>
      <c r="AE390" s="965">
        <f t="shared" si="281"/>
        <v>7554384.7825958543</v>
      </c>
      <c r="AF390" s="965">
        <f t="shared" si="281"/>
        <v>6475186.956510732</v>
      </c>
      <c r="AG390" s="965">
        <f t="shared" si="281"/>
        <v>5395989.1304256096</v>
      </c>
      <c r="AH390" s="965">
        <f t="shared" si="281"/>
        <v>4316791.3043404873</v>
      </c>
      <c r="AI390" s="965">
        <f t="shared" si="281"/>
        <v>3237593.478255365</v>
      </c>
      <c r="AJ390" s="965">
        <f t="shared" si="281"/>
        <v>2158395.6521702427</v>
      </c>
      <c r="AK390" s="965">
        <f t="shared" si="281"/>
        <v>1079197.8260851207</v>
      </c>
      <c r="AL390" s="965">
        <f t="shared" si="281"/>
        <v>0</v>
      </c>
      <c r="AM390" s="965">
        <f t="shared" si="281"/>
        <v>0</v>
      </c>
      <c r="AN390" s="965">
        <f t="shared" si="281"/>
        <v>0</v>
      </c>
      <c r="AO390" s="965">
        <f t="shared" si="281"/>
        <v>0</v>
      </c>
      <c r="AP390" s="965">
        <f t="shared" si="281"/>
        <v>0</v>
      </c>
      <c r="AQ390" s="965">
        <f t="shared" si="281"/>
        <v>0</v>
      </c>
      <c r="AR390" s="965">
        <f t="shared" si="281"/>
        <v>0</v>
      </c>
      <c r="AS390" s="965">
        <f t="shared" si="281"/>
        <v>0</v>
      </c>
      <c r="AT390" s="965">
        <f t="shared" si="281"/>
        <v>0</v>
      </c>
    </row>
    <row r="391" spans="2:46" x14ac:dyDescent="0.25">
      <c r="B391" s="831" t="str">
        <f t="shared" ref="B391:AT391" si="282">B87</f>
        <v>Activos nuevos 3 - Depreciacion 10 años</v>
      </c>
      <c r="C391" s="965">
        <f t="shared" si="282"/>
        <v>0</v>
      </c>
      <c r="D391" s="965">
        <f t="shared" si="282"/>
        <v>0</v>
      </c>
      <c r="E391" s="965">
        <f t="shared" si="282"/>
        <v>0</v>
      </c>
      <c r="F391" s="965">
        <f t="shared" si="282"/>
        <v>0</v>
      </c>
      <c r="G391" s="965">
        <f t="shared" si="282"/>
        <v>0</v>
      </c>
      <c r="H391" s="965">
        <f t="shared" si="282"/>
        <v>0</v>
      </c>
      <c r="I391" s="965">
        <f t="shared" si="282"/>
        <v>0</v>
      </c>
      <c r="J391" s="965">
        <f t="shared" si="282"/>
        <v>0</v>
      </c>
      <c r="K391" s="965">
        <f t="shared" si="282"/>
        <v>0</v>
      </c>
      <c r="L391" s="965">
        <f t="shared" si="282"/>
        <v>0</v>
      </c>
      <c r="M391" s="965">
        <f t="shared" si="282"/>
        <v>0</v>
      </c>
      <c r="N391" s="965">
        <f t="shared" si="282"/>
        <v>0</v>
      </c>
      <c r="O391" s="965">
        <f t="shared" si="282"/>
        <v>0</v>
      </c>
      <c r="P391" s="965">
        <f t="shared" si="282"/>
        <v>0</v>
      </c>
      <c r="Q391" s="965">
        <f t="shared" si="282"/>
        <v>0</v>
      </c>
      <c r="R391" s="965">
        <f t="shared" si="282"/>
        <v>0</v>
      </c>
      <c r="S391" s="965">
        <f t="shared" si="282"/>
        <v>0</v>
      </c>
      <c r="T391" s="965">
        <f t="shared" si="282"/>
        <v>0</v>
      </c>
      <c r="U391" s="965">
        <f t="shared" si="282"/>
        <v>0</v>
      </c>
      <c r="V391" s="965">
        <f t="shared" si="282"/>
        <v>0</v>
      </c>
      <c r="W391" s="965">
        <f t="shared" si="282"/>
        <v>0</v>
      </c>
      <c r="X391" s="965">
        <f t="shared" si="282"/>
        <v>0</v>
      </c>
      <c r="Y391" s="965">
        <f t="shared" si="282"/>
        <v>0</v>
      </c>
      <c r="Z391" s="965">
        <f t="shared" si="282"/>
        <v>0</v>
      </c>
      <c r="AA391" s="965">
        <f t="shared" si="282"/>
        <v>0</v>
      </c>
      <c r="AB391" s="965">
        <f t="shared" si="282"/>
        <v>0</v>
      </c>
      <c r="AC391" s="965">
        <f t="shared" si="282"/>
        <v>-445437.27272720181</v>
      </c>
      <c r="AD391" s="965">
        <f t="shared" si="282"/>
        <v>-445437.27272720181</v>
      </c>
      <c r="AE391" s="965">
        <f t="shared" si="282"/>
        <v>-445437.27272720181</v>
      </c>
      <c r="AF391" s="965">
        <f t="shared" si="282"/>
        <v>-445437.27272720181</v>
      </c>
      <c r="AG391" s="965">
        <f t="shared" si="282"/>
        <v>-445437.27272720181</v>
      </c>
      <c r="AH391" s="965">
        <f t="shared" si="282"/>
        <v>-445437.27272720181</v>
      </c>
      <c r="AI391" s="965">
        <f t="shared" si="282"/>
        <v>-445437.27272720181</v>
      </c>
      <c r="AJ391" s="965">
        <f t="shared" si="282"/>
        <v>-445437.27272720181</v>
      </c>
      <c r="AK391" s="965">
        <f t="shared" si="282"/>
        <v>-445437.27272720181</v>
      </c>
      <c r="AL391" s="965">
        <f t="shared" si="282"/>
        <v>-445437.27272720181</v>
      </c>
      <c r="AM391" s="965">
        <f t="shared" si="282"/>
        <v>-445437.27272720181</v>
      </c>
      <c r="AN391" s="965">
        <f t="shared" si="282"/>
        <v>0</v>
      </c>
      <c r="AO391" s="965">
        <f t="shared" si="282"/>
        <v>0</v>
      </c>
      <c r="AP391" s="965">
        <f t="shared" si="282"/>
        <v>0</v>
      </c>
      <c r="AQ391" s="965">
        <f t="shared" si="282"/>
        <v>0</v>
      </c>
      <c r="AR391" s="965">
        <f t="shared" si="282"/>
        <v>0</v>
      </c>
      <c r="AS391" s="965">
        <f t="shared" si="282"/>
        <v>0</v>
      </c>
      <c r="AT391" s="965">
        <f t="shared" si="282"/>
        <v>0</v>
      </c>
    </row>
    <row r="392" spans="2:46" x14ac:dyDescent="0.25">
      <c r="B392" s="831" t="str">
        <f t="shared" ref="B392:AT392" si="283">B88</f>
        <v>Activos nuevos 3 - Valor residual</v>
      </c>
      <c r="C392" s="965">
        <f t="shared" si="283"/>
        <v>0</v>
      </c>
      <c r="D392" s="965">
        <f t="shared" si="283"/>
        <v>0</v>
      </c>
      <c r="E392" s="965">
        <f t="shared" si="283"/>
        <v>0</v>
      </c>
      <c r="F392" s="965">
        <f t="shared" si="283"/>
        <v>0</v>
      </c>
      <c r="G392" s="965">
        <f t="shared" si="283"/>
        <v>0</v>
      </c>
      <c r="H392" s="965">
        <f t="shared" si="283"/>
        <v>0</v>
      </c>
      <c r="I392" s="965">
        <f t="shared" si="283"/>
        <v>0</v>
      </c>
      <c r="J392" s="965">
        <f t="shared" si="283"/>
        <v>0</v>
      </c>
      <c r="K392" s="965">
        <f t="shared" si="283"/>
        <v>0</v>
      </c>
      <c r="L392" s="965">
        <f t="shared" si="283"/>
        <v>0</v>
      </c>
      <c r="M392" s="965">
        <f t="shared" si="283"/>
        <v>0</v>
      </c>
      <c r="N392" s="965">
        <f t="shared" si="283"/>
        <v>0</v>
      </c>
      <c r="O392" s="965">
        <f t="shared" si="283"/>
        <v>0</v>
      </c>
      <c r="P392" s="965">
        <f t="shared" si="283"/>
        <v>0</v>
      </c>
      <c r="Q392" s="965">
        <f t="shared" si="283"/>
        <v>0</v>
      </c>
      <c r="R392" s="965">
        <f t="shared" si="283"/>
        <v>0</v>
      </c>
      <c r="S392" s="965">
        <f t="shared" si="283"/>
        <v>0</v>
      </c>
      <c r="T392" s="965">
        <f t="shared" si="283"/>
        <v>0</v>
      </c>
      <c r="U392" s="965">
        <f t="shared" si="283"/>
        <v>0</v>
      </c>
      <c r="V392" s="965">
        <f t="shared" si="283"/>
        <v>0</v>
      </c>
      <c r="W392" s="965">
        <f t="shared" si="283"/>
        <v>0</v>
      </c>
      <c r="X392" s="965">
        <f t="shared" si="283"/>
        <v>0</v>
      </c>
      <c r="Y392" s="965">
        <f t="shared" si="283"/>
        <v>0</v>
      </c>
      <c r="Z392" s="965">
        <f t="shared" si="283"/>
        <v>0</v>
      </c>
      <c r="AA392" s="965">
        <f t="shared" si="283"/>
        <v>0</v>
      </c>
      <c r="AB392" s="965">
        <f t="shared" si="283"/>
        <v>0</v>
      </c>
      <c r="AC392" s="965">
        <f t="shared" si="283"/>
        <v>4454372.7272720179</v>
      </c>
      <c r="AD392" s="965">
        <f t="shared" si="283"/>
        <v>4008935.4545448162</v>
      </c>
      <c r="AE392" s="965">
        <f t="shared" si="283"/>
        <v>3563498.1818176145</v>
      </c>
      <c r="AF392" s="965">
        <f t="shared" si="283"/>
        <v>3118060.9090904128</v>
      </c>
      <c r="AG392" s="965">
        <f t="shared" si="283"/>
        <v>2672623.6363632111</v>
      </c>
      <c r="AH392" s="965">
        <f t="shared" si="283"/>
        <v>2227186.3636360094</v>
      </c>
      <c r="AI392" s="965">
        <f t="shared" si="283"/>
        <v>1781749.0909088077</v>
      </c>
      <c r="AJ392" s="965">
        <f t="shared" si="283"/>
        <v>1336311.818181606</v>
      </c>
      <c r="AK392" s="965">
        <f t="shared" si="283"/>
        <v>890874.5454544042</v>
      </c>
      <c r="AL392" s="965">
        <f t="shared" si="283"/>
        <v>445437.27272720239</v>
      </c>
      <c r="AM392" s="965">
        <f t="shared" si="283"/>
        <v>5.8207660913467407E-10</v>
      </c>
      <c r="AN392" s="965">
        <f t="shared" si="283"/>
        <v>0</v>
      </c>
      <c r="AO392" s="965">
        <f t="shared" si="283"/>
        <v>0</v>
      </c>
      <c r="AP392" s="965">
        <f t="shared" si="283"/>
        <v>0</v>
      </c>
      <c r="AQ392" s="965">
        <f t="shared" si="283"/>
        <v>0</v>
      </c>
      <c r="AR392" s="965">
        <f t="shared" si="283"/>
        <v>0</v>
      </c>
      <c r="AS392" s="965">
        <f t="shared" si="283"/>
        <v>0</v>
      </c>
      <c r="AT392" s="965">
        <f t="shared" si="283"/>
        <v>0</v>
      </c>
    </row>
    <row r="393" spans="2:46" x14ac:dyDescent="0.25">
      <c r="B393" s="831" t="str">
        <f t="shared" ref="B393:AT393" si="284">B89</f>
        <v>Activos nuevos 4 - Depreciacion 15 años</v>
      </c>
      <c r="C393" s="965">
        <f t="shared" si="284"/>
        <v>0</v>
      </c>
      <c r="D393" s="965">
        <f t="shared" si="284"/>
        <v>0</v>
      </c>
      <c r="E393" s="965">
        <f t="shared" si="284"/>
        <v>0</v>
      </c>
      <c r="F393" s="965">
        <f t="shared" si="284"/>
        <v>0</v>
      </c>
      <c r="G393" s="965">
        <f t="shared" si="284"/>
        <v>0</v>
      </c>
      <c r="H393" s="965">
        <f t="shared" si="284"/>
        <v>0</v>
      </c>
      <c r="I393" s="965">
        <f t="shared" si="284"/>
        <v>0</v>
      </c>
      <c r="J393" s="965">
        <f t="shared" si="284"/>
        <v>0</v>
      </c>
      <c r="K393" s="965">
        <f t="shared" si="284"/>
        <v>0</v>
      </c>
      <c r="L393" s="965">
        <f t="shared" si="284"/>
        <v>0</v>
      </c>
      <c r="M393" s="965">
        <f t="shared" si="284"/>
        <v>0</v>
      </c>
      <c r="N393" s="965">
        <f t="shared" si="284"/>
        <v>0</v>
      </c>
      <c r="O393" s="965">
        <f t="shared" si="284"/>
        <v>0</v>
      </c>
      <c r="P393" s="965">
        <f t="shared" si="284"/>
        <v>0</v>
      </c>
      <c r="Q393" s="965">
        <f t="shared" si="284"/>
        <v>0</v>
      </c>
      <c r="R393" s="965">
        <f t="shared" si="284"/>
        <v>0</v>
      </c>
      <c r="S393" s="965">
        <f t="shared" si="284"/>
        <v>0</v>
      </c>
      <c r="T393" s="965">
        <f t="shared" si="284"/>
        <v>0</v>
      </c>
      <c r="U393" s="965">
        <f t="shared" si="284"/>
        <v>0</v>
      </c>
      <c r="V393" s="965">
        <f t="shared" si="284"/>
        <v>0</v>
      </c>
      <c r="W393" s="965">
        <f t="shared" si="284"/>
        <v>0</v>
      </c>
      <c r="X393" s="965">
        <f t="shared" si="284"/>
        <v>0</v>
      </c>
      <c r="Y393" s="965">
        <f t="shared" si="284"/>
        <v>0</v>
      </c>
      <c r="Z393" s="965">
        <f t="shared" si="284"/>
        <v>0</v>
      </c>
      <c r="AA393" s="965">
        <f t="shared" si="284"/>
        <v>0</v>
      </c>
      <c r="AB393" s="965">
        <f t="shared" si="284"/>
        <v>0</v>
      </c>
      <c r="AC393" s="965">
        <f t="shared" si="284"/>
        <v>0</v>
      </c>
      <c r="AD393" s="965">
        <f t="shared" si="284"/>
        <v>0</v>
      </c>
      <c r="AE393" s="965">
        <f t="shared" si="284"/>
        <v>0</v>
      </c>
      <c r="AF393" s="965">
        <f t="shared" si="284"/>
        <v>0</v>
      </c>
      <c r="AG393" s="965">
        <f t="shared" si="284"/>
        <v>0</v>
      </c>
      <c r="AH393" s="965">
        <f t="shared" si="284"/>
        <v>0</v>
      </c>
      <c r="AI393" s="965">
        <f t="shared" si="284"/>
        <v>0</v>
      </c>
      <c r="AJ393" s="965">
        <f t="shared" si="284"/>
        <v>0</v>
      </c>
      <c r="AK393" s="965">
        <f t="shared" si="284"/>
        <v>0</v>
      </c>
      <c r="AL393" s="965">
        <f t="shared" si="284"/>
        <v>0</v>
      </c>
      <c r="AM393" s="965">
        <f t="shared" si="284"/>
        <v>0</v>
      </c>
      <c r="AN393" s="965">
        <f t="shared" si="284"/>
        <v>0</v>
      </c>
      <c r="AO393" s="965">
        <f t="shared" si="284"/>
        <v>-1972868.1729611468</v>
      </c>
      <c r="AP393" s="965">
        <f t="shared" si="284"/>
        <v>-1972868.1729611468</v>
      </c>
      <c r="AQ393" s="965">
        <f t="shared" si="284"/>
        <v>-1972868.1729611468</v>
      </c>
      <c r="AR393" s="965">
        <f t="shared" si="284"/>
        <v>-1972868.1729611468</v>
      </c>
      <c r="AS393" s="965">
        <f t="shared" si="284"/>
        <v>-1972868.1729611468</v>
      </c>
      <c r="AT393" s="965">
        <f t="shared" si="284"/>
        <v>-1972868.1729611468</v>
      </c>
    </row>
    <row r="394" spans="2:46" x14ac:dyDescent="0.25">
      <c r="B394" s="846" t="str">
        <f t="shared" ref="B394:AT394" si="285">B90</f>
        <v>Activos nuevos 4 - Valor residual</v>
      </c>
      <c r="C394" s="968">
        <f t="shared" si="285"/>
        <v>0</v>
      </c>
      <c r="D394" s="968">
        <f t="shared" si="285"/>
        <v>0</v>
      </c>
      <c r="E394" s="968">
        <f t="shared" si="285"/>
        <v>0</v>
      </c>
      <c r="F394" s="968">
        <f t="shared" si="285"/>
        <v>0</v>
      </c>
      <c r="G394" s="968">
        <f t="shared" si="285"/>
        <v>0</v>
      </c>
      <c r="H394" s="968">
        <f t="shared" si="285"/>
        <v>0</v>
      </c>
      <c r="I394" s="968">
        <f t="shared" si="285"/>
        <v>0</v>
      </c>
      <c r="J394" s="968">
        <f t="shared" si="285"/>
        <v>0</v>
      </c>
      <c r="K394" s="968">
        <f t="shared" si="285"/>
        <v>0</v>
      </c>
      <c r="L394" s="968">
        <f t="shared" si="285"/>
        <v>0</v>
      </c>
      <c r="M394" s="968">
        <f t="shared" si="285"/>
        <v>0</v>
      </c>
      <c r="N394" s="968">
        <f t="shared" si="285"/>
        <v>0</v>
      </c>
      <c r="O394" s="968">
        <f t="shared" si="285"/>
        <v>0</v>
      </c>
      <c r="P394" s="968">
        <f t="shared" si="285"/>
        <v>0</v>
      </c>
      <c r="Q394" s="968">
        <f t="shared" si="285"/>
        <v>0</v>
      </c>
      <c r="R394" s="968">
        <f t="shared" si="285"/>
        <v>0</v>
      </c>
      <c r="S394" s="968">
        <f t="shared" si="285"/>
        <v>0</v>
      </c>
      <c r="T394" s="968">
        <f t="shared" si="285"/>
        <v>0</v>
      </c>
      <c r="U394" s="968">
        <f t="shared" si="285"/>
        <v>0</v>
      </c>
      <c r="V394" s="968">
        <f t="shared" si="285"/>
        <v>0</v>
      </c>
      <c r="W394" s="968">
        <f t="shared" si="285"/>
        <v>0</v>
      </c>
      <c r="X394" s="968">
        <f t="shared" si="285"/>
        <v>0</v>
      </c>
      <c r="Y394" s="968">
        <f t="shared" si="285"/>
        <v>0</v>
      </c>
      <c r="Z394" s="968">
        <f t="shared" si="285"/>
        <v>0</v>
      </c>
      <c r="AA394" s="968">
        <f t="shared" si="285"/>
        <v>0</v>
      </c>
      <c r="AB394" s="968">
        <f t="shared" si="285"/>
        <v>0</v>
      </c>
      <c r="AC394" s="968">
        <f t="shared" si="285"/>
        <v>0</v>
      </c>
      <c r="AD394" s="968">
        <f t="shared" si="285"/>
        <v>0</v>
      </c>
      <c r="AE394" s="968">
        <f t="shared" si="285"/>
        <v>0</v>
      </c>
      <c r="AF394" s="968">
        <f t="shared" si="285"/>
        <v>0</v>
      </c>
      <c r="AG394" s="968">
        <f t="shared" si="285"/>
        <v>0</v>
      </c>
      <c r="AH394" s="968">
        <f t="shared" si="285"/>
        <v>0</v>
      </c>
      <c r="AI394" s="968">
        <f t="shared" si="285"/>
        <v>0</v>
      </c>
      <c r="AJ394" s="968">
        <f t="shared" si="285"/>
        <v>0</v>
      </c>
      <c r="AK394" s="968">
        <f t="shared" si="285"/>
        <v>0</v>
      </c>
      <c r="AL394" s="968">
        <f t="shared" si="285"/>
        <v>0</v>
      </c>
      <c r="AM394" s="968">
        <f t="shared" si="285"/>
        <v>0</v>
      </c>
      <c r="AN394" s="968">
        <f t="shared" si="285"/>
        <v>0</v>
      </c>
      <c r="AO394" s="968">
        <f t="shared" si="285"/>
        <v>29593022.594417199</v>
      </c>
      <c r="AP394" s="968">
        <f t="shared" si="285"/>
        <v>27620154.421456054</v>
      </c>
      <c r="AQ394" s="968">
        <f t="shared" si="285"/>
        <v>25647286.248494908</v>
      </c>
      <c r="AR394" s="968">
        <f t="shared" si="285"/>
        <v>23674418.075533763</v>
      </c>
      <c r="AS394" s="968">
        <f t="shared" si="285"/>
        <v>21701549.902572617</v>
      </c>
      <c r="AT394" s="968">
        <f t="shared" si="285"/>
        <v>19728681.729611471</v>
      </c>
    </row>
    <row r="395" spans="2:46" x14ac:dyDescent="0.25">
      <c r="B395" s="845" t="s">
        <v>441</v>
      </c>
      <c r="C395" s="824">
        <v>0</v>
      </c>
      <c r="D395" s="824">
        <v>0</v>
      </c>
      <c r="E395" s="824">
        <v>0</v>
      </c>
      <c r="F395" s="824">
        <v>0</v>
      </c>
      <c r="G395" s="824">
        <f>SUM(G381:G385)+G387+G389+G391+G393</f>
        <v>-3190596.5206691762</v>
      </c>
      <c r="H395" s="824">
        <f t="shared" ref="H395:AT395" si="286">SUM(H381:H385)+H387+H389+H391+H393</f>
        <v>-3190596.5206691762</v>
      </c>
      <c r="I395" s="824">
        <f t="shared" si="286"/>
        <v>-3190596.5206691762</v>
      </c>
      <c r="J395" s="824">
        <f t="shared" si="286"/>
        <v>-3190596.5206691762</v>
      </c>
      <c r="K395" s="824">
        <f t="shared" si="286"/>
        <v>-3190596.5206691762</v>
      </c>
      <c r="L395" s="824">
        <f t="shared" si="286"/>
        <v>-3018004.6382407546</v>
      </c>
      <c r="M395" s="824">
        <f t="shared" si="286"/>
        <v>-3018004.6382407546</v>
      </c>
      <c r="N395" s="824">
        <f t="shared" si="286"/>
        <v>-3018004.6382407546</v>
      </c>
      <c r="O395" s="824">
        <f t="shared" si="286"/>
        <v>-3018004.6382407546</v>
      </c>
      <c r="P395" s="824">
        <f t="shared" si="286"/>
        <v>-3018004.6382407546</v>
      </c>
      <c r="Q395" s="824">
        <f t="shared" si="286"/>
        <v>-2730297.5196809703</v>
      </c>
      <c r="R395" s="824">
        <f t="shared" si="286"/>
        <v>-3089270.1647581775</v>
      </c>
      <c r="S395" s="824">
        <f t="shared" si="286"/>
        <v>-3089270.1647581775</v>
      </c>
      <c r="T395" s="824">
        <f t="shared" si="286"/>
        <v>-3089270.1647581775</v>
      </c>
      <c r="U395" s="824">
        <f t="shared" si="286"/>
        <v>-3089270.1647581775</v>
      </c>
      <c r="V395" s="824">
        <f t="shared" si="286"/>
        <v>-2321770.1453197817</v>
      </c>
      <c r="W395" s="824">
        <f t="shared" si="286"/>
        <v>-2321770.1453197817</v>
      </c>
      <c r="X395" s="824">
        <f t="shared" si="286"/>
        <v>-3400967.9714049036</v>
      </c>
      <c r="Y395" s="824">
        <f t="shared" si="286"/>
        <v>-3400967.9714049036</v>
      </c>
      <c r="Z395" s="824">
        <f t="shared" si="286"/>
        <v>-3400967.9714049036</v>
      </c>
      <c r="AA395" s="824">
        <f t="shared" si="286"/>
        <v>-3400967.9714049036</v>
      </c>
      <c r="AB395" s="824">
        <f t="shared" si="286"/>
        <v>-3400967.9714049036</v>
      </c>
      <c r="AC395" s="824">
        <f t="shared" si="286"/>
        <v>-3487432.5990548981</v>
      </c>
      <c r="AD395" s="824">
        <f t="shared" si="286"/>
        <v>-3487432.5990548981</v>
      </c>
      <c r="AE395" s="824">
        <f t="shared" si="286"/>
        <v>-3487432.5990548981</v>
      </c>
      <c r="AF395" s="824">
        <f t="shared" si="286"/>
        <v>-3487432.5990548981</v>
      </c>
      <c r="AG395" s="824">
        <f t="shared" si="286"/>
        <v>-3487432.5990548981</v>
      </c>
      <c r="AH395" s="824">
        <f t="shared" si="286"/>
        <v>-3487432.5990548981</v>
      </c>
      <c r="AI395" s="824">
        <f t="shared" si="286"/>
        <v>-3487432.5990548981</v>
      </c>
      <c r="AJ395" s="824">
        <f t="shared" si="286"/>
        <v>-3487432.5990548981</v>
      </c>
      <c r="AK395" s="824">
        <f t="shared" si="286"/>
        <v>-3487432.5990548981</v>
      </c>
      <c r="AL395" s="824">
        <f t="shared" si="286"/>
        <v>-3487432.5990548981</v>
      </c>
      <c r="AM395" s="824">
        <f t="shared" si="286"/>
        <v>-2408234.7729697763</v>
      </c>
      <c r="AN395" s="824">
        <f t="shared" si="286"/>
        <v>-1962797.5002425744</v>
      </c>
      <c r="AO395" s="824">
        <f t="shared" si="286"/>
        <v>-3935665.6732037212</v>
      </c>
      <c r="AP395" s="824">
        <f t="shared" si="286"/>
        <v>-3935665.6732037212</v>
      </c>
      <c r="AQ395" s="824">
        <f t="shared" si="286"/>
        <v>-3935665.6732037212</v>
      </c>
      <c r="AR395" s="824">
        <f t="shared" si="286"/>
        <v>-3935665.6732037212</v>
      </c>
      <c r="AS395" s="824">
        <f t="shared" si="286"/>
        <v>-3935665.6732037212</v>
      </c>
      <c r="AT395" s="824">
        <f t="shared" si="286"/>
        <v>-3935665.6732037212</v>
      </c>
    </row>
    <row r="396" spans="2:46" x14ac:dyDescent="0.25">
      <c r="B396" s="833" t="s">
        <v>435</v>
      </c>
      <c r="C396" s="824">
        <f>C386+C390+C394</f>
        <v>0</v>
      </c>
      <c r="D396" s="824">
        <f t="shared" ref="D396:F396" si="287">D386+D390+D394</f>
        <v>0</v>
      </c>
      <c r="E396" s="824">
        <f t="shared" si="287"/>
        <v>0</v>
      </c>
      <c r="F396" s="824">
        <f t="shared" si="287"/>
        <v>0</v>
      </c>
      <c r="G396" s="824">
        <f>G386+G388+G390+G392+G394</f>
        <v>111877413.20910615</v>
      </c>
      <c r="H396" s="824">
        <f t="shared" ref="H396:AT396" si="288">H386+H388+H390+H392+H394</f>
        <v>108686816.68843697</v>
      </c>
      <c r="I396" s="824">
        <f t="shared" si="288"/>
        <v>105496220.16776779</v>
      </c>
      <c r="J396" s="824">
        <f t="shared" si="288"/>
        <v>102305623.64709862</v>
      </c>
      <c r="K396" s="824">
        <f t="shared" si="288"/>
        <v>99115027.126429439</v>
      </c>
      <c r="L396" s="824">
        <f t="shared" si="288"/>
        <v>96097022.488188684</v>
      </c>
      <c r="M396" s="824">
        <f t="shared" si="288"/>
        <v>93079017.849947929</v>
      </c>
      <c r="N396" s="824">
        <f t="shared" si="288"/>
        <v>90061013.211707175</v>
      </c>
      <c r="O396" s="824">
        <f t="shared" si="288"/>
        <v>87043008.57346642</v>
      </c>
      <c r="P396" s="824">
        <f t="shared" si="288"/>
        <v>84025003.935225666</v>
      </c>
      <c r="Q396" s="824">
        <f t="shared" si="288"/>
        <v>81294706.415544689</v>
      </c>
      <c r="R396" s="824">
        <f t="shared" si="288"/>
        <v>82154135.346635789</v>
      </c>
      <c r="S396" s="824">
        <f t="shared" si="288"/>
        <v>79064865.181877598</v>
      </c>
      <c r="T396" s="824">
        <f t="shared" si="288"/>
        <v>75975595.017119423</v>
      </c>
      <c r="U396" s="824">
        <f t="shared" si="288"/>
        <v>72886324.852361232</v>
      </c>
      <c r="V396" s="824">
        <f t="shared" si="288"/>
        <v>70564554.707041442</v>
      </c>
      <c r="W396" s="824">
        <f t="shared" si="288"/>
        <v>68242784.561721668</v>
      </c>
      <c r="X396" s="824">
        <f t="shared" si="288"/>
        <v>81029783.981593594</v>
      </c>
      <c r="Y396" s="824">
        <f t="shared" si="288"/>
        <v>77628816.010188699</v>
      </c>
      <c r="Z396" s="824">
        <f t="shared" si="288"/>
        <v>74227848.038783774</v>
      </c>
      <c r="AA396" s="824">
        <f t="shared" si="288"/>
        <v>70826880.067378879</v>
      </c>
      <c r="AB396" s="824">
        <f t="shared" si="288"/>
        <v>67425912.095973969</v>
      </c>
      <c r="AC396" s="824">
        <f t="shared" si="288"/>
        <v>68838289.496918291</v>
      </c>
      <c r="AD396" s="824">
        <f t="shared" si="288"/>
        <v>65350856.897863388</v>
      </c>
      <c r="AE396" s="824">
        <f t="shared" si="288"/>
        <v>61863424.298808493</v>
      </c>
      <c r="AF396" s="824">
        <f t="shared" si="288"/>
        <v>58375991.69975359</v>
      </c>
      <c r="AG396" s="824">
        <f t="shared" si="288"/>
        <v>54888559.100698687</v>
      </c>
      <c r="AH396" s="824">
        <f t="shared" si="288"/>
        <v>51401126.501643792</v>
      </c>
      <c r="AI396" s="824">
        <f t="shared" si="288"/>
        <v>47913693.902588889</v>
      </c>
      <c r="AJ396" s="824">
        <f t="shared" si="288"/>
        <v>44426261.303533986</v>
      </c>
      <c r="AK396" s="824">
        <f t="shared" si="288"/>
        <v>40938828.704479091</v>
      </c>
      <c r="AL396" s="824">
        <f t="shared" si="288"/>
        <v>37451396.105424188</v>
      </c>
      <c r="AM396" s="824">
        <f t="shared" si="288"/>
        <v>35043161.332454413</v>
      </c>
      <c r="AN396" s="824">
        <f t="shared" si="288"/>
        <v>33080363.832211837</v>
      </c>
      <c r="AO396" s="824">
        <f t="shared" si="288"/>
        <v>60710588.926386461</v>
      </c>
      <c r="AP396" s="824">
        <f t="shared" si="288"/>
        <v>56774923.253182739</v>
      </c>
      <c r="AQ396" s="824">
        <f t="shared" si="288"/>
        <v>52839257.579979017</v>
      </c>
      <c r="AR396" s="824">
        <f t="shared" si="288"/>
        <v>48903591.906775296</v>
      </c>
      <c r="AS396" s="824">
        <f t="shared" si="288"/>
        <v>44967926.233571574</v>
      </c>
      <c r="AT396" s="824">
        <f t="shared" si="288"/>
        <v>41032260.560367852</v>
      </c>
    </row>
    <row r="397" spans="2:46" x14ac:dyDescent="0.25">
      <c r="B397" s="481"/>
      <c r="C397" s="382"/>
      <c r="D397" s="382"/>
      <c r="E397" s="382"/>
      <c r="F397" s="382"/>
      <c r="G397" s="382"/>
      <c r="H397" s="382"/>
      <c r="I397" s="382"/>
      <c r="J397" s="382"/>
      <c r="K397" s="382"/>
      <c r="L397" s="382"/>
      <c r="M397" s="382"/>
      <c r="N397" s="382"/>
      <c r="O397" s="382"/>
      <c r="P397" s="382"/>
      <c r="Q397" s="382"/>
      <c r="R397" s="382"/>
      <c r="S397" s="382"/>
      <c r="T397" s="382"/>
      <c r="U397" s="382"/>
      <c r="V397" s="382"/>
      <c r="W397" s="382"/>
      <c r="X397" s="382"/>
      <c r="Y397" s="382"/>
      <c r="Z397" s="382"/>
      <c r="AA397" s="382"/>
      <c r="AB397" s="382"/>
      <c r="AC397" s="382"/>
      <c r="AD397" s="382"/>
      <c r="AE397" s="382"/>
      <c r="AF397" s="382"/>
      <c r="AG397" s="382"/>
      <c r="AH397" s="382"/>
      <c r="AI397" s="382"/>
      <c r="AJ397" s="382"/>
      <c r="AK397" s="382"/>
      <c r="AL397" s="382"/>
      <c r="AM397" s="382"/>
      <c r="AN397" s="382"/>
      <c r="AO397" s="382"/>
      <c r="AP397" s="382"/>
      <c r="AQ397" s="382"/>
      <c r="AR397" s="382"/>
      <c r="AS397" s="382"/>
      <c r="AT397" s="382"/>
    </row>
    <row r="398" spans="2:46" ht="13.8" thickBot="1" x14ac:dyDescent="0.3">
      <c r="B398" s="834"/>
      <c r="C398" s="178"/>
      <c r="D398" s="178"/>
      <c r="E398" s="178"/>
      <c r="F398" s="178"/>
      <c r="G398" s="178"/>
      <c r="H398" s="178"/>
      <c r="I398" s="178"/>
      <c r="J398" s="178"/>
      <c r="K398" s="178"/>
      <c r="L398" s="178"/>
      <c r="M398" s="178"/>
      <c r="N398" s="178"/>
      <c r="O398" s="178"/>
      <c r="P398" s="178"/>
      <c r="Q398" s="178"/>
      <c r="R398" s="178"/>
      <c r="S398" s="178"/>
      <c r="T398" s="178"/>
      <c r="U398" s="178"/>
      <c r="V398" s="178"/>
      <c r="W398" s="178"/>
      <c r="X398" s="178"/>
      <c r="Y398" s="178"/>
      <c r="Z398" s="178"/>
      <c r="AA398" s="178"/>
      <c r="AB398" s="178"/>
      <c r="AC398" s="178"/>
      <c r="AD398" s="178"/>
      <c r="AE398" s="178"/>
      <c r="AF398" s="178"/>
      <c r="AG398" s="178"/>
      <c r="AH398" s="178"/>
      <c r="AI398" s="178"/>
      <c r="AJ398" s="178"/>
      <c r="AK398" s="178"/>
      <c r="AL398" s="178"/>
      <c r="AM398" s="178"/>
      <c r="AN398" s="178"/>
      <c r="AO398" s="178"/>
      <c r="AP398" s="178"/>
      <c r="AQ398" s="178"/>
      <c r="AR398" s="178"/>
      <c r="AS398" s="178"/>
      <c r="AT398" s="178"/>
    </row>
    <row r="399" spans="2:46" ht="14.4" x14ac:dyDescent="0.25">
      <c r="B399" s="835" t="s">
        <v>390</v>
      </c>
      <c r="C399" s="818"/>
      <c r="D399" s="818"/>
      <c r="E399" s="818"/>
      <c r="F399" s="818"/>
      <c r="G399" s="818"/>
      <c r="H399" s="818"/>
      <c r="I399" s="818"/>
      <c r="J399" s="818"/>
      <c r="K399" s="818"/>
      <c r="L399" s="818"/>
      <c r="M399" s="818"/>
      <c r="N399" s="818"/>
      <c r="O399" s="818"/>
      <c r="P399" s="818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  <c r="AA399" s="818"/>
      <c r="AB399" s="818"/>
      <c r="AC399" s="818"/>
      <c r="AD399" s="818"/>
      <c r="AE399" s="818"/>
      <c r="AF399" s="818"/>
      <c r="AG399" s="818"/>
      <c r="AH399" s="818"/>
      <c r="AI399" s="818"/>
      <c r="AJ399" s="818"/>
      <c r="AK399" s="818"/>
      <c r="AL399" s="818"/>
      <c r="AM399" s="818"/>
      <c r="AN399" s="818"/>
      <c r="AO399" s="818"/>
      <c r="AP399" s="818"/>
      <c r="AQ399" s="818"/>
      <c r="AR399" s="818"/>
      <c r="AS399" s="818"/>
      <c r="AT399" s="819"/>
    </row>
    <row r="400" spans="2:46" x14ac:dyDescent="0.25">
      <c r="B400" s="836" t="s">
        <v>391</v>
      </c>
      <c r="C400" s="268">
        <v>0</v>
      </c>
      <c r="D400" s="268">
        <v>0</v>
      </c>
      <c r="E400" s="268">
        <v>0</v>
      </c>
      <c r="F400" s="268">
        <v>0</v>
      </c>
      <c r="G400" s="268">
        <f>-G376</f>
        <v>-3489433.6493760138</v>
      </c>
      <c r="H400" s="268">
        <f t="shared" ref="H400:AT400" si="289">-H376</f>
        <v>-3864615.9241095837</v>
      </c>
      <c r="I400" s="268">
        <f t="shared" si="289"/>
        <v>-3667955.0526417415</v>
      </c>
      <c r="J400" s="268">
        <f t="shared" si="289"/>
        <v>-3754445.5924109258</v>
      </c>
      <c r="K400" s="268">
        <f t="shared" si="289"/>
        <v>-8581249.2635108829</v>
      </c>
      <c r="L400" s="268">
        <f t="shared" si="289"/>
        <v>-3933734.6730025862</v>
      </c>
      <c r="M400" s="268">
        <f t="shared" si="289"/>
        <v>-4026637.2762531824</v>
      </c>
      <c r="N400" s="268">
        <f t="shared" si="289"/>
        <v>-4121783.4832045212</v>
      </c>
      <c r="O400" s="268">
        <f t="shared" si="289"/>
        <v>-4219228.6557829175</v>
      </c>
      <c r="P400" s="268">
        <f t="shared" si="289"/>
        <v>-9525155.6981958821</v>
      </c>
      <c r="Q400" s="268">
        <f t="shared" si="289"/>
        <v>-4421244.3521579085</v>
      </c>
      <c r="R400" s="268">
        <f t="shared" si="289"/>
        <v>-4525932.7147169104</v>
      </c>
      <c r="S400" s="268">
        <f t="shared" si="289"/>
        <v>-4633155.7948184023</v>
      </c>
      <c r="T400" s="268">
        <f t="shared" si="289"/>
        <v>-4742976.2925206041</v>
      </c>
      <c r="U400" s="268">
        <f t="shared" si="289"/>
        <v>-10575689.81600501</v>
      </c>
      <c r="V400" s="268">
        <f t="shared" si="289"/>
        <v>-4970668.2950297529</v>
      </c>
      <c r="W400" s="268">
        <f t="shared" si="289"/>
        <v>-5088673.2772134263</v>
      </c>
      <c r="X400" s="268">
        <f t="shared" si="289"/>
        <v>-5209542.7163924491</v>
      </c>
      <c r="Y400" s="268">
        <f t="shared" si="289"/>
        <v>-5333347.6438662987</v>
      </c>
      <c r="Z400" s="268">
        <f t="shared" si="289"/>
        <v>-11745267.263724331</v>
      </c>
      <c r="AA400" s="268">
        <f t="shared" si="289"/>
        <v>-5590057.1209969632</v>
      </c>
      <c r="AB400" s="268">
        <f t="shared" si="289"/>
        <v>-5723112.9055465749</v>
      </c>
      <c r="AC400" s="268">
        <f t="shared" si="289"/>
        <v>-5859406.7445057584</v>
      </c>
      <c r="AD400" s="268">
        <f t="shared" si="289"/>
        <v>-5999019.1305208495</v>
      </c>
      <c r="AE400" s="268">
        <f t="shared" si="289"/>
        <v>-13047797.821644107</v>
      </c>
      <c r="AF400" s="268">
        <f t="shared" si="289"/>
        <v>-6288531.773346208</v>
      </c>
      <c r="AG400" s="268">
        <f t="shared" si="289"/>
        <v>-6438603.4340750668</v>
      </c>
      <c r="AH400" s="268">
        <f t="shared" si="289"/>
        <v>-6592336.5593562629</v>
      </c>
      <c r="AI400" s="268">
        <f t="shared" si="289"/>
        <v>-6749822.3895147499</v>
      </c>
      <c r="AJ400" s="268">
        <f t="shared" si="289"/>
        <v>-14498871.466441935</v>
      </c>
      <c r="AK400" s="268">
        <f t="shared" si="289"/>
        <v>-7076428.7815859448</v>
      </c>
      <c r="AL400" s="268">
        <f t="shared" si="289"/>
        <v>-7245743.6616738085</v>
      </c>
      <c r="AM400" s="268">
        <f t="shared" si="289"/>
        <v>-7419200.0078551713</v>
      </c>
      <c r="AN400" s="268">
        <f t="shared" si="289"/>
        <v>-7596901.2726635616</v>
      </c>
      <c r="AO400" s="268">
        <f t="shared" si="289"/>
        <v>-16115968.399872713</v>
      </c>
      <c r="AP400" s="268">
        <f t="shared" si="289"/>
        <v>-7965465.6146529177</v>
      </c>
      <c r="AQ400" s="268">
        <f t="shared" si="289"/>
        <v>-8156549.0501983799</v>
      </c>
      <c r="AR400" s="268">
        <f t="shared" si="289"/>
        <v>-8352318.2633171976</v>
      </c>
      <c r="AS400" s="268">
        <f t="shared" si="289"/>
        <v>-8552890.5865902863</v>
      </c>
      <c r="AT400" s="799">
        <f t="shared" si="289"/>
        <v>-17918696.229972437</v>
      </c>
    </row>
    <row r="401" spans="2:46" ht="15" thickBot="1" x14ac:dyDescent="0.3">
      <c r="B401" s="842" t="s">
        <v>389</v>
      </c>
      <c r="C401" s="820"/>
      <c r="D401" s="820"/>
      <c r="E401" s="820"/>
      <c r="F401" s="820"/>
      <c r="G401" s="820">
        <f>G400</f>
        <v>-3489433.6493760138</v>
      </c>
      <c r="H401" s="820">
        <f t="shared" ref="H401:AT401" si="290">H400</f>
        <v>-3864615.9241095837</v>
      </c>
      <c r="I401" s="820">
        <f t="shared" si="290"/>
        <v>-3667955.0526417415</v>
      </c>
      <c r="J401" s="820">
        <f t="shared" si="290"/>
        <v>-3754445.5924109258</v>
      </c>
      <c r="K401" s="820">
        <f t="shared" si="290"/>
        <v>-8581249.2635108829</v>
      </c>
      <c r="L401" s="820">
        <f t="shared" si="290"/>
        <v>-3933734.6730025862</v>
      </c>
      <c r="M401" s="820">
        <f t="shared" si="290"/>
        <v>-4026637.2762531824</v>
      </c>
      <c r="N401" s="820">
        <f t="shared" si="290"/>
        <v>-4121783.4832045212</v>
      </c>
      <c r="O401" s="820">
        <f t="shared" si="290"/>
        <v>-4219228.6557829175</v>
      </c>
      <c r="P401" s="820">
        <f t="shared" si="290"/>
        <v>-9525155.6981958821</v>
      </c>
      <c r="Q401" s="820">
        <f t="shared" si="290"/>
        <v>-4421244.3521579085</v>
      </c>
      <c r="R401" s="820">
        <f t="shared" si="290"/>
        <v>-4525932.7147169104</v>
      </c>
      <c r="S401" s="820">
        <f t="shared" si="290"/>
        <v>-4633155.7948184023</v>
      </c>
      <c r="T401" s="820">
        <f t="shared" si="290"/>
        <v>-4742976.2925206041</v>
      </c>
      <c r="U401" s="820">
        <f t="shared" si="290"/>
        <v>-10575689.81600501</v>
      </c>
      <c r="V401" s="820">
        <f t="shared" si="290"/>
        <v>-4970668.2950297529</v>
      </c>
      <c r="W401" s="820">
        <f t="shared" si="290"/>
        <v>-5088673.2772134263</v>
      </c>
      <c r="X401" s="820">
        <f t="shared" si="290"/>
        <v>-5209542.7163924491</v>
      </c>
      <c r="Y401" s="820">
        <f t="shared" si="290"/>
        <v>-5333347.6438662987</v>
      </c>
      <c r="Z401" s="820">
        <f t="shared" si="290"/>
        <v>-11745267.263724331</v>
      </c>
      <c r="AA401" s="820">
        <f t="shared" si="290"/>
        <v>-5590057.1209969632</v>
      </c>
      <c r="AB401" s="820">
        <f t="shared" si="290"/>
        <v>-5723112.9055465749</v>
      </c>
      <c r="AC401" s="820">
        <f t="shared" si="290"/>
        <v>-5859406.7445057584</v>
      </c>
      <c r="AD401" s="820">
        <f t="shared" si="290"/>
        <v>-5999019.1305208495</v>
      </c>
      <c r="AE401" s="820">
        <f t="shared" si="290"/>
        <v>-13047797.821644107</v>
      </c>
      <c r="AF401" s="820">
        <f t="shared" si="290"/>
        <v>-6288531.773346208</v>
      </c>
      <c r="AG401" s="820">
        <f t="shared" si="290"/>
        <v>-6438603.4340750668</v>
      </c>
      <c r="AH401" s="820">
        <f t="shared" si="290"/>
        <v>-6592336.5593562629</v>
      </c>
      <c r="AI401" s="820">
        <f t="shared" si="290"/>
        <v>-6749822.3895147499</v>
      </c>
      <c r="AJ401" s="820">
        <f t="shared" si="290"/>
        <v>-14498871.466441935</v>
      </c>
      <c r="AK401" s="820">
        <f t="shared" si="290"/>
        <v>-7076428.7815859448</v>
      </c>
      <c r="AL401" s="820">
        <f t="shared" si="290"/>
        <v>-7245743.6616738085</v>
      </c>
      <c r="AM401" s="820">
        <f t="shared" si="290"/>
        <v>-7419200.0078551713</v>
      </c>
      <c r="AN401" s="820">
        <f t="shared" si="290"/>
        <v>-7596901.2726635616</v>
      </c>
      <c r="AO401" s="820">
        <f t="shared" si="290"/>
        <v>-16115968.399872713</v>
      </c>
      <c r="AP401" s="820">
        <f t="shared" si="290"/>
        <v>-7965465.6146529177</v>
      </c>
      <c r="AQ401" s="820">
        <f t="shared" si="290"/>
        <v>-8156549.0501983799</v>
      </c>
      <c r="AR401" s="820">
        <f t="shared" si="290"/>
        <v>-8352318.2633171976</v>
      </c>
      <c r="AS401" s="820">
        <f t="shared" si="290"/>
        <v>-8552890.5865902863</v>
      </c>
      <c r="AT401" s="821">
        <f t="shared" si="290"/>
        <v>-17918696.229972437</v>
      </c>
    </row>
    <row r="402" spans="2:46" ht="15" thickBot="1" x14ac:dyDescent="0.3">
      <c r="B402" s="837"/>
      <c r="C402" s="824"/>
      <c r="D402" s="824"/>
      <c r="E402" s="824"/>
      <c r="F402" s="824"/>
      <c r="G402" s="824"/>
      <c r="H402" s="824"/>
      <c r="I402" s="824"/>
      <c r="J402" s="824"/>
      <c r="K402" s="824"/>
      <c r="L402" s="824"/>
      <c r="M402" s="824"/>
      <c r="N402" s="824"/>
      <c r="O402" s="824"/>
      <c r="P402" s="824"/>
      <c r="Q402" s="824"/>
      <c r="R402" s="824"/>
      <c r="S402" s="824"/>
      <c r="T402" s="824"/>
      <c r="U402" s="824"/>
      <c r="V402" s="824"/>
      <c r="W402" s="824"/>
      <c r="X402" s="824"/>
      <c r="Y402" s="824"/>
      <c r="Z402" s="824"/>
      <c r="AA402" s="824"/>
      <c r="AB402" s="824"/>
      <c r="AC402" s="824"/>
      <c r="AD402" s="824"/>
      <c r="AE402" s="824"/>
      <c r="AF402" s="824"/>
      <c r="AG402" s="824"/>
      <c r="AH402" s="824"/>
      <c r="AI402" s="824"/>
      <c r="AJ402" s="824"/>
      <c r="AK402" s="824"/>
      <c r="AL402" s="824"/>
      <c r="AM402" s="824"/>
      <c r="AN402" s="824"/>
      <c r="AO402" s="824"/>
      <c r="AP402" s="824"/>
      <c r="AQ402" s="824"/>
      <c r="AR402" s="824"/>
      <c r="AS402" s="824"/>
      <c r="AT402" s="824"/>
    </row>
    <row r="403" spans="2:46" ht="14.4" x14ac:dyDescent="0.25">
      <c r="B403" s="835" t="s">
        <v>392</v>
      </c>
      <c r="C403" s="818"/>
      <c r="D403" s="818"/>
      <c r="E403" s="818"/>
      <c r="F403" s="818"/>
      <c r="G403" s="818"/>
      <c r="H403" s="818"/>
      <c r="I403" s="818"/>
      <c r="J403" s="818"/>
      <c r="K403" s="818"/>
      <c r="L403" s="818"/>
      <c r="M403" s="818"/>
      <c r="N403" s="818"/>
      <c r="O403" s="818"/>
      <c r="P403" s="818"/>
      <c r="Q403" s="818"/>
      <c r="R403" s="818"/>
      <c r="S403" s="818"/>
      <c r="T403" s="818"/>
      <c r="U403" s="818"/>
      <c r="V403" s="818"/>
      <c r="W403" s="818"/>
      <c r="X403" s="818"/>
      <c r="Y403" s="818"/>
      <c r="Z403" s="818"/>
      <c r="AA403" s="818"/>
      <c r="AB403" s="818"/>
      <c r="AC403" s="818"/>
      <c r="AD403" s="818"/>
      <c r="AE403" s="818"/>
      <c r="AF403" s="818"/>
      <c r="AG403" s="818"/>
      <c r="AH403" s="818"/>
      <c r="AI403" s="818"/>
      <c r="AJ403" s="818"/>
      <c r="AK403" s="818"/>
      <c r="AL403" s="818"/>
      <c r="AM403" s="818"/>
      <c r="AN403" s="818"/>
      <c r="AO403" s="818"/>
      <c r="AP403" s="818"/>
      <c r="AQ403" s="818"/>
      <c r="AR403" s="818"/>
      <c r="AS403" s="818"/>
      <c r="AT403" s="819"/>
    </row>
    <row r="404" spans="2:46" x14ac:dyDescent="0.25">
      <c r="B404" s="836" t="s">
        <v>393</v>
      </c>
      <c r="C404" s="268">
        <v>0</v>
      </c>
      <c r="D404" s="268">
        <v>0</v>
      </c>
      <c r="E404" s="268">
        <v>0</v>
      </c>
      <c r="F404" s="268">
        <v>0</v>
      </c>
      <c r="G404" s="178">
        <f t="shared" ref="G404:AT404" si="291">G378</f>
        <v>6030813.4964342443</v>
      </c>
      <c r="H404" s="178">
        <f t="shared" si="291"/>
        <v>8041084.6619123276</v>
      </c>
      <c r="I404" s="178">
        <f t="shared" si="291"/>
        <v>8483164.5206606612</v>
      </c>
      <c r="J404" s="178">
        <f t="shared" si="291"/>
        <v>8559375.0272919871</v>
      </c>
      <c r="K404" s="178">
        <f t="shared" si="291"/>
        <v>8984463.1894938108</v>
      </c>
      <c r="L404" s="178">
        <f t="shared" si="291"/>
        <v>9063752.6005930435</v>
      </c>
      <c r="M404" s="178">
        <f t="shared" si="291"/>
        <v>9512420.9089646377</v>
      </c>
      <c r="N404" s="178">
        <f t="shared" si="291"/>
        <v>9564604.4229354672</v>
      </c>
      <c r="O404" s="178">
        <f t="shared" si="291"/>
        <v>10005306.169557309</v>
      </c>
      <c r="P404" s="178">
        <f t="shared" si="291"/>
        <v>10059597.897492554</v>
      </c>
      <c r="Q404" s="178">
        <f t="shared" si="291"/>
        <v>10522490.766295088</v>
      </c>
      <c r="R404" s="178">
        <f t="shared" si="291"/>
        <v>10578975.880038917</v>
      </c>
      <c r="S404" s="178">
        <f t="shared" si="291"/>
        <v>11001071.557783002</v>
      </c>
      <c r="T404" s="178">
        <f t="shared" si="291"/>
        <v>10995776.609973513</v>
      </c>
      <c r="U404" s="178">
        <f t="shared" si="291"/>
        <v>11434497.121315453</v>
      </c>
      <c r="V404" s="178">
        <f t="shared" si="291"/>
        <v>11428988.257614467</v>
      </c>
      <c r="W404" s="178">
        <f t="shared" si="291"/>
        <v>11884987.961427584</v>
      </c>
      <c r="X404" s="178">
        <f t="shared" si="291"/>
        <v>11965859.668649616</v>
      </c>
      <c r="Y404" s="178">
        <f t="shared" si="291"/>
        <v>12533419.323456867</v>
      </c>
      <c r="Z404" s="178">
        <f t="shared" si="291"/>
        <v>12617558.247650672</v>
      </c>
      <c r="AA404" s="178">
        <f t="shared" si="291"/>
        <v>13214845.73758699</v>
      </c>
      <c r="AB404" s="178">
        <f t="shared" si="291"/>
        <v>13302383.874318223</v>
      </c>
      <c r="AC404" s="178">
        <f t="shared" si="291"/>
        <v>13839800.182840681</v>
      </c>
      <c r="AD404" s="178">
        <f t="shared" si="291"/>
        <v>13839800.182840681</v>
      </c>
      <c r="AE404" s="178">
        <f t="shared" si="291"/>
        <v>14398928.110227443</v>
      </c>
      <c r="AF404" s="178">
        <f t="shared" si="291"/>
        <v>14398928.110227443</v>
      </c>
      <c r="AG404" s="178">
        <f t="shared" si="291"/>
        <v>14980644.805880632</v>
      </c>
      <c r="AH404" s="178">
        <f t="shared" si="291"/>
        <v>14980644.805880632</v>
      </c>
      <c r="AI404" s="178">
        <f t="shared" si="291"/>
        <v>15585862.856038207</v>
      </c>
      <c r="AJ404" s="178">
        <f t="shared" si="291"/>
        <v>15585862.856038207</v>
      </c>
      <c r="AK404" s="178">
        <f t="shared" si="291"/>
        <v>16215531.715422152</v>
      </c>
      <c r="AL404" s="178">
        <f t="shared" si="291"/>
        <v>16215531.715422152</v>
      </c>
      <c r="AM404" s="178">
        <f t="shared" si="291"/>
        <v>16870639.196725205</v>
      </c>
      <c r="AN404" s="178">
        <f t="shared" si="291"/>
        <v>16870639.196725205</v>
      </c>
      <c r="AO404" s="178">
        <f t="shared" si="291"/>
        <v>17552213.020272911</v>
      </c>
      <c r="AP404" s="178">
        <f t="shared" si="291"/>
        <v>17552213.020272911</v>
      </c>
      <c r="AQ404" s="178">
        <f t="shared" si="291"/>
        <v>18261322.426291931</v>
      </c>
      <c r="AR404" s="178">
        <f t="shared" si="291"/>
        <v>18261322.426291931</v>
      </c>
      <c r="AS404" s="178">
        <f t="shared" si="291"/>
        <v>18999079.852314129</v>
      </c>
      <c r="AT404" s="265">
        <f t="shared" si="291"/>
        <v>18999079.852314129</v>
      </c>
    </row>
    <row r="405" spans="2:46" x14ac:dyDescent="0.25">
      <c r="B405" s="836" t="s">
        <v>394</v>
      </c>
      <c r="C405" s="268">
        <v>0</v>
      </c>
      <c r="D405" s="268">
        <v>0</v>
      </c>
      <c r="E405" s="268">
        <v>0</v>
      </c>
      <c r="F405" s="268">
        <v>0</v>
      </c>
      <c r="G405" s="178">
        <f t="shared" ref="G405:AT405" si="292">G379</f>
        <v>420000</v>
      </c>
      <c r="H405" s="178">
        <f t="shared" si="292"/>
        <v>428400</v>
      </c>
      <c r="I405" s="178">
        <f t="shared" si="292"/>
        <v>436968</v>
      </c>
      <c r="J405" s="178">
        <f t="shared" si="292"/>
        <v>445707.36</v>
      </c>
      <c r="K405" s="178">
        <f t="shared" si="292"/>
        <v>454621.50719999999</v>
      </c>
      <c r="L405" s="178">
        <f t="shared" si="292"/>
        <v>463713.93734400003</v>
      </c>
      <c r="M405" s="178">
        <f t="shared" si="292"/>
        <v>472988.21609088004</v>
      </c>
      <c r="N405" s="178">
        <f t="shared" si="292"/>
        <v>482447.98041269754</v>
      </c>
      <c r="O405" s="178">
        <f t="shared" si="292"/>
        <v>492096.9400209515</v>
      </c>
      <c r="P405" s="178">
        <f t="shared" si="292"/>
        <v>501938.87882137054</v>
      </c>
      <c r="Q405" s="178">
        <f t="shared" si="292"/>
        <v>511977.65639779798</v>
      </c>
      <c r="R405" s="178">
        <f t="shared" si="292"/>
        <v>522217.20952575386</v>
      </c>
      <c r="S405" s="178">
        <f t="shared" si="292"/>
        <v>532661.55371626897</v>
      </c>
      <c r="T405" s="178">
        <f t="shared" si="292"/>
        <v>543314.78479059436</v>
      </c>
      <c r="U405" s="178">
        <f t="shared" si="292"/>
        <v>554181.08048640634</v>
      </c>
      <c r="V405" s="178">
        <f t="shared" si="292"/>
        <v>565264.70209613431</v>
      </c>
      <c r="W405" s="178">
        <f t="shared" si="292"/>
        <v>576569.99613805709</v>
      </c>
      <c r="X405" s="178">
        <f t="shared" si="292"/>
        <v>588101.39606081822</v>
      </c>
      <c r="Y405" s="178">
        <f t="shared" si="292"/>
        <v>599863.42398203455</v>
      </c>
      <c r="Z405" s="178">
        <f t="shared" si="292"/>
        <v>611860.69246167527</v>
      </c>
      <c r="AA405" s="178">
        <f t="shared" si="292"/>
        <v>624097.90631090873</v>
      </c>
      <c r="AB405" s="178">
        <f t="shared" si="292"/>
        <v>636579.8644371269</v>
      </c>
      <c r="AC405" s="178">
        <f t="shared" si="292"/>
        <v>649311.46172586945</v>
      </c>
      <c r="AD405" s="178">
        <f t="shared" si="292"/>
        <v>662297.69096038677</v>
      </c>
      <c r="AE405" s="178">
        <f t="shared" si="292"/>
        <v>675543.6447795945</v>
      </c>
      <c r="AF405" s="178">
        <f t="shared" si="292"/>
        <v>689054.51767518639</v>
      </c>
      <c r="AG405" s="178">
        <f t="shared" si="292"/>
        <v>702835.60802869021</v>
      </c>
      <c r="AH405" s="178">
        <f t="shared" si="292"/>
        <v>716892.3201892639</v>
      </c>
      <c r="AI405" s="178">
        <f t="shared" si="292"/>
        <v>731230.1665930493</v>
      </c>
      <c r="AJ405" s="178">
        <f t="shared" si="292"/>
        <v>745854.76992491016</v>
      </c>
      <c r="AK405" s="178">
        <f t="shared" si="292"/>
        <v>760771.86532340851</v>
      </c>
      <c r="AL405" s="178">
        <f t="shared" si="292"/>
        <v>775987.30262987642</v>
      </c>
      <c r="AM405" s="178">
        <f t="shared" si="292"/>
        <v>791507.04868247418</v>
      </c>
      <c r="AN405" s="178">
        <f t="shared" si="292"/>
        <v>807337.18965612364</v>
      </c>
      <c r="AO405" s="178">
        <f t="shared" si="292"/>
        <v>823483.93344924611</v>
      </c>
      <c r="AP405" s="178">
        <f t="shared" si="292"/>
        <v>839953.61211823102</v>
      </c>
      <c r="AQ405" s="178">
        <f t="shared" si="292"/>
        <v>856752.68436059554</v>
      </c>
      <c r="AR405" s="178">
        <f t="shared" si="292"/>
        <v>873887.73804780759</v>
      </c>
      <c r="AS405" s="178">
        <f t="shared" si="292"/>
        <v>891365.49280876387</v>
      </c>
      <c r="AT405" s="265">
        <f t="shared" si="292"/>
        <v>909192.80266493873</v>
      </c>
    </row>
    <row r="406" spans="2:46" ht="15" thickBot="1" x14ac:dyDescent="0.3">
      <c r="B406" s="842" t="s">
        <v>388</v>
      </c>
      <c r="C406" s="822">
        <v>0</v>
      </c>
      <c r="D406" s="822">
        <v>0</v>
      </c>
      <c r="E406" s="822">
        <v>0</v>
      </c>
      <c r="F406" s="822">
        <v>0</v>
      </c>
      <c r="G406" s="822">
        <f>G404+G405</f>
        <v>6450813.4964342443</v>
      </c>
      <c r="H406" s="822">
        <f t="shared" ref="H406:AT406" si="293">H404+H405</f>
        <v>8469484.6619123276</v>
      </c>
      <c r="I406" s="822">
        <f t="shared" si="293"/>
        <v>8920132.5206606612</v>
      </c>
      <c r="J406" s="822">
        <f t="shared" si="293"/>
        <v>9005082.3872919865</v>
      </c>
      <c r="K406" s="822">
        <f t="shared" si="293"/>
        <v>9439084.6966938116</v>
      </c>
      <c r="L406" s="822">
        <f t="shared" si="293"/>
        <v>9527466.5379370432</v>
      </c>
      <c r="M406" s="822">
        <f t="shared" si="293"/>
        <v>9985409.125055518</v>
      </c>
      <c r="N406" s="822">
        <f t="shared" si="293"/>
        <v>10047052.403348165</v>
      </c>
      <c r="O406" s="822">
        <f t="shared" si="293"/>
        <v>10497403.109578261</v>
      </c>
      <c r="P406" s="822">
        <f t="shared" si="293"/>
        <v>10561536.776313925</v>
      </c>
      <c r="Q406" s="822">
        <f t="shared" si="293"/>
        <v>11034468.422692886</v>
      </c>
      <c r="R406" s="822">
        <f t="shared" si="293"/>
        <v>11101193.089564672</v>
      </c>
      <c r="S406" s="822">
        <f t="shared" si="293"/>
        <v>11533733.11149927</v>
      </c>
      <c r="T406" s="822">
        <f t="shared" si="293"/>
        <v>11539091.394764107</v>
      </c>
      <c r="U406" s="822">
        <f t="shared" si="293"/>
        <v>11988678.201801859</v>
      </c>
      <c r="V406" s="822">
        <f t="shared" si="293"/>
        <v>11994252.959710602</v>
      </c>
      <c r="W406" s="822">
        <f t="shared" si="293"/>
        <v>12461557.957565641</v>
      </c>
      <c r="X406" s="822">
        <f t="shared" si="293"/>
        <v>12553961.064710435</v>
      </c>
      <c r="Y406" s="822">
        <f t="shared" si="293"/>
        <v>13133282.747438902</v>
      </c>
      <c r="Z406" s="822">
        <f t="shared" si="293"/>
        <v>13229418.940112347</v>
      </c>
      <c r="AA406" s="822">
        <f t="shared" si="293"/>
        <v>13838943.643897898</v>
      </c>
      <c r="AB406" s="822">
        <f t="shared" si="293"/>
        <v>13938963.738755351</v>
      </c>
      <c r="AC406" s="822">
        <f t="shared" si="293"/>
        <v>14489111.644566551</v>
      </c>
      <c r="AD406" s="822">
        <f t="shared" si="293"/>
        <v>14502097.873801067</v>
      </c>
      <c r="AE406" s="822">
        <f t="shared" si="293"/>
        <v>15074471.755007038</v>
      </c>
      <c r="AF406" s="822">
        <f t="shared" si="293"/>
        <v>15087982.627902629</v>
      </c>
      <c r="AG406" s="822">
        <f t="shared" si="293"/>
        <v>15683480.413909322</v>
      </c>
      <c r="AH406" s="822">
        <f t="shared" si="293"/>
        <v>15697537.126069896</v>
      </c>
      <c r="AI406" s="822">
        <f t="shared" si="293"/>
        <v>16317093.022631256</v>
      </c>
      <c r="AJ406" s="822">
        <f t="shared" si="293"/>
        <v>16331717.625963118</v>
      </c>
      <c r="AK406" s="822">
        <f t="shared" si="293"/>
        <v>16976303.580745559</v>
      </c>
      <c r="AL406" s="822">
        <f t="shared" si="293"/>
        <v>16991519.018052027</v>
      </c>
      <c r="AM406" s="822">
        <f t="shared" si="293"/>
        <v>17662146.245407678</v>
      </c>
      <c r="AN406" s="822">
        <f t="shared" si="293"/>
        <v>17677976.386381328</v>
      </c>
      <c r="AO406" s="822">
        <f t="shared" si="293"/>
        <v>18375696.953722157</v>
      </c>
      <c r="AP406" s="822">
        <f t="shared" si="293"/>
        <v>18392166.63239114</v>
      </c>
      <c r="AQ406" s="822">
        <f t="shared" si="293"/>
        <v>19118075.110652529</v>
      </c>
      <c r="AR406" s="822">
        <f t="shared" si="293"/>
        <v>19135210.16433974</v>
      </c>
      <c r="AS406" s="822">
        <f t="shared" si="293"/>
        <v>19890445.345122892</v>
      </c>
      <c r="AT406" s="823">
        <f t="shared" si="293"/>
        <v>19908272.654979069</v>
      </c>
    </row>
    <row r="407" spans="2:46" ht="15" thickBot="1" x14ac:dyDescent="0.3">
      <c r="B407" s="838"/>
      <c r="C407" s="178"/>
      <c r="D407" s="178"/>
      <c r="E407" s="178"/>
      <c r="F407" s="178"/>
      <c r="G407" s="178"/>
      <c r="H407" s="178"/>
      <c r="I407" s="178"/>
      <c r="J407" s="178"/>
      <c r="K407" s="178"/>
      <c r="L407" s="178"/>
      <c r="M407" s="178"/>
      <c r="N407" s="178"/>
      <c r="O407" s="178"/>
      <c r="P407" s="178"/>
      <c r="Q407" s="178"/>
      <c r="R407" s="178"/>
      <c r="S407" s="178"/>
      <c r="T407" s="178"/>
      <c r="U407" s="178"/>
      <c r="V407" s="178"/>
      <c r="W407" s="178"/>
      <c r="X407" s="178"/>
      <c r="Y407" s="178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/>
      <c r="AS407" s="178"/>
      <c r="AT407" s="178"/>
    </row>
    <row r="408" spans="2:46" ht="15" thickBot="1" x14ac:dyDescent="0.3">
      <c r="B408" s="843" t="s">
        <v>387</v>
      </c>
      <c r="C408" s="825"/>
      <c r="D408" s="825"/>
      <c r="E408" s="825"/>
      <c r="F408" s="825"/>
      <c r="G408" s="826">
        <f>G406+G401</f>
        <v>2961379.8470582305</v>
      </c>
      <c r="H408" s="826">
        <f t="shared" ref="H408:AT408" si="294">H406+H401</f>
        <v>4604868.7378027439</v>
      </c>
      <c r="I408" s="826">
        <f t="shared" si="294"/>
        <v>5252177.4680189192</v>
      </c>
      <c r="J408" s="826">
        <f t="shared" si="294"/>
        <v>5250636.7948810607</v>
      </c>
      <c r="K408" s="826">
        <f t="shared" si="294"/>
        <v>857835.43318292871</v>
      </c>
      <c r="L408" s="826">
        <f t="shared" si="294"/>
        <v>5593731.8649344575</v>
      </c>
      <c r="M408" s="826">
        <f t="shared" si="294"/>
        <v>5958771.8488023356</v>
      </c>
      <c r="N408" s="826">
        <f t="shared" si="294"/>
        <v>5925268.9201436434</v>
      </c>
      <c r="O408" s="826">
        <f t="shared" si="294"/>
        <v>6278174.4537953436</v>
      </c>
      <c r="P408" s="826">
        <f t="shared" si="294"/>
        <v>1036381.078118043</v>
      </c>
      <c r="Q408" s="826">
        <f t="shared" si="294"/>
        <v>6613224.0705349771</v>
      </c>
      <c r="R408" s="826">
        <f t="shared" si="294"/>
        <v>6575260.3748477614</v>
      </c>
      <c r="S408" s="826">
        <f t="shared" si="294"/>
        <v>6900577.3166808682</v>
      </c>
      <c r="T408" s="826">
        <f t="shared" si="294"/>
        <v>6796115.1022435026</v>
      </c>
      <c r="U408" s="826">
        <f t="shared" si="294"/>
        <v>1412988.3857968487</v>
      </c>
      <c r="V408" s="826">
        <f t="shared" si="294"/>
        <v>7023584.6646808488</v>
      </c>
      <c r="W408" s="826">
        <f t="shared" si="294"/>
        <v>7372884.6803522147</v>
      </c>
      <c r="X408" s="826">
        <f t="shared" si="294"/>
        <v>7344418.3483179854</v>
      </c>
      <c r="Y408" s="826">
        <f t="shared" si="294"/>
        <v>7799935.1035726033</v>
      </c>
      <c r="Z408" s="826">
        <f t="shared" si="294"/>
        <v>1484151.676388016</v>
      </c>
      <c r="AA408" s="826">
        <f t="shared" si="294"/>
        <v>8248886.5229009353</v>
      </c>
      <c r="AB408" s="826">
        <f t="shared" si="294"/>
        <v>8215850.8332087761</v>
      </c>
      <c r="AC408" s="826">
        <f t="shared" si="294"/>
        <v>8629704.9000607915</v>
      </c>
      <c r="AD408" s="826">
        <f t="shared" si="294"/>
        <v>8503078.7432802171</v>
      </c>
      <c r="AE408" s="826">
        <f t="shared" si="294"/>
        <v>2026673.933362931</v>
      </c>
      <c r="AF408" s="826">
        <f t="shared" si="294"/>
        <v>8799450.8545564208</v>
      </c>
      <c r="AG408" s="826">
        <f t="shared" si="294"/>
        <v>9244876.9798342548</v>
      </c>
      <c r="AH408" s="826">
        <f t="shared" si="294"/>
        <v>9105200.566713633</v>
      </c>
      <c r="AI408" s="826">
        <f t="shared" si="294"/>
        <v>9567270.633116506</v>
      </c>
      <c r="AJ408" s="826">
        <f t="shared" si="294"/>
        <v>1832846.159521183</v>
      </c>
      <c r="AK408" s="826">
        <f t="shared" si="294"/>
        <v>9899874.7991596144</v>
      </c>
      <c r="AL408" s="826">
        <f t="shared" si="294"/>
        <v>9745775.3563782182</v>
      </c>
      <c r="AM408" s="826">
        <f t="shared" si="294"/>
        <v>10242946.237552507</v>
      </c>
      <c r="AN408" s="826">
        <f t="shared" si="294"/>
        <v>10081075.113717766</v>
      </c>
      <c r="AO408" s="826">
        <f t="shared" si="294"/>
        <v>2259728.5538494438</v>
      </c>
      <c r="AP408" s="826">
        <f t="shared" si="294"/>
        <v>10426701.017738223</v>
      </c>
      <c r="AQ408" s="826">
        <f t="shared" si="294"/>
        <v>10961526.060454149</v>
      </c>
      <c r="AR408" s="826">
        <f t="shared" si="294"/>
        <v>10782891.901022542</v>
      </c>
      <c r="AS408" s="826">
        <f t="shared" si="294"/>
        <v>11337554.758532606</v>
      </c>
      <c r="AT408" s="827">
        <f t="shared" si="294"/>
        <v>1989576.4250066318</v>
      </c>
    </row>
    <row r="409" spans="2:46" ht="15" thickBot="1" x14ac:dyDescent="0.3">
      <c r="B409" s="839"/>
      <c r="C409" s="801"/>
      <c r="D409" s="801"/>
      <c r="E409" s="801"/>
      <c r="F409" s="801"/>
      <c r="G409" s="824"/>
      <c r="H409" s="824"/>
      <c r="I409" s="824"/>
      <c r="J409" s="824"/>
      <c r="K409" s="824"/>
      <c r="L409" s="824"/>
      <c r="M409" s="824"/>
      <c r="N409" s="824"/>
      <c r="O409" s="824"/>
      <c r="P409" s="824"/>
      <c r="Q409" s="824"/>
      <c r="R409" s="824"/>
      <c r="S409" s="824"/>
      <c r="T409" s="824"/>
      <c r="U409" s="824"/>
      <c r="V409" s="824"/>
      <c r="W409" s="824"/>
      <c r="X409" s="824"/>
      <c r="Y409" s="824"/>
      <c r="Z409" s="824"/>
      <c r="AA409" s="824"/>
      <c r="AB409" s="824"/>
      <c r="AC409" s="824"/>
      <c r="AD409" s="824"/>
      <c r="AE409" s="824"/>
      <c r="AF409" s="824"/>
      <c r="AG409" s="824"/>
      <c r="AH409" s="824"/>
      <c r="AI409" s="824"/>
      <c r="AJ409" s="824"/>
      <c r="AK409" s="824"/>
      <c r="AL409" s="824"/>
      <c r="AM409" s="824"/>
      <c r="AN409" s="824"/>
      <c r="AO409" s="824"/>
      <c r="AP409" s="824"/>
      <c r="AQ409" s="824"/>
      <c r="AR409" s="824"/>
      <c r="AS409" s="824"/>
      <c r="AT409" s="824"/>
    </row>
    <row r="410" spans="2:46" ht="14.4" x14ac:dyDescent="0.25">
      <c r="B410" s="835" t="s">
        <v>397</v>
      </c>
      <c r="C410" s="818"/>
      <c r="D410" s="818"/>
      <c r="E410" s="818"/>
      <c r="F410" s="818"/>
      <c r="G410" s="818"/>
      <c r="H410" s="818"/>
      <c r="I410" s="818"/>
      <c r="J410" s="818"/>
      <c r="K410" s="818"/>
      <c r="L410" s="818"/>
      <c r="M410" s="818"/>
      <c r="N410" s="818"/>
      <c r="O410" s="818"/>
      <c r="P410" s="818"/>
      <c r="Q410" s="818"/>
      <c r="R410" s="818"/>
      <c r="S410" s="818"/>
      <c r="T410" s="818"/>
      <c r="U410" s="818"/>
      <c r="V410" s="818"/>
      <c r="W410" s="818"/>
      <c r="X410" s="818"/>
      <c r="Y410" s="818"/>
      <c r="Z410" s="818"/>
      <c r="AA410" s="818"/>
      <c r="AB410" s="818"/>
      <c r="AC410" s="818"/>
      <c r="AD410" s="818"/>
      <c r="AE410" s="818"/>
      <c r="AF410" s="818"/>
      <c r="AG410" s="818"/>
      <c r="AH410" s="818"/>
      <c r="AI410" s="818"/>
      <c r="AJ410" s="818"/>
      <c r="AK410" s="818"/>
      <c r="AL410" s="818"/>
      <c r="AM410" s="818"/>
      <c r="AN410" s="818"/>
      <c r="AO410" s="818"/>
      <c r="AP410" s="818"/>
      <c r="AQ410" s="818"/>
      <c r="AR410" s="818"/>
      <c r="AS410" s="818"/>
      <c r="AT410" s="819"/>
    </row>
    <row r="411" spans="2:46" x14ac:dyDescent="0.25">
      <c r="B411" s="836" t="s">
        <v>442</v>
      </c>
      <c r="C411" s="268">
        <v>0</v>
      </c>
      <c r="D411" s="268">
        <v>0</v>
      </c>
      <c r="E411" s="268">
        <v>0</v>
      </c>
      <c r="F411" s="268">
        <v>0</v>
      </c>
      <c r="G411" s="178">
        <f>G408</f>
        <v>2961379.8470582305</v>
      </c>
      <c r="H411" s="178">
        <f t="shared" ref="H411:AT411" si="295">H408</f>
        <v>4604868.7378027439</v>
      </c>
      <c r="I411" s="178">
        <f t="shared" si="295"/>
        <v>5252177.4680189192</v>
      </c>
      <c r="J411" s="178">
        <f t="shared" si="295"/>
        <v>5250636.7948810607</v>
      </c>
      <c r="K411" s="178">
        <f t="shared" si="295"/>
        <v>857835.43318292871</v>
      </c>
      <c r="L411" s="178">
        <f t="shared" si="295"/>
        <v>5593731.8649344575</v>
      </c>
      <c r="M411" s="178">
        <f t="shared" si="295"/>
        <v>5958771.8488023356</v>
      </c>
      <c r="N411" s="178">
        <f t="shared" si="295"/>
        <v>5925268.9201436434</v>
      </c>
      <c r="O411" s="178">
        <f t="shared" si="295"/>
        <v>6278174.4537953436</v>
      </c>
      <c r="P411" s="178">
        <f t="shared" si="295"/>
        <v>1036381.078118043</v>
      </c>
      <c r="Q411" s="178">
        <f t="shared" si="295"/>
        <v>6613224.0705349771</v>
      </c>
      <c r="R411" s="178">
        <f t="shared" si="295"/>
        <v>6575260.3748477614</v>
      </c>
      <c r="S411" s="178">
        <f t="shared" si="295"/>
        <v>6900577.3166808682</v>
      </c>
      <c r="T411" s="178">
        <f t="shared" si="295"/>
        <v>6796115.1022435026</v>
      </c>
      <c r="U411" s="178">
        <f t="shared" si="295"/>
        <v>1412988.3857968487</v>
      </c>
      <c r="V411" s="178">
        <f t="shared" si="295"/>
        <v>7023584.6646808488</v>
      </c>
      <c r="W411" s="178">
        <f t="shared" si="295"/>
        <v>7372884.6803522147</v>
      </c>
      <c r="X411" s="178">
        <f t="shared" si="295"/>
        <v>7344418.3483179854</v>
      </c>
      <c r="Y411" s="178">
        <f t="shared" si="295"/>
        <v>7799935.1035726033</v>
      </c>
      <c r="Z411" s="178">
        <f t="shared" si="295"/>
        <v>1484151.676388016</v>
      </c>
      <c r="AA411" s="178">
        <f t="shared" si="295"/>
        <v>8248886.5229009353</v>
      </c>
      <c r="AB411" s="178">
        <f t="shared" si="295"/>
        <v>8215850.8332087761</v>
      </c>
      <c r="AC411" s="178">
        <f t="shared" si="295"/>
        <v>8629704.9000607915</v>
      </c>
      <c r="AD411" s="178">
        <f t="shared" si="295"/>
        <v>8503078.7432802171</v>
      </c>
      <c r="AE411" s="178">
        <f t="shared" si="295"/>
        <v>2026673.933362931</v>
      </c>
      <c r="AF411" s="178">
        <f t="shared" si="295"/>
        <v>8799450.8545564208</v>
      </c>
      <c r="AG411" s="178">
        <f t="shared" si="295"/>
        <v>9244876.9798342548</v>
      </c>
      <c r="AH411" s="178">
        <f t="shared" si="295"/>
        <v>9105200.566713633</v>
      </c>
      <c r="AI411" s="178">
        <f t="shared" si="295"/>
        <v>9567270.633116506</v>
      </c>
      <c r="AJ411" s="178">
        <f t="shared" si="295"/>
        <v>1832846.159521183</v>
      </c>
      <c r="AK411" s="178">
        <f t="shared" si="295"/>
        <v>9899874.7991596144</v>
      </c>
      <c r="AL411" s="178">
        <f t="shared" si="295"/>
        <v>9745775.3563782182</v>
      </c>
      <c r="AM411" s="178">
        <f t="shared" si="295"/>
        <v>10242946.237552507</v>
      </c>
      <c r="AN411" s="178">
        <f t="shared" si="295"/>
        <v>10081075.113717766</v>
      </c>
      <c r="AO411" s="178">
        <f t="shared" si="295"/>
        <v>2259728.5538494438</v>
      </c>
      <c r="AP411" s="178">
        <f t="shared" si="295"/>
        <v>10426701.017738223</v>
      </c>
      <c r="AQ411" s="178">
        <f t="shared" si="295"/>
        <v>10961526.060454149</v>
      </c>
      <c r="AR411" s="178">
        <f t="shared" si="295"/>
        <v>10782891.901022542</v>
      </c>
      <c r="AS411" s="178">
        <f t="shared" si="295"/>
        <v>11337554.758532606</v>
      </c>
      <c r="AT411" s="265">
        <f t="shared" si="295"/>
        <v>1989576.4250066318</v>
      </c>
    </row>
    <row r="412" spans="2:46" x14ac:dyDescent="0.25">
      <c r="B412" s="836" t="s">
        <v>440</v>
      </c>
      <c r="C412" s="268">
        <v>0</v>
      </c>
      <c r="D412" s="268">
        <v>0</v>
      </c>
      <c r="E412" s="268">
        <v>0</v>
      </c>
      <c r="F412" s="268">
        <v>0</v>
      </c>
      <c r="G412" s="178">
        <f>IF(G411&gt;0,-$C$23*G411,0)</f>
        <v>0</v>
      </c>
      <c r="H412" s="178">
        <f t="shared" ref="H412:AT412" si="296">IF(H411&gt;0,-$C$23*H411,0)</f>
        <v>0</v>
      </c>
      <c r="I412" s="178">
        <f t="shared" si="296"/>
        <v>0</v>
      </c>
      <c r="J412" s="178">
        <f t="shared" si="296"/>
        <v>0</v>
      </c>
      <c r="K412" s="178">
        <f t="shared" si="296"/>
        <v>0</v>
      </c>
      <c r="L412" s="178">
        <f t="shared" si="296"/>
        <v>0</v>
      </c>
      <c r="M412" s="178">
        <f t="shared" si="296"/>
        <v>0</v>
      </c>
      <c r="N412" s="178">
        <f t="shared" si="296"/>
        <v>0</v>
      </c>
      <c r="O412" s="178">
        <f t="shared" si="296"/>
        <v>0</v>
      </c>
      <c r="P412" s="178">
        <f t="shared" si="296"/>
        <v>0</v>
      </c>
      <c r="Q412" s="178">
        <f t="shared" si="296"/>
        <v>0</v>
      </c>
      <c r="R412" s="178">
        <f t="shared" si="296"/>
        <v>0</v>
      </c>
      <c r="S412" s="178">
        <f t="shared" si="296"/>
        <v>0</v>
      </c>
      <c r="T412" s="178">
        <f t="shared" si="296"/>
        <v>0</v>
      </c>
      <c r="U412" s="178">
        <f t="shared" si="296"/>
        <v>0</v>
      </c>
      <c r="V412" s="178">
        <f t="shared" si="296"/>
        <v>0</v>
      </c>
      <c r="W412" s="178">
        <f t="shared" si="296"/>
        <v>0</v>
      </c>
      <c r="X412" s="178">
        <f t="shared" si="296"/>
        <v>0</v>
      </c>
      <c r="Y412" s="178">
        <f t="shared" si="296"/>
        <v>0</v>
      </c>
      <c r="Z412" s="178">
        <f t="shared" si="296"/>
        <v>0</v>
      </c>
      <c r="AA412" s="178">
        <f t="shared" si="296"/>
        <v>0</v>
      </c>
      <c r="AB412" s="178">
        <f t="shared" si="296"/>
        <v>0</v>
      </c>
      <c r="AC412" s="178">
        <f t="shared" si="296"/>
        <v>0</v>
      </c>
      <c r="AD412" s="178">
        <f t="shared" si="296"/>
        <v>0</v>
      </c>
      <c r="AE412" s="178">
        <f t="shared" si="296"/>
        <v>0</v>
      </c>
      <c r="AF412" s="178">
        <f t="shared" si="296"/>
        <v>0</v>
      </c>
      <c r="AG412" s="178">
        <f t="shared" si="296"/>
        <v>0</v>
      </c>
      <c r="AH412" s="178">
        <f t="shared" si="296"/>
        <v>0</v>
      </c>
      <c r="AI412" s="178">
        <f t="shared" si="296"/>
        <v>0</v>
      </c>
      <c r="AJ412" s="178">
        <f t="shared" si="296"/>
        <v>0</v>
      </c>
      <c r="AK412" s="178">
        <f t="shared" si="296"/>
        <v>0</v>
      </c>
      <c r="AL412" s="178">
        <f t="shared" si="296"/>
        <v>0</v>
      </c>
      <c r="AM412" s="178">
        <f t="shared" si="296"/>
        <v>0</v>
      </c>
      <c r="AN412" s="178">
        <f t="shared" si="296"/>
        <v>0</v>
      </c>
      <c r="AO412" s="178">
        <f t="shared" si="296"/>
        <v>0</v>
      </c>
      <c r="AP412" s="178">
        <f t="shared" si="296"/>
        <v>0</v>
      </c>
      <c r="AQ412" s="178">
        <f t="shared" si="296"/>
        <v>0</v>
      </c>
      <c r="AR412" s="178">
        <f t="shared" si="296"/>
        <v>0</v>
      </c>
      <c r="AS412" s="178">
        <f t="shared" si="296"/>
        <v>0</v>
      </c>
      <c r="AT412" s="265">
        <f t="shared" si="296"/>
        <v>0</v>
      </c>
    </row>
    <row r="413" spans="2:46" ht="14.4" x14ac:dyDescent="0.25">
      <c r="B413" s="840" t="s">
        <v>175</v>
      </c>
      <c r="C413" s="800">
        <v>0</v>
      </c>
      <c r="D413" s="800">
        <v>0</v>
      </c>
      <c r="E413" s="800">
        <v>0</v>
      </c>
      <c r="F413" s="800">
        <v>0</v>
      </c>
      <c r="G413" s="261">
        <f>G395</f>
        <v>-3190596.5206691762</v>
      </c>
      <c r="H413" s="261">
        <f t="shared" ref="H413:AT413" si="297">H395</f>
        <v>-3190596.5206691762</v>
      </c>
      <c r="I413" s="261">
        <f t="shared" si="297"/>
        <v>-3190596.5206691762</v>
      </c>
      <c r="J413" s="261">
        <f t="shared" si="297"/>
        <v>-3190596.5206691762</v>
      </c>
      <c r="K413" s="261">
        <f t="shared" si="297"/>
        <v>-3190596.5206691762</v>
      </c>
      <c r="L413" s="261">
        <f t="shared" si="297"/>
        <v>-3018004.6382407546</v>
      </c>
      <c r="M413" s="261">
        <f t="shared" si="297"/>
        <v>-3018004.6382407546</v>
      </c>
      <c r="N413" s="261">
        <f t="shared" si="297"/>
        <v>-3018004.6382407546</v>
      </c>
      <c r="O413" s="261">
        <f t="shared" si="297"/>
        <v>-3018004.6382407546</v>
      </c>
      <c r="P413" s="261">
        <f t="shared" si="297"/>
        <v>-3018004.6382407546</v>
      </c>
      <c r="Q413" s="261">
        <f t="shared" si="297"/>
        <v>-2730297.5196809703</v>
      </c>
      <c r="R413" s="261">
        <f t="shared" si="297"/>
        <v>-3089270.1647581775</v>
      </c>
      <c r="S413" s="261">
        <f t="shared" si="297"/>
        <v>-3089270.1647581775</v>
      </c>
      <c r="T413" s="261">
        <f t="shared" si="297"/>
        <v>-3089270.1647581775</v>
      </c>
      <c r="U413" s="261">
        <f t="shared" si="297"/>
        <v>-3089270.1647581775</v>
      </c>
      <c r="V413" s="261">
        <f t="shared" si="297"/>
        <v>-2321770.1453197817</v>
      </c>
      <c r="W413" s="261">
        <f t="shared" si="297"/>
        <v>-2321770.1453197817</v>
      </c>
      <c r="X413" s="261">
        <f t="shared" si="297"/>
        <v>-3400967.9714049036</v>
      </c>
      <c r="Y413" s="261">
        <f t="shared" si="297"/>
        <v>-3400967.9714049036</v>
      </c>
      <c r="Z413" s="261">
        <f t="shared" si="297"/>
        <v>-3400967.9714049036</v>
      </c>
      <c r="AA413" s="261">
        <f t="shared" si="297"/>
        <v>-3400967.9714049036</v>
      </c>
      <c r="AB413" s="261">
        <f t="shared" si="297"/>
        <v>-3400967.9714049036</v>
      </c>
      <c r="AC413" s="261">
        <f t="shared" si="297"/>
        <v>-3487432.5990548981</v>
      </c>
      <c r="AD413" s="261">
        <f t="shared" si="297"/>
        <v>-3487432.5990548981</v>
      </c>
      <c r="AE413" s="261">
        <f t="shared" si="297"/>
        <v>-3487432.5990548981</v>
      </c>
      <c r="AF413" s="261">
        <f t="shared" si="297"/>
        <v>-3487432.5990548981</v>
      </c>
      <c r="AG413" s="261">
        <f t="shared" si="297"/>
        <v>-3487432.5990548981</v>
      </c>
      <c r="AH413" s="261">
        <f t="shared" si="297"/>
        <v>-3487432.5990548981</v>
      </c>
      <c r="AI413" s="261">
        <f t="shared" si="297"/>
        <v>-3487432.5990548981</v>
      </c>
      <c r="AJ413" s="261">
        <f t="shared" si="297"/>
        <v>-3487432.5990548981</v>
      </c>
      <c r="AK413" s="261">
        <f t="shared" si="297"/>
        <v>-3487432.5990548981</v>
      </c>
      <c r="AL413" s="261">
        <f t="shared" si="297"/>
        <v>-3487432.5990548981</v>
      </c>
      <c r="AM413" s="261">
        <f t="shared" si="297"/>
        <v>-2408234.7729697763</v>
      </c>
      <c r="AN413" s="261">
        <f t="shared" si="297"/>
        <v>-1962797.5002425744</v>
      </c>
      <c r="AO413" s="261">
        <f t="shared" si="297"/>
        <v>-3935665.6732037212</v>
      </c>
      <c r="AP413" s="261">
        <f t="shared" si="297"/>
        <v>-3935665.6732037212</v>
      </c>
      <c r="AQ413" s="261">
        <f t="shared" si="297"/>
        <v>-3935665.6732037212</v>
      </c>
      <c r="AR413" s="261">
        <f t="shared" si="297"/>
        <v>-3935665.6732037212</v>
      </c>
      <c r="AS413" s="261">
        <f t="shared" si="297"/>
        <v>-3935665.6732037212</v>
      </c>
      <c r="AT413" s="266">
        <f t="shared" si="297"/>
        <v>-3935665.6732037212</v>
      </c>
    </row>
    <row r="414" spans="2:46" x14ac:dyDescent="0.25">
      <c r="B414" s="836" t="s">
        <v>444</v>
      </c>
      <c r="C414" s="268">
        <v>0</v>
      </c>
      <c r="D414" s="268">
        <v>0</v>
      </c>
      <c r="E414" s="268">
        <v>0</v>
      </c>
      <c r="F414" s="268">
        <v>0</v>
      </c>
      <c r="G414" s="178">
        <f t="shared" ref="G414:AT414" si="298">G411+G412+G413</f>
        <v>-229216.6736109457</v>
      </c>
      <c r="H414" s="178">
        <f t="shared" si="298"/>
        <v>1414272.2171335677</v>
      </c>
      <c r="I414" s="178">
        <f t="shared" si="298"/>
        <v>2061580.947349743</v>
      </c>
      <c r="J414" s="178">
        <f t="shared" si="298"/>
        <v>2060040.2742118845</v>
      </c>
      <c r="K414" s="178">
        <f t="shared" si="298"/>
        <v>-2332761.0874862475</v>
      </c>
      <c r="L414" s="178">
        <f t="shared" si="298"/>
        <v>2575727.2266937029</v>
      </c>
      <c r="M414" s="178">
        <f t="shared" si="298"/>
        <v>2940767.210561581</v>
      </c>
      <c r="N414" s="178">
        <f t="shared" si="298"/>
        <v>2907264.2819028888</v>
      </c>
      <c r="O414" s="178">
        <f t="shared" si="298"/>
        <v>3260169.815554589</v>
      </c>
      <c r="P414" s="178">
        <f t="shared" si="298"/>
        <v>-1981623.5601227116</v>
      </c>
      <c r="Q414" s="178">
        <f t="shared" si="298"/>
        <v>3882926.5508540068</v>
      </c>
      <c r="R414" s="178">
        <f t="shared" si="298"/>
        <v>3485990.2100895839</v>
      </c>
      <c r="S414" s="178">
        <f t="shared" si="298"/>
        <v>3811307.1519226907</v>
      </c>
      <c r="T414" s="178">
        <f t="shared" si="298"/>
        <v>3706844.9374853252</v>
      </c>
      <c r="U414" s="178">
        <f t="shared" si="298"/>
        <v>-1676281.7789613288</v>
      </c>
      <c r="V414" s="178">
        <f t="shared" si="298"/>
        <v>4701814.5193610676</v>
      </c>
      <c r="W414" s="178">
        <f t="shared" si="298"/>
        <v>5051114.5350324325</v>
      </c>
      <c r="X414" s="178">
        <f t="shared" si="298"/>
        <v>3943450.3769130819</v>
      </c>
      <c r="Y414" s="178">
        <f t="shared" si="298"/>
        <v>4398967.1321676997</v>
      </c>
      <c r="Z414" s="178">
        <f t="shared" si="298"/>
        <v>-1916816.2950168876</v>
      </c>
      <c r="AA414" s="178">
        <f t="shared" si="298"/>
        <v>4847918.5514960317</v>
      </c>
      <c r="AB414" s="178">
        <f t="shared" si="298"/>
        <v>4814882.8618038725</v>
      </c>
      <c r="AC414" s="178">
        <f t="shared" si="298"/>
        <v>5142272.3010058934</v>
      </c>
      <c r="AD414" s="178">
        <f t="shared" si="298"/>
        <v>5015646.1442253189</v>
      </c>
      <c r="AE414" s="178">
        <f t="shared" si="298"/>
        <v>-1460758.6656919671</v>
      </c>
      <c r="AF414" s="178">
        <f t="shared" si="298"/>
        <v>5312018.2555015227</v>
      </c>
      <c r="AG414" s="178">
        <f t="shared" si="298"/>
        <v>5757444.3807793567</v>
      </c>
      <c r="AH414" s="178">
        <f t="shared" si="298"/>
        <v>5617767.9676587349</v>
      </c>
      <c r="AI414" s="178">
        <f t="shared" si="298"/>
        <v>6079838.0340616079</v>
      </c>
      <c r="AJ414" s="178">
        <f t="shared" si="298"/>
        <v>-1654586.4395337151</v>
      </c>
      <c r="AK414" s="178">
        <f t="shared" si="298"/>
        <v>6412442.2001047162</v>
      </c>
      <c r="AL414" s="178">
        <f t="shared" si="298"/>
        <v>6258342.75732332</v>
      </c>
      <c r="AM414" s="178">
        <f t="shared" si="298"/>
        <v>7834711.4645827301</v>
      </c>
      <c r="AN414" s="178">
        <f t="shared" si="298"/>
        <v>8118277.6134751923</v>
      </c>
      <c r="AO414" s="178">
        <f t="shared" si="298"/>
        <v>-1675937.1193542774</v>
      </c>
      <c r="AP414" s="178">
        <f t="shared" si="298"/>
        <v>6491035.3445345014</v>
      </c>
      <c r="AQ414" s="178">
        <f t="shared" si="298"/>
        <v>7025860.3872504272</v>
      </c>
      <c r="AR414" s="178">
        <f t="shared" si="298"/>
        <v>6847226.2278188206</v>
      </c>
      <c r="AS414" s="178">
        <f t="shared" si="298"/>
        <v>7401889.0853288844</v>
      </c>
      <c r="AT414" s="265">
        <f t="shared" si="298"/>
        <v>-1946089.2481970894</v>
      </c>
    </row>
    <row r="415" spans="2:46" x14ac:dyDescent="0.25">
      <c r="B415" s="836" t="s">
        <v>443</v>
      </c>
      <c r="C415" s="268">
        <v>0</v>
      </c>
      <c r="D415" s="268">
        <v>0</v>
      </c>
      <c r="E415" s="268">
        <v>0</v>
      </c>
      <c r="F415" s="268">
        <v>0</v>
      </c>
      <c r="G415" s="178">
        <f>IF(G414&gt;0,-$C$24*G414,0)</f>
        <v>0</v>
      </c>
      <c r="H415" s="178">
        <f t="shared" ref="H415:AT415" si="299">IF(H414&gt;0,-$C$24*H414,0)</f>
        <v>-494995.27599674865</v>
      </c>
      <c r="I415" s="178">
        <f t="shared" si="299"/>
        <v>-721553.33157240995</v>
      </c>
      <c r="J415" s="178">
        <f t="shared" si="299"/>
        <v>-721014.09597415954</v>
      </c>
      <c r="K415" s="178">
        <f t="shared" si="299"/>
        <v>0</v>
      </c>
      <c r="L415" s="178">
        <f t="shared" si="299"/>
        <v>-901504.52934279596</v>
      </c>
      <c r="M415" s="178">
        <f t="shared" si="299"/>
        <v>-1029268.5236965533</v>
      </c>
      <c r="N415" s="178">
        <f t="shared" si="299"/>
        <v>-1017542.498666011</v>
      </c>
      <c r="O415" s="178">
        <f t="shared" si="299"/>
        <v>-1141059.4354441061</v>
      </c>
      <c r="P415" s="178">
        <f t="shared" si="299"/>
        <v>0</v>
      </c>
      <c r="Q415" s="178">
        <f t="shared" si="299"/>
        <v>-1359024.2927989024</v>
      </c>
      <c r="R415" s="178">
        <f t="shared" si="299"/>
        <v>-1220096.5735313543</v>
      </c>
      <c r="S415" s="178">
        <f t="shared" si="299"/>
        <v>-1333957.5031729417</v>
      </c>
      <c r="T415" s="178">
        <f t="shared" si="299"/>
        <v>-1297395.7281198637</v>
      </c>
      <c r="U415" s="178">
        <f t="shared" si="299"/>
        <v>0</v>
      </c>
      <c r="V415" s="178">
        <f t="shared" si="299"/>
        <v>-1645635.0817763736</v>
      </c>
      <c r="W415" s="178">
        <f t="shared" si="299"/>
        <v>-1767890.0872613513</v>
      </c>
      <c r="X415" s="178">
        <f t="shared" si="299"/>
        <v>-1380207.6319195786</v>
      </c>
      <c r="Y415" s="178">
        <f t="shared" si="299"/>
        <v>-1539638.4962586949</v>
      </c>
      <c r="Z415" s="178">
        <f t="shared" si="299"/>
        <v>0</v>
      </c>
      <c r="AA415" s="178">
        <f t="shared" si="299"/>
        <v>-1696771.4930236109</v>
      </c>
      <c r="AB415" s="178">
        <f t="shared" si="299"/>
        <v>-1685209.0016313554</v>
      </c>
      <c r="AC415" s="178">
        <f t="shared" si="299"/>
        <v>-1799795.3053520627</v>
      </c>
      <c r="AD415" s="178">
        <f t="shared" si="299"/>
        <v>-1755476.1504788615</v>
      </c>
      <c r="AE415" s="178">
        <f t="shared" si="299"/>
        <v>0</v>
      </c>
      <c r="AF415" s="178">
        <f t="shared" si="299"/>
        <v>-1859206.3894255329</v>
      </c>
      <c r="AG415" s="178">
        <f t="shared" si="299"/>
        <v>-2015105.5332727747</v>
      </c>
      <c r="AH415" s="178">
        <f t="shared" si="299"/>
        <v>-1966218.7886805572</v>
      </c>
      <c r="AI415" s="178">
        <f t="shared" si="299"/>
        <v>-2127943.3119215625</v>
      </c>
      <c r="AJ415" s="178">
        <f t="shared" si="299"/>
        <v>0</v>
      </c>
      <c r="AK415" s="178">
        <f t="shared" si="299"/>
        <v>-2244354.7700366504</v>
      </c>
      <c r="AL415" s="178">
        <f t="shared" si="299"/>
        <v>-2190419.9650631617</v>
      </c>
      <c r="AM415" s="178">
        <f t="shared" si="299"/>
        <v>-2742149.0126039553</v>
      </c>
      <c r="AN415" s="178">
        <f t="shared" si="299"/>
        <v>-2841397.1647163173</v>
      </c>
      <c r="AO415" s="178">
        <f t="shared" si="299"/>
        <v>0</v>
      </c>
      <c r="AP415" s="178">
        <f t="shared" si="299"/>
        <v>-2271862.3705870751</v>
      </c>
      <c r="AQ415" s="178">
        <f t="shared" si="299"/>
        <v>-2459051.1355376495</v>
      </c>
      <c r="AR415" s="178">
        <f t="shared" si="299"/>
        <v>-2396529.1797365872</v>
      </c>
      <c r="AS415" s="178">
        <f t="shared" si="299"/>
        <v>-2590661.1798651093</v>
      </c>
      <c r="AT415" s="265">
        <f t="shared" si="299"/>
        <v>0</v>
      </c>
    </row>
    <row r="416" spans="2:46" ht="14.4" x14ac:dyDescent="0.25">
      <c r="B416" s="841" t="s">
        <v>445</v>
      </c>
      <c r="C416" s="801">
        <v>0</v>
      </c>
      <c r="D416" s="801">
        <v>0</v>
      </c>
      <c r="E416" s="801">
        <v>0</v>
      </c>
      <c r="F416" s="801">
        <v>0</v>
      </c>
      <c r="G416" s="262">
        <f>G414+G415</f>
        <v>-229216.6736109457</v>
      </c>
      <c r="H416" s="262">
        <f t="shared" ref="H416:AT416" si="300">H414+H415</f>
        <v>919276.94113681908</v>
      </c>
      <c r="I416" s="262">
        <f t="shared" si="300"/>
        <v>1340027.615777333</v>
      </c>
      <c r="J416" s="262">
        <f t="shared" si="300"/>
        <v>1339026.178237725</v>
      </c>
      <c r="K416" s="262">
        <f t="shared" si="300"/>
        <v>-2332761.0874862475</v>
      </c>
      <c r="L416" s="262">
        <f t="shared" si="300"/>
        <v>1674222.6973509069</v>
      </c>
      <c r="M416" s="262">
        <f t="shared" si="300"/>
        <v>1911498.6868650275</v>
      </c>
      <c r="N416" s="262">
        <f t="shared" si="300"/>
        <v>1889721.7832368778</v>
      </c>
      <c r="O416" s="262">
        <f t="shared" si="300"/>
        <v>2119110.3801104827</v>
      </c>
      <c r="P416" s="262">
        <f t="shared" si="300"/>
        <v>-1981623.5601227116</v>
      </c>
      <c r="Q416" s="262">
        <f t="shared" si="300"/>
        <v>2523902.2580551044</v>
      </c>
      <c r="R416" s="262">
        <f t="shared" si="300"/>
        <v>2265893.6365582296</v>
      </c>
      <c r="S416" s="262">
        <f t="shared" si="300"/>
        <v>2477349.6487497492</v>
      </c>
      <c r="T416" s="262">
        <f t="shared" si="300"/>
        <v>2409449.2093654615</v>
      </c>
      <c r="U416" s="262">
        <f t="shared" si="300"/>
        <v>-1676281.7789613288</v>
      </c>
      <c r="V416" s="262">
        <f t="shared" si="300"/>
        <v>3056179.437584694</v>
      </c>
      <c r="W416" s="262">
        <f t="shared" si="300"/>
        <v>3283224.4477710812</v>
      </c>
      <c r="X416" s="262">
        <f t="shared" si="300"/>
        <v>2563242.7449935032</v>
      </c>
      <c r="Y416" s="262">
        <f t="shared" si="300"/>
        <v>2859328.6359090051</v>
      </c>
      <c r="Z416" s="262">
        <f t="shared" si="300"/>
        <v>-1916816.2950168876</v>
      </c>
      <c r="AA416" s="262">
        <f t="shared" si="300"/>
        <v>3151147.058472421</v>
      </c>
      <c r="AB416" s="262">
        <f t="shared" si="300"/>
        <v>3129673.8601725171</v>
      </c>
      <c r="AC416" s="262">
        <f t="shared" si="300"/>
        <v>3342476.9956538305</v>
      </c>
      <c r="AD416" s="262">
        <f t="shared" si="300"/>
        <v>3260169.9937464576</v>
      </c>
      <c r="AE416" s="262">
        <f t="shared" si="300"/>
        <v>-1460758.6656919671</v>
      </c>
      <c r="AF416" s="262">
        <f t="shared" si="300"/>
        <v>3452811.8660759898</v>
      </c>
      <c r="AG416" s="262">
        <f t="shared" si="300"/>
        <v>3742338.8475065818</v>
      </c>
      <c r="AH416" s="262">
        <f t="shared" si="300"/>
        <v>3651549.1789781777</v>
      </c>
      <c r="AI416" s="262">
        <f t="shared" si="300"/>
        <v>3951894.7221400454</v>
      </c>
      <c r="AJ416" s="262">
        <f t="shared" si="300"/>
        <v>-1654586.4395337151</v>
      </c>
      <c r="AK416" s="262">
        <f t="shared" si="300"/>
        <v>4168087.4300680659</v>
      </c>
      <c r="AL416" s="262">
        <f t="shared" si="300"/>
        <v>4067922.7922601583</v>
      </c>
      <c r="AM416" s="262">
        <f t="shared" si="300"/>
        <v>5092562.4519787747</v>
      </c>
      <c r="AN416" s="262">
        <f t="shared" si="300"/>
        <v>5276880.448758875</v>
      </c>
      <c r="AO416" s="262">
        <f t="shared" si="300"/>
        <v>-1675937.1193542774</v>
      </c>
      <c r="AP416" s="262">
        <f t="shared" si="300"/>
        <v>4219172.9739474263</v>
      </c>
      <c r="AQ416" s="262">
        <f t="shared" si="300"/>
        <v>4566809.2517127777</v>
      </c>
      <c r="AR416" s="262">
        <f t="shared" si="300"/>
        <v>4450697.0480822334</v>
      </c>
      <c r="AS416" s="262">
        <f t="shared" si="300"/>
        <v>4811227.9054637756</v>
      </c>
      <c r="AT416" s="267">
        <f t="shared" si="300"/>
        <v>-1946089.2481970894</v>
      </c>
    </row>
    <row r="417" spans="2:46" x14ac:dyDescent="0.25">
      <c r="B417" s="836" t="s">
        <v>446</v>
      </c>
      <c r="C417" s="268">
        <v>0</v>
      </c>
      <c r="D417" s="268">
        <v>0</v>
      </c>
      <c r="E417" s="268">
        <v>0</v>
      </c>
      <c r="F417" s="268">
        <v>0</v>
      </c>
      <c r="G417" s="178">
        <f>-G413</f>
        <v>3190596.5206691762</v>
      </c>
      <c r="H417" s="178">
        <f t="shared" ref="H417:AT417" si="301">-H413</f>
        <v>3190596.5206691762</v>
      </c>
      <c r="I417" s="178">
        <f t="shared" si="301"/>
        <v>3190596.5206691762</v>
      </c>
      <c r="J417" s="178">
        <f t="shared" si="301"/>
        <v>3190596.5206691762</v>
      </c>
      <c r="K417" s="178">
        <f t="shared" si="301"/>
        <v>3190596.5206691762</v>
      </c>
      <c r="L417" s="178">
        <f t="shared" si="301"/>
        <v>3018004.6382407546</v>
      </c>
      <c r="M417" s="178">
        <f t="shared" si="301"/>
        <v>3018004.6382407546</v>
      </c>
      <c r="N417" s="178">
        <f t="shared" si="301"/>
        <v>3018004.6382407546</v>
      </c>
      <c r="O417" s="178">
        <f t="shared" si="301"/>
        <v>3018004.6382407546</v>
      </c>
      <c r="P417" s="178">
        <f t="shared" si="301"/>
        <v>3018004.6382407546</v>
      </c>
      <c r="Q417" s="178">
        <f t="shared" si="301"/>
        <v>2730297.5196809703</v>
      </c>
      <c r="R417" s="178">
        <f t="shared" si="301"/>
        <v>3089270.1647581775</v>
      </c>
      <c r="S417" s="178">
        <f t="shared" si="301"/>
        <v>3089270.1647581775</v>
      </c>
      <c r="T417" s="178">
        <f t="shared" si="301"/>
        <v>3089270.1647581775</v>
      </c>
      <c r="U417" s="178">
        <f t="shared" si="301"/>
        <v>3089270.1647581775</v>
      </c>
      <c r="V417" s="178">
        <f t="shared" si="301"/>
        <v>2321770.1453197817</v>
      </c>
      <c r="W417" s="178">
        <f t="shared" si="301"/>
        <v>2321770.1453197817</v>
      </c>
      <c r="X417" s="178">
        <f t="shared" si="301"/>
        <v>3400967.9714049036</v>
      </c>
      <c r="Y417" s="178">
        <f t="shared" si="301"/>
        <v>3400967.9714049036</v>
      </c>
      <c r="Z417" s="178">
        <f t="shared" si="301"/>
        <v>3400967.9714049036</v>
      </c>
      <c r="AA417" s="178">
        <f t="shared" si="301"/>
        <v>3400967.9714049036</v>
      </c>
      <c r="AB417" s="178">
        <f t="shared" si="301"/>
        <v>3400967.9714049036</v>
      </c>
      <c r="AC417" s="178">
        <f t="shared" si="301"/>
        <v>3487432.5990548981</v>
      </c>
      <c r="AD417" s="178">
        <f t="shared" si="301"/>
        <v>3487432.5990548981</v>
      </c>
      <c r="AE417" s="178">
        <f t="shared" si="301"/>
        <v>3487432.5990548981</v>
      </c>
      <c r="AF417" s="178">
        <f t="shared" si="301"/>
        <v>3487432.5990548981</v>
      </c>
      <c r="AG417" s="178">
        <f t="shared" si="301"/>
        <v>3487432.5990548981</v>
      </c>
      <c r="AH417" s="178">
        <f t="shared" si="301"/>
        <v>3487432.5990548981</v>
      </c>
      <c r="AI417" s="178">
        <f t="shared" si="301"/>
        <v>3487432.5990548981</v>
      </c>
      <c r="AJ417" s="178">
        <f t="shared" si="301"/>
        <v>3487432.5990548981</v>
      </c>
      <c r="AK417" s="178">
        <f t="shared" si="301"/>
        <v>3487432.5990548981</v>
      </c>
      <c r="AL417" s="178">
        <f t="shared" si="301"/>
        <v>3487432.5990548981</v>
      </c>
      <c r="AM417" s="178">
        <f t="shared" si="301"/>
        <v>2408234.7729697763</v>
      </c>
      <c r="AN417" s="178">
        <f t="shared" si="301"/>
        <v>1962797.5002425744</v>
      </c>
      <c r="AO417" s="178">
        <f t="shared" si="301"/>
        <v>3935665.6732037212</v>
      </c>
      <c r="AP417" s="178">
        <f t="shared" si="301"/>
        <v>3935665.6732037212</v>
      </c>
      <c r="AQ417" s="178">
        <f t="shared" si="301"/>
        <v>3935665.6732037212</v>
      </c>
      <c r="AR417" s="178">
        <f t="shared" si="301"/>
        <v>3935665.6732037212</v>
      </c>
      <c r="AS417" s="178">
        <f t="shared" si="301"/>
        <v>3935665.6732037212</v>
      </c>
      <c r="AT417" s="265">
        <f t="shared" si="301"/>
        <v>3935665.6732037212</v>
      </c>
    </row>
    <row r="418" spans="2:46" ht="15" thickBot="1" x14ac:dyDescent="0.3">
      <c r="B418" s="842" t="s">
        <v>386</v>
      </c>
      <c r="C418" s="828"/>
      <c r="D418" s="828"/>
      <c r="E418" s="828"/>
      <c r="F418" s="828"/>
      <c r="G418" s="828">
        <f>G416+G417</f>
        <v>2961379.8470582305</v>
      </c>
      <c r="H418" s="828">
        <f t="shared" ref="H418:AT418" si="302">H416+H417</f>
        <v>4109873.4618059956</v>
      </c>
      <c r="I418" s="828">
        <f t="shared" si="302"/>
        <v>4530624.1364465095</v>
      </c>
      <c r="J418" s="828">
        <f t="shared" si="302"/>
        <v>4529622.6989069013</v>
      </c>
      <c r="K418" s="828">
        <f t="shared" si="302"/>
        <v>857835.43318292871</v>
      </c>
      <c r="L418" s="828">
        <f t="shared" si="302"/>
        <v>4692227.3355916617</v>
      </c>
      <c r="M418" s="828">
        <f t="shared" si="302"/>
        <v>4929503.3251057826</v>
      </c>
      <c r="N418" s="828">
        <f t="shared" si="302"/>
        <v>4907726.4214776326</v>
      </c>
      <c r="O418" s="828">
        <f t="shared" si="302"/>
        <v>5137115.0183512373</v>
      </c>
      <c r="P418" s="828">
        <f t="shared" si="302"/>
        <v>1036381.078118043</v>
      </c>
      <c r="Q418" s="828">
        <f t="shared" si="302"/>
        <v>5254199.7777360752</v>
      </c>
      <c r="R418" s="828">
        <f t="shared" si="302"/>
        <v>5355163.8013164066</v>
      </c>
      <c r="S418" s="828">
        <f t="shared" si="302"/>
        <v>5566619.8135079267</v>
      </c>
      <c r="T418" s="828">
        <f t="shared" si="302"/>
        <v>5498719.3741236385</v>
      </c>
      <c r="U418" s="828">
        <f t="shared" si="302"/>
        <v>1412988.3857968487</v>
      </c>
      <c r="V418" s="828">
        <f t="shared" si="302"/>
        <v>5377949.5829044757</v>
      </c>
      <c r="W418" s="828">
        <f t="shared" si="302"/>
        <v>5604994.593090863</v>
      </c>
      <c r="X418" s="828">
        <f t="shared" si="302"/>
        <v>5964210.7163984068</v>
      </c>
      <c r="Y418" s="828">
        <f t="shared" si="302"/>
        <v>6260296.6073139086</v>
      </c>
      <c r="Z418" s="828">
        <f t="shared" si="302"/>
        <v>1484151.676388016</v>
      </c>
      <c r="AA418" s="828">
        <f t="shared" si="302"/>
        <v>6552115.0298773246</v>
      </c>
      <c r="AB418" s="828">
        <f t="shared" si="302"/>
        <v>6530641.8315774202</v>
      </c>
      <c r="AC418" s="828">
        <f t="shared" si="302"/>
        <v>6829909.5947087286</v>
      </c>
      <c r="AD418" s="828">
        <f t="shared" si="302"/>
        <v>6747602.5928013558</v>
      </c>
      <c r="AE418" s="828">
        <f t="shared" si="302"/>
        <v>2026673.933362931</v>
      </c>
      <c r="AF418" s="828">
        <f t="shared" si="302"/>
        <v>6940244.4651308879</v>
      </c>
      <c r="AG418" s="828">
        <f t="shared" si="302"/>
        <v>7229771.4465614799</v>
      </c>
      <c r="AH418" s="828">
        <f t="shared" si="302"/>
        <v>7138981.7780330759</v>
      </c>
      <c r="AI418" s="828">
        <f t="shared" si="302"/>
        <v>7439327.321194943</v>
      </c>
      <c r="AJ418" s="828">
        <f t="shared" si="302"/>
        <v>1832846.159521183</v>
      </c>
      <c r="AK418" s="828">
        <f t="shared" si="302"/>
        <v>7655520.0291229635</v>
      </c>
      <c r="AL418" s="828">
        <f t="shared" si="302"/>
        <v>7555355.391315056</v>
      </c>
      <c r="AM418" s="828">
        <f t="shared" si="302"/>
        <v>7500797.2249485515</v>
      </c>
      <c r="AN418" s="828">
        <f t="shared" si="302"/>
        <v>7239677.9490014492</v>
      </c>
      <c r="AO418" s="828">
        <f t="shared" si="302"/>
        <v>2259728.5538494438</v>
      </c>
      <c r="AP418" s="828">
        <f t="shared" si="302"/>
        <v>8154838.6471511479</v>
      </c>
      <c r="AQ418" s="828">
        <f t="shared" si="302"/>
        <v>8502474.9249164984</v>
      </c>
      <c r="AR418" s="828">
        <f t="shared" si="302"/>
        <v>8386362.7212859541</v>
      </c>
      <c r="AS418" s="828">
        <f t="shared" si="302"/>
        <v>8746893.5786674973</v>
      </c>
      <c r="AT418" s="829">
        <f t="shared" si="302"/>
        <v>1989576.4250066318</v>
      </c>
    </row>
    <row r="419" spans="2:46" ht="15" thickBot="1" x14ac:dyDescent="0.3">
      <c r="B419" s="839"/>
      <c r="C419" s="811"/>
      <c r="D419" s="811"/>
      <c r="E419" s="811"/>
      <c r="F419" s="811"/>
      <c r="G419" s="811"/>
      <c r="H419" s="811"/>
      <c r="I419" s="811"/>
      <c r="J419" s="811"/>
      <c r="K419" s="811"/>
      <c r="L419" s="811"/>
      <c r="M419" s="811"/>
      <c r="N419" s="811"/>
      <c r="O419" s="811"/>
      <c r="P419" s="811"/>
      <c r="Q419" s="811"/>
      <c r="R419" s="811"/>
      <c r="S419" s="811"/>
      <c r="T419" s="811"/>
      <c r="U419" s="811"/>
      <c r="V419" s="811"/>
      <c r="W419" s="811"/>
      <c r="X419" s="811"/>
      <c r="Y419" s="811"/>
      <c r="Z419" s="811"/>
      <c r="AA419" s="811"/>
      <c r="AB419" s="811"/>
      <c r="AC419" s="811"/>
      <c r="AD419" s="811"/>
      <c r="AE419" s="811"/>
      <c r="AF419" s="811"/>
      <c r="AG419" s="811"/>
      <c r="AH419" s="811"/>
      <c r="AI419" s="811"/>
      <c r="AJ419" s="811"/>
      <c r="AK419" s="811"/>
      <c r="AL419" s="811"/>
      <c r="AM419" s="811"/>
      <c r="AN419" s="811"/>
      <c r="AO419" s="811"/>
      <c r="AP419" s="811"/>
      <c r="AQ419" s="811"/>
      <c r="AR419" s="811"/>
      <c r="AS419" s="811"/>
      <c r="AT419" s="811"/>
    </row>
    <row r="420" spans="2:46" ht="14.4" x14ac:dyDescent="0.25">
      <c r="B420" s="835" t="s">
        <v>447</v>
      </c>
      <c r="C420" s="818"/>
      <c r="D420" s="818"/>
      <c r="E420" s="818"/>
      <c r="F420" s="818"/>
      <c r="G420" s="818"/>
      <c r="H420" s="818"/>
      <c r="I420" s="818"/>
      <c r="J420" s="818"/>
      <c r="K420" s="818"/>
      <c r="L420" s="818"/>
      <c r="M420" s="818"/>
      <c r="N420" s="818"/>
      <c r="O420" s="818"/>
      <c r="P420" s="818"/>
      <c r="Q420" s="818"/>
      <c r="R420" s="818"/>
      <c r="S420" s="818"/>
      <c r="T420" s="818"/>
      <c r="U420" s="818"/>
      <c r="V420" s="818"/>
      <c r="W420" s="818"/>
      <c r="X420" s="818"/>
      <c r="Y420" s="818"/>
      <c r="Z420" s="818"/>
      <c r="AA420" s="818"/>
      <c r="AB420" s="818"/>
      <c r="AC420" s="818"/>
      <c r="AD420" s="818"/>
      <c r="AE420" s="818"/>
      <c r="AF420" s="818"/>
      <c r="AG420" s="818"/>
      <c r="AH420" s="818"/>
      <c r="AI420" s="818"/>
      <c r="AJ420" s="818"/>
      <c r="AK420" s="818"/>
      <c r="AL420" s="818"/>
      <c r="AM420" s="818"/>
      <c r="AN420" s="818"/>
      <c r="AO420" s="818"/>
      <c r="AP420" s="818"/>
      <c r="AQ420" s="818"/>
      <c r="AR420" s="818"/>
      <c r="AS420" s="818"/>
      <c r="AT420" s="819"/>
    </row>
    <row r="421" spans="2:46" x14ac:dyDescent="0.25">
      <c r="B421" s="836" t="s">
        <v>448</v>
      </c>
      <c r="C421" s="268">
        <f>C345</f>
        <v>-5894681.6442265697</v>
      </c>
      <c r="D421" s="268">
        <f t="shared" ref="D421:F421" si="303">D345</f>
        <v>-23692439.326687708</v>
      </c>
      <c r="E421" s="268">
        <f t="shared" si="303"/>
        <v>-60967175.133836582</v>
      </c>
      <c r="F421" s="268">
        <f t="shared" si="303"/>
        <v>-24513713.625024468</v>
      </c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8"/>
      <c r="Z421" s="178"/>
      <c r="AA421" s="178"/>
      <c r="AB421" s="178"/>
      <c r="AC421" s="178"/>
      <c r="AD421" s="178"/>
      <c r="AE421" s="178"/>
      <c r="AF421" s="178"/>
      <c r="AG421" s="178"/>
      <c r="AH421" s="178"/>
      <c r="AI421" s="178"/>
      <c r="AJ421" s="178"/>
      <c r="AK421" s="178"/>
      <c r="AL421" s="178"/>
      <c r="AM421" s="178"/>
      <c r="AN421" s="178"/>
      <c r="AO421" s="178"/>
      <c r="AP421" s="178"/>
      <c r="AQ421" s="178"/>
      <c r="AR421" s="178"/>
      <c r="AS421" s="178"/>
      <c r="AT421" s="265"/>
    </row>
    <row r="422" spans="2:46" x14ac:dyDescent="0.25">
      <c r="B422" s="836" t="s">
        <v>383</v>
      </c>
      <c r="C422" s="178"/>
      <c r="D422" s="178"/>
      <c r="E422" s="178"/>
      <c r="F422" s="178"/>
      <c r="G422" s="268">
        <f t="shared" ref="G422:AT422" si="304">G346</f>
        <v>0</v>
      </c>
      <c r="H422" s="268">
        <f t="shared" si="304"/>
        <v>0</v>
      </c>
      <c r="I422" s="268">
        <f t="shared" si="304"/>
        <v>0</v>
      </c>
      <c r="J422" s="268">
        <f t="shared" si="304"/>
        <v>0</v>
      </c>
      <c r="K422" s="268">
        <f t="shared" si="304"/>
        <v>0</v>
      </c>
      <c r="L422" s="268">
        <f t="shared" si="304"/>
        <v>0</v>
      </c>
      <c r="M422" s="268">
        <f t="shared" si="304"/>
        <v>0</v>
      </c>
      <c r="N422" s="268">
        <f t="shared" si="304"/>
        <v>0</v>
      </c>
      <c r="O422" s="268">
        <f t="shared" si="304"/>
        <v>0</v>
      </c>
      <c r="P422" s="268">
        <f t="shared" si="304"/>
        <v>-1622325.5979653969</v>
      </c>
      <c r="Q422" s="268">
        <f t="shared" si="304"/>
        <v>-1967400.8528066755</v>
      </c>
      <c r="R422" s="268">
        <f t="shared" si="304"/>
        <v>0</v>
      </c>
      <c r="S422" s="268">
        <f t="shared" si="304"/>
        <v>0</v>
      </c>
      <c r="T422" s="268">
        <f t="shared" si="304"/>
        <v>0</v>
      </c>
      <c r="U422" s="268">
        <f t="shared" si="304"/>
        <v>-2860937.4426897997</v>
      </c>
      <c r="V422" s="268">
        <f t="shared" si="304"/>
        <v>-9092783.3309384733</v>
      </c>
      <c r="W422" s="268">
        <f t="shared" si="304"/>
        <v>-4234246.6176485606</v>
      </c>
      <c r="X422" s="268">
        <f t="shared" si="304"/>
        <v>0</v>
      </c>
      <c r="Y422" s="268">
        <f t="shared" si="304"/>
        <v>0</v>
      </c>
      <c r="Z422" s="268">
        <f t="shared" si="304"/>
        <v>0</v>
      </c>
      <c r="AA422" s="268">
        <f t="shared" si="304"/>
        <v>-2013088.3571152827</v>
      </c>
      <c r="AB422" s="268">
        <f t="shared" si="304"/>
        <v>-2441284.3701567352</v>
      </c>
      <c r="AC422" s="268">
        <f t="shared" si="304"/>
        <v>0</v>
      </c>
      <c r="AD422" s="268">
        <f t="shared" si="304"/>
        <v>0</v>
      </c>
      <c r="AE422" s="268">
        <f t="shared" si="304"/>
        <v>0</v>
      </c>
      <c r="AF422" s="268">
        <f t="shared" si="304"/>
        <v>0</v>
      </c>
      <c r="AG422" s="268">
        <f t="shared" si="304"/>
        <v>0</v>
      </c>
      <c r="AH422" s="268">
        <f t="shared" si="304"/>
        <v>0</v>
      </c>
      <c r="AI422" s="268">
        <f t="shared" si="304"/>
        <v>0</v>
      </c>
      <c r="AJ422" s="268">
        <f t="shared" si="304"/>
        <v>0</v>
      </c>
      <c r="AK422" s="268">
        <f t="shared" si="304"/>
        <v>0</v>
      </c>
      <c r="AL422" s="268">
        <f t="shared" si="304"/>
        <v>-6452806.6782633755</v>
      </c>
      <c r="AM422" s="268">
        <f t="shared" si="304"/>
        <v>-15383573.173465244</v>
      </c>
      <c r="AN422" s="268">
        <f t="shared" si="304"/>
        <v>-5783774.5697274376</v>
      </c>
      <c r="AO422" s="268">
        <f t="shared" si="304"/>
        <v>0</v>
      </c>
      <c r="AP422" s="268">
        <f t="shared" si="304"/>
        <v>0</v>
      </c>
      <c r="AQ422" s="268">
        <f t="shared" si="304"/>
        <v>0</v>
      </c>
      <c r="AR422" s="268">
        <f t="shared" si="304"/>
        <v>0</v>
      </c>
      <c r="AS422" s="268">
        <f t="shared" si="304"/>
        <v>0</v>
      </c>
      <c r="AT422" s="799">
        <f t="shared" si="304"/>
        <v>0</v>
      </c>
    </row>
    <row r="423" spans="2:46" x14ac:dyDescent="0.25">
      <c r="B423" s="836" t="s">
        <v>384</v>
      </c>
      <c r="C423" s="178"/>
      <c r="D423" s="178"/>
      <c r="E423" s="178"/>
      <c r="F423" s="178"/>
      <c r="G423" s="178"/>
      <c r="H423" s="178"/>
      <c r="I423" s="178"/>
      <c r="J423" s="178"/>
      <c r="K423" s="178"/>
      <c r="L423" s="178"/>
      <c r="M423" s="178"/>
      <c r="N423" s="178"/>
      <c r="O423" s="178"/>
      <c r="P423" s="178"/>
      <c r="Q423" s="178"/>
      <c r="R423" s="178"/>
      <c r="S423" s="178"/>
      <c r="T423" s="178"/>
      <c r="U423" s="178"/>
      <c r="V423" s="178"/>
      <c r="W423" s="178"/>
      <c r="X423" s="178"/>
      <c r="Y423" s="178"/>
      <c r="Z423" s="178"/>
      <c r="AA423" s="178"/>
      <c r="AB423" s="178"/>
      <c r="AC423" s="178"/>
      <c r="AD423" s="178"/>
      <c r="AE423" s="178"/>
      <c r="AF423" s="178"/>
      <c r="AG423" s="178"/>
      <c r="AH423" s="178"/>
      <c r="AI423" s="178"/>
      <c r="AJ423" s="758">
        <f>AJ396</f>
        <v>44426261.303533986</v>
      </c>
      <c r="AK423" s="178"/>
      <c r="AL423" s="178"/>
      <c r="AM423" s="178"/>
      <c r="AN423" s="178"/>
      <c r="AO423" s="178"/>
      <c r="AP423" s="178"/>
      <c r="AQ423" s="178"/>
      <c r="AR423" s="178"/>
      <c r="AS423" s="178"/>
      <c r="AT423" s="847">
        <f>AT396</f>
        <v>41032260.560367852</v>
      </c>
    </row>
    <row r="424" spans="2:46" ht="15" thickBot="1" x14ac:dyDescent="0.3">
      <c r="B424" s="842" t="s">
        <v>385</v>
      </c>
      <c r="C424" s="822">
        <f t="shared" ref="C424:AT424" si="305">C421+C422+C423</f>
        <v>-5894681.6442265697</v>
      </c>
      <c r="D424" s="822">
        <f t="shared" si="305"/>
        <v>-23692439.326687708</v>
      </c>
      <c r="E424" s="822">
        <f t="shared" si="305"/>
        <v>-60967175.133836582</v>
      </c>
      <c r="F424" s="822">
        <f t="shared" si="305"/>
        <v>-24513713.625024468</v>
      </c>
      <c r="G424" s="822">
        <f t="shared" si="305"/>
        <v>0</v>
      </c>
      <c r="H424" s="822">
        <f t="shared" si="305"/>
        <v>0</v>
      </c>
      <c r="I424" s="822">
        <f t="shared" si="305"/>
        <v>0</v>
      </c>
      <c r="J424" s="822">
        <f t="shared" si="305"/>
        <v>0</v>
      </c>
      <c r="K424" s="822">
        <f t="shared" si="305"/>
        <v>0</v>
      </c>
      <c r="L424" s="822">
        <f t="shared" si="305"/>
        <v>0</v>
      </c>
      <c r="M424" s="822">
        <f t="shared" si="305"/>
        <v>0</v>
      </c>
      <c r="N424" s="822">
        <f t="shared" si="305"/>
        <v>0</v>
      </c>
      <c r="O424" s="822">
        <f t="shared" si="305"/>
        <v>0</v>
      </c>
      <c r="P424" s="822">
        <f t="shared" si="305"/>
        <v>-1622325.5979653969</v>
      </c>
      <c r="Q424" s="822">
        <f t="shared" si="305"/>
        <v>-1967400.8528066755</v>
      </c>
      <c r="R424" s="822">
        <f t="shared" si="305"/>
        <v>0</v>
      </c>
      <c r="S424" s="822">
        <f t="shared" si="305"/>
        <v>0</v>
      </c>
      <c r="T424" s="822">
        <f t="shared" si="305"/>
        <v>0</v>
      </c>
      <c r="U424" s="822">
        <f t="shared" si="305"/>
        <v>-2860937.4426897997</v>
      </c>
      <c r="V424" s="822">
        <f t="shared" si="305"/>
        <v>-9092783.3309384733</v>
      </c>
      <c r="W424" s="822">
        <f t="shared" si="305"/>
        <v>-4234246.6176485606</v>
      </c>
      <c r="X424" s="822">
        <f t="shared" si="305"/>
        <v>0</v>
      </c>
      <c r="Y424" s="822">
        <f t="shared" si="305"/>
        <v>0</v>
      </c>
      <c r="Z424" s="822">
        <f t="shared" si="305"/>
        <v>0</v>
      </c>
      <c r="AA424" s="822">
        <f t="shared" si="305"/>
        <v>-2013088.3571152827</v>
      </c>
      <c r="AB424" s="822">
        <f t="shared" si="305"/>
        <v>-2441284.3701567352</v>
      </c>
      <c r="AC424" s="822">
        <f t="shared" si="305"/>
        <v>0</v>
      </c>
      <c r="AD424" s="822">
        <f t="shared" si="305"/>
        <v>0</v>
      </c>
      <c r="AE424" s="822">
        <f t="shared" si="305"/>
        <v>0</v>
      </c>
      <c r="AF424" s="822">
        <f t="shared" si="305"/>
        <v>0</v>
      </c>
      <c r="AG424" s="822">
        <f t="shared" si="305"/>
        <v>0</v>
      </c>
      <c r="AH424" s="822">
        <f t="shared" si="305"/>
        <v>0</v>
      </c>
      <c r="AI424" s="822">
        <f t="shared" si="305"/>
        <v>0</v>
      </c>
      <c r="AJ424" s="822">
        <f t="shared" si="305"/>
        <v>44426261.303533986</v>
      </c>
      <c r="AK424" s="822">
        <f t="shared" si="305"/>
        <v>0</v>
      </c>
      <c r="AL424" s="822">
        <f t="shared" si="305"/>
        <v>-6452806.6782633755</v>
      </c>
      <c r="AM424" s="822">
        <f t="shared" si="305"/>
        <v>-15383573.173465244</v>
      </c>
      <c r="AN424" s="822">
        <f t="shared" si="305"/>
        <v>-5783774.5697274376</v>
      </c>
      <c r="AO424" s="822">
        <f t="shared" si="305"/>
        <v>0</v>
      </c>
      <c r="AP424" s="822">
        <f t="shared" si="305"/>
        <v>0</v>
      </c>
      <c r="AQ424" s="822">
        <f t="shared" si="305"/>
        <v>0</v>
      </c>
      <c r="AR424" s="822">
        <f t="shared" si="305"/>
        <v>0</v>
      </c>
      <c r="AS424" s="822">
        <f t="shared" si="305"/>
        <v>0</v>
      </c>
      <c r="AT424" s="823">
        <f t="shared" si="305"/>
        <v>41032260.560367852</v>
      </c>
    </row>
    <row r="425" spans="2:46" ht="14.4" x14ac:dyDescent="0.25">
      <c r="B425" s="838"/>
      <c r="C425" s="178"/>
      <c r="D425" s="178"/>
      <c r="E425" s="178"/>
      <c r="F425" s="178"/>
      <c r="G425" s="178"/>
      <c r="H425" s="178"/>
      <c r="I425" s="178"/>
      <c r="J425" s="178"/>
      <c r="K425" s="178"/>
      <c r="L425" s="178"/>
      <c r="M425" s="178"/>
      <c r="N425" s="178"/>
      <c r="O425" s="178"/>
      <c r="P425" s="178"/>
      <c r="Q425" s="178"/>
      <c r="R425" s="178"/>
      <c r="S425" s="178"/>
      <c r="T425" s="178"/>
      <c r="U425" s="178"/>
      <c r="V425" s="178"/>
      <c r="W425" s="178"/>
      <c r="X425" s="178"/>
      <c r="Y425" s="178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/>
      <c r="AS425" s="178"/>
      <c r="AT425" s="178"/>
    </row>
    <row r="426" spans="2:46" ht="14.4" x14ac:dyDescent="0.25">
      <c r="B426" s="838"/>
      <c r="C426" s="178"/>
      <c r="D426" s="178"/>
      <c r="E426" s="884" t="s">
        <v>473</v>
      </c>
      <c r="F426" s="178">
        <f>C424+D424+E424+F424</f>
        <v>-115068009.72977532</v>
      </c>
      <c r="G426" s="178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  <c r="R426" s="178"/>
      <c r="S426" s="178"/>
      <c r="T426" s="178"/>
      <c r="U426" s="178"/>
      <c r="V426" s="178"/>
      <c r="W426" s="178"/>
      <c r="X426" s="178"/>
      <c r="Y426" s="178"/>
      <c r="Z426" s="178"/>
      <c r="AA426" s="178"/>
      <c r="AB426" s="178"/>
      <c r="AC426" s="178"/>
      <c r="AD426" s="178"/>
      <c r="AE426" s="178"/>
      <c r="AF426" s="178"/>
      <c r="AG426" s="178"/>
      <c r="AH426" s="178"/>
      <c r="AI426" s="178"/>
      <c r="AJ426" s="178"/>
      <c r="AK426" s="178"/>
      <c r="AL426" s="178"/>
      <c r="AM426" s="178"/>
      <c r="AN426" s="178"/>
      <c r="AO426" s="178"/>
      <c r="AP426" s="178"/>
      <c r="AQ426" s="178"/>
      <c r="AR426" s="178"/>
      <c r="AS426" s="178"/>
      <c r="AT426" s="178"/>
    </row>
    <row r="427" spans="2:46" ht="14.4" x14ac:dyDescent="0.25">
      <c r="B427" s="838"/>
      <c r="C427" s="178"/>
      <c r="D427" s="178"/>
      <c r="E427" s="178"/>
      <c r="F427" s="178"/>
      <c r="G427" s="178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78"/>
      <c r="S427" s="178"/>
      <c r="T427" s="178"/>
      <c r="U427" s="178"/>
      <c r="V427" s="178"/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</row>
    <row r="428" spans="2:46" ht="14.4" x14ac:dyDescent="0.25">
      <c r="B428" s="844" t="s">
        <v>436</v>
      </c>
      <c r="C428" s="178">
        <f t="shared" ref="C428:AJ428" si="306">C418+C424</f>
        <v>-5894681.6442265697</v>
      </c>
      <c r="D428" s="178">
        <f t="shared" si="306"/>
        <v>-23692439.326687708</v>
      </c>
      <c r="E428" s="178">
        <f t="shared" si="306"/>
        <v>-60967175.133836582</v>
      </c>
      <c r="F428" s="178">
        <f t="shared" si="306"/>
        <v>-24513713.625024468</v>
      </c>
      <c r="G428" s="178">
        <f t="shared" si="306"/>
        <v>2961379.8470582305</v>
      </c>
      <c r="H428" s="178">
        <f t="shared" si="306"/>
        <v>4109873.4618059956</v>
      </c>
      <c r="I428" s="178">
        <f t="shared" si="306"/>
        <v>4530624.1364465095</v>
      </c>
      <c r="J428" s="178">
        <f t="shared" si="306"/>
        <v>4529622.6989069013</v>
      </c>
      <c r="K428" s="178">
        <f t="shared" si="306"/>
        <v>857835.43318292871</v>
      </c>
      <c r="L428" s="178">
        <f t="shared" si="306"/>
        <v>4692227.3355916617</v>
      </c>
      <c r="M428" s="178">
        <f t="shared" si="306"/>
        <v>4929503.3251057826</v>
      </c>
      <c r="N428" s="178">
        <f t="shared" si="306"/>
        <v>4907726.4214776326</v>
      </c>
      <c r="O428" s="178">
        <f t="shared" si="306"/>
        <v>5137115.0183512373</v>
      </c>
      <c r="P428" s="178">
        <f t="shared" si="306"/>
        <v>-585944.51984735392</v>
      </c>
      <c r="Q428" s="178">
        <f t="shared" si="306"/>
        <v>3286798.9249294</v>
      </c>
      <c r="R428" s="178">
        <f t="shared" si="306"/>
        <v>5355163.8013164066</v>
      </c>
      <c r="S428" s="178">
        <f t="shared" si="306"/>
        <v>5566619.8135079267</v>
      </c>
      <c r="T428" s="178">
        <f t="shared" si="306"/>
        <v>5498719.3741236385</v>
      </c>
      <c r="U428" s="178">
        <f t="shared" si="306"/>
        <v>-1447949.056892951</v>
      </c>
      <c r="V428" s="178">
        <f t="shared" si="306"/>
        <v>-3714833.7480339976</v>
      </c>
      <c r="W428" s="178">
        <f t="shared" si="306"/>
        <v>1370747.9754423024</v>
      </c>
      <c r="X428" s="178">
        <f t="shared" si="306"/>
        <v>5964210.7163984068</v>
      </c>
      <c r="Y428" s="178">
        <f t="shared" si="306"/>
        <v>6260296.6073139086</v>
      </c>
      <c r="Z428" s="178">
        <f t="shared" si="306"/>
        <v>1484151.676388016</v>
      </c>
      <c r="AA428" s="178">
        <f t="shared" si="306"/>
        <v>4539026.6727620419</v>
      </c>
      <c r="AB428" s="178">
        <f t="shared" si="306"/>
        <v>4089357.4614206851</v>
      </c>
      <c r="AC428" s="178">
        <f t="shared" si="306"/>
        <v>6829909.5947087286</v>
      </c>
      <c r="AD428" s="178">
        <f t="shared" si="306"/>
        <v>6747602.5928013558</v>
      </c>
      <c r="AE428" s="178">
        <f t="shared" si="306"/>
        <v>2026673.933362931</v>
      </c>
      <c r="AF428" s="178">
        <f t="shared" si="306"/>
        <v>6940244.4651308879</v>
      </c>
      <c r="AG428" s="178">
        <f t="shared" si="306"/>
        <v>7229771.4465614799</v>
      </c>
      <c r="AH428" s="178">
        <f t="shared" si="306"/>
        <v>7138981.7780330759</v>
      </c>
      <c r="AI428" s="178">
        <f t="shared" si="306"/>
        <v>7439327.321194943</v>
      </c>
      <c r="AJ428" s="178">
        <f t="shared" si="306"/>
        <v>46259107.463055171</v>
      </c>
      <c r="AK428" s="178"/>
      <c r="AL428" s="178"/>
      <c r="AM428" s="178"/>
      <c r="AN428" s="178"/>
      <c r="AO428" s="178"/>
      <c r="AP428" s="178"/>
      <c r="AQ428" s="178"/>
      <c r="AR428" s="178"/>
      <c r="AS428" s="178"/>
      <c r="AT428" s="178"/>
    </row>
    <row r="429" spans="2:46" ht="14.4" x14ac:dyDescent="0.25">
      <c r="B429" s="844" t="s">
        <v>438</v>
      </c>
      <c r="C429" s="178"/>
      <c r="D429" s="178"/>
      <c r="E429" s="178"/>
      <c r="F429" s="178"/>
      <c r="G429" s="178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848">
        <f>IRR(C428:AJ428)</f>
        <v>1.7551561335583443E-2</v>
      </c>
      <c r="AK429" s="178"/>
      <c r="AL429" s="178"/>
      <c r="AM429" s="178"/>
      <c r="AN429" s="178"/>
      <c r="AO429" s="178"/>
      <c r="AP429" s="178"/>
      <c r="AQ429" s="178"/>
      <c r="AR429" s="178"/>
      <c r="AS429" s="178"/>
      <c r="AT429" s="178"/>
    </row>
    <row r="430" spans="2:46" ht="14.4" x14ac:dyDescent="0.25">
      <c r="B430" s="844"/>
      <c r="C430" s="178"/>
      <c r="D430" s="178"/>
      <c r="E430" s="178"/>
      <c r="F430" s="178"/>
      <c r="G430" s="17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78"/>
      <c r="T430" s="178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178"/>
    </row>
    <row r="431" spans="2:46" ht="14.4" x14ac:dyDescent="0.25">
      <c r="B431" s="844" t="s">
        <v>437</v>
      </c>
      <c r="C431" s="178">
        <f>C418+C424</f>
        <v>-5894681.6442265697</v>
      </c>
      <c r="D431" s="178">
        <f t="shared" ref="D431:AI431" si="307">D418+D424</f>
        <v>-23692439.326687708</v>
      </c>
      <c r="E431" s="178">
        <f t="shared" si="307"/>
        <v>-60967175.133836582</v>
      </c>
      <c r="F431" s="178">
        <f t="shared" si="307"/>
        <v>-24513713.625024468</v>
      </c>
      <c r="G431" s="178">
        <f t="shared" si="307"/>
        <v>2961379.8470582305</v>
      </c>
      <c r="H431" s="178">
        <f t="shared" si="307"/>
        <v>4109873.4618059956</v>
      </c>
      <c r="I431" s="178">
        <f t="shared" si="307"/>
        <v>4530624.1364465095</v>
      </c>
      <c r="J431" s="178">
        <f t="shared" si="307"/>
        <v>4529622.6989069013</v>
      </c>
      <c r="K431" s="178">
        <f t="shared" si="307"/>
        <v>857835.43318292871</v>
      </c>
      <c r="L431" s="178">
        <f t="shared" si="307"/>
        <v>4692227.3355916617</v>
      </c>
      <c r="M431" s="178">
        <f t="shared" si="307"/>
        <v>4929503.3251057826</v>
      </c>
      <c r="N431" s="178">
        <f t="shared" si="307"/>
        <v>4907726.4214776326</v>
      </c>
      <c r="O431" s="178">
        <f t="shared" si="307"/>
        <v>5137115.0183512373</v>
      </c>
      <c r="P431" s="178">
        <f t="shared" si="307"/>
        <v>-585944.51984735392</v>
      </c>
      <c r="Q431" s="178">
        <f t="shared" si="307"/>
        <v>3286798.9249294</v>
      </c>
      <c r="R431" s="178">
        <f t="shared" si="307"/>
        <v>5355163.8013164066</v>
      </c>
      <c r="S431" s="178">
        <f t="shared" si="307"/>
        <v>5566619.8135079267</v>
      </c>
      <c r="T431" s="178">
        <f t="shared" si="307"/>
        <v>5498719.3741236385</v>
      </c>
      <c r="U431" s="178">
        <f t="shared" si="307"/>
        <v>-1447949.056892951</v>
      </c>
      <c r="V431" s="178">
        <f t="shared" si="307"/>
        <v>-3714833.7480339976</v>
      </c>
      <c r="W431" s="178">
        <f t="shared" si="307"/>
        <v>1370747.9754423024</v>
      </c>
      <c r="X431" s="178">
        <f t="shared" si="307"/>
        <v>5964210.7163984068</v>
      </c>
      <c r="Y431" s="178">
        <f t="shared" si="307"/>
        <v>6260296.6073139086</v>
      </c>
      <c r="Z431" s="178">
        <f t="shared" si="307"/>
        <v>1484151.676388016</v>
      </c>
      <c r="AA431" s="178">
        <f t="shared" si="307"/>
        <v>4539026.6727620419</v>
      </c>
      <c r="AB431" s="178">
        <f t="shared" si="307"/>
        <v>4089357.4614206851</v>
      </c>
      <c r="AC431" s="178">
        <f t="shared" si="307"/>
        <v>6829909.5947087286</v>
      </c>
      <c r="AD431" s="178">
        <f t="shared" si="307"/>
        <v>6747602.5928013558</v>
      </c>
      <c r="AE431" s="178">
        <f t="shared" si="307"/>
        <v>2026673.933362931</v>
      </c>
      <c r="AF431" s="178">
        <f t="shared" si="307"/>
        <v>6940244.4651308879</v>
      </c>
      <c r="AG431" s="178">
        <f t="shared" si="307"/>
        <v>7229771.4465614799</v>
      </c>
      <c r="AH431" s="178">
        <f t="shared" si="307"/>
        <v>7138981.7780330759</v>
      </c>
      <c r="AI431" s="178">
        <f t="shared" si="307"/>
        <v>7439327.321194943</v>
      </c>
      <c r="AJ431" s="178">
        <f>AJ418+AJ422</f>
        <v>1832846.159521183</v>
      </c>
      <c r="AK431" s="178">
        <f t="shared" ref="AK431:AT431" si="308">AK418+AK424</f>
        <v>7655520.0291229635</v>
      </c>
      <c r="AL431" s="178">
        <f t="shared" si="308"/>
        <v>1102548.7130516805</v>
      </c>
      <c r="AM431" s="178">
        <f t="shared" si="308"/>
        <v>-7882775.948516693</v>
      </c>
      <c r="AN431" s="178">
        <f t="shared" si="308"/>
        <v>1455903.3792740116</v>
      </c>
      <c r="AO431" s="178">
        <f t="shared" si="308"/>
        <v>2259728.5538494438</v>
      </c>
      <c r="AP431" s="178">
        <f t="shared" si="308"/>
        <v>8154838.6471511479</v>
      </c>
      <c r="AQ431" s="178">
        <f t="shared" si="308"/>
        <v>8502474.9249164984</v>
      </c>
      <c r="AR431" s="178">
        <f t="shared" si="308"/>
        <v>8386362.7212859541</v>
      </c>
      <c r="AS431" s="178">
        <f t="shared" si="308"/>
        <v>8746893.5786674973</v>
      </c>
      <c r="AT431" s="178">
        <f t="shared" si="308"/>
        <v>43021836.98537448</v>
      </c>
    </row>
    <row r="432" spans="2:46" ht="14.4" x14ac:dyDescent="0.25">
      <c r="B432" s="844" t="s">
        <v>439</v>
      </c>
      <c r="C432" s="178"/>
      <c r="D432" s="178"/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78"/>
      <c r="S432" s="178"/>
      <c r="T432" s="178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849">
        <f>IRR(C431:AT431)</f>
        <v>2.2945059828651138E-2</v>
      </c>
    </row>
    <row r="433" spans="2:46" ht="14.4" x14ac:dyDescent="0.25">
      <c r="B433" s="844"/>
      <c r="C433" s="178"/>
      <c r="D433" s="178"/>
      <c r="E433" s="178"/>
      <c r="F433" s="178"/>
      <c r="G433" s="178"/>
      <c r="H433" s="178"/>
      <c r="I433" s="178"/>
      <c r="J433" s="178"/>
      <c r="K433" s="178"/>
      <c r="L433" s="178"/>
      <c r="M433" s="178"/>
      <c r="N433" s="178"/>
      <c r="O433" s="178"/>
      <c r="P433" s="178"/>
      <c r="Q433" s="178"/>
      <c r="R433" s="178"/>
      <c r="S433" s="178"/>
      <c r="T433" s="178"/>
      <c r="U433" s="178"/>
      <c r="V433" s="178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/>
      <c r="AS433" s="178"/>
      <c r="AT433" s="178"/>
    </row>
    <row r="434" spans="2:46" ht="14.4" x14ac:dyDescent="0.25">
      <c r="B434" s="844" t="s">
        <v>450</v>
      </c>
      <c r="C434" s="178">
        <f>C408</f>
        <v>0</v>
      </c>
      <c r="D434" s="178">
        <f t="shared" ref="D434:AT434" si="309">D408</f>
        <v>0</v>
      </c>
      <c r="E434" s="178">
        <f t="shared" si="309"/>
        <v>0</v>
      </c>
      <c r="F434" s="178">
        <f t="shared" si="309"/>
        <v>0</v>
      </c>
      <c r="G434" s="178">
        <f t="shared" si="309"/>
        <v>2961379.8470582305</v>
      </c>
      <c r="H434" s="178">
        <f t="shared" si="309"/>
        <v>4604868.7378027439</v>
      </c>
      <c r="I434" s="178">
        <f t="shared" si="309"/>
        <v>5252177.4680189192</v>
      </c>
      <c r="J434" s="178">
        <f t="shared" si="309"/>
        <v>5250636.7948810607</v>
      </c>
      <c r="K434" s="178">
        <f t="shared" si="309"/>
        <v>857835.43318292871</v>
      </c>
      <c r="L434" s="178">
        <f t="shared" si="309"/>
        <v>5593731.8649344575</v>
      </c>
      <c r="M434" s="178">
        <f t="shared" si="309"/>
        <v>5958771.8488023356</v>
      </c>
      <c r="N434" s="178">
        <f t="shared" si="309"/>
        <v>5925268.9201436434</v>
      </c>
      <c r="O434" s="178">
        <f t="shared" si="309"/>
        <v>6278174.4537953436</v>
      </c>
      <c r="P434" s="178">
        <f t="shared" si="309"/>
        <v>1036381.078118043</v>
      </c>
      <c r="Q434" s="178">
        <f t="shared" si="309"/>
        <v>6613224.0705349771</v>
      </c>
      <c r="R434" s="178">
        <f t="shared" si="309"/>
        <v>6575260.3748477614</v>
      </c>
      <c r="S434" s="178">
        <f t="shared" si="309"/>
        <v>6900577.3166808682</v>
      </c>
      <c r="T434" s="178">
        <f t="shared" si="309"/>
        <v>6796115.1022435026</v>
      </c>
      <c r="U434" s="178">
        <f t="shared" si="309"/>
        <v>1412988.3857968487</v>
      </c>
      <c r="V434" s="178">
        <f t="shared" si="309"/>
        <v>7023584.6646808488</v>
      </c>
      <c r="W434" s="178">
        <f t="shared" si="309"/>
        <v>7372884.6803522147</v>
      </c>
      <c r="X434" s="178">
        <f t="shared" si="309"/>
        <v>7344418.3483179854</v>
      </c>
      <c r="Y434" s="178">
        <f t="shared" si="309"/>
        <v>7799935.1035726033</v>
      </c>
      <c r="Z434" s="178">
        <f t="shared" si="309"/>
        <v>1484151.676388016</v>
      </c>
      <c r="AA434" s="178">
        <f t="shared" si="309"/>
        <v>8248886.5229009353</v>
      </c>
      <c r="AB434" s="178">
        <f t="shared" si="309"/>
        <v>8215850.8332087761</v>
      </c>
      <c r="AC434" s="178">
        <f t="shared" si="309"/>
        <v>8629704.9000607915</v>
      </c>
      <c r="AD434" s="178">
        <f t="shared" si="309"/>
        <v>8503078.7432802171</v>
      </c>
      <c r="AE434" s="178">
        <f t="shared" si="309"/>
        <v>2026673.933362931</v>
      </c>
      <c r="AF434" s="178">
        <f t="shared" si="309"/>
        <v>8799450.8545564208</v>
      </c>
      <c r="AG434" s="178">
        <f t="shared" si="309"/>
        <v>9244876.9798342548</v>
      </c>
      <c r="AH434" s="178">
        <f t="shared" si="309"/>
        <v>9105200.566713633</v>
      </c>
      <c r="AI434" s="178">
        <f t="shared" si="309"/>
        <v>9567270.633116506</v>
      </c>
      <c r="AJ434" s="178">
        <f t="shared" si="309"/>
        <v>1832846.159521183</v>
      </c>
      <c r="AK434" s="178">
        <f t="shared" si="309"/>
        <v>9899874.7991596144</v>
      </c>
      <c r="AL434" s="178">
        <f t="shared" si="309"/>
        <v>9745775.3563782182</v>
      </c>
      <c r="AM434" s="178">
        <f t="shared" si="309"/>
        <v>10242946.237552507</v>
      </c>
      <c r="AN434" s="178">
        <f t="shared" si="309"/>
        <v>10081075.113717766</v>
      </c>
      <c r="AO434" s="178">
        <f t="shared" si="309"/>
        <v>2259728.5538494438</v>
      </c>
      <c r="AP434" s="178">
        <f t="shared" si="309"/>
        <v>10426701.017738223</v>
      </c>
      <c r="AQ434" s="178">
        <f t="shared" si="309"/>
        <v>10961526.060454149</v>
      </c>
      <c r="AR434" s="178">
        <f t="shared" si="309"/>
        <v>10782891.901022542</v>
      </c>
      <c r="AS434" s="178">
        <f t="shared" si="309"/>
        <v>11337554.758532606</v>
      </c>
      <c r="AT434" s="178">
        <f t="shared" si="309"/>
        <v>1989576.4250066318</v>
      </c>
    </row>
    <row r="435" spans="2:46" ht="14.4" x14ac:dyDescent="0.25">
      <c r="B435" s="844" t="s">
        <v>451</v>
      </c>
      <c r="C435" s="178">
        <f>C434+C395</f>
        <v>0</v>
      </c>
      <c r="D435" s="178">
        <f t="shared" ref="D435:AT435" si="310">D434+D395</f>
        <v>0</v>
      </c>
      <c r="E435" s="178">
        <f t="shared" si="310"/>
        <v>0</v>
      </c>
      <c r="F435" s="178">
        <f t="shared" si="310"/>
        <v>0</v>
      </c>
      <c r="G435" s="178">
        <f t="shared" si="310"/>
        <v>-229216.6736109457</v>
      </c>
      <c r="H435" s="178">
        <f t="shared" si="310"/>
        <v>1414272.2171335677</v>
      </c>
      <c r="I435" s="178">
        <f t="shared" si="310"/>
        <v>2061580.947349743</v>
      </c>
      <c r="J435" s="178">
        <f t="shared" si="310"/>
        <v>2060040.2742118845</v>
      </c>
      <c r="K435" s="178">
        <f t="shared" si="310"/>
        <v>-2332761.0874862475</v>
      </c>
      <c r="L435" s="178">
        <f t="shared" si="310"/>
        <v>2575727.2266937029</v>
      </c>
      <c r="M435" s="178">
        <f t="shared" si="310"/>
        <v>2940767.210561581</v>
      </c>
      <c r="N435" s="178">
        <f t="shared" si="310"/>
        <v>2907264.2819028888</v>
      </c>
      <c r="O435" s="178">
        <f t="shared" si="310"/>
        <v>3260169.815554589</v>
      </c>
      <c r="P435" s="178">
        <f t="shared" si="310"/>
        <v>-1981623.5601227116</v>
      </c>
      <c r="Q435" s="178">
        <f t="shared" si="310"/>
        <v>3882926.5508540068</v>
      </c>
      <c r="R435" s="178">
        <f t="shared" si="310"/>
        <v>3485990.2100895839</v>
      </c>
      <c r="S435" s="178">
        <f t="shared" si="310"/>
        <v>3811307.1519226907</v>
      </c>
      <c r="T435" s="178">
        <f t="shared" si="310"/>
        <v>3706844.9374853252</v>
      </c>
      <c r="U435" s="178">
        <f t="shared" si="310"/>
        <v>-1676281.7789613288</v>
      </c>
      <c r="V435" s="178">
        <f t="shared" si="310"/>
        <v>4701814.5193610676</v>
      </c>
      <c r="W435" s="178">
        <f t="shared" si="310"/>
        <v>5051114.5350324325</v>
      </c>
      <c r="X435" s="178">
        <f t="shared" si="310"/>
        <v>3943450.3769130819</v>
      </c>
      <c r="Y435" s="178">
        <f t="shared" si="310"/>
        <v>4398967.1321676997</v>
      </c>
      <c r="Z435" s="178">
        <f t="shared" si="310"/>
        <v>-1916816.2950168876</v>
      </c>
      <c r="AA435" s="178">
        <f t="shared" si="310"/>
        <v>4847918.5514960317</v>
      </c>
      <c r="AB435" s="178">
        <f t="shared" si="310"/>
        <v>4814882.8618038725</v>
      </c>
      <c r="AC435" s="178">
        <f t="shared" si="310"/>
        <v>5142272.3010058934</v>
      </c>
      <c r="AD435" s="178">
        <f t="shared" si="310"/>
        <v>5015646.1442253189</v>
      </c>
      <c r="AE435" s="178">
        <f t="shared" si="310"/>
        <v>-1460758.6656919671</v>
      </c>
      <c r="AF435" s="178">
        <f t="shared" si="310"/>
        <v>5312018.2555015227</v>
      </c>
      <c r="AG435" s="178">
        <f t="shared" si="310"/>
        <v>5757444.3807793567</v>
      </c>
      <c r="AH435" s="178">
        <f t="shared" si="310"/>
        <v>5617767.9676587349</v>
      </c>
      <c r="AI435" s="178">
        <f t="shared" si="310"/>
        <v>6079838.0340616079</v>
      </c>
      <c r="AJ435" s="178">
        <f t="shared" si="310"/>
        <v>-1654586.4395337151</v>
      </c>
      <c r="AK435" s="178">
        <f t="shared" si="310"/>
        <v>6412442.2001047162</v>
      </c>
      <c r="AL435" s="178">
        <f t="shared" si="310"/>
        <v>6258342.75732332</v>
      </c>
      <c r="AM435" s="178">
        <f t="shared" si="310"/>
        <v>7834711.4645827301</v>
      </c>
      <c r="AN435" s="178">
        <f t="shared" si="310"/>
        <v>8118277.6134751923</v>
      </c>
      <c r="AO435" s="178">
        <f t="shared" si="310"/>
        <v>-1675937.1193542774</v>
      </c>
      <c r="AP435" s="178">
        <f t="shared" si="310"/>
        <v>6491035.3445345014</v>
      </c>
      <c r="AQ435" s="178">
        <f t="shared" si="310"/>
        <v>7025860.3872504272</v>
      </c>
      <c r="AR435" s="178">
        <f t="shared" si="310"/>
        <v>6847226.2278188206</v>
      </c>
      <c r="AS435" s="178">
        <f t="shared" si="310"/>
        <v>7401889.0853288844</v>
      </c>
      <c r="AT435" s="178">
        <f t="shared" si="310"/>
        <v>-1946089.2481970894</v>
      </c>
    </row>
    <row r="436" spans="2:46" ht="14.4" x14ac:dyDescent="0.25">
      <c r="B436" s="844"/>
      <c r="C436" s="178"/>
      <c r="D436" s="178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78"/>
      <c r="S436" s="178"/>
      <c r="T436" s="178"/>
      <c r="U436" s="178"/>
      <c r="V436" s="178"/>
      <c r="W436" s="178"/>
      <c r="X436" s="178"/>
      <c r="Y436" s="178"/>
      <c r="Z436" s="178"/>
      <c r="AA436" s="178"/>
      <c r="AB436" s="178"/>
      <c r="AC436" s="178"/>
      <c r="AD436" s="178"/>
      <c r="AE436" s="178"/>
      <c r="AF436" s="178"/>
      <c r="AG436" s="178"/>
      <c r="AH436" s="178"/>
      <c r="AI436" s="178"/>
      <c r="AJ436" s="178"/>
      <c r="AK436" s="178"/>
      <c r="AL436" s="178"/>
      <c r="AM436" s="178"/>
      <c r="AN436" s="178"/>
      <c r="AO436" s="178"/>
      <c r="AP436" s="178"/>
      <c r="AQ436" s="178"/>
      <c r="AR436" s="178"/>
      <c r="AS436" s="178"/>
      <c r="AT436" s="178"/>
    </row>
    <row r="437" spans="2:46" ht="14.4" x14ac:dyDescent="0.25">
      <c r="B437" s="844" t="s">
        <v>489</v>
      </c>
      <c r="C437" s="908"/>
      <c r="D437" s="908"/>
      <c r="E437" s="908"/>
      <c r="F437" s="908"/>
      <c r="G437" s="909">
        <f>ABS(G406)/ABS(G401)</f>
        <v>1.8486706281369727</v>
      </c>
      <c r="H437" s="909">
        <f t="shared" ref="H437:AT437" si="311">ABS(H406)/ABS(H401)</f>
        <v>2.19154628253614</v>
      </c>
      <c r="I437" s="909">
        <f t="shared" si="311"/>
        <v>2.4319088954582981</v>
      </c>
      <c r="J437" s="909">
        <f t="shared" si="311"/>
        <v>2.3985118882783842</v>
      </c>
      <c r="K437" s="909">
        <f t="shared" si="311"/>
        <v>1.0999662644494677</v>
      </c>
      <c r="L437" s="909">
        <f t="shared" si="311"/>
        <v>2.4219901264120614</v>
      </c>
      <c r="M437" s="909">
        <f t="shared" si="311"/>
        <v>2.479838247150739</v>
      </c>
      <c r="N437" s="909">
        <f t="shared" si="311"/>
        <v>2.4375497753067283</v>
      </c>
      <c r="O437" s="909">
        <f t="shared" si="311"/>
        <v>2.4879910443323365</v>
      </c>
      <c r="P437" s="909">
        <f t="shared" si="311"/>
        <v>1.1088046338512176</v>
      </c>
      <c r="Q437" s="909">
        <f t="shared" si="311"/>
        <v>2.4957834364678835</v>
      </c>
      <c r="R437" s="909">
        <f t="shared" si="311"/>
        <v>2.4527967579957788</v>
      </c>
      <c r="S437" s="909">
        <f t="shared" si="311"/>
        <v>2.4893903037748677</v>
      </c>
      <c r="T437" s="909">
        <f t="shared" si="311"/>
        <v>2.43287983812202</v>
      </c>
      <c r="U437" s="909">
        <f t="shared" si="311"/>
        <v>1.133607207698023</v>
      </c>
      <c r="V437" s="909">
        <f t="shared" si="311"/>
        <v>2.4130061085958681</v>
      </c>
      <c r="W437" s="909">
        <f t="shared" si="311"/>
        <v>2.4488815215092035</v>
      </c>
      <c r="X437" s="909">
        <f t="shared" si="311"/>
        <v>2.4098009649115451</v>
      </c>
      <c r="Y437" s="909">
        <f t="shared" si="311"/>
        <v>2.4624839077465808</v>
      </c>
      <c r="Z437" s="909">
        <f t="shared" si="311"/>
        <v>1.1263616776922454</v>
      </c>
      <c r="AA437" s="909">
        <f t="shared" si="311"/>
        <v>2.475635462098781</v>
      </c>
      <c r="AB437" s="909">
        <f t="shared" si="311"/>
        <v>2.4355563080445881</v>
      </c>
      <c r="AC437" s="909">
        <f t="shared" si="311"/>
        <v>2.4727949904062703</v>
      </c>
      <c r="AD437" s="909">
        <f t="shared" si="311"/>
        <v>2.4174115064943891</v>
      </c>
      <c r="AE437" s="909">
        <f t="shared" si="311"/>
        <v>1.1553268958537217</v>
      </c>
      <c r="AF437" s="909">
        <f t="shared" si="311"/>
        <v>2.3992854249147126</v>
      </c>
      <c r="AG437" s="909">
        <f t="shared" si="311"/>
        <v>2.4358512796280518</v>
      </c>
      <c r="AH437" s="909">
        <f t="shared" si="311"/>
        <v>2.3811795688420903</v>
      </c>
      <c r="AI437" s="909">
        <f t="shared" si="311"/>
        <v>2.4174107229811574</v>
      </c>
      <c r="AJ437" s="909">
        <f t="shared" si="311"/>
        <v>1.1264130221281952</v>
      </c>
      <c r="AK437" s="909">
        <f t="shared" si="311"/>
        <v>2.3989930662371322</v>
      </c>
      <c r="AL437" s="909">
        <f t="shared" si="311"/>
        <v>2.3450345211531936</v>
      </c>
      <c r="AM437" s="909">
        <f t="shared" si="311"/>
        <v>2.3805998256830465</v>
      </c>
      <c r="AN437" s="909">
        <f t="shared" si="311"/>
        <v>2.326998305215993</v>
      </c>
      <c r="AO437" s="909">
        <f t="shared" si="311"/>
        <v>1.1402167401784737</v>
      </c>
      <c r="AP437" s="909">
        <f t="shared" si="311"/>
        <v>2.3089882653636375</v>
      </c>
      <c r="AQ437" s="909">
        <f t="shared" si="311"/>
        <v>2.343892618433717</v>
      </c>
      <c r="AR437" s="909">
        <f t="shared" si="311"/>
        <v>2.2910058693979916</v>
      </c>
      <c r="AS437" s="909">
        <f t="shared" si="311"/>
        <v>2.3255816432760494</v>
      </c>
      <c r="AT437" s="909">
        <f t="shared" si="311"/>
        <v>1.111033548393922</v>
      </c>
    </row>
    <row r="438" spans="2:46" ht="14.4" x14ac:dyDescent="0.25">
      <c r="B438" s="844" t="s">
        <v>490</v>
      </c>
      <c r="C438" s="908"/>
      <c r="D438" s="908"/>
      <c r="E438" s="908"/>
      <c r="F438" s="908"/>
      <c r="G438" s="909">
        <f>G437-1</f>
        <v>0.84867062813697269</v>
      </c>
      <c r="H438" s="909">
        <f t="shared" ref="H438" si="312">H437-1</f>
        <v>1.19154628253614</v>
      </c>
      <c r="I438" s="909">
        <f t="shared" ref="I438" si="313">I437-1</f>
        <v>1.4319088954582981</v>
      </c>
      <c r="J438" s="909">
        <f t="shared" ref="J438" si="314">J437-1</f>
        <v>1.3985118882783842</v>
      </c>
      <c r="K438" s="909">
        <f t="shared" ref="K438" si="315">K437-1</f>
        <v>9.9966264449467657E-2</v>
      </c>
      <c r="L438" s="909">
        <f t="shared" ref="L438" si="316">L437-1</f>
        <v>1.4219901264120614</v>
      </c>
      <c r="M438" s="909">
        <f t="shared" ref="M438" si="317">M437-1</f>
        <v>1.479838247150739</v>
      </c>
      <c r="N438" s="909">
        <f t="shared" ref="N438" si="318">N437-1</f>
        <v>1.4375497753067283</v>
      </c>
      <c r="O438" s="909">
        <f t="shared" ref="O438" si="319">O437-1</f>
        <v>1.4879910443323365</v>
      </c>
      <c r="P438" s="909">
        <f t="shared" ref="P438" si="320">P437-1</f>
        <v>0.10880463385121764</v>
      </c>
      <c r="Q438" s="909">
        <f t="shared" ref="Q438" si="321">Q437-1</f>
        <v>1.4957834364678835</v>
      </c>
      <c r="R438" s="909">
        <f t="shared" ref="R438" si="322">R437-1</f>
        <v>1.4527967579957788</v>
      </c>
      <c r="S438" s="909">
        <f t="shared" ref="S438" si="323">S437-1</f>
        <v>1.4893903037748677</v>
      </c>
      <c r="T438" s="909">
        <f t="shared" ref="T438" si="324">T437-1</f>
        <v>1.43287983812202</v>
      </c>
      <c r="U438" s="909">
        <f t="shared" ref="U438" si="325">U437-1</f>
        <v>0.13360720769802303</v>
      </c>
      <c r="V438" s="909">
        <f t="shared" ref="V438" si="326">V437-1</f>
        <v>1.4130061085958681</v>
      </c>
      <c r="W438" s="909">
        <f t="shared" ref="W438" si="327">W437-1</f>
        <v>1.4488815215092035</v>
      </c>
      <c r="X438" s="909">
        <f t="shared" ref="X438" si="328">X437-1</f>
        <v>1.4098009649115451</v>
      </c>
      <c r="Y438" s="909">
        <f t="shared" ref="Y438" si="329">Y437-1</f>
        <v>1.4624839077465808</v>
      </c>
      <c r="Z438" s="909">
        <f t="shared" ref="Z438" si="330">Z437-1</f>
        <v>0.12636167769224538</v>
      </c>
      <c r="AA438" s="909">
        <f t="shared" ref="AA438" si="331">AA437-1</f>
        <v>1.475635462098781</v>
      </c>
      <c r="AB438" s="909">
        <f t="shared" ref="AB438" si="332">AB437-1</f>
        <v>1.4355563080445881</v>
      </c>
      <c r="AC438" s="909">
        <f t="shared" ref="AC438" si="333">AC437-1</f>
        <v>1.4727949904062703</v>
      </c>
      <c r="AD438" s="909">
        <f t="shared" ref="AD438" si="334">AD437-1</f>
        <v>1.4174115064943891</v>
      </c>
      <c r="AE438" s="909">
        <f t="shared" ref="AE438" si="335">AE437-1</f>
        <v>0.15532689585372172</v>
      </c>
      <c r="AF438" s="909">
        <f t="shared" ref="AF438" si="336">AF437-1</f>
        <v>1.3992854249147126</v>
      </c>
      <c r="AG438" s="909">
        <f t="shared" ref="AG438" si="337">AG437-1</f>
        <v>1.4358512796280518</v>
      </c>
      <c r="AH438" s="909">
        <f t="shared" ref="AH438" si="338">AH437-1</f>
        <v>1.3811795688420903</v>
      </c>
      <c r="AI438" s="909">
        <f t="shared" ref="AI438" si="339">AI437-1</f>
        <v>1.4174107229811574</v>
      </c>
      <c r="AJ438" s="909">
        <f t="shared" ref="AJ438" si="340">AJ437-1</f>
        <v>0.12641302212819516</v>
      </c>
      <c r="AK438" s="909">
        <f t="shared" ref="AK438" si="341">AK437-1</f>
        <v>1.3989930662371322</v>
      </c>
      <c r="AL438" s="909">
        <f t="shared" ref="AL438" si="342">AL437-1</f>
        <v>1.3450345211531936</v>
      </c>
      <c r="AM438" s="909">
        <f t="shared" ref="AM438" si="343">AM437-1</f>
        <v>1.3805998256830465</v>
      </c>
      <c r="AN438" s="909">
        <f t="shared" ref="AN438" si="344">AN437-1</f>
        <v>1.326998305215993</v>
      </c>
      <c r="AO438" s="909">
        <f t="shared" ref="AO438" si="345">AO437-1</f>
        <v>0.14021674017847374</v>
      </c>
      <c r="AP438" s="909">
        <f t="shared" ref="AP438" si="346">AP437-1</f>
        <v>1.3089882653636375</v>
      </c>
      <c r="AQ438" s="909">
        <f t="shared" ref="AQ438" si="347">AQ437-1</f>
        <v>1.343892618433717</v>
      </c>
      <c r="AR438" s="909">
        <f t="shared" ref="AR438" si="348">AR437-1</f>
        <v>1.2910058693979916</v>
      </c>
      <c r="AS438" s="909">
        <f t="shared" ref="AS438" si="349">AS437-1</f>
        <v>1.3255816432760494</v>
      </c>
      <c r="AT438" s="909">
        <f t="shared" ref="AT438" si="350">AT437-1</f>
        <v>0.11103354839392199</v>
      </c>
    </row>
    <row r="439" spans="2:46" ht="14.4" x14ac:dyDescent="0.25">
      <c r="B439" s="844"/>
      <c r="C439" s="178"/>
      <c r="D439" s="178"/>
      <c r="E439" s="178"/>
      <c r="F439" s="178"/>
      <c r="G439" s="178"/>
      <c r="H439" s="178"/>
      <c r="I439" s="178"/>
      <c r="J439" s="178"/>
      <c r="K439" s="178"/>
      <c r="L439" s="178"/>
      <c r="M439" s="178"/>
      <c r="N439" s="178"/>
      <c r="O439" s="178"/>
      <c r="P439" s="178"/>
      <c r="Q439" s="178"/>
      <c r="R439" s="178"/>
      <c r="S439" s="178"/>
      <c r="T439" s="178"/>
      <c r="U439" s="178"/>
      <c r="V439" s="178"/>
      <c r="W439" s="178"/>
      <c r="X439" s="178"/>
      <c r="Y439" s="178"/>
      <c r="Z439" s="178"/>
      <c r="AA439" s="178"/>
      <c r="AB439" s="178"/>
      <c r="AC439" s="178"/>
      <c r="AD439" s="178"/>
      <c r="AE439" s="178"/>
      <c r="AF439" s="178"/>
      <c r="AG439" s="178"/>
      <c r="AH439" s="178"/>
      <c r="AI439" s="178"/>
      <c r="AJ439" s="178"/>
      <c r="AK439" s="178"/>
      <c r="AL439" s="178"/>
      <c r="AM439" s="178"/>
      <c r="AN439" s="178"/>
      <c r="AO439" s="178"/>
      <c r="AP439" s="178"/>
      <c r="AQ439" s="178"/>
      <c r="AR439" s="178"/>
      <c r="AS439" s="178"/>
      <c r="AT439" s="178"/>
    </row>
    <row r="440" spans="2:46" ht="14.4" x14ac:dyDescent="0.25">
      <c r="B440" s="907" t="s">
        <v>404</v>
      </c>
      <c r="C440" s="268">
        <f>C431/((1+$C$26)^C372)</f>
        <v>-5894681.6442265697</v>
      </c>
      <c r="D440" s="268">
        <f>D431/((1+$C$26)^D372)</f>
        <v>-20966760.466095321</v>
      </c>
      <c r="E440" s="268">
        <f t="shared" ref="E440:AT440" si="351">E431/((1+$C$26)^E372)</f>
        <v>-47746241.000733495</v>
      </c>
      <c r="F440" s="268">
        <f t="shared" si="351"/>
        <v>-16989233.20585217</v>
      </c>
      <c r="G440" s="268">
        <f t="shared" si="351"/>
        <v>1816269.7199731015</v>
      </c>
      <c r="H440" s="268">
        <f t="shared" si="351"/>
        <v>2230674.6570956544</v>
      </c>
      <c r="I440" s="268">
        <f t="shared" si="351"/>
        <v>2176142.7135710311</v>
      </c>
      <c r="J440" s="268">
        <f t="shared" si="351"/>
        <v>1925364.3403245048</v>
      </c>
      <c r="K440" s="268">
        <f t="shared" si="351"/>
        <v>322683.25792653655</v>
      </c>
      <c r="L440" s="268">
        <f t="shared" si="351"/>
        <v>1561971.3148013444</v>
      </c>
      <c r="M440" s="268">
        <f t="shared" si="351"/>
        <v>1452174.2416251556</v>
      </c>
      <c r="N440" s="268">
        <f t="shared" si="351"/>
        <v>1279432.7606708293</v>
      </c>
      <c r="O440" s="268">
        <f t="shared" si="351"/>
        <v>1185162.6810165262</v>
      </c>
      <c r="P440" s="268">
        <f t="shared" si="351"/>
        <v>-119629.07137196058</v>
      </c>
      <c r="Q440" s="268">
        <f t="shared" si="351"/>
        <v>593847.49313279451</v>
      </c>
      <c r="R440" s="268">
        <f t="shared" si="351"/>
        <v>856241.17249758169</v>
      </c>
      <c r="S440" s="268">
        <f t="shared" si="351"/>
        <v>787655.78186548664</v>
      </c>
      <c r="T440" s="268">
        <f t="shared" si="351"/>
        <v>688538.16362088232</v>
      </c>
      <c r="U440" s="268">
        <f t="shared" si="351"/>
        <v>-160450.58308127863</v>
      </c>
      <c r="V440" s="268">
        <f t="shared" si="351"/>
        <v>-364291.43134094658</v>
      </c>
      <c r="W440" s="268">
        <f t="shared" si="351"/>
        <v>118956.65497217637</v>
      </c>
      <c r="X440" s="268">
        <f t="shared" si="351"/>
        <v>458042.38313985144</v>
      </c>
      <c r="Y440" s="268">
        <f t="shared" si="351"/>
        <v>425470.20599489665</v>
      </c>
      <c r="Z440" s="268">
        <f t="shared" si="351"/>
        <v>89263.536056225086</v>
      </c>
      <c r="AA440" s="268">
        <f t="shared" si="351"/>
        <v>241590.63270902779</v>
      </c>
      <c r="AB440" s="268">
        <f t="shared" si="351"/>
        <v>192616.72212845858</v>
      </c>
      <c r="AC440" s="268">
        <f t="shared" si="351"/>
        <v>284692.10562423704</v>
      </c>
      <c r="AD440" s="268">
        <f t="shared" si="351"/>
        <v>248903.79735020103</v>
      </c>
      <c r="AE440" s="268">
        <f t="shared" si="351"/>
        <v>66158.77637101298</v>
      </c>
      <c r="AF440" s="268">
        <f t="shared" si="351"/>
        <v>200493.31998336397</v>
      </c>
      <c r="AG440" s="268">
        <f t="shared" si="351"/>
        <v>184829.48939190942</v>
      </c>
      <c r="AH440" s="268">
        <f t="shared" si="351"/>
        <v>161511.89974724961</v>
      </c>
      <c r="AI440" s="268">
        <f t="shared" si="351"/>
        <v>148944.15882973225</v>
      </c>
      <c r="AJ440" s="268">
        <f t="shared" si="351"/>
        <v>32474.119082514768</v>
      </c>
      <c r="AK440" s="268">
        <f t="shared" si="351"/>
        <v>120034.92311760757</v>
      </c>
      <c r="AL440" s="268">
        <f t="shared" si="351"/>
        <v>15298.620258822108</v>
      </c>
      <c r="AM440" s="268">
        <f t="shared" si="351"/>
        <v>-96795.511119444476</v>
      </c>
      <c r="AN440" s="268">
        <f t="shared" si="351"/>
        <v>15820.862103211526</v>
      </c>
      <c r="AO440" s="268">
        <f t="shared" si="351"/>
        <v>21730.78530046342</v>
      </c>
      <c r="AP440" s="268">
        <f t="shared" si="351"/>
        <v>69399.457664981368</v>
      </c>
      <c r="AQ440" s="268">
        <f t="shared" si="351"/>
        <v>64033.556019767799</v>
      </c>
      <c r="AR440" s="268">
        <f t="shared" si="351"/>
        <v>55893.005007392829</v>
      </c>
      <c r="AS440" s="268">
        <f t="shared" si="351"/>
        <v>51589.250251146259</v>
      </c>
      <c r="AT440" s="268">
        <f t="shared" si="351"/>
        <v>224551.4586732098</v>
      </c>
    </row>
    <row r="441" spans="2:46" ht="14.4" x14ac:dyDescent="0.25">
      <c r="B441" s="907" t="s">
        <v>403</v>
      </c>
      <c r="C441" s="824">
        <f>SUM(C440)</f>
        <v>-5894681.6442265697</v>
      </c>
      <c r="D441" s="824">
        <f>SUM(C440:D440)</f>
        <v>-26861442.110321891</v>
      </c>
      <c r="E441" s="824">
        <f>SUM(C440:E440)</f>
        <v>-74607683.111055389</v>
      </c>
      <c r="F441" s="824">
        <f>SUM(C440:F440)</f>
        <v>-91596916.316907555</v>
      </c>
      <c r="G441" s="824">
        <f>SUM(C440:G440)</f>
        <v>-89780646.596934453</v>
      </c>
      <c r="H441" s="824">
        <f>SUM(C440:H440)</f>
        <v>-87549971.939838797</v>
      </c>
      <c r="I441" s="824">
        <f>SUM(C440:I440)</f>
        <v>-85373829.22626777</v>
      </c>
      <c r="J441" s="824">
        <f>SUM(C440:J440)</f>
        <v>-83448464.885943264</v>
      </c>
      <c r="K441" s="824">
        <f>SUM(C440:K440)</f>
        <v>-83125781.628016725</v>
      </c>
      <c r="L441" s="824">
        <f>SUM(C440:L440)</f>
        <v>-81563810.313215375</v>
      </c>
      <c r="M441" s="824">
        <f>SUM(C440:M440)</f>
        <v>-80111636.071590215</v>
      </c>
      <c r="N441" s="824">
        <f>SUM(C440:N440)</f>
        <v>-78832203.310919389</v>
      </c>
      <c r="O441" s="824">
        <f>SUM(C440:O440)</f>
        <v>-77647040.629902869</v>
      </c>
      <c r="P441" s="824">
        <f>SUM(C440:P440)</f>
        <v>-77766669.701274827</v>
      </c>
      <c r="Q441" s="824">
        <f>SUM(C440:Q440)</f>
        <v>-77172822.208142027</v>
      </c>
      <c r="R441" s="824">
        <f>SUM(C440:R440)</f>
        <v>-76316581.035644442</v>
      </c>
      <c r="S441" s="824">
        <f>SUM(C440:S440)</f>
        <v>-75528925.253778949</v>
      </c>
      <c r="T441" s="824">
        <f>SUM(C440:T440)</f>
        <v>-74840387.09015806</v>
      </c>
      <c r="U441" s="824">
        <f>SUM(C440:U440)</f>
        <v>-75000837.673239335</v>
      </c>
      <c r="V441" s="824">
        <f>SUM(C440:V440)</f>
        <v>-75365129.104580283</v>
      </c>
      <c r="W441" s="824">
        <f>SUM(C440:W440)</f>
        <v>-75246172.449608102</v>
      </c>
      <c r="X441" s="824">
        <f>SUM(C440:X440)</f>
        <v>-74788130.066468254</v>
      </c>
      <c r="Y441" s="824">
        <f>SUM(C440:Y440)</f>
        <v>-74362659.86047335</v>
      </c>
      <c r="Z441" s="824">
        <f>SUM(C440:Z440)</f>
        <v>-74273396.324417129</v>
      </c>
      <c r="AA441" s="824">
        <f>SUM(C440:AA440)</f>
        <v>-74031805.691708103</v>
      </c>
      <c r="AB441" s="824">
        <f>SUM(C440:AB440)</f>
        <v>-73839188.969579637</v>
      </c>
      <c r="AC441" s="824">
        <f>SUM(C440:AC440)</f>
        <v>-73554496.863955393</v>
      </c>
      <c r="AD441" s="824">
        <f>SUM(C440:AD440)</f>
        <v>-73305593.066605195</v>
      </c>
      <c r="AE441" s="824">
        <f>SUM(C440:AE440)</f>
        <v>-73239434.290234178</v>
      </c>
      <c r="AF441" s="824">
        <f>SUM(C440:AF440)</f>
        <v>-73038940.970250815</v>
      </c>
      <c r="AG441" s="824">
        <f>SUM(C440:AG440)</f>
        <v>-72854111.480858907</v>
      </c>
      <c r="AH441" s="824">
        <f>SUM(C440:AH440)</f>
        <v>-72692599.581111655</v>
      </c>
      <c r="AI441" s="824">
        <f>SUM(C440:AI440)</f>
        <v>-72543655.422281921</v>
      </c>
      <c r="AJ441" s="824">
        <f>SUM(C440:AJ440)</f>
        <v>-72511181.30319941</v>
      </c>
      <c r="AK441" s="824">
        <f>SUM(C440:AK440)</f>
        <v>-72391146.380081803</v>
      </c>
      <c r="AL441" s="824">
        <f>SUM(C440:AL440)</f>
        <v>-72375847.75982298</v>
      </c>
      <c r="AM441" s="824">
        <f>SUM(C440:AM440)</f>
        <v>-72472643.27094242</v>
      </c>
      <c r="AN441" s="824">
        <f>SUM(C440:AN440)</f>
        <v>-72456822.408839211</v>
      </c>
      <c r="AO441" s="824">
        <f>SUM(C440:AO440)</f>
        <v>-72435091.623538747</v>
      </c>
      <c r="AP441" s="824">
        <f>SUM(C440:AP440)</f>
        <v>-72365692.165873766</v>
      </c>
      <c r="AQ441" s="824">
        <f>SUM(C440:AQ440)</f>
        <v>-72301658.609853998</v>
      </c>
      <c r="AR441" s="824">
        <f>SUM(C440:AR440)</f>
        <v>-72245765.604846612</v>
      </c>
      <c r="AS441" s="824">
        <f>SUM(C440:AS440)</f>
        <v>-72194176.354595467</v>
      </c>
      <c r="AT441" s="824">
        <f>SUM(C440:AT440)</f>
        <v>-71969624.895922258</v>
      </c>
    </row>
  </sheetData>
  <sheetProtection algorithmName="SHA-512" hashValue="YeBGyEo6mSD0MHsKv1u6Zq5AM5kcJh99DXVxUTmK2Wp7pUvl1YgiBTHjUZBWjArh+L297ZtlmreDU7LOXOcIMw==" saltValue="337H4D2tuDtC+2FqDe+wPw==" spinCount="100000" sheet="1" objects="1" scenarios="1"/>
  <mergeCells count="7">
    <mergeCell ref="C47:I47"/>
    <mergeCell ref="C52:I52"/>
    <mergeCell ref="C57:I57"/>
    <mergeCell ref="C29:G29"/>
    <mergeCell ref="B4:B7"/>
    <mergeCell ref="C37:I37"/>
    <mergeCell ref="C42:I4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C70E1"/>
  </sheetPr>
  <dimension ref="A1:AM106"/>
  <sheetViews>
    <sheetView workbookViewId="0">
      <selection activeCell="B120" sqref="B120"/>
    </sheetView>
  </sheetViews>
  <sheetFormatPr baseColWidth="10" defaultRowHeight="13.2" x14ac:dyDescent="0.25"/>
  <cols>
    <col min="1" max="1" width="23" bestFit="1" customWidth="1"/>
    <col min="2" max="2" width="58.33203125" bestFit="1" customWidth="1"/>
    <col min="3" max="3" width="23.109375" bestFit="1" customWidth="1"/>
    <col min="4" max="4" width="22.33203125" customWidth="1"/>
    <col min="5" max="5" width="25.5546875" bestFit="1" customWidth="1"/>
    <col min="6" max="6" width="15.5546875" customWidth="1"/>
    <col min="7" max="7" width="30.6640625" bestFit="1" customWidth="1"/>
    <col min="8" max="8" width="16.6640625" bestFit="1" customWidth="1"/>
  </cols>
  <sheetData>
    <row r="1" spans="1:39" ht="14.4" x14ac:dyDescent="0.35">
      <c r="A1" s="326"/>
      <c r="B1" s="326"/>
      <c r="C1" s="326"/>
      <c r="D1" s="326"/>
      <c r="E1" s="326"/>
      <c r="F1" s="324"/>
      <c r="G1" s="324"/>
      <c r="H1" s="324"/>
      <c r="I1" s="324"/>
      <c r="J1" s="324"/>
      <c r="K1" s="324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</row>
    <row r="2" spans="1:39" ht="14.4" x14ac:dyDescent="0.35">
      <c r="A2" s="324"/>
      <c r="B2" s="1069" t="s">
        <v>260</v>
      </c>
      <c r="C2" s="502" t="s">
        <v>312</v>
      </c>
      <c r="D2" s="324"/>
      <c r="E2" s="324"/>
      <c r="F2" s="324"/>
      <c r="G2" s="324"/>
      <c r="H2" s="324"/>
      <c r="I2" s="324"/>
      <c r="J2" s="324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</row>
    <row r="3" spans="1:39" ht="14.4" x14ac:dyDescent="0.35">
      <c r="A3" s="324"/>
      <c r="B3" s="1069"/>
      <c r="C3" s="498" t="s">
        <v>325</v>
      </c>
      <c r="D3" s="324"/>
      <c r="E3" s="324"/>
      <c r="F3" s="324"/>
      <c r="G3" s="324"/>
      <c r="H3" s="324"/>
      <c r="I3" s="324"/>
      <c r="J3" s="324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</row>
    <row r="4" spans="1:39" ht="14.4" x14ac:dyDescent="0.35">
      <c r="A4" s="324"/>
      <c r="B4" s="1069"/>
      <c r="C4" s="499" t="s">
        <v>324</v>
      </c>
      <c r="D4" s="324"/>
      <c r="E4" s="324"/>
      <c r="F4" s="324"/>
      <c r="G4" s="324"/>
      <c r="H4" s="324"/>
      <c r="I4" s="324"/>
      <c r="J4" s="324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</row>
    <row r="5" spans="1:39" ht="14.4" x14ac:dyDescent="0.35">
      <c r="A5" s="324"/>
      <c r="B5" s="1069"/>
      <c r="C5" s="503" t="s">
        <v>261</v>
      </c>
      <c r="D5" s="324"/>
      <c r="E5" s="324"/>
      <c r="F5" s="324"/>
      <c r="G5" s="324"/>
      <c r="H5" s="324"/>
      <c r="I5" s="324"/>
      <c r="J5" s="324"/>
      <c r="K5" s="324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</row>
    <row r="6" spans="1:39" ht="14.4" x14ac:dyDescent="0.35">
      <c r="A6" s="324"/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</row>
    <row r="7" spans="1:39" ht="14.4" x14ac:dyDescent="0.35">
      <c r="A7" s="334" t="s">
        <v>262</v>
      </c>
      <c r="B7" s="334"/>
      <c r="C7" s="335"/>
      <c r="D7" s="336"/>
      <c r="E7" s="337"/>
      <c r="F7" s="337"/>
      <c r="G7" s="337"/>
      <c r="H7" s="337"/>
      <c r="I7" s="337"/>
      <c r="J7" s="337"/>
      <c r="K7" s="337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  <c r="AM7" s="338"/>
    </row>
    <row r="8" spans="1:39" ht="14.4" x14ac:dyDescent="0.35">
      <c r="A8" s="324"/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6"/>
      <c r="AL8" s="326"/>
      <c r="AM8" s="326"/>
    </row>
    <row r="9" spans="1:39" ht="14.4" x14ac:dyDescent="0.35">
      <c r="A9" s="324"/>
      <c r="B9" s="324" t="s">
        <v>263</v>
      </c>
      <c r="C9" s="364">
        <v>2020</v>
      </c>
      <c r="D9" s="324"/>
      <c r="E9" s="324"/>
      <c r="F9" s="324"/>
      <c r="G9" s="324"/>
      <c r="H9" s="324"/>
      <c r="I9" s="324"/>
      <c r="J9" s="324"/>
      <c r="K9" s="324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6"/>
      <c r="AC9" s="326"/>
      <c r="AD9" s="326"/>
      <c r="AE9" s="326"/>
      <c r="AF9" s="326"/>
      <c r="AG9" s="326"/>
      <c r="AH9" s="326"/>
      <c r="AI9" s="326"/>
      <c r="AJ9" s="326"/>
      <c r="AK9" s="326"/>
      <c r="AL9" s="326"/>
      <c r="AM9" s="326"/>
    </row>
    <row r="10" spans="1:39" ht="14.4" x14ac:dyDescent="0.35">
      <c r="A10" s="324"/>
      <c r="B10" s="324" t="s">
        <v>264</v>
      </c>
      <c r="C10" s="364">
        <v>2025</v>
      </c>
      <c r="D10" s="324"/>
      <c r="E10" s="324"/>
      <c r="F10" s="324"/>
      <c r="G10" s="324"/>
      <c r="H10" s="324"/>
      <c r="I10" s="324"/>
      <c r="J10" s="324"/>
      <c r="K10" s="324"/>
      <c r="L10" s="326"/>
      <c r="M10" s="326"/>
      <c r="N10" s="326"/>
      <c r="O10" s="326"/>
      <c r="P10" s="326"/>
      <c r="Q10" s="326"/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</row>
    <row r="11" spans="1:39" ht="14.4" x14ac:dyDescent="0.35">
      <c r="A11" s="324"/>
      <c r="B11" s="324" t="s">
        <v>265</v>
      </c>
      <c r="C11" s="364">
        <v>2030</v>
      </c>
      <c r="D11" s="324"/>
      <c r="E11" s="324"/>
      <c r="F11" s="324"/>
      <c r="G11" s="324"/>
      <c r="H11" s="324"/>
      <c r="I11" s="324"/>
      <c r="J11" s="324"/>
      <c r="K11" s="324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26"/>
      <c r="AG11" s="326"/>
      <c r="AH11" s="326"/>
      <c r="AI11" s="326"/>
      <c r="AJ11" s="326"/>
      <c r="AK11" s="326"/>
      <c r="AL11" s="326"/>
      <c r="AM11" s="326"/>
    </row>
    <row r="12" spans="1:39" ht="14.4" x14ac:dyDescent="0.35">
      <c r="A12" s="324"/>
      <c r="B12" s="324" t="s">
        <v>271</v>
      </c>
      <c r="C12" s="364">
        <v>2035</v>
      </c>
      <c r="D12" s="324"/>
      <c r="E12" s="324"/>
      <c r="F12" s="324"/>
      <c r="G12" s="324"/>
      <c r="H12" s="324"/>
      <c r="I12" s="324"/>
      <c r="J12" s="324"/>
      <c r="K12" s="324"/>
      <c r="L12" s="326"/>
      <c r="M12" s="326"/>
      <c r="N12" s="326"/>
      <c r="O12" s="326"/>
      <c r="P12" s="326"/>
      <c r="Q12" s="326"/>
      <c r="R12" s="326"/>
      <c r="S12" s="326"/>
      <c r="T12" s="326"/>
      <c r="U12" s="326"/>
      <c r="V12" s="326"/>
      <c r="W12" s="326"/>
      <c r="X12" s="326"/>
      <c r="Y12" s="326"/>
      <c r="Z12" s="326"/>
      <c r="AA12" s="326"/>
      <c r="AB12" s="326"/>
      <c r="AC12" s="326"/>
      <c r="AD12" s="326"/>
      <c r="AE12" s="326"/>
      <c r="AF12" s="326"/>
      <c r="AG12" s="326"/>
      <c r="AH12" s="326"/>
      <c r="AI12" s="326"/>
      <c r="AJ12" s="326"/>
      <c r="AK12" s="326"/>
      <c r="AL12" s="326"/>
      <c r="AM12" s="326"/>
    </row>
    <row r="13" spans="1:39" ht="14.4" x14ac:dyDescent="0.35">
      <c r="A13" s="324"/>
      <c r="B13" s="324" t="s">
        <v>272</v>
      </c>
      <c r="C13" s="364">
        <v>2040</v>
      </c>
      <c r="D13" s="324"/>
      <c r="E13" s="324"/>
      <c r="F13" s="324"/>
      <c r="G13" s="324"/>
      <c r="H13" s="324"/>
      <c r="I13" s="324"/>
      <c r="J13" s="324"/>
      <c r="K13" s="324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326"/>
    </row>
    <row r="14" spans="1:39" ht="14.4" x14ac:dyDescent="0.35">
      <c r="A14" s="324"/>
      <c r="B14" s="324"/>
      <c r="C14" s="327"/>
      <c r="D14" s="324"/>
      <c r="E14" s="324"/>
      <c r="F14" s="324"/>
      <c r="G14" s="324"/>
      <c r="H14" s="324"/>
      <c r="I14" s="324"/>
      <c r="J14" s="324"/>
      <c r="K14" s="324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326"/>
    </row>
    <row r="15" spans="1:39" ht="14.4" x14ac:dyDescent="0.35">
      <c r="A15" s="324"/>
      <c r="B15" s="324" t="s">
        <v>266</v>
      </c>
      <c r="C15" s="364">
        <f>C9-1</f>
        <v>2019</v>
      </c>
      <c r="D15" s="324"/>
      <c r="E15" s="324"/>
      <c r="F15" s="324"/>
      <c r="G15" s="324"/>
      <c r="H15" s="324"/>
      <c r="I15" s="324"/>
      <c r="J15" s="324"/>
      <c r="K15" s="324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326"/>
    </row>
    <row r="16" spans="1:39" ht="14.4" x14ac:dyDescent="0.35">
      <c r="A16" s="324"/>
      <c r="B16" s="324" t="s">
        <v>267</v>
      </c>
      <c r="C16" s="364">
        <v>2015</v>
      </c>
      <c r="D16" s="324"/>
      <c r="E16" s="324"/>
      <c r="F16" s="324"/>
      <c r="G16" s="324"/>
      <c r="H16" s="324"/>
      <c r="I16" s="324"/>
      <c r="J16" s="324"/>
      <c r="K16" s="324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  <c r="AL16" s="326"/>
      <c r="AM16" s="326"/>
    </row>
    <row r="17" spans="1:39" ht="14.4" x14ac:dyDescent="0.35">
      <c r="A17" s="324"/>
      <c r="B17" s="324" t="s">
        <v>268</v>
      </c>
      <c r="C17" s="364">
        <v>30</v>
      </c>
      <c r="D17" s="324" t="s">
        <v>269</v>
      </c>
      <c r="E17" s="324"/>
      <c r="F17" s="324"/>
      <c r="G17" s="324"/>
      <c r="H17" s="324"/>
      <c r="I17" s="324"/>
      <c r="J17" s="324"/>
      <c r="K17" s="324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6"/>
      <c r="X17" s="326"/>
      <c r="Y17" s="326"/>
      <c r="Z17" s="326"/>
      <c r="AA17" s="326"/>
      <c r="AB17" s="326"/>
      <c r="AC17" s="326"/>
      <c r="AD17" s="326"/>
      <c r="AE17" s="326"/>
      <c r="AF17" s="326"/>
      <c r="AG17" s="326"/>
      <c r="AH17" s="326"/>
      <c r="AI17" s="326"/>
      <c r="AJ17" s="326"/>
      <c r="AK17" s="326"/>
      <c r="AL17" s="326"/>
      <c r="AM17" s="326"/>
    </row>
    <row r="18" spans="1:39" ht="14.4" x14ac:dyDescent="0.35">
      <c r="A18" s="324"/>
      <c r="B18" s="324" t="s">
        <v>270</v>
      </c>
      <c r="C18" s="330">
        <f>C15+C17</f>
        <v>2049</v>
      </c>
      <c r="D18" s="324"/>
      <c r="E18" s="324"/>
      <c r="F18" s="324"/>
      <c r="G18" s="324"/>
      <c r="H18" s="324"/>
      <c r="I18" s="324"/>
      <c r="J18" s="324"/>
      <c r="K18" s="324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326"/>
    </row>
    <row r="19" spans="1:39" ht="14.4" x14ac:dyDescent="0.35">
      <c r="A19" s="324"/>
      <c r="B19" s="324"/>
      <c r="C19" s="330"/>
      <c r="D19" s="324"/>
      <c r="E19" s="324"/>
      <c r="F19" s="324"/>
      <c r="G19" s="324"/>
      <c r="H19" s="324"/>
      <c r="I19" s="324"/>
      <c r="J19" s="324"/>
      <c r="K19" s="324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326"/>
    </row>
    <row r="20" spans="1:39" ht="14.4" x14ac:dyDescent="0.35">
      <c r="A20" s="324"/>
      <c r="B20" s="324"/>
      <c r="C20" s="330"/>
      <c r="D20" s="324"/>
      <c r="E20" s="324"/>
      <c r="F20" s="324"/>
      <c r="G20" s="324"/>
      <c r="H20" s="324"/>
      <c r="I20" s="324"/>
      <c r="J20" s="324"/>
      <c r="K20" s="324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326"/>
    </row>
    <row r="21" spans="1:39" s="259" customFormat="1" ht="14.4" x14ac:dyDescent="0.35">
      <c r="A21" s="334" t="s">
        <v>469</v>
      </c>
      <c r="B21" s="334"/>
      <c r="C21" s="868"/>
      <c r="D21" s="337"/>
      <c r="E21" s="337"/>
      <c r="F21" s="337"/>
      <c r="G21" s="337"/>
      <c r="H21" s="337"/>
      <c r="I21" s="337"/>
      <c r="J21" s="337"/>
      <c r="K21" s="337"/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38"/>
      <c r="AD21" s="338"/>
      <c r="AE21" s="338"/>
      <c r="AF21" s="338"/>
      <c r="AG21" s="338"/>
      <c r="AH21" s="338"/>
      <c r="AI21" s="338"/>
      <c r="AJ21" s="338"/>
      <c r="AK21" s="338"/>
      <c r="AL21" s="338"/>
      <c r="AM21" s="338"/>
    </row>
    <row r="22" spans="1:39" ht="14.4" x14ac:dyDescent="0.35">
      <c r="A22" s="324"/>
      <c r="B22" s="324"/>
      <c r="C22" s="330"/>
      <c r="D22" s="324"/>
      <c r="E22" s="324"/>
      <c r="F22" s="324"/>
      <c r="G22" s="324"/>
      <c r="H22" s="324"/>
      <c r="I22" s="324"/>
      <c r="J22" s="324"/>
      <c r="K22" s="324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</row>
    <row r="23" spans="1:39" ht="14.4" x14ac:dyDescent="0.35">
      <c r="A23" s="324"/>
      <c r="B23" s="324" t="s">
        <v>470</v>
      </c>
      <c r="C23" s="869">
        <v>1</v>
      </c>
      <c r="D23" s="324"/>
      <c r="E23" s="324"/>
      <c r="F23" s="324"/>
      <c r="G23" s="324"/>
      <c r="H23" s="324"/>
      <c r="I23" s="324"/>
      <c r="J23" s="324"/>
      <c r="K23" s="324"/>
      <c r="L23" s="326"/>
      <c r="M23" s="326"/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326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326"/>
    </row>
    <row r="24" spans="1:39" ht="14.4" x14ac:dyDescent="0.35">
      <c r="A24" s="324"/>
      <c r="B24" s="324"/>
      <c r="C24" s="330"/>
      <c r="D24" s="324"/>
      <c r="E24" s="324"/>
      <c r="F24" s="324"/>
      <c r="G24" s="324"/>
      <c r="H24" s="324"/>
      <c r="I24" s="324"/>
      <c r="J24" s="324"/>
      <c r="K24" s="324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</row>
    <row r="25" spans="1:39" ht="14.4" x14ac:dyDescent="0.35">
      <c r="A25" s="324"/>
      <c r="B25" s="324" t="s">
        <v>471</v>
      </c>
      <c r="C25" s="870">
        <v>0.09</v>
      </c>
      <c r="D25" s="324"/>
      <c r="E25" s="324"/>
      <c r="F25" s="324"/>
      <c r="G25" s="324"/>
      <c r="H25" s="324"/>
      <c r="I25" s="324"/>
      <c r="J25" s="324"/>
      <c r="K25" s="324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</row>
    <row r="26" spans="1:39" ht="14.4" x14ac:dyDescent="0.35">
      <c r="A26" s="324"/>
      <c r="B26" s="324"/>
      <c r="C26" s="328"/>
      <c r="D26" s="327"/>
      <c r="E26" s="324"/>
      <c r="F26" s="326"/>
      <c r="G26" s="324"/>
      <c r="H26" s="324"/>
      <c r="I26" s="324"/>
      <c r="J26" s="324"/>
      <c r="K26" s="324"/>
      <c r="L26" s="326"/>
      <c r="M26" s="326"/>
      <c r="N26" s="326"/>
      <c r="O26" s="326"/>
      <c r="P26" s="326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  <c r="AL26" s="326"/>
      <c r="AM26" s="326"/>
    </row>
    <row r="27" spans="1:39" ht="14.4" x14ac:dyDescent="0.35">
      <c r="A27" s="334" t="s">
        <v>293</v>
      </c>
      <c r="B27" s="334"/>
      <c r="C27" s="335"/>
      <c r="D27" s="336"/>
      <c r="E27" s="337"/>
      <c r="F27" s="337"/>
      <c r="G27" s="337"/>
      <c r="H27" s="337"/>
      <c r="I27" s="337"/>
      <c r="J27" s="337"/>
      <c r="K27" s="337"/>
      <c r="L27" s="338"/>
      <c r="M27" s="338"/>
      <c r="N27" s="338"/>
      <c r="O27" s="338"/>
      <c r="P27" s="338"/>
      <c r="Q27" s="338"/>
      <c r="R27" s="338"/>
      <c r="S27" s="338"/>
      <c r="T27" s="338"/>
      <c r="U27" s="338"/>
      <c r="V27" s="338"/>
      <c r="W27" s="338"/>
      <c r="X27" s="338"/>
      <c r="Y27" s="338"/>
      <c r="Z27" s="338"/>
      <c r="AA27" s="338"/>
      <c r="AB27" s="338"/>
      <c r="AC27" s="338"/>
      <c r="AD27" s="338"/>
      <c r="AE27" s="338"/>
      <c r="AF27" s="338"/>
      <c r="AG27" s="338"/>
      <c r="AH27" s="338"/>
      <c r="AI27" s="338"/>
      <c r="AJ27" s="338"/>
      <c r="AK27" s="338"/>
      <c r="AL27" s="338"/>
      <c r="AM27" s="338"/>
    </row>
    <row r="28" spans="1:39" ht="14.4" x14ac:dyDescent="0.35">
      <c r="A28" s="324"/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6"/>
      <c r="M28" s="326"/>
      <c r="N28" s="326"/>
      <c r="O28" s="326"/>
      <c r="P28" s="326"/>
      <c r="Q28" s="326"/>
      <c r="R28" s="326"/>
      <c r="S28" s="326"/>
      <c r="T28" s="326"/>
      <c r="U28" s="326"/>
      <c r="V28" s="326"/>
      <c r="W28" s="326"/>
      <c r="X28" s="326"/>
      <c r="Y28" s="326"/>
      <c r="Z28" s="326"/>
      <c r="AA28" s="326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  <c r="AL28" s="326"/>
      <c r="AM28" s="326"/>
    </row>
    <row r="29" spans="1:39" ht="14.4" x14ac:dyDescent="0.35">
      <c r="A29" s="324"/>
      <c r="B29" s="320"/>
      <c r="C29" s="320"/>
      <c r="D29" s="445" t="s">
        <v>282</v>
      </c>
      <c r="E29" s="445" t="s">
        <v>273</v>
      </c>
      <c r="F29" s="331"/>
      <c r="G29" s="324"/>
      <c r="H29" s="324"/>
      <c r="I29" s="324"/>
      <c r="J29" s="324"/>
      <c r="K29" s="324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26"/>
      <c r="AC29" s="326"/>
      <c r="AD29" s="326"/>
      <c r="AE29" s="326"/>
      <c r="AF29" s="326"/>
      <c r="AG29" s="326"/>
      <c r="AH29" s="326"/>
      <c r="AI29" s="326"/>
      <c r="AJ29" s="326"/>
      <c r="AK29" s="326"/>
      <c r="AL29" s="326"/>
      <c r="AM29" s="326"/>
    </row>
    <row r="30" spans="1:39" ht="14.4" x14ac:dyDescent="0.35">
      <c r="A30" s="324"/>
      <c r="B30" s="443" t="s">
        <v>549</v>
      </c>
      <c r="C30" s="339" t="s">
        <v>125</v>
      </c>
      <c r="D30" s="358">
        <v>0.08</v>
      </c>
      <c r="E30" s="358">
        <v>0.1</v>
      </c>
      <c r="F30" s="324"/>
      <c r="G30" s="324"/>
      <c r="H30" s="324"/>
      <c r="I30" s="324"/>
      <c r="J30" s="324"/>
      <c r="K30" s="324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  <c r="AL30" s="326"/>
      <c r="AM30" s="326"/>
    </row>
    <row r="31" spans="1:39" ht="14.4" x14ac:dyDescent="0.35">
      <c r="A31" s="324"/>
      <c r="B31" s="443" t="s">
        <v>541</v>
      </c>
      <c r="C31" s="339" t="s">
        <v>125</v>
      </c>
      <c r="D31" s="358">
        <v>0.04</v>
      </c>
      <c r="E31" s="358">
        <v>0.1</v>
      </c>
      <c r="F31" s="324"/>
      <c r="G31" s="324"/>
      <c r="H31" s="324"/>
      <c r="I31" s="324"/>
      <c r="J31" s="324"/>
      <c r="K31" s="324"/>
      <c r="L31" s="326"/>
      <c r="M31" s="326"/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6"/>
      <c r="Z31" s="326"/>
      <c r="AA31" s="326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  <c r="AL31" s="326"/>
      <c r="AM31" s="326"/>
    </row>
    <row r="32" spans="1:39" ht="14.4" x14ac:dyDescent="0.35">
      <c r="A32" s="324"/>
      <c r="B32" s="443" t="s">
        <v>540</v>
      </c>
      <c r="C32" s="339" t="s">
        <v>121</v>
      </c>
      <c r="D32" s="358">
        <v>0.05</v>
      </c>
      <c r="E32" s="358">
        <v>0.1</v>
      </c>
      <c r="F32" s="324"/>
      <c r="G32" s="324"/>
      <c r="H32" s="324"/>
      <c r="I32" s="324"/>
      <c r="J32" s="324"/>
      <c r="K32" s="324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26"/>
      <c r="AC32" s="326"/>
      <c r="AD32" s="326"/>
      <c r="AE32" s="326"/>
      <c r="AF32" s="326"/>
      <c r="AG32" s="326"/>
      <c r="AH32" s="326"/>
      <c r="AI32" s="326"/>
      <c r="AJ32" s="326"/>
      <c r="AK32" s="326"/>
      <c r="AL32" s="326"/>
      <c r="AM32" s="326"/>
    </row>
    <row r="33" spans="1:39" ht="14.4" x14ac:dyDescent="0.35">
      <c r="A33" s="324"/>
      <c r="B33" s="444" t="s">
        <v>274</v>
      </c>
      <c r="C33" s="340" t="s">
        <v>125</v>
      </c>
      <c r="D33" s="358">
        <v>0.03</v>
      </c>
      <c r="E33" s="358">
        <v>0.1</v>
      </c>
      <c r="F33" s="332"/>
      <c r="G33" s="324"/>
      <c r="H33" s="324"/>
      <c r="I33" s="324"/>
      <c r="J33" s="324"/>
      <c r="K33" s="324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26"/>
      <c r="AC33" s="326"/>
      <c r="AD33" s="326"/>
      <c r="AE33" s="326"/>
      <c r="AF33" s="326"/>
      <c r="AG33" s="326"/>
      <c r="AH33" s="326"/>
      <c r="AI33" s="326"/>
      <c r="AJ33" s="326"/>
      <c r="AK33" s="326"/>
      <c r="AL33" s="326"/>
      <c r="AM33" s="326"/>
    </row>
    <row r="34" spans="1:39" ht="14.4" x14ac:dyDescent="0.35">
      <c r="A34" s="324"/>
      <c r="B34" s="443" t="s">
        <v>120</v>
      </c>
      <c r="C34" s="340" t="s">
        <v>1</v>
      </c>
      <c r="D34" s="359">
        <v>600000</v>
      </c>
      <c r="E34" s="358">
        <v>0.25</v>
      </c>
      <c r="F34" s="332"/>
      <c r="G34" s="324"/>
      <c r="H34" s="324"/>
      <c r="I34" s="324"/>
      <c r="J34" s="324"/>
      <c r="K34" s="324"/>
      <c r="L34" s="326"/>
      <c r="M34" s="326"/>
      <c r="N34" s="326"/>
      <c r="O34" s="326"/>
      <c r="P34" s="326"/>
      <c r="Q34" s="326"/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  <c r="AC34" s="326"/>
      <c r="AD34" s="326"/>
      <c r="AE34" s="326"/>
      <c r="AF34" s="326"/>
      <c r="AG34" s="326"/>
      <c r="AH34" s="326"/>
      <c r="AI34" s="326"/>
      <c r="AJ34" s="326"/>
      <c r="AK34" s="326"/>
      <c r="AL34" s="326"/>
      <c r="AM34" s="326"/>
    </row>
    <row r="35" spans="1:39" ht="14.4" x14ac:dyDescent="0.35">
      <c r="A35" s="324"/>
      <c r="B35" s="324"/>
      <c r="C35" s="324"/>
      <c r="D35" s="324"/>
      <c r="E35" s="324"/>
      <c r="F35" s="332"/>
      <c r="G35" s="324"/>
      <c r="H35" s="324"/>
      <c r="I35" s="324"/>
      <c r="J35" s="324"/>
      <c r="K35" s="324"/>
      <c r="L35" s="326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26"/>
      <c r="AD35" s="326"/>
      <c r="AE35" s="326"/>
      <c r="AF35" s="326"/>
      <c r="AG35" s="326"/>
      <c r="AH35" s="326"/>
      <c r="AI35" s="326"/>
      <c r="AJ35" s="326"/>
      <c r="AK35" s="326"/>
      <c r="AL35" s="326"/>
      <c r="AM35" s="326"/>
    </row>
    <row r="36" spans="1:39" ht="14.4" x14ac:dyDescent="0.35">
      <c r="A36" s="324"/>
      <c r="B36" s="341" t="s">
        <v>315</v>
      </c>
      <c r="C36" s="360" t="s">
        <v>277</v>
      </c>
      <c r="D36" s="360" t="s">
        <v>278</v>
      </c>
      <c r="E36" s="360" t="s">
        <v>287</v>
      </c>
      <c r="F36" s="360" t="s">
        <v>291</v>
      </c>
      <c r="G36" s="324"/>
      <c r="H36" s="324" t="s">
        <v>316</v>
      </c>
      <c r="I36" s="324"/>
      <c r="J36" s="324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6"/>
      <c r="V36" s="326"/>
      <c r="W36" s="326"/>
      <c r="X36" s="326"/>
      <c r="Y36" s="326"/>
      <c r="Z36" s="326"/>
      <c r="AA36" s="326"/>
      <c r="AB36" s="326"/>
      <c r="AC36" s="326"/>
      <c r="AD36" s="326"/>
      <c r="AE36" s="326"/>
      <c r="AF36" s="326"/>
      <c r="AG36" s="326"/>
      <c r="AH36" s="326"/>
      <c r="AI36" s="326"/>
      <c r="AJ36" s="326"/>
      <c r="AK36" s="326"/>
      <c r="AL36" s="326"/>
      <c r="AM36" s="326"/>
    </row>
    <row r="37" spans="1:39" ht="14.4" x14ac:dyDescent="0.35">
      <c r="A37" s="324"/>
      <c r="B37" s="341" t="s">
        <v>279</v>
      </c>
      <c r="C37" s="361" t="s">
        <v>288</v>
      </c>
      <c r="D37" s="361" t="s">
        <v>550</v>
      </c>
      <c r="E37" s="361" t="s">
        <v>289</v>
      </c>
      <c r="F37" s="361" t="s">
        <v>290</v>
      </c>
      <c r="G37" s="324"/>
      <c r="H37" s="324"/>
      <c r="I37" s="324"/>
      <c r="J37" s="324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26"/>
      <c r="AC37" s="326"/>
      <c r="AD37" s="326"/>
      <c r="AE37" s="326"/>
      <c r="AF37" s="326"/>
      <c r="AG37" s="326"/>
      <c r="AH37" s="326"/>
      <c r="AI37" s="326"/>
      <c r="AJ37" s="326"/>
      <c r="AK37" s="326"/>
      <c r="AL37" s="326"/>
      <c r="AM37" s="326"/>
    </row>
    <row r="38" spans="1:39" ht="14.4" x14ac:dyDescent="0.35">
      <c r="A38" s="324"/>
      <c r="B38" s="341" t="s">
        <v>280</v>
      </c>
      <c r="C38" s="361">
        <v>0.25</v>
      </c>
      <c r="D38" s="361">
        <v>0.25</v>
      </c>
      <c r="E38" s="361">
        <v>0.15</v>
      </c>
      <c r="F38" s="361">
        <v>0.25</v>
      </c>
      <c r="G38" s="324"/>
      <c r="H38" s="324"/>
      <c r="I38" s="324"/>
      <c r="J38" s="324"/>
      <c r="K38" s="326"/>
      <c r="L38" s="326"/>
      <c r="M38" s="326"/>
      <c r="N38" s="326"/>
      <c r="O38" s="326"/>
      <c r="P38" s="326"/>
      <c r="Q38" s="326"/>
      <c r="R38" s="326"/>
      <c r="S38" s="326"/>
      <c r="T38" s="326"/>
      <c r="U38" s="326"/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6"/>
      <c r="AH38" s="326"/>
      <c r="AI38" s="326"/>
      <c r="AJ38" s="326"/>
      <c r="AK38" s="326"/>
      <c r="AL38" s="326"/>
      <c r="AM38" s="326"/>
    </row>
    <row r="39" spans="1:39" ht="14.4" x14ac:dyDescent="0.35">
      <c r="A39" s="324"/>
      <c r="B39" s="341" t="s">
        <v>281</v>
      </c>
      <c r="C39" s="361" t="s">
        <v>294</v>
      </c>
      <c r="D39" s="361" t="s">
        <v>294</v>
      </c>
      <c r="E39" s="361" t="s">
        <v>294</v>
      </c>
      <c r="F39" s="361" t="s">
        <v>295</v>
      </c>
      <c r="G39" s="324"/>
      <c r="H39" s="324"/>
      <c r="I39" s="324"/>
      <c r="J39" s="324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</row>
    <row r="40" spans="1:39" ht="14.4" x14ac:dyDescent="0.35">
      <c r="A40" s="324"/>
      <c r="B40" s="324"/>
      <c r="C40" s="324"/>
      <c r="D40" s="324"/>
      <c r="E40" s="324"/>
      <c r="F40" s="332"/>
      <c r="G40" s="324"/>
      <c r="H40" s="324"/>
      <c r="I40" s="324"/>
      <c r="J40" s="324"/>
      <c r="K40" s="324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326"/>
      <c r="AF40" s="326"/>
      <c r="AG40" s="326"/>
      <c r="AH40" s="326"/>
      <c r="AI40" s="326"/>
      <c r="AJ40" s="326"/>
      <c r="AK40" s="326"/>
      <c r="AL40" s="326"/>
      <c r="AM40" s="326"/>
    </row>
    <row r="41" spans="1:39" ht="14.4" x14ac:dyDescent="0.35">
      <c r="A41" s="324"/>
      <c r="B41" s="324" t="s">
        <v>298</v>
      </c>
      <c r="C41" s="328"/>
      <c r="D41" s="364">
        <v>8.4000000000000005E-2</v>
      </c>
      <c r="E41" s="324" t="s">
        <v>284</v>
      </c>
      <c r="F41" s="332" t="s">
        <v>299</v>
      </c>
      <c r="G41" s="324"/>
      <c r="H41" s="324"/>
      <c r="I41" s="324"/>
      <c r="J41" s="324"/>
      <c r="K41" s="324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  <c r="AG41" s="326"/>
      <c r="AH41" s="326"/>
      <c r="AI41" s="326"/>
      <c r="AJ41" s="326"/>
      <c r="AK41" s="326"/>
      <c r="AL41" s="326"/>
      <c r="AM41" s="326"/>
    </row>
    <row r="42" spans="1:39" ht="14.4" x14ac:dyDescent="0.35">
      <c r="A42" s="324"/>
      <c r="B42" s="324"/>
      <c r="C42" s="324"/>
      <c r="D42" s="324"/>
      <c r="E42" s="324"/>
      <c r="F42" s="324"/>
      <c r="G42" s="324"/>
      <c r="H42" s="324"/>
      <c r="I42" s="324"/>
      <c r="J42" s="324"/>
      <c r="K42" s="324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  <c r="AH42" s="326"/>
      <c r="AI42" s="326"/>
      <c r="AJ42" s="326"/>
      <c r="AK42" s="326"/>
      <c r="AL42" s="326"/>
      <c r="AM42" s="326"/>
    </row>
    <row r="43" spans="1:39" ht="14.4" x14ac:dyDescent="0.35">
      <c r="A43" s="324"/>
      <c r="B43" s="324" t="s">
        <v>514</v>
      </c>
      <c r="C43" s="324"/>
      <c r="D43" s="948">
        <f>0.05*14</f>
        <v>0.70000000000000007</v>
      </c>
      <c r="E43" s="324" t="s">
        <v>515</v>
      </c>
      <c r="F43" s="324"/>
      <c r="G43" s="324"/>
      <c r="H43" s="324"/>
      <c r="I43" s="324"/>
      <c r="J43" s="324"/>
      <c r="K43" s="324"/>
      <c r="L43" s="326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326"/>
      <c r="AE43" s="326"/>
      <c r="AF43" s="326"/>
      <c r="AG43" s="326"/>
      <c r="AH43" s="326"/>
      <c r="AI43" s="326"/>
      <c r="AJ43" s="326"/>
      <c r="AK43" s="326"/>
      <c r="AL43" s="326"/>
      <c r="AM43" s="326"/>
    </row>
    <row r="44" spans="1:39" ht="14.4" x14ac:dyDescent="0.35">
      <c r="A44" s="324"/>
      <c r="B44" s="324"/>
      <c r="C44" s="324"/>
      <c r="D44" s="324"/>
      <c r="E44" s="324"/>
      <c r="F44" s="324"/>
      <c r="G44" s="324"/>
      <c r="H44" s="324"/>
      <c r="I44" s="324"/>
      <c r="J44" s="324"/>
      <c r="K44" s="324"/>
      <c r="L44" s="326"/>
      <c r="M44" s="326"/>
      <c r="N44" s="326"/>
      <c r="O44" s="326"/>
      <c r="P44" s="326"/>
      <c r="Q44" s="326"/>
      <c r="R44" s="326"/>
      <c r="S44" s="326"/>
      <c r="T44" s="326"/>
      <c r="U44" s="326"/>
      <c r="V44" s="326"/>
      <c r="W44" s="326"/>
      <c r="X44" s="326"/>
      <c r="Y44" s="326"/>
      <c r="Z44" s="326"/>
      <c r="AA44" s="326"/>
      <c r="AB44" s="326"/>
      <c r="AC44" s="326"/>
      <c r="AD44" s="326"/>
      <c r="AE44" s="326"/>
      <c r="AF44" s="326"/>
      <c r="AG44" s="326"/>
      <c r="AH44" s="326"/>
      <c r="AI44" s="326"/>
      <c r="AJ44" s="326"/>
      <c r="AK44" s="326"/>
      <c r="AL44" s="326"/>
      <c r="AM44" s="326"/>
    </row>
    <row r="45" spans="1:39" ht="14.4" x14ac:dyDescent="0.35">
      <c r="A45" s="324"/>
      <c r="B45" s="329" t="s">
        <v>417</v>
      </c>
      <c r="C45" s="324"/>
      <c r="D45" s="324"/>
      <c r="E45" s="324"/>
      <c r="F45" s="324"/>
      <c r="G45" s="324"/>
      <c r="H45" s="324"/>
      <c r="I45" s="324"/>
      <c r="J45" s="324"/>
      <c r="K45" s="324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6"/>
      <c r="AK45" s="326"/>
      <c r="AL45" s="326"/>
      <c r="AM45" s="326"/>
    </row>
    <row r="46" spans="1:39" ht="14.4" x14ac:dyDescent="0.35">
      <c r="A46" s="324"/>
      <c r="C46" s="324"/>
      <c r="D46" s="1070" t="s">
        <v>421</v>
      </c>
      <c r="E46" s="1070"/>
      <c r="F46" s="1070" t="s">
        <v>422</v>
      </c>
      <c r="G46" s="1070"/>
      <c r="H46" s="324"/>
      <c r="I46" s="324"/>
      <c r="J46" s="324"/>
      <c r="K46" s="324"/>
      <c r="L46" s="326"/>
      <c r="M46" s="326"/>
      <c r="N46" s="326"/>
      <c r="O46" s="326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6"/>
      <c r="AC46" s="326"/>
      <c r="AD46" s="326"/>
      <c r="AE46" s="326"/>
      <c r="AF46" s="326"/>
      <c r="AG46" s="326"/>
      <c r="AH46" s="326"/>
      <c r="AI46" s="326"/>
      <c r="AJ46" s="326"/>
      <c r="AK46" s="326"/>
      <c r="AL46" s="326"/>
      <c r="AM46" s="326"/>
    </row>
    <row r="47" spans="1:39" ht="14.4" x14ac:dyDescent="0.35">
      <c r="A47" s="324"/>
      <c r="B47" s="761"/>
      <c r="C47" s="761"/>
      <c r="D47" s="503" t="s">
        <v>72</v>
      </c>
      <c r="E47" s="503" t="s">
        <v>4</v>
      </c>
      <c r="F47" s="503" t="s">
        <v>72</v>
      </c>
      <c r="G47" s="503" t="s">
        <v>4</v>
      </c>
      <c r="H47" s="324"/>
      <c r="I47" s="324"/>
      <c r="J47" s="324"/>
      <c r="K47" s="324"/>
      <c r="L47" s="326"/>
      <c r="M47" s="326"/>
      <c r="N47" s="326"/>
      <c r="O47" s="326"/>
      <c r="P47" s="326"/>
      <c r="Q47" s="326"/>
      <c r="R47" s="326"/>
      <c r="S47" s="326"/>
      <c r="T47" s="326"/>
      <c r="U47" s="326"/>
      <c r="V47" s="326"/>
      <c r="W47" s="326"/>
      <c r="X47" s="326"/>
      <c r="Y47" s="326"/>
      <c r="Z47" s="326"/>
      <c r="AA47" s="326"/>
      <c r="AB47" s="326"/>
      <c r="AC47" s="326"/>
      <c r="AD47" s="326"/>
      <c r="AE47" s="326"/>
      <c r="AF47" s="326"/>
      <c r="AG47" s="326"/>
      <c r="AH47" s="326"/>
      <c r="AI47" s="326"/>
      <c r="AJ47" s="326"/>
      <c r="AK47" s="326"/>
      <c r="AL47" s="326"/>
      <c r="AM47" s="326"/>
    </row>
    <row r="48" spans="1:39" ht="14.4" x14ac:dyDescent="0.35">
      <c r="A48" s="324"/>
      <c r="B48" s="762" t="s">
        <v>205</v>
      </c>
      <c r="C48" s="761" t="s">
        <v>204</v>
      </c>
      <c r="D48" s="502">
        <v>85</v>
      </c>
      <c r="E48" s="502">
        <v>65</v>
      </c>
      <c r="F48" s="775">
        <f>D48*C83</f>
        <v>95.2</v>
      </c>
      <c r="G48" s="775">
        <f>E48*C83</f>
        <v>72.800000000000011</v>
      </c>
      <c r="H48" s="324"/>
      <c r="I48" s="324"/>
      <c r="J48" s="324"/>
      <c r="K48" s="324"/>
      <c r="L48" s="326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326"/>
      <c r="AE48" s="326"/>
      <c r="AF48" s="326"/>
      <c r="AG48" s="326"/>
      <c r="AH48" s="326"/>
      <c r="AI48" s="326"/>
      <c r="AJ48" s="326"/>
      <c r="AK48" s="326"/>
      <c r="AL48" s="326"/>
      <c r="AM48" s="326"/>
    </row>
    <row r="49" spans="1:39" ht="14.4" x14ac:dyDescent="0.35">
      <c r="A49" s="324"/>
      <c r="B49" s="762" t="s">
        <v>206</v>
      </c>
      <c r="C49" s="761" t="s">
        <v>204</v>
      </c>
      <c r="D49" s="502">
        <v>375</v>
      </c>
      <c r="E49" s="502">
        <v>285</v>
      </c>
      <c r="F49" s="775">
        <f>375*C83</f>
        <v>420.00000000000006</v>
      </c>
      <c r="G49" s="775">
        <f>285*C83</f>
        <v>319.20000000000005</v>
      </c>
      <c r="H49" s="324"/>
      <c r="I49" s="324"/>
      <c r="J49" s="324"/>
      <c r="K49" s="324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  <c r="AG49" s="326"/>
      <c r="AH49" s="326"/>
      <c r="AI49" s="326"/>
      <c r="AJ49" s="326"/>
      <c r="AK49" s="326"/>
      <c r="AL49" s="326"/>
      <c r="AM49" s="326"/>
    </row>
    <row r="50" spans="1:39" ht="14.4" x14ac:dyDescent="0.35">
      <c r="A50" s="324"/>
      <c r="B50" s="762"/>
      <c r="C50" s="761"/>
      <c r="D50" s="775"/>
      <c r="E50" s="775"/>
      <c r="F50" s="775"/>
      <c r="G50" s="775"/>
      <c r="H50" s="324"/>
      <c r="I50" s="324"/>
      <c r="J50" s="324"/>
      <c r="K50" s="324"/>
      <c r="L50" s="326"/>
      <c r="M50" s="326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  <c r="AH50" s="326"/>
      <c r="AI50" s="326"/>
      <c r="AJ50" s="326"/>
      <c r="AK50" s="326"/>
      <c r="AL50" s="326"/>
      <c r="AM50" s="326"/>
    </row>
    <row r="51" spans="1:39" ht="14.4" x14ac:dyDescent="0.35">
      <c r="A51" s="324"/>
      <c r="B51" s="762" t="s">
        <v>420</v>
      </c>
      <c r="C51" s="761" t="s">
        <v>204</v>
      </c>
      <c r="D51" s="502">
        <v>225</v>
      </c>
      <c r="E51" s="776" t="s">
        <v>416</v>
      </c>
      <c r="F51" s="775">
        <f>D51*C83</f>
        <v>252.00000000000003</v>
      </c>
      <c r="G51" s="776" t="s">
        <v>416</v>
      </c>
      <c r="H51" s="324"/>
      <c r="I51" s="324"/>
      <c r="J51" s="324"/>
      <c r="K51" s="324"/>
      <c r="L51" s="326"/>
      <c r="M51" s="326"/>
      <c r="N51" s="326"/>
      <c r="O51" s="326"/>
      <c r="P51" s="326"/>
      <c r="Q51" s="326"/>
      <c r="R51" s="326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6"/>
      <c r="AE51" s="326"/>
      <c r="AF51" s="326"/>
      <c r="AG51" s="326"/>
      <c r="AH51" s="326"/>
      <c r="AI51" s="326"/>
      <c r="AJ51" s="326"/>
      <c r="AK51" s="326"/>
      <c r="AL51" s="326"/>
      <c r="AM51" s="326"/>
    </row>
    <row r="52" spans="1:39" ht="14.4" x14ac:dyDescent="0.35">
      <c r="A52" s="324"/>
      <c r="B52" s="762" t="s">
        <v>424</v>
      </c>
      <c r="C52" s="761" t="s">
        <v>204</v>
      </c>
      <c r="D52" s="776" t="s">
        <v>416</v>
      </c>
      <c r="E52" s="502">
        <v>195</v>
      </c>
      <c r="F52" s="776" t="s">
        <v>416</v>
      </c>
      <c r="G52" s="775">
        <f>E52*C83</f>
        <v>218.40000000000003</v>
      </c>
      <c r="H52" s="324"/>
      <c r="I52" s="324"/>
      <c r="J52" s="324"/>
      <c r="K52" s="324"/>
      <c r="L52" s="326"/>
      <c r="M52" s="326"/>
      <c r="N52" s="326"/>
      <c r="O52" s="326"/>
      <c r="P52" s="326"/>
      <c r="Q52" s="326"/>
      <c r="R52" s="326"/>
      <c r="S52" s="326"/>
      <c r="T52" s="326"/>
      <c r="U52" s="326"/>
      <c r="V52" s="326"/>
      <c r="W52" s="326"/>
      <c r="X52" s="326"/>
      <c r="Y52" s="326"/>
      <c r="Z52" s="326"/>
      <c r="AA52" s="326"/>
      <c r="AB52" s="326"/>
      <c r="AC52" s="326"/>
      <c r="AD52" s="326"/>
      <c r="AE52" s="326"/>
      <c r="AF52" s="326"/>
      <c r="AG52" s="326"/>
      <c r="AH52" s="326"/>
      <c r="AI52" s="326"/>
      <c r="AJ52" s="326"/>
      <c r="AK52" s="326"/>
      <c r="AL52" s="326"/>
      <c r="AM52" s="326"/>
    </row>
    <row r="53" spans="1:39" ht="14.4" x14ac:dyDescent="0.35">
      <c r="A53" s="324"/>
      <c r="B53" s="761"/>
      <c r="C53" s="761"/>
      <c r="D53" s="761"/>
      <c r="E53" s="761"/>
      <c r="F53" s="324"/>
      <c r="G53" s="324"/>
      <c r="H53" s="324"/>
      <c r="I53" s="324"/>
      <c r="J53" s="324"/>
      <c r="K53" s="324"/>
      <c r="L53" s="326"/>
      <c r="M53" s="326"/>
      <c r="N53" s="326"/>
      <c r="O53" s="326"/>
      <c r="P53" s="326"/>
      <c r="Q53" s="326"/>
      <c r="R53" s="326"/>
      <c r="S53" s="326"/>
      <c r="T53" s="326"/>
      <c r="U53" s="326"/>
      <c r="V53" s="326"/>
      <c r="W53" s="326"/>
      <c r="X53" s="326"/>
      <c r="Y53" s="326"/>
      <c r="Z53" s="326"/>
      <c r="AA53" s="326"/>
      <c r="AB53" s="326"/>
      <c r="AC53" s="326"/>
      <c r="AD53" s="326"/>
      <c r="AE53" s="326"/>
      <c r="AF53" s="326"/>
      <c r="AG53" s="326"/>
      <c r="AH53" s="326"/>
      <c r="AI53" s="326"/>
      <c r="AJ53" s="326"/>
      <c r="AK53" s="326"/>
      <c r="AL53" s="326"/>
      <c r="AM53" s="326"/>
    </row>
    <row r="54" spans="1:39" ht="14.4" x14ac:dyDescent="0.35">
      <c r="A54" s="324"/>
      <c r="B54" s="324" t="s">
        <v>534</v>
      </c>
      <c r="C54" s="887">
        <v>0.12</v>
      </c>
      <c r="D54" s="324"/>
      <c r="E54" s="324"/>
      <c r="F54" s="324"/>
      <c r="G54" s="324"/>
      <c r="H54" s="324"/>
      <c r="I54" s="324"/>
      <c r="J54" s="324"/>
      <c r="K54" s="324"/>
      <c r="L54" s="326"/>
      <c r="M54" s="326"/>
      <c r="N54" s="326"/>
      <c r="O54" s="326"/>
      <c r="P54" s="326"/>
      <c r="Q54" s="326"/>
      <c r="R54" s="326"/>
      <c r="S54" s="326"/>
      <c r="T54" s="326"/>
      <c r="U54" s="326"/>
      <c r="V54" s="326"/>
      <c r="W54" s="326"/>
      <c r="X54" s="326"/>
      <c r="Y54" s="326"/>
      <c r="Z54" s="326"/>
      <c r="AA54" s="326"/>
      <c r="AB54" s="326"/>
      <c r="AC54" s="326"/>
      <c r="AD54" s="326"/>
      <c r="AE54" s="326"/>
      <c r="AF54" s="326"/>
      <c r="AG54" s="326"/>
      <c r="AH54" s="326"/>
      <c r="AI54" s="326"/>
      <c r="AJ54" s="326"/>
      <c r="AK54" s="326"/>
      <c r="AL54" s="326"/>
      <c r="AM54" s="326"/>
    </row>
    <row r="55" spans="1:39" ht="14.4" x14ac:dyDescent="0.35">
      <c r="A55" s="324"/>
      <c r="B55" s="324"/>
      <c r="C55" s="324"/>
      <c r="D55" s="324"/>
      <c r="E55" s="324"/>
      <c r="F55" s="324"/>
      <c r="G55" s="324"/>
      <c r="H55" s="324"/>
      <c r="I55" s="324"/>
      <c r="J55" s="324"/>
      <c r="K55" s="324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26"/>
      <c r="AC55" s="326"/>
      <c r="AD55" s="326"/>
      <c r="AE55" s="326"/>
      <c r="AF55" s="326"/>
      <c r="AG55" s="326"/>
      <c r="AH55" s="326"/>
      <c r="AI55" s="326"/>
      <c r="AJ55" s="326"/>
      <c r="AK55" s="326"/>
      <c r="AL55" s="326"/>
      <c r="AM55" s="326"/>
    </row>
    <row r="56" spans="1:39" ht="14.4" x14ac:dyDescent="0.35">
      <c r="A56" s="324"/>
      <c r="B56" s="324" t="s">
        <v>252</v>
      </c>
      <c r="C56" s="455" t="s">
        <v>317</v>
      </c>
      <c r="D56" s="455" t="s">
        <v>318</v>
      </c>
      <c r="E56" s="324"/>
      <c r="F56" s="324"/>
      <c r="G56" s="324"/>
      <c r="H56" s="324" t="s">
        <v>319</v>
      </c>
      <c r="I56" s="324"/>
      <c r="J56" s="324"/>
      <c r="K56" s="324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  <c r="AH56" s="326"/>
      <c r="AI56" s="326"/>
      <c r="AJ56" s="326"/>
      <c r="AK56" s="326"/>
      <c r="AL56" s="326"/>
      <c r="AM56" s="326"/>
    </row>
    <row r="57" spans="1:39" ht="14.4" x14ac:dyDescent="0.35">
      <c r="A57" s="324"/>
      <c r="B57" s="324"/>
      <c r="C57" s="324"/>
      <c r="D57" s="324"/>
      <c r="E57" s="324"/>
      <c r="F57" s="324"/>
      <c r="G57" s="324"/>
      <c r="H57" s="324"/>
      <c r="I57" s="324"/>
      <c r="J57" s="324"/>
      <c r="K57" s="324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  <c r="AH57" s="326"/>
      <c r="AI57" s="326"/>
      <c r="AJ57" s="326"/>
      <c r="AK57" s="326"/>
      <c r="AL57" s="326"/>
      <c r="AM57" s="326"/>
    </row>
    <row r="58" spans="1:39" s="259" customFormat="1" ht="14.4" x14ac:dyDescent="0.35">
      <c r="A58" s="337" t="s">
        <v>475</v>
      </c>
      <c r="B58" s="337"/>
      <c r="C58" s="337"/>
      <c r="D58" s="337"/>
      <c r="E58" s="337"/>
      <c r="F58" s="337"/>
      <c r="G58" s="337"/>
      <c r="H58" s="337"/>
      <c r="I58" s="337"/>
      <c r="J58" s="337"/>
      <c r="K58" s="337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  <c r="AA58" s="338"/>
      <c r="AB58" s="338"/>
      <c r="AC58" s="338"/>
      <c r="AD58" s="338"/>
      <c r="AE58" s="338"/>
      <c r="AF58" s="338"/>
      <c r="AG58" s="338"/>
      <c r="AH58" s="338"/>
      <c r="AI58" s="338"/>
      <c r="AJ58" s="338"/>
      <c r="AK58" s="338"/>
      <c r="AL58" s="338"/>
      <c r="AM58" s="338"/>
    </row>
    <row r="59" spans="1:39" ht="14.4" x14ac:dyDescent="0.35">
      <c r="A59" s="324"/>
      <c r="B59" s="324"/>
      <c r="C59" s="324"/>
      <c r="D59" s="324"/>
      <c r="E59" s="324"/>
      <c r="F59" s="324"/>
      <c r="G59" s="324"/>
      <c r="H59" s="324"/>
      <c r="I59" s="324"/>
      <c r="J59" s="324"/>
      <c r="K59" s="324"/>
      <c r="L59" s="326"/>
      <c r="M59" s="326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326"/>
      <c r="AD59" s="326"/>
      <c r="AE59" s="326"/>
      <c r="AF59" s="326"/>
      <c r="AG59" s="326"/>
      <c r="AH59" s="326"/>
      <c r="AI59" s="326"/>
      <c r="AJ59" s="326"/>
      <c r="AK59" s="326"/>
      <c r="AL59" s="326"/>
      <c r="AM59" s="326"/>
    </row>
    <row r="60" spans="1:39" ht="14.4" x14ac:dyDescent="0.35">
      <c r="A60" s="324"/>
      <c r="B60" s="329" t="s">
        <v>476</v>
      </c>
      <c r="C60" s="324"/>
      <c r="D60" s="324"/>
      <c r="E60" s="324"/>
      <c r="F60" s="324"/>
      <c r="G60" s="324"/>
      <c r="H60" s="324"/>
      <c r="I60" s="324"/>
      <c r="J60" s="324"/>
      <c r="K60" s="324"/>
      <c r="L60" s="326"/>
      <c r="M60" s="326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326"/>
      <c r="AE60" s="326"/>
      <c r="AF60" s="326"/>
      <c r="AG60" s="326"/>
      <c r="AH60" s="326"/>
      <c r="AI60" s="326"/>
      <c r="AJ60" s="326"/>
      <c r="AK60" s="326"/>
      <c r="AL60" s="326"/>
      <c r="AM60" s="326"/>
    </row>
    <row r="61" spans="1:39" ht="14.4" x14ac:dyDescent="0.35">
      <c r="A61" s="324"/>
      <c r="B61" s="91" t="s">
        <v>477</v>
      </c>
      <c r="C61" s="364">
        <v>0.7</v>
      </c>
      <c r="D61" s="324"/>
      <c r="E61" s="324"/>
      <c r="F61" s="324"/>
      <c r="G61" s="324"/>
      <c r="H61" s="324"/>
      <c r="I61" s="324"/>
      <c r="J61" s="324"/>
      <c r="K61" s="324"/>
      <c r="L61" s="326"/>
      <c r="M61" s="326"/>
      <c r="N61" s="326"/>
      <c r="O61" s="326"/>
      <c r="P61" s="326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26"/>
      <c r="AD61" s="326"/>
      <c r="AE61" s="326"/>
      <c r="AF61" s="326"/>
      <c r="AG61" s="326"/>
      <c r="AH61" s="326"/>
      <c r="AI61" s="326"/>
      <c r="AJ61" s="326"/>
      <c r="AK61" s="326"/>
      <c r="AL61" s="326"/>
      <c r="AM61" s="326"/>
    </row>
    <row r="62" spans="1:39" ht="14.4" x14ac:dyDescent="0.35">
      <c r="A62" s="324"/>
      <c r="B62" s="886" t="s">
        <v>478</v>
      </c>
      <c r="C62" s="886" t="str">
        <f>B88</f>
        <v>Hipotesis baja</v>
      </c>
      <c r="D62" s="324"/>
      <c r="E62" s="324"/>
      <c r="F62" s="324"/>
      <c r="G62" s="324"/>
      <c r="H62" s="324"/>
      <c r="I62" s="324"/>
      <c r="J62" s="324"/>
      <c r="K62" s="324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  <c r="AG62" s="326"/>
      <c r="AH62" s="326"/>
      <c r="AI62" s="326"/>
      <c r="AJ62" s="326"/>
      <c r="AK62" s="326"/>
      <c r="AL62" s="326"/>
      <c r="AM62" s="326"/>
    </row>
    <row r="63" spans="1:39" ht="14.4" x14ac:dyDescent="0.35">
      <c r="A63" s="324"/>
      <c r="B63" s="886" t="s">
        <v>481</v>
      </c>
      <c r="C63" s="888" t="s">
        <v>479</v>
      </c>
      <c r="D63" s="324"/>
      <c r="E63" s="324"/>
      <c r="F63" s="324"/>
      <c r="G63" s="324"/>
      <c r="H63" s="324"/>
      <c r="I63" s="324"/>
      <c r="J63" s="324"/>
      <c r="K63" s="324"/>
      <c r="L63" s="326"/>
      <c r="M63" s="326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  <c r="AG63" s="326"/>
      <c r="AH63" s="326"/>
      <c r="AI63" s="326"/>
      <c r="AJ63" s="326"/>
      <c r="AK63" s="326"/>
      <c r="AL63" s="326"/>
      <c r="AM63" s="326"/>
    </row>
    <row r="64" spans="1:39" ht="14.4" x14ac:dyDescent="0.35">
      <c r="A64" s="324"/>
      <c r="B64" s="886" t="s">
        <v>482</v>
      </c>
      <c r="C64" s="887">
        <v>0.25</v>
      </c>
      <c r="D64" s="324"/>
      <c r="E64" s="324"/>
      <c r="F64" s="324"/>
      <c r="G64" s="324"/>
      <c r="H64" s="324"/>
      <c r="I64" s="324"/>
      <c r="J64" s="324"/>
      <c r="K64" s="324"/>
      <c r="L64" s="326"/>
      <c r="M64" s="326"/>
      <c r="N64" s="326"/>
      <c r="O64" s="326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  <c r="AG64" s="326"/>
      <c r="AH64" s="326"/>
      <c r="AI64" s="326"/>
      <c r="AJ64" s="326"/>
      <c r="AK64" s="326"/>
      <c r="AL64" s="326"/>
      <c r="AM64" s="326"/>
    </row>
    <row r="65" spans="1:39" ht="14.4" x14ac:dyDescent="0.35">
      <c r="A65" s="324"/>
      <c r="B65" s="324"/>
      <c r="C65" s="324"/>
      <c r="D65" s="324"/>
      <c r="E65" s="324"/>
      <c r="F65" s="324"/>
      <c r="G65" s="324"/>
      <c r="H65" s="324"/>
      <c r="I65" s="324"/>
      <c r="J65" s="324"/>
      <c r="K65" s="324"/>
      <c r="L65" s="326"/>
      <c r="M65" s="326"/>
      <c r="N65" s="326"/>
      <c r="O65" s="326"/>
      <c r="P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  <c r="AG65" s="326"/>
      <c r="AH65" s="326"/>
      <c r="AI65" s="326"/>
      <c r="AJ65" s="326"/>
      <c r="AK65" s="326"/>
      <c r="AL65" s="326"/>
      <c r="AM65" s="326"/>
    </row>
    <row r="66" spans="1:39" ht="14.4" x14ac:dyDescent="0.35">
      <c r="A66" s="324"/>
      <c r="B66" s="329" t="s">
        <v>468</v>
      </c>
      <c r="C66" s="324"/>
      <c r="D66" s="324"/>
      <c r="E66" s="324"/>
      <c r="F66" s="324"/>
      <c r="G66" s="324"/>
      <c r="H66" s="324"/>
      <c r="I66" s="324"/>
      <c r="J66" s="324"/>
      <c r="K66" s="324"/>
      <c r="L66" s="326"/>
      <c r="M66" s="326"/>
      <c r="N66" s="326"/>
      <c r="O66" s="326"/>
      <c r="P66" s="326"/>
      <c r="Q66" s="326"/>
      <c r="R66" s="326"/>
      <c r="S66" s="326"/>
      <c r="T66" s="326"/>
      <c r="U66" s="326"/>
      <c r="V66" s="326"/>
      <c r="W66" s="326"/>
      <c r="X66" s="326"/>
      <c r="Y66" s="326"/>
      <c r="Z66" s="326"/>
      <c r="AA66" s="326"/>
      <c r="AB66" s="326"/>
      <c r="AC66" s="326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</row>
    <row r="67" spans="1:39" ht="14.4" x14ac:dyDescent="0.35">
      <c r="A67" s="324"/>
      <c r="B67" s="91" t="s">
        <v>477</v>
      </c>
      <c r="C67" s="364">
        <v>0.8</v>
      </c>
      <c r="D67" s="324"/>
      <c r="E67" s="324"/>
      <c r="F67" s="324"/>
      <c r="G67" s="324"/>
      <c r="H67" s="324"/>
      <c r="I67" s="324"/>
      <c r="J67" s="324"/>
      <c r="K67" s="324"/>
      <c r="L67" s="326"/>
      <c r="M67" s="326"/>
      <c r="N67" s="326"/>
      <c r="O67" s="326"/>
      <c r="P67" s="326"/>
      <c r="Q67" s="326"/>
      <c r="R67" s="326"/>
      <c r="S67" s="326"/>
      <c r="T67" s="326"/>
      <c r="U67" s="326"/>
      <c r="V67" s="326"/>
      <c r="W67" s="326"/>
      <c r="X67" s="326"/>
      <c r="Y67" s="326"/>
      <c r="Z67" s="326"/>
      <c r="AA67" s="326"/>
      <c r="AB67" s="326"/>
      <c r="AC67" s="326"/>
      <c r="AD67" s="326"/>
      <c r="AE67" s="326"/>
      <c r="AF67" s="326"/>
      <c r="AG67" s="326"/>
      <c r="AH67" s="326"/>
      <c r="AI67" s="326"/>
      <c r="AJ67" s="326"/>
      <c r="AK67" s="326"/>
      <c r="AL67" s="326"/>
      <c r="AM67" s="326"/>
    </row>
    <row r="68" spans="1:39" ht="14.4" x14ac:dyDescent="0.35">
      <c r="A68" s="324"/>
      <c r="B68" s="886" t="s">
        <v>478</v>
      </c>
      <c r="C68" s="886" t="str">
        <f>B88</f>
        <v>Hipotesis baja</v>
      </c>
      <c r="D68" s="324"/>
      <c r="E68" s="324"/>
      <c r="F68" s="324"/>
      <c r="G68" s="324"/>
      <c r="H68" s="324"/>
      <c r="I68" s="324"/>
      <c r="J68" s="324"/>
      <c r="K68" s="324"/>
      <c r="L68" s="326"/>
      <c r="M68" s="326"/>
      <c r="N68" s="326"/>
      <c r="O68" s="326"/>
      <c r="P68" s="326"/>
      <c r="Q68" s="326"/>
      <c r="R68" s="326"/>
      <c r="S68" s="326"/>
      <c r="T68" s="326"/>
      <c r="U68" s="326"/>
      <c r="V68" s="326"/>
      <c r="W68" s="326"/>
      <c r="X68" s="326"/>
      <c r="Y68" s="326"/>
      <c r="Z68" s="326"/>
      <c r="AA68" s="326"/>
      <c r="AB68" s="326"/>
      <c r="AC68" s="326"/>
      <c r="AD68" s="326"/>
      <c r="AE68" s="326"/>
      <c r="AF68" s="326"/>
      <c r="AG68" s="326"/>
      <c r="AH68" s="326"/>
      <c r="AI68" s="326"/>
      <c r="AJ68" s="326"/>
      <c r="AK68" s="326"/>
      <c r="AL68" s="326"/>
      <c r="AM68" s="326"/>
    </row>
    <row r="69" spans="1:39" ht="14.4" x14ac:dyDescent="0.35">
      <c r="A69" s="324"/>
      <c r="B69" s="886" t="s">
        <v>481</v>
      </c>
      <c r="C69" s="888" t="s">
        <v>480</v>
      </c>
      <c r="D69" s="324"/>
      <c r="E69" s="324"/>
      <c r="F69" s="324"/>
      <c r="G69" s="324"/>
      <c r="H69" s="324"/>
      <c r="I69" s="324"/>
      <c r="J69" s="324"/>
      <c r="K69" s="324"/>
      <c r="L69" s="326"/>
      <c r="M69" s="326"/>
      <c r="N69" s="326"/>
      <c r="O69" s="326"/>
      <c r="P69" s="326"/>
      <c r="Q69" s="326"/>
      <c r="R69" s="326"/>
      <c r="S69" s="326"/>
      <c r="T69" s="326"/>
      <c r="U69" s="326"/>
      <c r="V69" s="326"/>
      <c r="W69" s="326"/>
      <c r="X69" s="326"/>
      <c r="Y69" s="326"/>
      <c r="Z69" s="326"/>
      <c r="AA69" s="326"/>
      <c r="AB69" s="326"/>
      <c r="AC69" s="326"/>
      <c r="AD69" s="326"/>
      <c r="AE69" s="326"/>
      <c r="AF69" s="326"/>
      <c r="AG69" s="326"/>
      <c r="AH69" s="326"/>
      <c r="AI69" s="326"/>
      <c r="AJ69" s="326"/>
      <c r="AK69" s="326"/>
      <c r="AL69" s="326"/>
      <c r="AM69" s="326"/>
    </row>
    <row r="70" spans="1:39" ht="14.4" x14ac:dyDescent="0.35">
      <c r="A70" s="324"/>
      <c r="B70" s="886" t="s">
        <v>482</v>
      </c>
      <c r="C70" s="887">
        <v>0</v>
      </c>
      <c r="D70" s="324"/>
      <c r="E70" s="324"/>
      <c r="F70" s="324"/>
      <c r="G70" s="324"/>
      <c r="H70" s="324"/>
      <c r="I70" s="324"/>
      <c r="J70" s="324"/>
      <c r="K70" s="324"/>
      <c r="L70" s="326"/>
      <c r="M70" s="326"/>
      <c r="N70" s="326"/>
      <c r="O70" s="326"/>
      <c r="P70" s="326"/>
      <c r="Q70" s="326"/>
      <c r="R70" s="326"/>
      <c r="S70" s="326"/>
      <c r="T70" s="326"/>
      <c r="U70" s="326"/>
      <c r="V70" s="326"/>
      <c r="W70" s="326"/>
      <c r="X70" s="326"/>
      <c r="Y70" s="326"/>
      <c r="Z70" s="326"/>
      <c r="AA70" s="326"/>
      <c r="AB70" s="326"/>
      <c r="AC70" s="326"/>
      <c r="AD70" s="326"/>
      <c r="AE70" s="326"/>
      <c r="AF70" s="326"/>
      <c r="AG70" s="326"/>
      <c r="AH70" s="326"/>
      <c r="AI70" s="326"/>
      <c r="AJ70" s="326"/>
      <c r="AK70" s="326"/>
      <c r="AL70" s="326"/>
      <c r="AM70" s="326"/>
    </row>
    <row r="71" spans="1:39" ht="14.4" x14ac:dyDescent="0.35">
      <c r="A71" s="324"/>
      <c r="B71" s="324"/>
      <c r="C71" s="324"/>
      <c r="D71" s="324"/>
      <c r="E71" s="324"/>
      <c r="F71" s="324"/>
      <c r="G71" s="324"/>
      <c r="H71" s="324"/>
      <c r="I71" s="324"/>
      <c r="J71" s="324"/>
      <c r="K71" s="324"/>
      <c r="L71" s="326"/>
      <c r="M71" s="326"/>
      <c r="N71" s="326"/>
      <c r="O71" s="326"/>
      <c r="P71" s="326"/>
      <c r="Q71" s="326"/>
      <c r="R71" s="326"/>
      <c r="S71" s="326"/>
      <c r="T71" s="326"/>
      <c r="U71" s="326"/>
      <c r="V71" s="326"/>
      <c r="W71" s="326"/>
      <c r="X71" s="326"/>
      <c r="Y71" s="326"/>
      <c r="Z71" s="326"/>
      <c r="AA71" s="326"/>
      <c r="AB71" s="326"/>
      <c r="AC71" s="326"/>
      <c r="AD71" s="326"/>
      <c r="AE71" s="326"/>
      <c r="AF71" s="326"/>
      <c r="AG71" s="326"/>
      <c r="AH71" s="326"/>
      <c r="AI71" s="326"/>
      <c r="AJ71" s="326"/>
      <c r="AK71" s="326"/>
      <c r="AL71" s="326"/>
      <c r="AM71" s="326"/>
    </row>
    <row r="72" spans="1:39" ht="14.4" x14ac:dyDescent="0.35">
      <c r="A72" s="324"/>
      <c r="B72" s="329" t="s">
        <v>458</v>
      </c>
      <c r="C72" s="324"/>
      <c r="D72" s="324"/>
      <c r="E72" s="324"/>
      <c r="F72" s="324"/>
      <c r="G72" s="324"/>
      <c r="H72" s="324"/>
      <c r="I72" s="324"/>
      <c r="J72" s="324"/>
      <c r="K72" s="324"/>
      <c r="L72" s="326"/>
      <c r="M72" s="326"/>
      <c r="N72" s="326"/>
      <c r="O72" s="326"/>
      <c r="P72" s="326"/>
      <c r="Q72" s="326"/>
      <c r="R72" s="326"/>
      <c r="S72" s="326"/>
      <c r="T72" s="326"/>
      <c r="U72" s="326"/>
      <c r="V72" s="326"/>
      <c r="W72" s="326"/>
      <c r="X72" s="326"/>
      <c r="Y72" s="326"/>
      <c r="Z72" s="326"/>
      <c r="AA72" s="326"/>
      <c r="AB72" s="326"/>
      <c r="AC72" s="326"/>
      <c r="AD72" s="326"/>
      <c r="AE72" s="326"/>
      <c r="AF72" s="326"/>
      <c r="AG72" s="326"/>
      <c r="AH72" s="326"/>
      <c r="AI72" s="326"/>
      <c r="AJ72" s="326"/>
      <c r="AK72" s="326"/>
      <c r="AL72" s="326"/>
      <c r="AM72" s="326"/>
    </row>
    <row r="73" spans="1:39" ht="14.4" x14ac:dyDescent="0.35">
      <c r="A73" s="324"/>
      <c r="B73" s="91" t="s">
        <v>477</v>
      </c>
      <c r="C73" s="364">
        <v>1</v>
      </c>
      <c r="D73" s="324"/>
      <c r="E73" s="324"/>
      <c r="F73" s="324"/>
      <c r="G73" s="324"/>
      <c r="H73" s="324"/>
      <c r="I73" s="324"/>
      <c r="J73" s="324"/>
      <c r="K73" s="324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</row>
    <row r="74" spans="1:39" ht="14.4" x14ac:dyDescent="0.35">
      <c r="A74" s="324"/>
      <c r="B74" s="886" t="s">
        <v>478</v>
      </c>
      <c r="C74" s="886" t="str">
        <f>B89</f>
        <v>Hipotesis alta</v>
      </c>
      <c r="D74" s="324"/>
      <c r="E74" s="324"/>
      <c r="F74" s="324"/>
      <c r="G74" s="324"/>
      <c r="H74" s="324"/>
      <c r="I74" s="324"/>
      <c r="J74" s="324"/>
      <c r="K74" s="324"/>
      <c r="L74" s="326"/>
      <c r="M74" s="326"/>
      <c r="N74" s="326"/>
      <c r="O74" s="326"/>
      <c r="P74" s="326"/>
      <c r="Q74" s="326"/>
      <c r="R74" s="326"/>
      <c r="S74" s="326"/>
      <c r="T74" s="326"/>
      <c r="U74" s="326"/>
      <c r="V74" s="326"/>
      <c r="W74" s="326"/>
      <c r="X74" s="326"/>
      <c r="Y74" s="326"/>
      <c r="Z74" s="326"/>
      <c r="AA74" s="326"/>
      <c r="AB74" s="326"/>
      <c r="AC74" s="326"/>
      <c r="AD74" s="326"/>
      <c r="AE74" s="326"/>
      <c r="AF74" s="326"/>
      <c r="AG74" s="326"/>
      <c r="AH74" s="326"/>
      <c r="AI74" s="326"/>
      <c r="AJ74" s="326"/>
      <c r="AK74" s="326"/>
      <c r="AL74" s="326"/>
      <c r="AM74" s="326"/>
    </row>
    <row r="75" spans="1:39" ht="14.4" x14ac:dyDescent="0.35">
      <c r="A75" s="324"/>
      <c r="B75" s="886" t="s">
        <v>481</v>
      </c>
      <c r="C75" s="888" t="s">
        <v>480</v>
      </c>
      <c r="D75" s="324"/>
      <c r="E75" s="324"/>
      <c r="F75" s="324"/>
      <c r="G75" s="324"/>
      <c r="H75" s="324"/>
      <c r="I75" s="324"/>
      <c r="J75" s="324"/>
      <c r="K75" s="324"/>
      <c r="L75" s="326"/>
      <c r="M75" s="326"/>
      <c r="N75" s="326"/>
      <c r="O75" s="326"/>
      <c r="P75" s="326"/>
      <c r="Q75" s="326"/>
      <c r="R75" s="326"/>
      <c r="S75" s="326"/>
      <c r="T75" s="326"/>
      <c r="U75" s="326"/>
      <c r="V75" s="326"/>
      <c r="W75" s="326"/>
      <c r="X75" s="326"/>
      <c r="Y75" s="326"/>
      <c r="Z75" s="326"/>
      <c r="AA75" s="326"/>
      <c r="AB75" s="326"/>
      <c r="AC75" s="326"/>
      <c r="AD75" s="326"/>
      <c r="AE75" s="326"/>
      <c r="AF75" s="326"/>
      <c r="AG75" s="326"/>
      <c r="AH75" s="326"/>
      <c r="AI75" s="326"/>
      <c r="AJ75" s="326"/>
      <c r="AK75" s="326"/>
      <c r="AL75" s="326"/>
      <c r="AM75" s="326"/>
    </row>
    <row r="76" spans="1:39" ht="14.4" x14ac:dyDescent="0.35">
      <c r="A76" s="324"/>
      <c r="B76" s="886" t="s">
        <v>483</v>
      </c>
      <c r="C76" s="887">
        <v>0</v>
      </c>
      <c r="D76" s="324"/>
      <c r="E76" s="324"/>
      <c r="F76" s="324"/>
      <c r="G76" s="324"/>
      <c r="H76" s="324"/>
      <c r="I76" s="324"/>
      <c r="J76" s="324"/>
      <c r="K76" s="324"/>
      <c r="L76" s="326"/>
      <c r="M76" s="326"/>
      <c r="N76" s="326"/>
      <c r="O76" s="326"/>
      <c r="P76" s="326"/>
      <c r="Q76" s="326"/>
      <c r="R76" s="326"/>
      <c r="S76" s="326"/>
      <c r="T76" s="326"/>
      <c r="U76" s="326"/>
      <c r="V76" s="326"/>
      <c r="W76" s="326"/>
      <c r="X76" s="326"/>
      <c r="Y76" s="326"/>
      <c r="Z76" s="326"/>
      <c r="AA76" s="326"/>
      <c r="AB76" s="326"/>
      <c r="AC76" s="326"/>
      <c r="AD76" s="326"/>
      <c r="AE76" s="326"/>
      <c r="AF76" s="326"/>
      <c r="AG76" s="326"/>
      <c r="AH76" s="326"/>
      <c r="AI76" s="326"/>
      <c r="AJ76" s="326"/>
      <c r="AK76" s="326"/>
      <c r="AL76" s="326"/>
      <c r="AM76" s="326"/>
    </row>
    <row r="77" spans="1:39" ht="14.4" x14ac:dyDescent="0.35">
      <c r="A77" s="324"/>
      <c r="B77" s="324"/>
      <c r="C77" s="324"/>
      <c r="D77" s="324"/>
      <c r="E77" s="324"/>
      <c r="F77" s="324"/>
      <c r="G77" s="324"/>
      <c r="H77" s="324"/>
      <c r="I77" s="324"/>
      <c r="J77" s="324"/>
      <c r="K77" s="324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  <c r="AG77" s="326"/>
      <c r="AH77" s="326"/>
      <c r="AI77" s="326"/>
      <c r="AJ77" s="326"/>
      <c r="AK77" s="326"/>
      <c r="AL77" s="326"/>
      <c r="AM77" s="326"/>
    </row>
    <row r="78" spans="1:39" ht="14.4" x14ac:dyDescent="0.35">
      <c r="A78" s="334" t="s">
        <v>305</v>
      </c>
      <c r="B78" s="334"/>
      <c r="C78" s="335"/>
      <c r="D78" s="336"/>
      <c r="E78" s="337"/>
      <c r="F78" s="337"/>
      <c r="G78" s="337"/>
      <c r="H78" s="337"/>
      <c r="I78" s="337"/>
      <c r="J78" s="337"/>
      <c r="K78" s="337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</row>
    <row r="79" spans="1:39" ht="14.4" x14ac:dyDescent="0.35">
      <c r="A79" s="329"/>
      <c r="B79" s="329"/>
      <c r="C79" s="328"/>
      <c r="D79" s="327"/>
      <c r="E79" s="324"/>
      <c r="F79" s="324"/>
      <c r="G79" s="324"/>
      <c r="H79" s="324"/>
      <c r="I79" s="324"/>
      <c r="J79" s="324"/>
      <c r="K79" s="324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</row>
    <row r="80" spans="1:39" ht="14.4" x14ac:dyDescent="0.35">
      <c r="A80" s="324"/>
      <c r="B80" s="324" t="s">
        <v>285</v>
      </c>
      <c r="C80" s="364">
        <f>C16</f>
        <v>2015</v>
      </c>
      <c r="D80" s="324"/>
      <c r="E80" s="324"/>
      <c r="F80" s="324"/>
      <c r="G80" s="324"/>
      <c r="H80" s="324"/>
      <c r="I80" s="324"/>
      <c r="J80" s="324"/>
      <c r="K80" s="324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  <c r="AH80" s="326"/>
      <c r="AI80" s="326"/>
      <c r="AJ80" s="326"/>
      <c r="AK80" s="326"/>
      <c r="AL80" s="326"/>
      <c r="AM80" s="326"/>
    </row>
    <row r="81" spans="1:39" ht="14.4" x14ac:dyDescent="0.35">
      <c r="A81" s="324"/>
      <c r="B81" s="324" t="s">
        <v>275</v>
      </c>
      <c r="C81" s="365" t="s">
        <v>276</v>
      </c>
      <c r="D81" s="324"/>
      <c r="E81" s="324"/>
      <c r="F81" s="324"/>
      <c r="G81" s="324"/>
      <c r="H81" s="324"/>
      <c r="I81" s="324"/>
      <c r="J81" s="324"/>
      <c r="K81" s="324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</row>
    <row r="82" spans="1:39" ht="14.4" x14ac:dyDescent="0.35">
      <c r="A82" s="324"/>
      <c r="B82" s="324"/>
      <c r="C82" s="324"/>
      <c r="D82" s="324"/>
      <c r="E82" s="324"/>
      <c r="F82" s="324"/>
      <c r="G82" s="324"/>
      <c r="H82" s="324"/>
      <c r="I82" s="324"/>
      <c r="J82" s="324"/>
      <c r="K82" s="324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  <c r="AG82" s="326"/>
      <c r="AH82" s="326"/>
      <c r="AI82" s="326"/>
      <c r="AJ82" s="326"/>
      <c r="AK82" s="326"/>
      <c r="AL82" s="326"/>
      <c r="AM82" s="326"/>
    </row>
    <row r="83" spans="1:39" ht="14.4" x14ac:dyDescent="0.35">
      <c r="A83" s="324"/>
      <c r="B83" s="329" t="s">
        <v>309</v>
      </c>
      <c r="C83" s="365">
        <v>1.1200000000000001</v>
      </c>
      <c r="D83" s="324"/>
      <c r="E83" s="324"/>
      <c r="F83" s="324" t="s">
        <v>286</v>
      </c>
      <c r="G83" s="324"/>
      <c r="H83" s="324"/>
      <c r="I83" s="324"/>
      <c r="J83" s="324"/>
      <c r="K83" s="324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  <c r="AG83" s="326"/>
      <c r="AH83" s="326"/>
      <c r="AI83" s="326"/>
      <c r="AJ83" s="326"/>
      <c r="AK83" s="326"/>
      <c r="AL83" s="326"/>
      <c r="AM83" s="326"/>
    </row>
    <row r="84" spans="1:39" ht="14.4" x14ac:dyDescent="0.35">
      <c r="A84" s="324"/>
      <c r="B84" s="329" t="s">
        <v>310</v>
      </c>
      <c r="C84" s="365">
        <v>1.32</v>
      </c>
      <c r="D84" s="324"/>
      <c r="E84" s="324"/>
      <c r="F84" s="324" t="s">
        <v>311</v>
      </c>
      <c r="G84" s="324"/>
      <c r="H84" s="324"/>
      <c r="I84" s="324"/>
      <c r="J84" s="324"/>
      <c r="K84" s="324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  <c r="AI84" s="326"/>
      <c r="AJ84" s="326"/>
      <c r="AK84" s="326"/>
      <c r="AL84" s="326"/>
      <c r="AM84" s="326"/>
    </row>
    <row r="85" spans="1:39" ht="14.4" x14ac:dyDescent="0.35">
      <c r="A85" s="324"/>
      <c r="B85" s="326"/>
      <c r="C85" s="326"/>
      <c r="D85" s="326"/>
      <c r="E85" s="326"/>
      <c r="F85" s="326"/>
      <c r="G85" s="326"/>
      <c r="H85" s="324"/>
      <c r="I85" s="324"/>
      <c r="J85" s="324"/>
      <c r="K85" s="324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  <c r="AI85" s="326"/>
      <c r="AJ85" s="326"/>
      <c r="AK85" s="326"/>
      <c r="AL85" s="326"/>
      <c r="AM85" s="326"/>
    </row>
    <row r="86" spans="1:39" ht="15" thickBot="1" x14ac:dyDescent="0.4">
      <c r="A86" s="324"/>
      <c r="B86" s="333" t="s">
        <v>292</v>
      </c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</row>
    <row r="87" spans="1:39" ht="15" thickBot="1" x14ac:dyDescent="0.4">
      <c r="A87" s="324"/>
      <c r="B87" s="349" t="s">
        <v>259</v>
      </c>
      <c r="C87" s="350">
        <v>2015</v>
      </c>
      <c r="D87" s="350">
        <v>2016</v>
      </c>
      <c r="E87" s="350">
        <v>2017</v>
      </c>
      <c r="F87" s="350">
        <v>2018</v>
      </c>
      <c r="G87" s="350">
        <v>2019</v>
      </c>
      <c r="H87" s="350" t="s">
        <v>373</v>
      </c>
      <c r="I87" s="326"/>
    </row>
    <row r="88" spans="1:39" ht="14.4" x14ac:dyDescent="0.25">
      <c r="A88" s="326"/>
      <c r="B88" s="353" t="s">
        <v>302</v>
      </c>
      <c r="C88" s="362">
        <v>2.5499999999999998E-2</v>
      </c>
      <c r="D88" s="362">
        <v>2.5000000000000001E-2</v>
      </c>
      <c r="E88" s="362">
        <v>2.5000000000000001E-2</v>
      </c>
      <c r="F88" s="362">
        <v>2.5000000000000001E-2</v>
      </c>
      <c r="G88" s="362">
        <v>2.5000000000000001E-2</v>
      </c>
      <c r="H88" s="362">
        <v>0.02</v>
      </c>
      <c r="I88" s="326"/>
    </row>
    <row r="89" spans="1:39" ht="15" thickBot="1" x14ac:dyDescent="0.3">
      <c r="A89" s="326"/>
      <c r="B89" s="342" t="s">
        <v>303</v>
      </c>
      <c r="C89" s="695">
        <f>C88</f>
        <v>2.5499999999999998E-2</v>
      </c>
      <c r="D89" s="695">
        <f>D88+0.02</f>
        <v>4.4999999999999998E-2</v>
      </c>
      <c r="E89" s="695">
        <f t="shared" ref="E89:G89" si="0">E88+0.02</f>
        <v>4.4999999999999998E-2</v>
      </c>
      <c r="F89" s="695">
        <f t="shared" si="0"/>
        <v>4.4999999999999998E-2</v>
      </c>
      <c r="G89" s="695">
        <f t="shared" si="0"/>
        <v>4.4999999999999998E-2</v>
      </c>
      <c r="H89" s="695">
        <f>H88+0.02</f>
        <v>0.04</v>
      </c>
      <c r="I89" s="326"/>
    </row>
    <row r="90" spans="1:39" x14ac:dyDescent="0.25">
      <c r="A90" s="326"/>
      <c r="B90" s="326"/>
      <c r="C90" s="326"/>
      <c r="D90" s="326"/>
      <c r="E90" s="326"/>
      <c r="F90" s="326"/>
      <c r="G90" s="326"/>
      <c r="H90" s="326"/>
      <c r="I90" s="326"/>
    </row>
    <row r="91" spans="1:39" ht="13.8" thickBot="1" x14ac:dyDescent="0.3">
      <c r="A91" s="321"/>
      <c r="B91" s="333" t="s">
        <v>301</v>
      </c>
      <c r="C91" s="321"/>
      <c r="D91" s="321"/>
      <c r="E91" s="321"/>
      <c r="F91" s="321"/>
      <c r="G91" s="321"/>
      <c r="H91" s="321"/>
      <c r="I91" s="321"/>
    </row>
    <row r="92" spans="1:39" ht="14.4" thickBot="1" x14ac:dyDescent="0.3">
      <c r="A92" s="321"/>
      <c r="B92" s="349" t="s">
        <v>259</v>
      </c>
      <c r="C92" s="350">
        <v>2015</v>
      </c>
      <c r="D92" s="350">
        <v>2016</v>
      </c>
      <c r="E92" s="350">
        <v>2017</v>
      </c>
      <c r="F92" s="350">
        <v>2018</v>
      </c>
      <c r="G92" s="350">
        <v>2019</v>
      </c>
      <c r="H92" s="350">
        <v>2020</v>
      </c>
      <c r="I92" s="321"/>
    </row>
    <row r="93" spans="1:39" ht="15" thickBot="1" x14ac:dyDescent="0.3">
      <c r="A93" s="321"/>
      <c r="B93" s="352" t="s">
        <v>304</v>
      </c>
      <c r="C93" s="363">
        <v>1.17E-2</v>
      </c>
      <c r="D93" s="363">
        <v>1.4999999999999999E-2</v>
      </c>
      <c r="E93" s="363">
        <v>1.4999999999999999E-2</v>
      </c>
      <c r="F93" s="363">
        <v>1.4999999999999999E-2</v>
      </c>
      <c r="G93" s="363">
        <v>1.4999999999999999E-2</v>
      </c>
      <c r="H93" s="363">
        <v>1.9E-2</v>
      </c>
      <c r="I93" s="321"/>
    </row>
    <row r="94" spans="1:39" x14ac:dyDescent="0.25">
      <c r="A94" s="321"/>
      <c r="B94" s="321"/>
      <c r="C94" s="321"/>
      <c r="D94" s="321"/>
      <c r="E94" s="321"/>
      <c r="F94" s="321"/>
      <c r="G94" s="321"/>
      <c r="H94" s="321"/>
      <c r="I94" s="321"/>
    </row>
    <row r="95" spans="1:39" x14ac:dyDescent="0.25">
      <c r="A95" s="321"/>
      <c r="B95" s="321"/>
      <c r="C95" s="321"/>
      <c r="D95" s="321"/>
      <c r="E95" s="321"/>
      <c r="F95" s="321"/>
      <c r="G95" s="321"/>
      <c r="H95" s="321"/>
      <c r="I95" s="321"/>
    </row>
    <row r="96" spans="1:39" ht="13.8" thickBot="1" x14ac:dyDescent="0.3">
      <c r="A96" s="321"/>
      <c r="B96" s="333" t="s">
        <v>297</v>
      </c>
      <c r="C96" s="321"/>
      <c r="D96" s="321"/>
      <c r="E96" s="321"/>
      <c r="F96" s="321"/>
      <c r="G96" s="321"/>
      <c r="H96" s="321"/>
      <c r="I96" s="321"/>
    </row>
    <row r="97" spans="1:39" ht="14.4" thickBot="1" x14ac:dyDescent="0.3">
      <c r="A97" s="321"/>
      <c r="B97" s="346" t="s">
        <v>259</v>
      </c>
      <c r="C97" s="347">
        <v>2015</v>
      </c>
      <c r="D97" s="347">
        <v>2016</v>
      </c>
      <c r="E97" s="347">
        <v>2017</v>
      </c>
      <c r="F97" s="347">
        <v>2018</v>
      </c>
      <c r="G97" s="347">
        <v>2019</v>
      </c>
      <c r="H97" s="347">
        <v>2020</v>
      </c>
      <c r="I97" s="321"/>
    </row>
    <row r="98" spans="1:39" ht="14.4" x14ac:dyDescent="0.25">
      <c r="A98" s="321"/>
      <c r="B98" s="344" t="s">
        <v>302</v>
      </c>
      <c r="C98" s="345">
        <f t="shared" ref="C98:H98" si="1">C88+0.005</f>
        <v>3.0499999999999999E-2</v>
      </c>
      <c r="D98" s="345">
        <f t="shared" si="1"/>
        <v>3.0000000000000002E-2</v>
      </c>
      <c r="E98" s="345">
        <f t="shared" si="1"/>
        <v>3.0000000000000002E-2</v>
      </c>
      <c r="F98" s="345">
        <f t="shared" si="1"/>
        <v>3.0000000000000002E-2</v>
      </c>
      <c r="G98" s="345">
        <f t="shared" si="1"/>
        <v>3.0000000000000002E-2</v>
      </c>
      <c r="H98" s="345">
        <f t="shared" si="1"/>
        <v>2.5000000000000001E-2</v>
      </c>
      <c r="I98" s="321"/>
    </row>
    <row r="99" spans="1:39" ht="15" thickBot="1" x14ac:dyDescent="0.3">
      <c r="A99" s="321"/>
      <c r="B99" s="342" t="s">
        <v>303</v>
      </c>
      <c r="C99" s="343">
        <f t="shared" ref="C99:H99" si="2">C89+0.005</f>
        <v>3.0499999999999999E-2</v>
      </c>
      <c r="D99" s="343">
        <f t="shared" si="2"/>
        <v>4.9999999999999996E-2</v>
      </c>
      <c r="E99" s="343">
        <f t="shared" si="2"/>
        <v>4.9999999999999996E-2</v>
      </c>
      <c r="F99" s="343">
        <f t="shared" si="2"/>
        <v>4.9999999999999996E-2</v>
      </c>
      <c r="G99" s="343">
        <f t="shared" si="2"/>
        <v>4.9999999999999996E-2</v>
      </c>
      <c r="H99" s="343">
        <f t="shared" si="2"/>
        <v>4.4999999999999998E-2</v>
      </c>
      <c r="I99" s="321"/>
    </row>
    <row r="100" spans="1:39" x14ac:dyDescent="0.25">
      <c r="A100" s="321"/>
      <c r="B100" s="321"/>
      <c r="C100" s="321"/>
      <c r="D100" s="321"/>
      <c r="E100" s="321"/>
      <c r="F100" s="321"/>
      <c r="G100" s="321"/>
      <c r="H100" s="321"/>
      <c r="I100" s="321"/>
    </row>
    <row r="101" spans="1:39" ht="13.8" thickBot="1" x14ac:dyDescent="0.3">
      <c r="A101" s="321"/>
      <c r="B101" s="333" t="s">
        <v>300</v>
      </c>
      <c r="C101" s="321"/>
      <c r="D101" s="321"/>
      <c r="E101" s="321"/>
      <c r="F101" s="321"/>
      <c r="G101" s="321"/>
      <c r="H101" s="321"/>
      <c r="I101" s="321"/>
    </row>
    <row r="102" spans="1:39" ht="14.4" thickBot="1" x14ac:dyDescent="0.3">
      <c r="A102" s="321"/>
      <c r="B102" s="346" t="s">
        <v>259</v>
      </c>
      <c r="C102" s="347">
        <v>2015</v>
      </c>
      <c r="D102" s="347">
        <v>2016</v>
      </c>
      <c r="E102" s="347">
        <v>2017</v>
      </c>
      <c r="F102" s="347">
        <v>2018</v>
      </c>
      <c r="G102" s="347">
        <v>2019</v>
      </c>
      <c r="H102" s="347">
        <v>2020</v>
      </c>
      <c r="I102" s="321"/>
    </row>
    <row r="103" spans="1:39" ht="14.4" x14ac:dyDescent="0.25">
      <c r="A103" s="321"/>
      <c r="B103" s="344" t="s">
        <v>302</v>
      </c>
      <c r="C103" s="345">
        <f t="shared" ref="C103:H103" si="3">C88+0.01</f>
        <v>3.5499999999999997E-2</v>
      </c>
      <c r="D103" s="345">
        <f t="shared" si="3"/>
        <v>3.5000000000000003E-2</v>
      </c>
      <c r="E103" s="345">
        <f t="shared" si="3"/>
        <v>3.5000000000000003E-2</v>
      </c>
      <c r="F103" s="345">
        <f t="shared" si="3"/>
        <v>3.5000000000000003E-2</v>
      </c>
      <c r="G103" s="345">
        <f t="shared" si="3"/>
        <v>3.5000000000000003E-2</v>
      </c>
      <c r="H103" s="345">
        <f t="shared" si="3"/>
        <v>0.03</v>
      </c>
      <c r="I103" s="321"/>
    </row>
    <row r="104" spans="1:39" ht="15" thickBot="1" x14ac:dyDescent="0.3">
      <c r="A104" s="321"/>
      <c r="B104" s="342" t="s">
        <v>303</v>
      </c>
      <c r="C104" s="343">
        <f t="shared" ref="C104:H104" si="4">C89+0.01</f>
        <v>3.5499999999999997E-2</v>
      </c>
      <c r="D104" s="343">
        <f t="shared" si="4"/>
        <v>5.5E-2</v>
      </c>
      <c r="E104" s="343">
        <f t="shared" si="4"/>
        <v>5.5E-2</v>
      </c>
      <c r="F104" s="343">
        <f t="shared" si="4"/>
        <v>5.5E-2</v>
      </c>
      <c r="G104" s="343">
        <f t="shared" si="4"/>
        <v>5.5E-2</v>
      </c>
      <c r="H104" s="343">
        <f t="shared" si="4"/>
        <v>0.05</v>
      </c>
      <c r="I104" s="321"/>
    </row>
    <row r="105" spans="1:39" x14ac:dyDescent="0.25">
      <c r="A105" s="321"/>
      <c r="B105" s="321"/>
      <c r="C105" s="321"/>
      <c r="D105" s="321"/>
      <c r="E105" s="321"/>
      <c r="F105" s="321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1"/>
      <c r="AF105" s="321"/>
      <c r="AG105" s="321"/>
      <c r="AH105" s="321"/>
      <c r="AI105" s="326"/>
      <c r="AJ105" s="326"/>
      <c r="AK105" s="326"/>
      <c r="AL105" s="326"/>
      <c r="AM105" s="321"/>
    </row>
    <row r="106" spans="1:39" x14ac:dyDescent="0.25">
      <c r="A106" s="321"/>
      <c r="B106" s="321"/>
      <c r="C106" s="321"/>
      <c r="D106" s="321"/>
      <c r="E106" s="321"/>
      <c r="F106" s="321"/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</row>
  </sheetData>
  <sheetProtection algorithmName="SHA-512" hashValue="fNdP/cJL+oBcLUC5lyHdDnBZs8oeu1ZoulfrQfidEUMhAspjsekPV7lU2l6pj3OM3Hf5ITYQi/+FkUWYDE6hpw==" saltValue="xRmvOLB6ibVsSnlgs3Qg1w==" spinCount="100000" sheet="1" objects="1" scenarios="1"/>
  <mergeCells count="3">
    <mergeCell ref="B2:B5"/>
    <mergeCell ref="D46:E46"/>
    <mergeCell ref="F46:G4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00FF00"/>
  </sheetPr>
  <dimension ref="A1:I198"/>
  <sheetViews>
    <sheetView workbookViewId="0">
      <selection activeCell="B120" sqref="B120"/>
    </sheetView>
  </sheetViews>
  <sheetFormatPr baseColWidth="10" defaultRowHeight="13.2" x14ac:dyDescent="0.25"/>
  <cols>
    <col min="2" max="3" width="10.88671875" style="92" bestFit="1" customWidth="1"/>
    <col min="4" max="4" width="15.5546875" bestFit="1" customWidth="1"/>
    <col min="9" max="9" width="11.44140625" style="92"/>
  </cols>
  <sheetData>
    <row r="1" spans="1:9" x14ac:dyDescent="0.25">
      <c r="A1" s="321"/>
      <c r="B1" s="850"/>
      <c r="C1" s="850"/>
      <c r="D1" s="321"/>
      <c r="E1" s="321"/>
      <c r="F1" s="321"/>
      <c r="G1" s="321"/>
      <c r="H1" s="321"/>
      <c r="I1" s="850"/>
    </row>
    <row r="2" spans="1:9" ht="13.8" thickBot="1" x14ac:dyDescent="0.3">
      <c r="A2" s="321"/>
      <c r="B2" s="850"/>
      <c r="C2" s="850"/>
      <c r="D2" s="851"/>
      <c r="E2" s="321"/>
      <c r="F2" s="321"/>
      <c r="G2" s="321"/>
      <c r="H2" s="321"/>
      <c r="I2" s="850"/>
    </row>
    <row r="3" spans="1:9" x14ac:dyDescent="0.25">
      <c r="A3" s="321"/>
      <c r="B3" s="850"/>
      <c r="C3" s="850"/>
      <c r="D3" s="1071" t="s">
        <v>454</v>
      </c>
      <c r="E3" s="1072"/>
      <c r="F3" s="1072"/>
      <c r="G3" s="1072"/>
      <c r="H3" s="1073"/>
      <c r="I3" s="850"/>
    </row>
    <row r="4" spans="1:9" ht="13.8" thickBot="1" x14ac:dyDescent="0.3">
      <c r="A4" s="321"/>
      <c r="B4" s="850"/>
      <c r="C4" s="850"/>
      <c r="D4" s="1074" t="s">
        <v>455</v>
      </c>
      <c r="E4" s="1075"/>
      <c r="F4" s="1075"/>
      <c r="G4" s="1075"/>
      <c r="H4" s="1076"/>
      <c r="I4" s="850"/>
    </row>
    <row r="5" spans="1:9" ht="13.8" thickBot="1" x14ac:dyDescent="0.3">
      <c r="A5" s="321"/>
      <c r="B5" s="850"/>
      <c r="C5" s="850"/>
      <c r="D5" s="1071" t="s">
        <v>453</v>
      </c>
      <c r="E5" s="1072"/>
      <c r="F5" s="1072"/>
      <c r="G5" s="1072"/>
      <c r="H5" s="1073"/>
      <c r="I5" s="850"/>
    </row>
    <row r="6" spans="1:9" ht="13.8" thickBot="1" x14ac:dyDescent="0.3">
      <c r="A6" s="321"/>
      <c r="B6" s="852" t="s">
        <v>459</v>
      </c>
      <c r="C6" s="853" t="s">
        <v>460</v>
      </c>
      <c r="D6" s="854">
        <v>0.6</v>
      </c>
      <c r="E6" s="854">
        <v>0.75</v>
      </c>
      <c r="F6" s="854">
        <v>1</v>
      </c>
      <c r="G6" s="854">
        <v>1.25</v>
      </c>
      <c r="H6" s="854">
        <v>1.45</v>
      </c>
      <c r="I6" s="850"/>
    </row>
    <row r="7" spans="1:9" x14ac:dyDescent="0.25">
      <c r="A7" s="321"/>
      <c r="B7" s="852">
        <v>4</v>
      </c>
      <c r="C7" s="855" t="s">
        <v>457</v>
      </c>
      <c r="D7" s="856">
        <f>'5_CASH_FLOW_TC_4_WORST_CASE'!C31</f>
        <v>-7.3752763812896971E-2</v>
      </c>
      <c r="E7" s="856">
        <f>'5_CASH_FLOW_TC_4_WORST_CASE'!D31</f>
        <v>-5.5771967110902376E-2</v>
      </c>
      <c r="F7" s="856">
        <f>'5_CASH_FLOW_TC_4_WORST_CASE'!E31</f>
        <v>-3.1785822541309239E-2</v>
      </c>
      <c r="G7" s="856">
        <f>'5_CASH_FLOW_TC_4_WORST_CASE'!F31</f>
        <v>-1.2475333162276891E-2</v>
      </c>
      <c r="H7" s="856">
        <f>'5_CASH_FLOW_TC_4_WORST_CASE'!G31</f>
        <v>1.4921646623371476E-3</v>
      </c>
      <c r="I7" s="850"/>
    </row>
    <row r="8" spans="1:9" ht="13.8" thickBot="1" x14ac:dyDescent="0.3">
      <c r="A8" s="321"/>
      <c r="B8" s="857">
        <v>4</v>
      </c>
      <c r="C8" s="858" t="s">
        <v>468</v>
      </c>
      <c r="D8" s="859">
        <f>'1_CASH_FLOW_TC_4_BASE'!C31</f>
        <v>-4.1561383606596558E-2</v>
      </c>
      <c r="E8" s="859">
        <f>'1_CASH_FLOW_TC_4_BASE'!D31</f>
        <v>-2.2413382902720325E-2</v>
      </c>
      <c r="F8" s="859">
        <f>'1_CASH_FLOW_TC_4_BASE'!E31</f>
        <v>-2.0109298470197823E-3</v>
      </c>
      <c r="G8" s="859">
        <f>'1_CASH_FLOW_TC_4_BASE'!F31</f>
        <v>1.5180992865243548E-2</v>
      </c>
      <c r="H8" s="859">
        <f>'1_CASH_FLOW_TC_4_BASE'!G31</f>
        <v>3.0000871050799294E-2</v>
      </c>
      <c r="I8" s="860"/>
    </row>
    <row r="9" spans="1:9" x14ac:dyDescent="0.25">
      <c r="A9" s="851"/>
      <c r="B9" s="1007">
        <v>20</v>
      </c>
      <c r="C9" s="855" t="s">
        <v>457</v>
      </c>
      <c r="D9" s="856">
        <f>'11_CASH_FLOW_TC_22_WORST_CASE'!C31</f>
        <v>-5.5241076023900049E-2</v>
      </c>
      <c r="E9" s="856">
        <f>'11_CASH_FLOW_TC_22_WORST_CASE'!D31</f>
        <v>-3.5511503606610817E-2</v>
      </c>
      <c r="F9" s="856">
        <f>'11_CASH_FLOW_TC_22_WORST_CASE'!E31</f>
        <v>-1.1831939644249667E-2</v>
      </c>
      <c r="G9" s="856">
        <f>'11_CASH_FLOW_TC_22_WORST_CASE'!F31</f>
        <v>4.2443816330182127E-3</v>
      </c>
      <c r="H9" s="856">
        <f>'11_CASH_FLOW_TC_22_WORST_CASE'!G31</f>
        <v>1.7551561335583443E-2</v>
      </c>
      <c r="I9" s="864"/>
    </row>
    <row r="10" spans="1:9" ht="13.8" thickBot="1" x14ac:dyDescent="0.3">
      <c r="A10" s="851"/>
      <c r="B10" s="1008">
        <v>20</v>
      </c>
      <c r="C10" s="862" t="s">
        <v>468</v>
      </c>
      <c r="D10" s="863">
        <f>'7_CASH_FLOW_TC_22_BASE'!C31</f>
        <v>-2.0725886486476441E-2</v>
      </c>
      <c r="E10" s="863">
        <f>'7_CASH_FLOW_TC_22_BASE'!D31</f>
        <v>-4.1016596957607065E-3</v>
      </c>
      <c r="F10" s="863">
        <f>'7_CASH_FLOW_TC_22_BASE'!E31</f>
        <v>1.6478916555843881E-2</v>
      </c>
      <c r="G10" s="863">
        <f>'7_CASH_FLOW_TC_22_BASE'!F31</f>
        <v>3.3169226298790599E-2</v>
      </c>
      <c r="H10" s="863">
        <f>'7_CASH_FLOW_TC_22_BASE'!G31</f>
        <v>4.6450931218659397E-2</v>
      </c>
      <c r="I10" s="865"/>
    </row>
    <row r="11" spans="1:9" x14ac:dyDescent="0.25">
      <c r="A11" s="321"/>
      <c r="B11" s="866"/>
      <c r="C11" s="866"/>
      <c r="D11" s="867"/>
      <c r="E11" s="867"/>
      <c r="F11" s="867"/>
      <c r="G11" s="867"/>
      <c r="H11" s="867"/>
      <c r="I11" s="850"/>
    </row>
    <row r="12" spans="1:9" x14ac:dyDescent="0.25">
      <c r="A12" s="321"/>
      <c r="B12" s="866"/>
      <c r="C12" s="866"/>
      <c r="D12" s="867"/>
      <c r="E12" s="867"/>
      <c r="F12" s="867"/>
      <c r="G12" s="867"/>
      <c r="H12" s="867"/>
      <c r="I12" s="850"/>
    </row>
    <row r="13" spans="1:9" hidden="1" x14ac:dyDescent="0.25">
      <c r="A13" s="321"/>
      <c r="B13" s="850"/>
      <c r="C13" s="850"/>
      <c r="D13" s="1071" t="s">
        <v>454</v>
      </c>
      <c r="E13" s="1072"/>
      <c r="F13" s="1072"/>
      <c r="G13" s="1072"/>
      <c r="H13" s="1073"/>
      <c r="I13" s="850"/>
    </row>
    <row r="14" spans="1:9" ht="13.8" hidden="1" thickBot="1" x14ac:dyDescent="0.3">
      <c r="A14" s="321"/>
      <c r="B14" s="850"/>
      <c r="C14" s="850"/>
      <c r="D14" s="1074" t="s">
        <v>456</v>
      </c>
      <c r="E14" s="1075"/>
      <c r="F14" s="1075"/>
      <c r="G14" s="1075"/>
      <c r="H14" s="1076"/>
      <c r="I14" s="850"/>
    </row>
    <row r="15" spans="1:9" ht="13.8" hidden="1" thickBot="1" x14ac:dyDescent="0.3">
      <c r="A15" s="321"/>
      <c r="B15" s="850"/>
      <c r="C15" s="850"/>
      <c r="D15" s="1071" t="s">
        <v>453</v>
      </c>
      <c r="E15" s="1072"/>
      <c r="F15" s="1072"/>
      <c r="G15" s="1072"/>
      <c r="H15" s="1073"/>
      <c r="I15" s="850"/>
    </row>
    <row r="16" spans="1:9" ht="13.8" hidden="1" thickBot="1" x14ac:dyDescent="0.3">
      <c r="A16" s="321"/>
      <c r="B16" s="852" t="s">
        <v>459</v>
      </c>
      <c r="C16" s="853" t="s">
        <v>460</v>
      </c>
      <c r="D16" s="854">
        <v>0.5</v>
      </c>
      <c r="E16" s="854">
        <v>0.75</v>
      </c>
      <c r="F16" s="854">
        <v>1</v>
      </c>
      <c r="G16" s="854">
        <v>1.25</v>
      </c>
      <c r="H16" s="854">
        <v>1.45</v>
      </c>
      <c r="I16" s="850"/>
    </row>
    <row r="17" spans="1:9" hidden="1" x14ac:dyDescent="0.25">
      <c r="A17" s="321"/>
      <c r="B17" s="852" t="s">
        <v>230</v>
      </c>
      <c r="C17" s="855" t="s">
        <v>457</v>
      </c>
      <c r="D17" s="856">
        <f>'5_CASH_FLOW_TC_4_WORST_CASE'!C33</f>
        <v>-0.1048651416462022</v>
      </c>
      <c r="E17" s="856">
        <f>'5_CASH_FLOW_TC_4_WORST_CASE'!D33</f>
        <v>-7.3522525314199116E-2</v>
      </c>
      <c r="F17" s="856">
        <f>'5_CASH_FLOW_TC_4_WORST_CASE'!E33</f>
        <v>-3.5755475507953216E-2</v>
      </c>
      <c r="G17" s="856">
        <f>'5_CASH_FLOW_TC_4_WORST_CASE'!F33</f>
        <v>-1.0854826129962025E-2</v>
      </c>
      <c r="H17" s="856">
        <f>'5_CASH_FLOW_TC_4_WORST_CASE'!G33</f>
        <v>5.6148776141997647E-3</v>
      </c>
      <c r="I17" s="850"/>
    </row>
    <row r="18" spans="1:9" hidden="1" x14ac:dyDescent="0.25">
      <c r="A18" s="321"/>
      <c r="B18" s="857" t="s">
        <v>230</v>
      </c>
      <c r="C18" s="858" t="s">
        <v>468</v>
      </c>
      <c r="D18" s="859">
        <f>'1_CASH_FLOW_TC_4_BASE'!C33</f>
        <v>-4.9736411979047879E-2</v>
      </c>
      <c r="E18" s="859">
        <f>'1_CASH_FLOW_TC_4_BASE'!D33</f>
        <v>-2.2911351209283004E-2</v>
      </c>
      <c r="F18" s="859">
        <f>'1_CASH_FLOW_TC_4_BASE'!E33</f>
        <v>1.5957916948787787E-3</v>
      </c>
      <c r="G18" s="859">
        <f>'1_CASH_FLOW_TC_4_BASE'!F33</f>
        <v>2.0595920230711551E-2</v>
      </c>
      <c r="H18" s="859">
        <f>'1_CASH_FLOW_TC_4_BASE'!G33</f>
        <v>3.5857586848242251E-2</v>
      </c>
      <c r="I18" s="850"/>
    </row>
    <row r="19" spans="1:9" ht="13.8" hidden="1" thickBot="1" x14ac:dyDescent="0.3">
      <c r="A19" s="321"/>
      <c r="B19" s="861" t="s">
        <v>230</v>
      </c>
      <c r="C19" s="862" t="s">
        <v>458</v>
      </c>
      <c r="D19" s="863" t="e">
        <f>#REF!</f>
        <v>#REF!</v>
      </c>
      <c r="E19" s="863" t="e">
        <f>#REF!</f>
        <v>#REF!</v>
      </c>
      <c r="F19" s="863" t="e">
        <f>#REF!</f>
        <v>#REF!</v>
      </c>
      <c r="G19" s="863" t="e">
        <f>#REF!</f>
        <v>#REF!</v>
      </c>
      <c r="H19" s="863" t="e">
        <f>#REF!</f>
        <v>#REF!</v>
      </c>
      <c r="I19" s="850"/>
    </row>
    <row r="20" spans="1:9" hidden="1" x14ac:dyDescent="0.25">
      <c r="A20" s="321"/>
      <c r="B20" s="852" t="s">
        <v>231</v>
      </c>
      <c r="C20" s="855" t="s">
        <v>457</v>
      </c>
      <c r="D20" s="856">
        <f>'11_CASH_FLOW_TC_22_WORST_CASE'!C33</f>
        <v>-7.546965570684705E-2</v>
      </c>
      <c r="E20" s="856">
        <f>'11_CASH_FLOW_TC_22_WORST_CASE'!D33</f>
        <v>-4.2232566942975391E-2</v>
      </c>
      <c r="F20" s="856">
        <f>'11_CASH_FLOW_TC_22_WORST_CASE'!E33</f>
        <v>-1.0458029057677787E-2</v>
      </c>
      <c r="G20" s="856">
        <f>'11_CASH_FLOW_TC_22_WORST_CASE'!F33</f>
        <v>8.4613302833238535E-3</v>
      </c>
      <c r="H20" s="856">
        <f>'11_CASH_FLOW_TC_22_WORST_CASE'!G33</f>
        <v>2.2945059828651138E-2</v>
      </c>
      <c r="I20" s="850"/>
    </row>
    <row r="21" spans="1:9" hidden="1" x14ac:dyDescent="0.25">
      <c r="A21" s="321"/>
      <c r="B21" s="857" t="s">
        <v>231</v>
      </c>
      <c r="C21" s="858" t="s">
        <v>468</v>
      </c>
      <c r="D21" s="859">
        <f>'7_CASH_FLOW_TC_22_BASE'!C33</f>
        <v>-2.1251969063893039E-2</v>
      </c>
      <c r="E21" s="859">
        <f>'7_CASH_FLOW_TC_22_BASE'!D33</f>
        <v>-1.0154382988141197E-3</v>
      </c>
      <c r="F21" s="859">
        <f>'7_CASH_FLOW_TC_22_BASE'!E33</f>
        <v>2.1871906497852756E-2</v>
      </c>
      <c r="G21" s="859">
        <f>'7_CASH_FLOW_TC_22_BASE'!F33</f>
        <v>3.8961143411395893E-2</v>
      </c>
      <c r="H21" s="859">
        <f>'7_CASH_FLOW_TC_22_BASE'!G33</f>
        <v>5.214078582342152E-2</v>
      </c>
      <c r="I21" s="850"/>
    </row>
    <row r="22" spans="1:9" ht="13.8" hidden="1" thickBot="1" x14ac:dyDescent="0.3">
      <c r="A22" s="321"/>
      <c r="B22" s="861" t="s">
        <v>231</v>
      </c>
      <c r="C22" s="862" t="s">
        <v>458</v>
      </c>
      <c r="D22" s="863" t="e">
        <f>#REF!</f>
        <v>#REF!</v>
      </c>
      <c r="E22" s="863" t="e">
        <f>#REF!</f>
        <v>#REF!</v>
      </c>
      <c r="F22" s="863" t="e">
        <f>#REF!</f>
        <v>#REF!</v>
      </c>
      <c r="G22" s="863" t="e">
        <f>#REF!</f>
        <v>#REF!</v>
      </c>
      <c r="H22" s="863" t="e">
        <f>#REF!</f>
        <v>#REF!</v>
      </c>
      <c r="I22" s="850"/>
    </row>
    <row r="23" spans="1:9" hidden="1" x14ac:dyDescent="0.25">
      <c r="A23" s="321"/>
      <c r="B23" s="852" t="s">
        <v>232</v>
      </c>
      <c r="C23" s="855" t="s">
        <v>457</v>
      </c>
      <c r="D23" s="856" t="e">
        <f>#REF!</f>
        <v>#REF!</v>
      </c>
      <c r="E23" s="856" t="e">
        <f>#REF!</f>
        <v>#REF!</v>
      </c>
      <c r="F23" s="856" t="e">
        <f>#REF!</f>
        <v>#REF!</v>
      </c>
      <c r="G23" s="856" t="e">
        <f>#REF!</f>
        <v>#REF!</v>
      </c>
      <c r="H23" s="856" t="e">
        <f>#REF!</f>
        <v>#REF!</v>
      </c>
      <c r="I23" s="850"/>
    </row>
    <row r="24" spans="1:9" hidden="1" x14ac:dyDescent="0.25">
      <c r="A24" s="321"/>
      <c r="B24" s="857" t="s">
        <v>232</v>
      </c>
      <c r="C24" s="858" t="s">
        <v>468</v>
      </c>
      <c r="D24" s="859" t="e">
        <f>#REF!</f>
        <v>#REF!</v>
      </c>
      <c r="E24" s="859" t="e">
        <f>#REF!</f>
        <v>#REF!</v>
      </c>
      <c r="F24" s="859" t="e">
        <f>#REF!</f>
        <v>#REF!</v>
      </c>
      <c r="G24" s="859" t="e">
        <f>#REF!</f>
        <v>#REF!</v>
      </c>
      <c r="H24" s="859" t="e">
        <f>#REF!</f>
        <v>#REF!</v>
      </c>
      <c r="I24" s="850"/>
    </row>
    <row r="25" spans="1:9" ht="13.8" hidden="1" thickBot="1" x14ac:dyDescent="0.3">
      <c r="A25" s="321"/>
      <c r="B25" s="861" t="s">
        <v>232</v>
      </c>
      <c r="C25" s="862" t="s">
        <v>458</v>
      </c>
      <c r="D25" s="863" t="e">
        <f>#REF!</f>
        <v>#REF!</v>
      </c>
      <c r="E25" s="863" t="e">
        <f>#REF!</f>
        <v>#REF!</v>
      </c>
      <c r="F25" s="863" t="e">
        <f>#REF!</f>
        <v>#REF!</v>
      </c>
      <c r="G25" s="863" t="e">
        <f>#REF!</f>
        <v>#REF!</v>
      </c>
      <c r="H25" s="863" t="e">
        <f>#REF!</f>
        <v>#REF!</v>
      </c>
      <c r="I25" s="850"/>
    </row>
    <row r="26" spans="1:9" hidden="1" x14ac:dyDescent="0.25">
      <c r="A26" s="321"/>
      <c r="B26" s="852" t="s">
        <v>233</v>
      </c>
      <c r="C26" s="855" t="s">
        <v>457</v>
      </c>
      <c r="D26" s="856" t="e">
        <f>#REF!</f>
        <v>#REF!</v>
      </c>
      <c r="E26" s="856" t="e">
        <f>#REF!</f>
        <v>#REF!</v>
      </c>
      <c r="F26" s="856" t="e">
        <f>#REF!</f>
        <v>#REF!</v>
      </c>
      <c r="G26" s="856" t="e">
        <f>#REF!</f>
        <v>#REF!</v>
      </c>
      <c r="H26" s="856" t="e">
        <f>#REF!</f>
        <v>#REF!</v>
      </c>
      <c r="I26" s="850"/>
    </row>
    <row r="27" spans="1:9" hidden="1" x14ac:dyDescent="0.25">
      <c r="A27" s="321"/>
      <c r="B27" s="857" t="s">
        <v>233</v>
      </c>
      <c r="C27" s="858" t="s">
        <v>468</v>
      </c>
      <c r="D27" s="859" t="e">
        <f>#REF!</f>
        <v>#REF!</v>
      </c>
      <c r="E27" s="859" t="e">
        <f>#REF!</f>
        <v>#REF!</v>
      </c>
      <c r="F27" s="859" t="e">
        <f>#REF!</f>
        <v>#REF!</v>
      </c>
      <c r="G27" s="859" t="e">
        <f>#REF!</f>
        <v>#REF!</v>
      </c>
      <c r="H27" s="859" t="e">
        <f>#REF!</f>
        <v>#REF!</v>
      </c>
      <c r="I27" s="850"/>
    </row>
    <row r="28" spans="1:9" ht="13.8" hidden="1" thickBot="1" x14ac:dyDescent="0.3">
      <c r="A28" s="321"/>
      <c r="B28" s="861" t="s">
        <v>233</v>
      </c>
      <c r="C28" s="862" t="s">
        <v>458</v>
      </c>
      <c r="D28" s="863" t="e">
        <f>#REF!</f>
        <v>#REF!</v>
      </c>
      <c r="E28" s="863" t="e">
        <f>#REF!</f>
        <v>#REF!</v>
      </c>
      <c r="F28" s="863" t="e">
        <f>#REF!</f>
        <v>#REF!</v>
      </c>
      <c r="G28" s="863" t="e">
        <f>#REF!</f>
        <v>#REF!</v>
      </c>
      <c r="H28" s="863" t="e">
        <f>#REF!</f>
        <v>#REF!</v>
      </c>
      <c r="I28" s="850"/>
    </row>
    <row r="29" spans="1:9" x14ac:dyDescent="0.25">
      <c r="A29" s="321"/>
      <c r="B29" s="850"/>
      <c r="C29" s="850"/>
      <c r="D29" s="321"/>
      <c r="E29" s="321"/>
      <c r="F29" s="321"/>
      <c r="G29" s="321"/>
      <c r="H29" s="321"/>
      <c r="I29" s="850"/>
    </row>
    <row r="30" spans="1:9" x14ac:dyDescent="0.25">
      <c r="A30" s="321"/>
      <c r="B30" s="850"/>
      <c r="C30" s="850"/>
      <c r="D30" s="321"/>
      <c r="E30" s="321"/>
      <c r="F30" s="321"/>
      <c r="G30" s="321"/>
      <c r="H30" s="321"/>
      <c r="I30" s="850"/>
    </row>
    <row r="31" spans="1:9" x14ac:dyDescent="0.25">
      <c r="A31" s="321"/>
      <c r="B31" s="850"/>
      <c r="C31" s="850"/>
      <c r="D31" s="321"/>
      <c r="E31" s="321"/>
      <c r="F31" s="321"/>
      <c r="G31" s="321"/>
      <c r="H31" s="321"/>
      <c r="I31" s="850"/>
    </row>
    <row r="32" spans="1:9" x14ac:dyDescent="0.25">
      <c r="A32" s="321"/>
      <c r="B32" s="850"/>
      <c r="C32" s="850"/>
      <c r="D32" s="321"/>
      <c r="E32" s="321"/>
      <c r="F32" s="321"/>
      <c r="G32" s="321"/>
      <c r="H32" s="321"/>
      <c r="I32" s="850"/>
    </row>
    <row r="198" spans="6:6" x14ac:dyDescent="0.25">
      <c r="F198">
        <f>F95</f>
        <v>0</v>
      </c>
    </row>
  </sheetData>
  <sheetProtection algorithmName="SHA-512" hashValue="oUy84azWCyIbNjUugSleuq3IZKeWoVhE199IoSWIuTpxWCPF/S9uZYejYwL+THYJ/raII+QXpYTtIE/g2EsIUw==" saltValue="z0RkM4S4hCfTKvYxGHSKBw==" spinCount="100000" sheet="1" objects="1" scenarios="1"/>
  <mergeCells count="6">
    <mergeCell ref="D13:H13"/>
    <mergeCell ref="D14:H14"/>
    <mergeCell ref="D15:H15"/>
    <mergeCell ref="D3:H3"/>
    <mergeCell ref="D4:H4"/>
    <mergeCell ref="D5:H5"/>
  </mergeCells>
  <conditionalFormatting sqref="D17:H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7:H10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B050"/>
  </sheetPr>
  <dimension ref="A1:F108"/>
  <sheetViews>
    <sheetView zoomScaleNormal="100" workbookViewId="0">
      <selection activeCell="B120" sqref="B120"/>
    </sheetView>
  </sheetViews>
  <sheetFormatPr baseColWidth="10" defaultRowHeight="13.2" x14ac:dyDescent="0.25"/>
  <cols>
    <col min="1" max="1" width="78.5546875" bestFit="1" customWidth="1"/>
    <col min="2" max="2" width="14.44140625" customWidth="1"/>
    <col min="3" max="3" width="15.33203125" bestFit="1" customWidth="1"/>
  </cols>
  <sheetData>
    <row r="1" spans="1:3" x14ac:dyDescent="0.25">
      <c r="A1" s="103"/>
      <c r="B1" s="103"/>
      <c r="C1" s="103"/>
    </row>
    <row r="2" spans="1:3" ht="14.4" x14ac:dyDescent="0.35">
      <c r="A2" s="325"/>
      <c r="B2" s="1077" t="s">
        <v>260</v>
      </c>
      <c r="C2" s="366" t="s">
        <v>312</v>
      </c>
    </row>
    <row r="3" spans="1:3" ht="14.4" x14ac:dyDescent="0.35">
      <c r="A3" s="325"/>
      <c r="B3" s="1077"/>
      <c r="C3" s="498" t="s">
        <v>325</v>
      </c>
    </row>
    <row r="4" spans="1:3" ht="14.4" x14ac:dyDescent="0.35">
      <c r="A4" s="325"/>
      <c r="B4" s="1077"/>
      <c r="C4" s="499" t="s">
        <v>324</v>
      </c>
    </row>
    <row r="5" spans="1:3" ht="14.4" x14ac:dyDescent="0.35">
      <c r="A5" s="325"/>
      <c r="B5" s="1077"/>
      <c r="C5" s="367" t="s">
        <v>261</v>
      </c>
    </row>
    <row r="6" spans="1:3" ht="14.4" x14ac:dyDescent="0.35">
      <c r="A6" s="325"/>
      <c r="B6" s="325"/>
      <c r="C6" s="325"/>
    </row>
    <row r="8" spans="1:3" x14ac:dyDescent="0.25">
      <c r="A8" s="68" t="s">
        <v>72</v>
      </c>
    </row>
    <row r="9" spans="1:3" x14ac:dyDescent="0.25">
      <c r="A9" s="68" t="s">
        <v>101</v>
      </c>
      <c r="B9" s="283">
        <v>10</v>
      </c>
    </row>
    <row r="10" spans="1:3" x14ac:dyDescent="0.25">
      <c r="A10" s="68" t="s">
        <v>102</v>
      </c>
      <c r="B10" s="283">
        <v>5.5</v>
      </c>
    </row>
    <row r="11" spans="1:3" x14ac:dyDescent="0.25">
      <c r="A11" s="68" t="s">
        <v>182</v>
      </c>
      <c r="B11" s="283">
        <v>25</v>
      </c>
    </row>
    <row r="12" spans="1:3" x14ac:dyDescent="0.25">
      <c r="A12" s="68"/>
    </row>
    <row r="13" spans="1:3" x14ac:dyDescent="0.25">
      <c r="A13" s="68" t="s">
        <v>4</v>
      </c>
    </row>
    <row r="14" spans="1:3" x14ac:dyDescent="0.25">
      <c r="A14" s="68" t="s">
        <v>101</v>
      </c>
      <c r="B14" s="283">
        <v>35</v>
      </c>
    </row>
    <row r="15" spans="1:3" x14ac:dyDescent="0.25">
      <c r="A15" s="68" t="s">
        <v>102</v>
      </c>
      <c r="B15" s="283">
        <v>7.5</v>
      </c>
    </row>
    <row r="16" spans="1:3" x14ac:dyDescent="0.25">
      <c r="A16" s="68" t="s">
        <v>182</v>
      </c>
      <c r="B16" s="283">
        <v>60</v>
      </c>
    </row>
    <row r="18" spans="1:4" x14ac:dyDescent="0.25">
      <c r="D18" s="13"/>
    </row>
    <row r="19" spans="1:4" ht="15.6" x14ac:dyDescent="0.25">
      <c r="B19" s="273">
        <v>4</v>
      </c>
      <c r="C19" s="273">
        <v>20</v>
      </c>
      <c r="D19" s="103"/>
    </row>
    <row r="20" spans="1:4" x14ac:dyDescent="0.25">
      <c r="D20" s="103"/>
    </row>
    <row r="21" spans="1:4" x14ac:dyDescent="0.25">
      <c r="A21" s="73"/>
      <c r="B21" s="73"/>
      <c r="C21" s="73"/>
      <c r="D21" s="103"/>
    </row>
    <row r="22" spans="1:4" x14ac:dyDescent="0.25">
      <c r="A22" s="42" t="s">
        <v>87</v>
      </c>
      <c r="B22" s="277">
        <v>7100</v>
      </c>
      <c r="C22" s="277">
        <f>B22-2200</f>
        <v>4900</v>
      </c>
      <c r="D22" s="429"/>
    </row>
    <row r="23" spans="1:4" x14ac:dyDescent="0.25">
      <c r="A23" s="73"/>
      <c r="B23" s="73"/>
      <c r="C23" s="73"/>
      <c r="D23" s="103"/>
    </row>
    <row r="24" spans="1:4" x14ac:dyDescent="0.25">
      <c r="A24" s="42" t="s">
        <v>88</v>
      </c>
      <c r="D24" s="103"/>
    </row>
    <row r="25" spans="1:4" x14ac:dyDescent="0.25">
      <c r="A25" s="75" t="s">
        <v>89</v>
      </c>
      <c r="B25" s="278">
        <v>10800</v>
      </c>
      <c r="C25" s="278">
        <f>B25</f>
        <v>10800</v>
      </c>
      <c r="D25" s="1015"/>
    </row>
    <row r="26" spans="1:4" x14ac:dyDescent="0.25">
      <c r="A26" s="75" t="s">
        <v>90</v>
      </c>
      <c r="B26" s="279">
        <f>500*35*0.7</f>
        <v>12250</v>
      </c>
      <c r="C26" s="279">
        <f>B26</f>
        <v>12250</v>
      </c>
      <c r="D26" s="215"/>
    </row>
    <row r="27" spans="1:4" x14ac:dyDescent="0.25">
      <c r="A27" s="97"/>
      <c r="B27" s="13"/>
      <c r="C27" s="13"/>
      <c r="D27" s="103"/>
    </row>
    <row r="28" spans="1:4" x14ac:dyDescent="0.25">
      <c r="A28" s="73"/>
      <c r="B28" s="73"/>
      <c r="C28" s="73"/>
      <c r="D28" s="103"/>
    </row>
    <row r="29" spans="1:4" x14ac:dyDescent="0.25">
      <c r="A29" s="42" t="s">
        <v>65</v>
      </c>
      <c r="B29" s="26">
        <f t="shared" ref="B29:C29" si="0">B30+B31+B32</f>
        <v>6</v>
      </c>
      <c r="C29" s="26">
        <f t="shared" si="0"/>
        <v>5</v>
      </c>
      <c r="D29" s="429"/>
    </row>
    <row r="30" spans="1:4" x14ac:dyDescent="0.25">
      <c r="A30" s="68" t="s">
        <v>66</v>
      </c>
      <c r="B30" s="280">
        <v>2</v>
      </c>
      <c r="C30" s="280">
        <v>2</v>
      </c>
      <c r="D30" s="9"/>
    </row>
    <row r="31" spans="1:4" x14ac:dyDescent="0.25">
      <c r="A31" s="68" t="s">
        <v>107</v>
      </c>
      <c r="B31" s="280">
        <v>3</v>
      </c>
      <c r="C31" s="280">
        <v>2</v>
      </c>
      <c r="D31" s="9"/>
    </row>
    <row r="32" spans="1:4" x14ac:dyDescent="0.25">
      <c r="A32" s="68" t="s">
        <v>83</v>
      </c>
      <c r="B32" s="280">
        <v>1</v>
      </c>
      <c r="C32" s="280">
        <v>1</v>
      </c>
      <c r="D32" s="9"/>
    </row>
    <row r="33" spans="1:5" x14ac:dyDescent="0.25">
      <c r="A33" s="68"/>
      <c r="B33" s="275"/>
      <c r="C33" s="275"/>
      <c r="D33" s="9"/>
      <c r="E33" s="166"/>
    </row>
    <row r="34" spans="1:5" x14ac:dyDescent="0.25">
      <c r="A34" s="68" t="s">
        <v>84</v>
      </c>
      <c r="B34" s="280">
        <v>1</v>
      </c>
      <c r="C34" s="280">
        <v>1</v>
      </c>
      <c r="D34" s="9"/>
    </row>
    <row r="35" spans="1:5" x14ac:dyDescent="0.25">
      <c r="D35" s="103"/>
    </row>
    <row r="36" spans="1:5" x14ac:dyDescent="0.25">
      <c r="A36" s="68" t="s">
        <v>95</v>
      </c>
      <c r="B36" s="90">
        <f>B22/(B30+B31)</f>
        <v>1420</v>
      </c>
      <c r="C36" s="90">
        <f>C22/(C30+C31)</f>
        <v>1225</v>
      </c>
      <c r="D36" s="215"/>
    </row>
    <row r="37" spans="1:5" x14ac:dyDescent="0.25">
      <c r="D37" s="103"/>
    </row>
    <row r="38" spans="1:5" x14ac:dyDescent="0.25">
      <c r="A38" s="91" t="s">
        <v>98</v>
      </c>
      <c r="D38" s="103"/>
    </row>
    <row r="39" spans="1:5" x14ac:dyDescent="0.25">
      <c r="A39" s="91" t="s">
        <v>96</v>
      </c>
      <c r="B39" s="280">
        <v>3</v>
      </c>
      <c r="C39" s="280">
        <v>3</v>
      </c>
      <c r="D39" s="9"/>
    </row>
    <row r="40" spans="1:5" x14ac:dyDescent="0.25">
      <c r="A40" s="94" t="s">
        <v>97</v>
      </c>
      <c r="B40" s="281">
        <v>0</v>
      </c>
      <c r="C40" s="281">
        <v>0</v>
      </c>
      <c r="D40" s="9"/>
    </row>
    <row r="41" spans="1:5" x14ac:dyDescent="0.25">
      <c r="A41" s="73"/>
      <c r="B41" s="73"/>
      <c r="C41" s="73"/>
      <c r="D41" s="103"/>
    </row>
    <row r="42" spans="1:5" x14ac:dyDescent="0.25">
      <c r="A42" s="93" t="s">
        <v>67</v>
      </c>
      <c r="B42" s="13"/>
      <c r="C42" s="13"/>
      <c r="D42" s="103"/>
    </row>
    <row r="43" spans="1:5" x14ac:dyDescent="0.25">
      <c r="A43" s="96" t="s">
        <v>72</v>
      </c>
      <c r="B43" s="281">
        <f>ROUNDUP(B22/190,0)</f>
        <v>38</v>
      </c>
      <c r="C43" s="281">
        <v>25</v>
      </c>
      <c r="D43" s="9"/>
    </row>
    <row r="44" spans="1:5" x14ac:dyDescent="0.25">
      <c r="A44" s="96"/>
      <c r="B44" s="95"/>
      <c r="C44" s="95"/>
      <c r="D44" s="9"/>
    </row>
    <row r="45" spans="1:5" x14ac:dyDescent="0.25">
      <c r="A45" s="96" t="s">
        <v>116</v>
      </c>
      <c r="D45" s="103"/>
    </row>
    <row r="46" spans="1:5" x14ac:dyDescent="0.25">
      <c r="A46" s="96" t="s">
        <v>72</v>
      </c>
      <c r="B46" s="281">
        <v>34</v>
      </c>
      <c r="C46" s="281">
        <v>21</v>
      </c>
      <c r="D46" s="9"/>
    </row>
    <row r="47" spans="1:5" x14ac:dyDescent="0.25">
      <c r="A47" s="73"/>
      <c r="B47" s="73"/>
      <c r="C47" s="73"/>
      <c r="D47" s="103"/>
    </row>
    <row r="48" spans="1:5" x14ac:dyDescent="0.25">
      <c r="A48" s="93" t="s">
        <v>68</v>
      </c>
      <c r="B48" s="13"/>
      <c r="C48" s="13"/>
      <c r="D48" s="103"/>
    </row>
    <row r="49" spans="1:6" x14ac:dyDescent="0.25">
      <c r="A49" s="98" t="s">
        <v>474</v>
      </c>
      <c r="B49" s="981">
        <v>1736</v>
      </c>
      <c r="C49" s="981">
        <v>1727</v>
      </c>
      <c r="D49" s="9"/>
      <c r="F49" s="215"/>
    </row>
    <row r="50" spans="1:6" x14ac:dyDescent="0.25">
      <c r="A50" s="98" t="s">
        <v>99</v>
      </c>
      <c r="B50" s="215">
        <f>B49*PARAMETROS!$C$23</f>
        <v>1736</v>
      </c>
      <c r="C50" s="215">
        <f>C49*PARAMETROS!$C$23</f>
        <v>1727</v>
      </c>
      <c r="D50" s="215"/>
    </row>
    <row r="51" spans="1:6" x14ac:dyDescent="0.25">
      <c r="B51" s="95"/>
      <c r="C51" s="95"/>
      <c r="D51" s="9"/>
    </row>
    <row r="52" spans="1:6" x14ac:dyDescent="0.25">
      <c r="B52" s="95"/>
      <c r="C52" s="95"/>
      <c r="D52" s="9"/>
    </row>
    <row r="53" spans="1:6" x14ac:dyDescent="0.25">
      <c r="A53" s="98" t="s">
        <v>100</v>
      </c>
      <c r="B53" s="95"/>
      <c r="C53" s="95"/>
      <c r="D53" s="9"/>
    </row>
    <row r="54" spans="1:6" x14ac:dyDescent="0.25">
      <c r="A54" s="68" t="s">
        <v>72</v>
      </c>
      <c r="B54" s="99">
        <f>$B$9*3600*$B$10/B50</f>
        <v>114.05529953917051</v>
      </c>
      <c r="C54" s="99">
        <f>$B$9*3600*$B$10/C50</f>
        <v>114.64968152866243</v>
      </c>
      <c r="D54" s="9"/>
    </row>
    <row r="55" spans="1:6" x14ac:dyDescent="0.25">
      <c r="A55" s="68"/>
      <c r="B55" s="95"/>
      <c r="C55" s="95"/>
      <c r="D55" s="9"/>
    </row>
    <row r="56" spans="1:6" x14ac:dyDescent="0.25">
      <c r="A56" s="68" t="s">
        <v>103</v>
      </c>
      <c r="B56" s="95"/>
      <c r="C56" s="95"/>
      <c r="D56" s="9"/>
    </row>
    <row r="57" spans="1:6" x14ac:dyDescent="0.25">
      <c r="A57" s="68" t="s">
        <v>72</v>
      </c>
      <c r="B57" s="99">
        <f>B54/$B$10</f>
        <v>20.737327188940093</v>
      </c>
      <c r="C57" s="99">
        <f>C54/$B$10</f>
        <v>20.845396641574986</v>
      </c>
      <c r="D57" s="215"/>
    </row>
    <row r="58" spans="1:6" x14ac:dyDescent="0.25">
      <c r="A58" s="68"/>
      <c r="B58" s="95"/>
      <c r="C58" s="95"/>
      <c r="D58" s="9"/>
    </row>
    <row r="59" spans="1:6" x14ac:dyDescent="0.25">
      <c r="A59" s="68" t="s">
        <v>104</v>
      </c>
      <c r="B59" s="95"/>
      <c r="C59" s="95"/>
      <c r="D59" s="9"/>
    </row>
    <row r="60" spans="1:6" x14ac:dyDescent="0.25">
      <c r="A60" s="68" t="s">
        <v>72</v>
      </c>
      <c r="B60" s="95">
        <f>ROUNDUP(B22*2/B54,0)</f>
        <v>125</v>
      </c>
      <c r="C60" s="95">
        <f>ROUNDUP(C22*2/C54,0)</f>
        <v>86</v>
      </c>
      <c r="D60" s="9"/>
    </row>
    <row r="61" spans="1:6" x14ac:dyDescent="0.25">
      <c r="A61" s="68"/>
      <c r="B61" s="95"/>
      <c r="C61" s="95"/>
      <c r="D61" s="9"/>
    </row>
    <row r="62" spans="1:6" x14ac:dyDescent="0.25">
      <c r="A62" s="98" t="s">
        <v>105</v>
      </c>
      <c r="B62" s="95"/>
      <c r="C62" s="95"/>
      <c r="D62" s="9"/>
    </row>
    <row r="63" spans="1:6" x14ac:dyDescent="0.25">
      <c r="A63" s="68" t="s">
        <v>72</v>
      </c>
      <c r="B63" s="92">
        <f>ROUNDUP((B60+B31*5),0)</f>
        <v>140</v>
      </c>
      <c r="C63" s="92">
        <f>ROUNDUP((C60+C31*5),0)</f>
        <v>96</v>
      </c>
      <c r="D63" s="9"/>
    </row>
    <row r="64" spans="1:6" x14ac:dyDescent="0.25">
      <c r="A64" s="68"/>
      <c r="B64" s="92"/>
      <c r="C64" s="92"/>
      <c r="D64" s="9"/>
    </row>
    <row r="65" spans="1:4" x14ac:dyDescent="0.25">
      <c r="A65" s="98" t="s">
        <v>472</v>
      </c>
      <c r="B65" s="92"/>
      <c r="C65" s="92"/>
      <c r="D65" s="9"/>
    </row>
    <row r="66" spans="1:4" x14ac:dyDescent="0.25">
      <c r="A66" s="68" t="s">
        <v>72</v>
      </c>
      <c r="B66" s="92">
        <f>ROUNDUP(B63*1.1,0)</f>
        <v>154</v>
      </c>
      <c r="C66" s="92">
        <f>ROUNDUP(C63*1.1,0)</f>
        <v>106</v>
      </c>
      <c r="D66" s="95"/>
    </row>
    <row r="67" spans="1:4" x14ac:dyDescent="0.25">
      <c r="A67" s="68"/>
      <c r="B67" s="92"/>
      <c r="C67" s="92"/>
      <c r="D67" s="9"/>
    </row>
    <row r="68" spans="1:4" x14ac:dyDescent="0.25">
      <c r="A68" s="107" t="s">
        <v>106</v>
      </c>
      <c r="B68" s="92"/>
      <c r="C68" s="92"/>
      <c r="D68" s="9"/>
    </row>
    <row r="69" spans="1:4" x14ac:dyDescent="0.25">
      <c r="A69" s="108" t="s">
        <v>72</v>
      </c>
      <c r="B69" s="26">
        <f>ROUNDUP(B66*1.1,0)</f>
        <v>170</v>
      </c>
      <c r="C69" s="26">
        <f>ROUNDUP(C66*1.1,0)</f>
        <v>117</v>
      </c>
      <c r="D69" s="429"/>
    </row>
    <row r="70" spans="1:4" x14ac:dyDescent="0.25">
      <c r="D70" s="103"/>
    </row>
    <row r="71" spans="1:4" x14ac:dyDescent="0.25">
      <c r="A71" s="74" t="s">
        <v>109</v>
      </c>
      <c r="B71" s="73"/>
      <c r="C71" s="73"/>
      <c r="D71" s="103"/>
    </row>
    <row r="72" spans="1:4" x14ac:dyDescent="0.25">
      <c r="A72" s="93"/>
      <c r="B72" s="13"/>
      <c r="C72" s="13"/>
      <c r="D72" s="103"/>
    </row>
    <row r="73" spans="1:4" x14ac:dyDescent="0.25">
      <c r="A73" s="109" t="s">
        <v>45</v>
      </c>
      <c r="B73" s="95"/>
      <c r="C73" s="95"/>
      <c r="D73" s="9"/>
    </row>
    <row r="74" spans="1:4" x14ac:dyDescent="0.25">
      <c r="A74" s="68" t="s">
        <v>72</v>
      </c>
      <c r="B74" s="92">
        <f>14*B69</f>
        <v>2380</v>
      </c>
      <c r="C74" s="92">
        <f>14*C69</f>
        <v>1638</v>
      </c>
      <c r="D74" s="9"/>
    </row>
    <row r="75" spans="1:4" x14ac:dyDescent="0.25">
      <c r="A75" s="68"/>
      <c r="B75" s="92"/>
      <c r="C75" s="92"/>
      <c r="D75" s="9"/>
    </row>
    <row r="76" spans="1:4" x14ac:dyDescent="0.25">
      <c r="A76" s="109" t="s">
        <v>46</v>
      </c>
      <c r="B76" s="95"/>
      <c r="C76" s="95"/>
      <c r="D76" s="9"/>
    </row>
    <row r="77" spans="1:4" x14ac:dyDescent="0.25">
      <c r="A77" s="68" t="s">
        <v>72</v>
      </c>
      <c r="B77" s="281">
        <v>250</v>
      </c>
      <c r="C77" s="281">
        <v>250</v>
      </c>
      <c r="D77" s="9"/>
    </row>
    <row r="78" spans="1:4" x14ac:dyDescent="0.25">
      <c r="B78" s="95"/>
      <c r="C78" s="95"/>
      <c r="D78" s="9"/>
    </row>
    <row r="79" spans="1:4" x14ac:dyDescent="0.25">
      <c r="A79" s="109" t="s">
        <v>0</v>
      </c>
      <c r="B79" s="95"/>
      <c r="C79" s="95"/>
      <c r="D79" s="9"/>
    </row>
    <row r="80" spans="1:4" x14ac:dyDescent="0.25">
      <c r="A80" s="68" t="s">
        <v>72</v>
      </c>
      <c r="B80" s="281">
        <v>150</v>
      </c>
      <c r="C80" s="281">
        <v>150</v>
      </c>
      <c r="D80" s="9"/>
    </row>
    <row r="81" spans="1:4" x14ac:dyDescent="0.25">
      <c r="A81" s="109"/>
      <c r="B81" s="95"/>
      <c r="C81" s="95"/>
      <c r="D81" s="9"/>
    </row>
    <row r="82" spans="1:4" x14ac:dyDescent="0.25">
      <c r="A82" s="109" t="s">
        <v>47</v>
      </c>
      <c r="B82" s="95"/>
      <c r="C82" s="95"/>
      <c r="D82" s="9"/>
    </row>
    <row r="83" spans="1:4" x14ac:dyDescent="0.25">
      <c r="A83" s="68" t="s">
        <v>72</v>
      </c>
      <c r="B83" s="95">
        <f>B74</f>
        <v>2380</v>
      </c>
      <c r="C83" s="95">
        <f>C74</f>
        <v>1638</v>
      </c>
      <c r="D83" s="9"/>
    </row>
    <row r="84" spans="1:4" x14ac:dyDescent="0.25">
      <c r="D84" s="103"/>
    </row>
    <row r="85" spans="1:4" x14ac:dyDescent="0.25">
      <c r="A85" s="68" t="s">
        <v>110</v>
      </c>
      <c r="D85" s="103"/>
    </row>
    <row r="86" spans="1:4" x14ac:dyDescent="0.25">
      <c r="A86" s="68" t="s">
        <v>72</v>
      </c>
      <c r="B86" s="92">
        <f>B74+B77+B80+B83</f>
        <v>5160</v>
      </c>
      <c r="C86" s="92">
        <f>C74+C77+C80+C83</f>
        <v>3676</v>
      </c>
      <c r="D86" s="9"/>
    </row>
    <row r="87" spans="1:4" x14ac:dyDescent="0.25">
      <c r="D87" s="103"/>
    </row>
    <row r="88" spans="1:4" x14ac:dyDescent="0.25">
      <c r="D88" s="103"/>
    </row>
    <row r="89" spans="1:4" x14ac:dyDescent="0.25">
      <c r="A89" s="74" t="s">
        <v>94</v>
      </c>
      <c r="B89" s="73"/>
      <c r="C89" s="73"/>
      <c r="D89" s="103"/>
    </row>
    <row r="90" spans="1:4" x14ac:dyDescent="0.25">
      <c r="D90" s="103"/>
    </row>
    <row r="91" spans="1:4" x14ac:dyDescent="0.25">
      <c r="A91" s="108" t="s">
        <v>72</v>
      </c>
      <c r="D91" s="103"/>
    </row>
    <row r="92" spans="1:4" x14ac:dyDescent="0.25">
      <c r="A92" s="91" t="s">
        <v>133</v>
      </c>
      <c r="B92" s="90">
        <f>B22/$B$10+$B$11*B29</f>
        <v>1440.909090909091</v>
      </c>
      <c r="C92" s="90">
        <f>C22/$B$10+$B$11*C29</f>
        <v>1015.9090909090909</v>
      </c>
      <c r="D92" s="215"/>
    </row>
    <row r="93" spans="1:4" x14ac:dyDescent="0.25">
      <c r="A93" s="94" t="s">
        <v>94</v>
      </c>
      <c r="B93" s="170">
        <f t="shared" ref="B93:C93" si="1">B92/60</f>
        <v>24.015151515151516</v>
      </c>
      <c r="C93" s="170">
        <f t="shared" si="1"/>
        <v>16.93181818181818</v>
      </c>
      <c r="D93" s="276"/>
    </row>
    <row r="94" spans="1:4" x14ac:dyDescent="0.25">
      <c r="A94" s="94" t="s">
        <v>132</v>
      </c>
      <c r="B94" s="170">
        <f>3600*B22/B92/1000</f>
        <v>17.738801261829654</v>
      </c>
      <c r="C94" s="170">
        <f>3600*C22/C92/1000</f>
        <v>17.363758389261744</v>
      </c>
      <c r="D94" s="276"/>
    </row>
    <row r="95" spans="1:4" ht="13.8" x14ac:dyDescent="0.25">
      <c r="A95" s="13"/>
      <c r="B95" s="5"/>
      <c r="C95" s="105"/>
      <c r="D95" s="103"/>
    </row>
    <row r="96" spans="1:4" ht="13.8" x14ac:dyDescent="0.25">
      <c r="A96" s="13"/>
      <c r="B96" s="5"/>
      <c r="C96" s="100"/>
      <c r="D96" s="103"/>
    </row>
    <row r="97" spans="1:4" x14ac:dyDescent="0.25">
      <c r="A97" s="74" t="s">
        <v>213</v>
      </c>
      <c r="B97" s="73"/>
      <c r="C97" s="73"/>
      <c r="D97" s="103"/>
    </row>
    <row r="98" spans="1:4" ht="13.8" x14ac:dyDescent="0.25">
      <c r="A98" s="13"/>
      <c r="B98" s="5"/>
      <c r="C98" s="100"/>
      <c r="D98" s="13"/>
    </row>
    <row r="99" spans="1:4" x14ac:dyDescent="0.25">
      <c r="A99" s="98" t="s">
        <v>283</v>
      </c>
      <c r="B99" s="354">
        <f>500*B22*(1.5)</f>
        <v>5325000</v>
      </c>
      <c r="C99" s="354">
        <f t="shared" ref="C99" si="2">500*C22*(1.5)</f>
        <v>3675000</v>
      </c>
      <c r="D99" s="177"/>
    </row>
    <row r="100" spans="1:4" ht="13.8" x14ac:dyDescent="0.25">
      <c r="A100" s="13"/>
      <c r="B100" s="5"/>
      <c r="C100" s="104"/>
      <c r="D100" s="13"/>
    </row>
    <row r="101" spans="1:4" ht="13.8" x14ac:dyDescent="0.25">
      <c r="A101" s="101"/>
      <c r="B101" s="5"/>
      <c r="C101" s="104"/>
      <c r="D101" s="13"/>
    </row>
    <row r="102" spans="1:4" ht="13.8" x14ac:dyDescent="0.25">
      <c r="A102" s="101"/>
      <c r="B102" s="5"/>
      <c r="C102" s="106"/>
      <c r="D102" s="13"/>
    </row>
    <row r="103" spans="1:4" x14ac:dyDescent="0.25">
      <c r="A103" s="13"/>
      <c r="B103" s="13"/>
      <c r="C103" s="13"/>
      <c r="D103" s="13"/>
    </row>
    <row r="104" spans="1:4" x14ac:dyDescent="0.25">
      <c r="A104" s="13"/>
      <c r="B104" s="13"/>
      <c r="C104" s="13"/>
      <c r="D104" s="13"/>
    </row>
    <row r="105" spans="1:4" x14ac:dyDescent="0.25">
      <c r="A105" s="13"/>
      <c r="B105" s="13"/>
      <c r="C105" s="13"/>
      <c r="D105" s="13"/>
    </row>
    <row r="106" spans="1:4" x14ac:dyDescent="0.25">
      <c r="A106" s="13"/>
      <c r="B106" s="13"/>
      <c r="C106" s="13"/>
      <c r="D106" s="13"/>
    </row>
    <row r="107" spans="1:4" x14ac:dyDescent="0.25">
      <c r="A107" s="13"/>
      <c r="B107" s="13"/>
      <c r="C107" s="102"/>
      <c r="D107" s="13"/>
    </row>
    <row r="108" spans="1:4" x14ac:dyDescent="0.25">
      <c r="A108" s="13"/>
      <c r="B108" s="13"/>
      <c r="C108" s="13"/>
      <c r="D108" s="13"/>
    </row>
  </sheetData>
  <sheetProtection algorithmName="SHA-512" hashValue="N6FXjVMhIO9+VUWCXN4IXC4KCu7MVEdQY/T7efwM20i8PbcA0IzO7ilOSxfLU7OVYez7khH4VOyjeYzUCdieng==" saltValue="EIcWt+vqrRXuRKbw6/QleA==" spinCount="100000" sheet="1" objects="1" scenarios="1"/>
  <mergeCells count="1">
    <mergeCell ref="B2:B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00B050"/>
  </sheetPr>
  <dimension ref="A1:AL146"/>
  <sheetViews>
    <sheetView zoomScale="80" zoomScaleNormal="80" workbookViewId="0">
      <selection activeCell="B120" sqref="B120"/>
    </sheetView>
  </sheetViews>
  <sheetFormatPr baseColWidth="10" defaultColWidth="5.88671875" defaultRowHeight="13.2" outlineLevelCol="1" x14ac:dyDescent="0.25"/>
  <cols>
    <col min="1" max="1" width="3.88671875" customWidth="1"/>
    <col min="2" max="2" width="61.44140625" bestFit="1" customWidth="1"/>
    <col min="3" max="3" width="54.6640625" customWidth="1"/>
    <col min="4" max="4" width="23.33203125" bestFit="1" customWidth="1"/>
    <col min="5" max="5" width="17.6640625" customWidth="1"/>
    <col min="6" max="6" width="3.6640625" style="304" customWidth="1" outlineLevel="1"/>
    <col min="7" max="9" width="19.33203125" style="13" hidden="1" customWidth="1"/>
    <col min="10" max="10" width="21.88671875" style="13" hidden="1" customWidth="1"/>
    <col min="11" max="11" width="21" style="13" hidden="1" customWidth="1"/>
    <col min="12" max="12" width="59.77734375" style="13" customWidth="1"/>
    <col min="13" max="13" width="6.33203125" style="13" customWidth="1"/>
    <col min="14" max="15" width="15.88671875" style="13" hidden="1" customWidth="1"/>
    <col min="16" max="17" width="18.33203125" style="13" hidden="1" customWidth="1"/>
    <col min="18" max="19" width="16.109375" style="13" hidden="1" customWidth="1"/>
    <col min="20" max="21" width="21.88671875" style="13" hidden="1" customWidth="1"/>
    <col min="22" max="24" width="21" style="13" hidden="1" customWidth="1"/>
    <col min="25" max="25" width="21.109375" style="13" hidden="1" customWidth="1"/>
    <col min="26" max="27" width="41.5546875" style="13" customWidth="1"/>
    <col min="28" max="29" width="6.33203125" style="13" customWidth="1"/>
    <col min="30" max="30" width="13.88671875" style="13" customWidth="1"/>
    <col min="31" max="31" width="16" style="13" customWidth="1"/>
    <col min="32" max="32" width="16" customWidth="1"/>
    <col min="33" max="33" width="12.6640625" customWidth="1"/>
    <col min="34" max="35" width="8.6640625" customWidth="1"/>
    <col min="36" max="36" width="59.44140625" customWidth="1"/>
    <col min="37" max="40" width="5.88671875" customWidth="1"/>
  </cols>
  <sheetData>
    <row r="1" spans="1:35" x14ac:dyDescent="0.25">
      <c r="A1" s="166"/>
      <c r="B1" s="166"/>
      <c r="C1" s="166"/>
      <c r="D1" s="166"/>
      <c r="E1" s="166"/>
      <c r="F1" s="166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66"/>
      <c r="AG1" s="166"/>
      <c r="AH1" s="166"/>
      <c r="AI1" s="166"/>
    </row>
    <row r="2" spans="1:35" s="2" customFormat="1" ht="18" x14ac:dyDescent="0.35">
      <c r="A2" s="167"/>
      <c r="B2" s="1078" t="s">
        <v>260</v>
      </c>
      <c r="C2" s="366" t="s">
        <v>312</v>
      </c>
      <c r="F2" s="168"/>
      <c r="G2" s="137"/>
      <c r="H2" s="192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67"/>
      <c r="AG2" s="167"/>
      <c r="AH2" s="167"/>
      <c r="AI2" s="167"/>
    </row>
    <row r="3" spans="1:35" s="2" customFormat="1" ht="18" x14ac:dyDescent="0.35">
      <c r="A3" s="167"/>
      <c r="B3" s="1079"/>
      <c r="C3" s="498" t="s">
        <v>325</v>
      </c>
      <c r="F3" s="168"/>
      <c r="G3" s="137"/>
      <c r="H3" s="192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67"/>
      <c r="AG3" s="167"/>
      <c r="AH3" s="167"/>
      <c r="AI3" s="167"/>
    </row>
    <row r="4" spans="1:35" s="2" customFormat="1" ht="18" x14ac:dyDescent="0.35">
      <c r="A4" s="167"/>
      <c r="B4" s="1079"/>
      <c r="C4" s="499" t="s">
        <v>324</v>
      </c>
      <c r="F4" s="168"/>
      <c r="G4" s="137"/>
      <c r="H4" s="192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67"/>
      <c r="AG4" s="167"/>
      <c r="AH4" s="167"/>
      <c r="AI4" s="167"/>
    </row>
    <row r="5" spans="1:35" s="3" customFormat="1" ht="15.6" x14ac:dyDescent="0.3">
      <c r="A5" s="4"/>
      <c r="B5" s="1080"/>
      <c r="C5" s="367" t="s">
        <v>261</v>
      </c>
      <c r="F5" s="168"/>
      <c r="G5" s="4"/>
      <c r="H5" s="190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</row>
    <row r="6" spans="1:35" s="3" customFormat="1" ht="15.6" x14ac:dyDescent="0.3">
      <c r="A6" s="4"/>
      <c r="B6" s="169"/>
      <c r="C6" s="169"/>
      <c r="D6" s="168"/>
      <c r="E6" s="168"/>
      <c r="F6" s="16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5" s="3" customFormat="1" ht="28.8" x14ac:dyDescent="0.3">
      <c r="A7" s="4"/>
      <c r="B7" s="607" t="s">
        <v>339</v>
      </c>
      <c r="C7" s="450">
        <v>0.26</v>
      </c>
      <c r="E7" s="168"/>
      <c r="F7" s="16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</row>
    <row r="8" spans="1:35" s="3" customFormat="1" ht="15.6" x14ac:dyDescent="0.3">
      <c r="A8" s="4"/>
      <c r="B8" s="169"/>
      <c r="C8" s="606"/>
      <c r="D8" s="168"/>
      <c r="E8" s="168"/>
      <c r="F8" s="16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</row>
    <row r="9" spans="1:35" s="605" customFormat="1" ht="16.2" thickBot="1" x14ac:dyDescent="0.35">
      <c r="A9" s="604"/>
      <c r="B9" s="169"/>
      <c r="C9" s="169"/>
      <c r="D9" s="168"/>
      <c r="E9" s="168"/>
      <c r="F9" s="168"/>
      <c r="G9" s="604"/>
      <c r="H9" s="604"/>
      <c r="I9" s="604"/>
      <c r="J9" s="604"/>
      <c r="K9" s="604"/>
      <c r="L9" s="604"/>
      <c r="M9" s="604"/>
      <c r="N9" s="604"/>
      <c r="O9" s="604"/>
      <c r="P9" s="604"/>
      <c r="Q9" s="604"/>
      <c r="R9" s="604"/>
      <c r="S9" s="604"/>
      <c r="T9" s="604"/>
      <c r="U9" s="604"/>
      <c r="V9" s="604"/>
      <c r="W9" s="604"/>
      <c r="X9" s="604"/>
      <c r="Y9" s="604"/>
      <c r="Z9" s="604"/>
      <c r="AA9" s="604"/>
      <c r="AB9" s="604"/>
      <c r="AC9" s="604"/>
      <c r="AD9" s="604"/>
      <c r="AE9" s="604"/>
      <c r="AF9" s="604"/>
      <c r="AG9" s="604"/>
    </row>
    <row r="10" spans="1:35" s="3" customFormat="1" ht="16.2" thickBot="1" x14ac:dyDescent="0.35">
      <c r="A10" s="4"/>
      <c r="B10" s="4"/>
      <c r="C10" s="4"/>
      <c r="D10" s="4"/>
      <c r="E10" s="4"/>
      <c r="F10" s="1016"/>
      <c r="G10" s="1091" t="s">
        <v>326</v>
      </c>
      <c r="H10" s="1092"/>
      <c r="I10" s="1092"/>
      <c r="J10" s="1092"/>
      <c r="K10" s="1092"/>
      <c r="L10" s="1093"/>
      <c r="M10" s="305"/>
      <c r="N10" s="1085" t="s">
        <v>327</v>
      </c>
      <c r="O10" s="1086"/>
      <c r="P10" s="1086"/>
      <c r="Q10" s="1086"/>
      <c r="R10" s="1086"/>
      <c r="S10" s="1086"/>
      <c r="T10" s="1086"/>
      <c r="U10" s="1086"/>
      <c r="V10" s="1086"/>
      <c r="W10" s="1086"/>
      <c r="X10" s="1086"/>
      <c r="Y10" s="1086"/>
      <c r="Z10" s="1086"/>
      <c r="AA10" s="1087"/>
      <c r="AB10" s="4"/>
      <c r="AC10" s="4"/>
      <c r="AD10" s="4"/>
      <c r="AE10" s="4"/>
      <c r="AF10" s="4"/>
      <c r="AG10" s="4"/>
    </row>
    <row r="11" spans="1:35" s="3" customFormat="1" ht="45" customHeight="1" thickBot="1" x14ac:dyDescent="0.3">
      <c r="A11" s="4"/>
      <c r="B11" s="4"/>
      <c r="C11" s="1081" t="s">
        <v>296</v>
      </c>
      <c r="D11" s="1081" t="s">
        <v>257</v>
      </c>
      <c r="E11" s="1081" t="s">
        <v>252</v>
      </c>
      <c r="F11" s="1017"/>
      <c r="G11" s="1088" t="s">
        <v>127</v>
      </c>
      <c r="H11" s="1089"/>
      <c r="I11" s="1089"/>
      <c r="J11" s="1089"/>
      <c r="K11" s="1089"/>
      <c r="L11" s="1090"/>
      <c r="M11" s="307"/>
      <c r="N11" s="1094" t="s">
        <v>127</v>
      </c>
      <c r="O11" s="1095"/>
      <c r="P11" s="1095"/>
      <c r="Q11" s="1095"/>
      <c r="R11" s="1095"/>
      <c r="S11" s="1095"/>
      <c r="T11" s="1095"/>
      <c r="U11" s="1095"/>
      <c r="V11" s="1095"/>
      <c r="W11" s="1095"/>
      <c r="X11" s="1095"/>
      <c r="Y11" s="1095"/>
      <c r="Z11" s="1095"/>
      <c r="AA11" s="1096"/>
      <c r="AB11" s="186"/>
      <c r="AC11" s="186"/>
      <c r="AD11" s="4"/>
      <c r="AE11" s="4"/>
      <c r="AF11" s="4"/>
      <c r="AG11" s="4"/>
    </row>
    <row r="12" spans="1:35" s="3" customFormat="1" ht="16.2" thickBot="1" x14ac:dyDescent="0.3">
      <c r="A12" s="4"/>
      <c r="B12" s="4"/>
      <c r="C12" s="1082"/>
      <c r="D12" s="1082"/>
      <c r="E12" s="1082"/>
      <c r="F12" s="1018"/>
      <c r="G12" s="504" t="s">
        <v>176</v>
      </c>
      <c r="H12" s="505" t="s">
        <v>178</v>
      </c>
      <c r="I12" s="505" t="s">
        <v>308</v>
      </c>
      <c r="J12" s="505" t="s">
        <v>307</v>
      </c>
      <c r="K12" s="506" t="s">
        <v>244</v>
      </c>
      <c r="L12" s="507" t="s">
        <v>177</v>
      </c>
      <c r="M12" s="307"/>
      <c r="N12" s="1083" t="s">
        <v>176</v>
      </c>
      <c r="O12" s="1084"/>
      <c r="P12" s="1083" t="s">
        <v>178</v>
      </c>
      <c r="Q12" s="1084"/>
      <c r="R12" s="1083" t="s">
        <v>308</v>
      </c>
      <c r="S12" s="1084"/>
      <c r="T12" s="1083" t="s">
        <v>307</v>
      </c>
      <c r="U12" s="1084"/>
      <c r="V12" s="1083" t="s">
        <v>244</v>
      </c>
      <c r="W12" s="1084"/>
      <c r="X12" s="1083" t="s">
        <v>177</v>
      </c>
      <c r="Y12" s="1084"/>
      <c r="Z12" s="1083" t="s">
        <v>328</v>
      </c>
      <c r="AA12" s="1084"/>
      <c r="AB12" s="186"/>
      <c r="AC12" s="186"/>
      <c r="AD12" s="4"/>
      <c r="AE12" s="4"/>
      <c r="AF12" s="4"/>
      <c r="AG12" s="4"/>
    </row>
    <row r="13" spans="1:35" s="3" customFormat="1" ht="16.2" thickBot="1" x14ac:dyDescent="0.3">
      <c r="A13" s="4"/>
      <c r="B13" s="4"/>
      <c r="C13" s="456"/>
      <c r="D13" s="456"/>
      <c r="E13" s="456"/>
      <c r="F13" s="4"/>
      <c r="G13" s="1025"/>
      <c r="H13" s="143"/>
      <c r="I13" s="143"/>
      <c r="J13" s="143"/>
      <c r="K13" s="143"/>
      <c r="L13" s="1026"/>
      <c r="M13" s="319"/>
      <c r="N13" s="601" t="s">
        <v>313</v>
      </c>
      <c r="O13" s="602" t="s">
        <v>314</v>
      </c>
      <c r="P13" s="602" t="s">
        <v>313</v>
      </c>
      <c r="Q13" s="602" t="s">
        <v>314</v>
      </c>
      <c r="R13" s="602" t="s">
        <v>313</v>
      </c>
      <c r="S13" s="602" t="s">
        <v>314</v>
      </c>
      <c r="T13" s="602" t="s">
        <v>313</v>
      </c>
      <c r="U13" s="602" t="s">
        <v>314</v>
      </c>
      <c r="V13" s="602" t="s">
        <v>313</v>
      </c>
      <c r="W13" s="602" t="s">
        <v>314</v>
      </c>
      <c r="X13" s="602" t="s">
        <v>313</v>
      </c>
      <c r="Y13" s="602" t="s">
        <v>314</v>
      </c>
      <c r="Z13" s="602" t="s">
        <v>313</v>
      </c>
      <c r="AA13" s="603" t="s">
        <v>314</v>
      </c>
      <c r="AB13" s="429"/>
      <c r="AC13" s="186"/>
      <c r="AD13" s="4"/>
      <c r="AE13" s="4"/>
      <c r="AF13" s="4"/>
      <c r="AG13" s="4"/>
    </row>
    <row r="14" spans="1:35" s="3" customFormat="1" ht="16.2" thickBot="1" x14ac:dyDescent="0.3">
      <c r="A14" s="4"/>
      <c r="B14" s="4"/>
      <c r="C14" s="456"/>
      <c r="D14" s="456"/>
      <c r="E14" s="456"/>
      <c r="F14" s="4"/>
      <c r="G14" s="1025"/>
      <c r="H14" s="143"/>
      <c r="I14" s="143"/>
      <c r="J14" s="143"/>
      <c r="K14" s="143"/>
      <c r="L14" s="1026"/>
      <c r="M14" s="319"/>
      <c r="N14" s="1031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1032"/>
      <c r="AB14" s="429"/>
      <c r="AC14" s="186"/>
      <c r="AD14" s="4"/>
      <c r="AE14" s="4"/>
      <c r="AF14" s="4"/>
      <c r="AG14" s="4"/>
    </row>
    <row r="15" spans="1:35" s="3" customFormat="1" ht="16.2" thickBot="1" x14ac:dyDescent="0.3">
      <c r="A15" s="4"/>
      <c r="B15" s="357" t="s">
        <v>320</v>
      </c>
      <c r="C15" s="356"/>
      <c r="D15" s="356"/>
      <c r="E15" s="356"/>
      <c r="F15" s="1019"/>
      <c r="G15" s="434"/>
      <c r="H15" s="435"/>
      <c r="I15" s="435"/>
      <c r="J15" s="435"/>
      <c r="K15" s="435"/>
      <c r="L15" s="436"/>
      <c r="M15" s="319"/>
      <c r="N15" s="434"/>
      <c r="O15" s="550"/>
      <c r="P15" s="434"/>
      <c r="Q15" s="550"/>
      <c r="R15" s="552"/>
      <c r="S15" s="567"/>
      <c r="T15" s="434"/>
      <c r="U15" s="550"/>
      <c r="V15" s="434"/>
      <c r="W15" s="550"/>
      <c r="X15" s="552"/>
      <c r="Y15" s="567"/>
      <c r="Z15" s="434"/>
      <c r="AA15" s="550"/>
      <c r="AB15" s="429"/>
      <c r="AC15" s="186"/>
      <c r="AD15" s="4"/>
      <c r="AE15" s="4"/>
      <c r="AF15" s="4"/>
      <c r="AG15" s="4"/>
    </row>
    <row r="16" spans="1:35" s="3" customFormat="1" ht="13.8" thickBot="1" x14ac:dyDescent="0.3">
      <c r="A16" s="4"/>
      <c r="B16" s="641" t="s">
        <v>321</v>
      </c>
      <c r="C16" s="457" t="s">
        <v>291</v>
      </c>
      <c r="D16" s="466" t="s">
        <v>2</v>
      </c>
      <c r="E16" s="458" t="s">
        <v>317</v>
      </c>
      <c r="F16" s="1020"/>
      <c r="G16" s="459" t="s">
        <v>7</v>
      </c>
      <c r="H16" s="461" t="s">
        <v>7</v>
      </c>
      <c r="I16" s="461" t="s">
        <v>7</v>
      </c>
      <c r="J16" s="461" t="s">
        <v>7</v>
      </c>
      <c r="K16" s="461" t="s">
        <v>7</v>
      </c>
      <c r="L16" s="460" t="s">
        <v>7</v>
      </c>
      <c r="M16" s="319"/>
      <c r="N16" s="459" t="s">
        <v>7</v>
      </c>
      <c r="O16" s="460" t="s">
        <v>7</v>
      </c>
      <c r="P16" s="459" t="s">
        <v>7</v>
      </c>
      <c r="Q16" s="460" t="s">
        <v>7</v>
      </c>
      <c r="R16" s="461" t="s">
        <v>7</v>
      </c>
      <c r="S16" s="568" t="s">
        <v>7</v>
      </c>
      <c r="T16" s="459" t="s">
        <v>7</v>
      </c>
      <c r="U16" s="460" t="s">
        <v>7</v>
      </c>
      <c r="V16" s="459" t="s">
        <v>7</v>
      </c>
      <c r="W16" s="460" t="s">
        <v>7</v>
      </c>
      <c r="X16" s="461" t="s">
        <v>7</v>
      </c>
      <c r="Y16" s="568" t="s">
        <v>7</v>
      </c>
      <c r="Z16" s="575">
        <v>1</v>
      </c>
      <c r="AA16" s="576">
        <v>0</v>
      </c>
      <c r="AB16" s="429"/>
      <c r="AC16" s="186"/>
      <c r="AD16" s="4"/>
      <c r="AE16" s="4"/>
      <c r="AF16" s="4"/>
      <c r="AG16" s="4"/>
    </row>
    <row r="17" spans="1:38" s="3" customFormat="1" ht="16.2" thickBot="1" x14ac:dyDescent="0.3">
      <c r="A17" s="4"/>
      <c r="B17" s="4"/>
      <c r="C17" s="456"/>
      <c r="D17" s="456"/>
      <c r="E17" s="456"/>
      <c r="F17" s="4"/>
      <c r="G17" s="1025"/>
      <c r="H17" s="143"/>
      <c r="I17" s="143"/>
      <c r="J17" s="143"/>
      <c r="K17" s="143"/>
      <c r="L17" s="1026"/>
      <c r="M17" s="319"/>
      <c r="N17" s="1031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1032"/>
      <c r="AB17" s="429"/>
      <c r="AC17" s="186"/>
      <c r="AD17" s="4"/>
      <c r="AE17" s="4"/>
      <c r="AF17" s="4"/>
      <c r="AG17" s="4"/>
    </row>
    <row r="18" spans="1:38" s="3" customFormat="1" ht="16.2" thickBot="1" x14ac:dyDescent="0.35">
      <c r="A18" s="4"/>
      <c r="B18" s="357" t="s">
        <v>93</v>
      </c>
      <c r="C18" s="356"/>
      <c r="D18" s="356"/>
      <c r="E18" s="356"/>
      <c r="F18" s="1021"/>
      <c r="G18" s="434"/>
      <c r="H18" s="435"/>
      <c r="I18" s="435"/>
      <c r="J18" s="435"/>
      <c r="K18" s="435"/>
      <c r="L18" s="436"/>
      <c r="M18" s="308"/>
      <c r="N18" s="434"/>
      <c r="O18" s="550"/>
      <c r="P18" s="434"/>
      <c r="Q18" s="550"/>
      <c r="R18" s="434"/>
      <c r="S18" s="550"/>
      <c r="T18" s="434"/>
      <c r="U18" s="550"/>
      <c r="V18" s="434"/>
      <c r="W18" s="550"/>
      <c r="X18" s="552"/>
      <c r="Y18" s="552"/>
      <c r="Z18" s="435"/>
      <c r="AA18" s="550"/>
      <c r="AB18" s="25"/>
      <c r="AC18" s="25"/>
      <c r="AD18" s="50"/>
      <c r="AE18" s="50"/>
      <c r="AF18" s="50"/>
      <c r="AG18" s="4"/>
      <c r="AI18" s="23"/>
    </row>
    <row r="19" spans="1:38" s="3" customFormat="1" ht="15.6" x14ac:dyDescent="0.3">
      <c r="A19" s="4"/>
      <c r="B19" s="635" t="s">
        <v>13</v>
      </c>
      <c r="C19" s="446" t="s">
        <v>277</v>
      </c>
      <c r="D19" s="467" t="s">
        <v>2</v>
      </c>
      <c r="E19" s="372" t="s">
        <v>317</v>
      </c>
      <c r="F19" s="1020"/>
      <c r="G19" s="432">
        <v>117.63881718749995</v>
      </c>
      <c r="H19" s="433">
        <v>0</v>
      </c>
      <c r="I19" s="433">
        <v>13.070979687499994</v>
      </c>
      <c r="J19" s="433">
        <v>0</v>
      </c>
      <c r="K19" s="433">
        <v>33.984547187499984</v>
      </c>
      <c r="L19" s="376">
        <v>164.69434406249991</v>
      </c>
      <c r="M19" s="309"/>
      <c r="N19" s="549">
        <v>94.111053749999968</v>
      </c>
      <c r="O19" s="553">
        <v>23.527763437499985</v>
      </c>
      <c r="P19" s="549">
        <v>0</v>
      </c>
      <c r="Q19" s="558">
        <v>0</v>
      </c>
      <c r="R19" s="549">
        <v>2.614195937499999</v>
      </c>
      <c r="S19" s="553">
        <v>10.456783749999996</v>
      </c>
      <c r="T19" s="561">
        <v>0</v>
      </c>
      <c r="U19" s="562">
        <v>0</v>
      </c>
      <c r="V19" s="569">
        <v>33.984547187499984</v>
      </c>
      <c r="W19" s="570">
        <v>0</v>
      </c>
      <c r="X19" s="577">
        <v>130.70979687499994</v>
      </c>
      <c r="Y19" s="577">
        <v>33.98454718749997</v>
      </c>
      <c r="Z19" s="584">
        <v>0.79365079365079372</v>
      </c>
      <c r="AA19" s="585">
        <v>0.20634920634920628</v>
      </c>
      <c r="AB19" s="153"/>
      <c r="AC19" s="153"/>
      <c r="AD19" s="50"/>
      <c r="AE19" s="50"/>
      <c r="AF19" s="4"/>
      <c r="AG19" s="4"/>
      <c r="AI19" s="23"/>
    </row>
    <row r="20" spans="1:38" s="3" customFormat="1" ht="15.6" x14ac:dyDescent="0.3">
      <c r="A20" s="4"/>
      <c r="B20" s="636" t="s">
        <v>14</v>
      </c>
      <c r="C20" s="447" t="s">
        <v>277</v>
      </c>
      <c r="D20" s="468" t="s">
        <v>2</v>
      </c>
      <c r="E20" s="373" t="s">
        <v>317</v>
      </c>
      <c r="F20" s="1020"/>
      <c r="G20" s="184">
        <v>117.63881718749995</v>
      </c>
      <c r="H20" s="183">
        <v>0</v>
      </c>
      <c r="I20" s="183">
        <v>13.070979687499994</v>
      </c>
      <c r="J20" s="183">
        <v>0</v>
      </c>
      <c r="K20" s="183">
        <v>33.984547187499984</v>
      </c>
      <c r="L20" s="185">
        <v>164.69434406249991</v>
      </c>
      <c r="M20" s="309"/>
      <c r="N20" s="547">
        <v>94.111053749999968</v>
      </c>
      <c r="O20" s="554">
        <v>23.527763437499985</v>
      </c>
      <c r="P20" s="547">
        <v>0</v>
      </c>
      <c r="Q20" s="559">
        <v>0</v>
      </c>
      <c r="R20" s="547">
        <v>2.614195937499999</v>
      </c>
      <c r="S20" s="554">
        <v>10.456783749999996</v>
      </c>
      <c r="T20" s="563">
        <v>0</v>
      </c>
      <c r="U20" s="564">
        <v>0</v>
      </c>
      <c r="V20" s="571">
        <v>33.984547187499984</v>
      </c>
      <c r="W20" s="572">
        <v>0</v>
      </c>
      <c r="X20" s="578">
        <v>130.70979687499994</v>
      </c>
      <c r="Y20" s="578">
        <v>33.98454718749997</v>
      </c>
      <c r="Z20" s="586">
        <v>0.79365079365079372</v>
      </c>
      <c r="AA20" s="587">
        <v>0.20634920634920628</v>
      </c>
      <c r="AB20" s="153"/>
      <c r="AC20" s="153"/>
      <c r="AD20" s="50"/>
      <c r="AE20" s="50"/>
      <c r="AF20" s="50"/>
      <c r="AG20" s="4"/>
      <c r="AI20" s="23"/>
    </row>
    <row r="21" spans="1:38" s="3" customFormat="1" ht="16.2" thickBot="1" x14ac:dyDescent="0.35">
      <c r="A21" s="4"/>
      <c r="B21" s="637" t="s">
        <v>12</v>
      </c>
      <c r="C21" s="448" t="s">
        <v>277</v>
      </c>
      <c r="D21" s="469" t="s">
        <v>1</v>
      </c>
      <c r="E21" s="374" t="s">
        <v>317</v>
      </c>
      <c r="F21" s="1022"/>
      <c r="G21" s="430">
        <v>0</v>
      </c>
      <c r="H21" s="431">
        <v>0</v>
      </c>
      <c r="I21" s="431">
        <v>0</v>
      </c>
      <c r="J21" s="431">
        <v>0</v>
      </c>
      <c r="K21" s="431">
        <v>95156.732124999966</v>
      </c>
      <c r="L21" s="377">
        <v>95156.732124999966</v>
      </c>
      <c r="M21" s="309"/>
      <c r="N21" s="548">
        <v>0</v>
      </c>
      <c r="O21" s="555">
        <v>0</v>
      </c>
      <c r="P21" s="548">
        <v>0</v>
      </c>
      <c r="Q21" s="560">
        <v>0</v>
      </c>
      <c r="R21" s="548">
        <v>0</v>
      </c>
      <c r="S21" s="555">
        <v>0</v>
      </c>
      <c r="T21" s="565">
        <v>0</v>
      </c>
      <c r="U21" s="566">
        <v>0</v>
      </c>
      <c r="V21" s="573">
        <v>95156.732124999966</v>
      </c>
      <c r="W21" s="574">
        <v>0</v>
      </c>
      <c r="X21" s="579">
        <v>95156.732124999966</v>
      </c>
      <c r="Y21" s="579">
        <v>0</v>
      </c>
      <c r="Z21" s="588">
        <v>1</v>
      </c>
      <c r="AA21" s="589">
        <v>0</v>
      </c>
      <c r="AB21" s="153"/>
      <c r="AC21" s="153"/>
      <c r="AD21" s="50"/>
      <c r="AE21" s="50"/>
      <c r="AF21" s="4"/>
      <c r="AG21" s="4"/>
      <c r="AI21" s="23"/>
    </row>
    <row r="22" spans="1:38" s="3" customFormat="1" ht="16.2" thickBot="1" x14ac:dyDescent="0.35">
      <c r="A22" s="5"/>
      <c r="B22" s="51"/>
      <c r="C22" s="47"/>
      <c r="D22" s="47"/>
      <c r="E22" s="47"/>
      <c r="F22" s="1020"/>
      <c r="G22" s="1027"/>
      <c r="H22" s="63"/>
      <c r="I22" s="63"/>
      <c r="J22" s="63"/>
      <c r="K22" s="63"/>
      <c r="L22" s="1028"/>
      <c r="M22" s="310"/>
      <c r="N22" s="556"/>
      <c r="O22" s="508"/>
      <c r="P22" s="508"/>
      <c r="Q22" s="508"/>
      <c r="R22" s="508"/>
      <c r="S22" s="508"/>
      <c r="T22" s="509"/>
      <c r="U22" s="509"/>
      <c r="V22" s="509"/>
      <c r="W22" s="509"/>
      <c r="X22" s="580"/>
      <c r="Y22" s="580"/>
      <c r="Z22" s="154"/>
      <c r="AA22" s="1033"/>
      <c r="AB22" s="12"/>
      <c r="AC22" s="12"/>
      <c r="AD22" s="50"/>
      <c r="AE22" s="50"/>
      <c r="AF22" s="50"/>
      <c r="AG22" s="4"/>
      <c r="AH22" s="301"/>
      <c r="AI22" s="24"/>
    </row>
    <row r="23" spans="1:38" s="3" customFormat="1" ht="16.2" thickBot="1" x14ac:dyDescent="0.35">
      <c r="A23" s="5"/>
      <c r="B23" s="357" t="s">
        <v>16</v>
      </c>
      <c r="C23" s="356"/>
      <c r="D23" s="356"/>
      <c r="E23" s="356"/>
      <c r="F23" s="1019"/>
      <c r="G23" s="439"/>
      <c r="H23" s="440"/>
      <c r="I23" s="440"/>
      <c r="J23" s="440"/>
      <c r="K23" s="440"/>
      <c r="L23" s="378"/>
      <c r="M23" s="311"/>
      <c r="N23" s="434"/>
      <c r="O23" s="550"/>
      <c r="P23" s="434"/>
      <c r="Q23" s="550"/>
      <c r="R23" s="434"/>
      <c r="S23" s="550"/>
      <c r="T23" s="434"/>
      <c r="U23" s="550"/>
      <c r="V23" s="434"/>
      <c r="W23" s="550"/>
      <c r="X23" s="581"/>
      <c r="Y23" s="581"/>
      <c r="Z23" s="590"/>
      <c r="AA23" s="591"/>
      <c r="AB23" s="181"/>
      <c r="AC23" s="181"/>
      <c r="AD23" s="50"/>
      <c r="AE23" s="50"/>
      <c r="AF23" s="4"/>
      <c r="AG23" s="4"/>
      <c r="AI23" s="23"/>
    </row>
    <row r="24" spans="1:38" s="3" customFormat="1" ht="15.6" x14ac:dyDescent="0.3">
      <c r="A24" s="11"/>
      <c r="B24" s="635" t="s">
        <v>17</v>
      </c>
      <c r="C24" s="372" t="s">
        <v>278</v>
      </c>
      <c r="D24" s="470" t="s">
        <v>3</v>
      </c>
      <c r="E24" s="372" t="s">
        <v>318</v>
      </c>
      <c r="F24" s="1020"/>
      <c r="G24" s="437" t="s">
        <v>7</v>
      </c>
      <c r="H24" s="438" t="s">
        <v>7</v>
      </c>
      <c r="I24" s="438" t="s">
        <v>7</v>
      </c>
      <c r="J24" s="438" t="s">
        <v>7</v>
      </c>
      <c r="K24" s="438" t="s">
        <v>7</v>
      </c>
      <c r="L24" s="1029" t="s">
        <v>7</v>
      </c>
      <c r="M24" s="309"/>
      <c r="N24" s="383" t="s">
        <v>7</v>
      </c>
      <c r="O24" s="384" t="s">
        <v>7</v>
      </c>
      <c r="P24" s="383" t="s">
        <v>7</v>
      </c>
      <c r="Q24" s="384" t="s">
        <v>7</v>
      </c>
      <c r="R24" s="383" t="s">
        <v>7</v>
      </c>
      <c r="S24" s="384" t="s">
        <v>7</v>
      </c>
      <c r="T24" s="383" t="s">
        <v>7</v>
      </c>
      <c r="U24" s="384" t="s">
        <v>7</v>
      </c>
      <c r="V24" s="383" t="s">
        <v>7</v>
      </c>
      <c r="W24" s="384" t="s">
        <v>7</v>
      </c>
      <c r="X24" s="582" t="s">
        <v>7</v>
      </c>
      <c r="Y24" s="582" t="s">
        <v>7</v>
      </c>
      <c r="Z24" s="592" t="s">
        <v>7</v>
      </c>
      <c r="AA24" s="593" t="s">
        <v>7</v>
      </c>
      <c r="AB24" s="153"/>
      <c r="AC24" s="153"/>
      <c r="AD24" s="50"/>
      <c r="AE24" s="50"/>
      <c r="AF24" s="50"/>
      <c r="AG24" s="4"/>
      <c r="AI24" s="23"/>
    </row>
    <row r="25" spans="1:38" s="3" customFormat="1" ht="15.6" x14ac:dyDescent="0.3">
      <c r="A25" s="11"/>
      <c r="B25" s="636" t="s">
        <v>18</v>
      </c>
      <c r="C25" s="373" t="s">
        <v>278</v>
      </c>
      <c r="D25" s="471" t="s">
        <v>3</v>
      </c>
      <c r="E25" s="373" t="s">
        <v>318</v>
      </c>
      <c r="F25" s="1020"/>
      <c r="G25" s="184">
        <v>46.846391199999992</v>
      </c>
      <c r="H25" s="183">
        <v>7.2611906359999985</v>
      </c>
      <c r="I25" s="183">
        <v>4.8798324166666651</v>
      </c>
      <c r="J25" s="183">
        <v>4.684639119999999</v>
      </c>
      <c r="K25" s="183">
        <v>2.537512856666666</v>
      </c>
      <c r="L25" s="185">
        <v>66.209566229333319</v>
      </c>
      <c r="M25" s="309"/>
      <c r="N25" s="547">
        <v>0</v>
      </c>
      <c r="O25" s="554">
        <v>46.846391199999992</v>
      </c>
      <c r="P25" s="547">
        <v>7.2611906359999985</v>
      </c>
      <c r="Q25" s="559">
        <v>0</v>
      </c>
      <c r="R25" s="547">
        <v>0.97596648333333302</v>
      </c>
      <c r="S25" s="554">
        <v>3.9038659333333321</v>
      </c>
      <c r="T25" s="563">
        <v>0</v>
      </c>
      <c r="U25" s="564">
        <v>4.684639119999999</v>
      </c>
      <c r="V25" s="571">
        <v>2.537512856666666</v>
      </c>
      <c r="W25" s="572">
        <v>0</v>
      </c>
      <c r="X25" s="578">
        <v>10.774669975999998</v>
      </c>
      <c r="Y25" s="578">
        <v>55.434896253333321</v>
      </c>
      <c r="Z25" s="586">
        <v>0.16273584905660379</v>
      </c>
      <c r="AA25" s="587">
        <v>0.83726415094339623</v>
      </c>
      <c r="AB25" s="153"/>
      <c r="AC25" s="153"/>
      <c r="AD25" s="50"/>
      <c r="AE25" s="50"/>
      <c r="AF25" s="4"/>
      <c r="AG25" s="4"/>
      <c r="AI25" s="23"/>
    </row>
    <row r="26" spans="1:38" s="3" customFormat="1" ht="15.6" x14ac:dyDescent="0.3">
      <c r="A26" s="11"/>
      <c r="B26" s="636" t="s">
        <v>19</v>
      </c>
      <c r="C26" s="447" t="s">
        <v>278</v>
      </c>
      <c r="D26" s="468" t="s">
        <v>1</v>
      </c>
      <c r="E26" s="373" t="s">
        <v>318</v>
      </c>
      <c r="F26" s="1020"/>
      <c r="G26" s="184">
        <v>66231.195112727306</v>
      </c>
      <c r="H26" s="183">
        <v>10033.645242472729</v>
      </c>
      <c r="I26" s="183">
        <v>6743.0411575757571</v>
      </c>
      <c r="J26" s="183">
        <v>6473.319511272729</v>
      </c>
      <c r="K26" s="183">
        <v>10519.14420581818</v>
      </c>
      <c r="L26" s="185">
        <v>100000.34522986671</v>
      </c>
      <c r="M26" s="309"/>
      <c r="N26" s="547">
        <v>0</v>
      </c>
      <c r="O26" s="554">
        <v>64733.195112727284</v>
      </c>
      <c r="P26" s="547">
        <v>10033.645242472729</v>
      </c>
      <c r="Q26" s="559">
        <v>0</v>
      </c>
      <c r="R26" s="547">
        <v>1348.6082315151516</v>
      </c>
      <c r="S26" s="554">
        <v>5394.4329260606055</v>
      </c>
      <c r="T26" s="563">
        <v>0</v>
      </c>
      <c r="U26" s="564">
        <v>6473.319511272729</v>
      </c>
      <c r="V26" s="571">
        <v>10519.14420581818</v>
      </c>
      <c r="W26" s="572">
        <v>0</v>
      </c>
      <c r="X26" s="578">
        <v>21901.397679806061</v>
      </c>
      <c r="Y26" s="578">
        <v>76600.94755006062</v>
      </c>
      <c r="Z26" s="586">
        <v>0.22234392113910184</v>
      </c>
      <c r="AA26" s="587">
        <v>0.77765607886089816</v>
      </c>
      <c r="AB26" s="153"/>
      <c r="AC26" s="153"/>
      <c r="AD26" s="50"/>
      <c r="AE26" s="50"/>
      <c r="AF26" s="50"/>
      <c r="AG26" s="4"/>
      <c r="AI26" s="23"/>
    </row>
    <row r="27" spans="1:38" s="3" customFormat="1" ht="15.6" x14ac:dyDescent="0.3">
      <c r="A27" s="4"/>
      <c r="B27" s="636" t="s">
        <v>20</v>
      </c>
      <c r="C27" s="447" t="s">
        <v>277</v>
      </c>
      <c r="D27" s="468" t="s">
        <v>1</v>
      </c>
      <c r="E27" s="373" t="s">
        <v>317</v>
      </c>
      <c r="F27" s="1020"/>
      <c r="G27" s="184">
        <v>85208.908087500007</v>
      </c>
      <c r="H27" s="183">
        <v>0</v>
      </c>
      <c r="I27" s="183">
        <v>6430.922006249998</v>
      </c>
      <c r="J27" s="183">
        <v>0</v>
      </c>
      <c r="K27" s="183">
        <v>8360.1986081249979</v>
      </c>
      <c r="L27" s="185">
        <v>100000.028701875</v>
      </c>
      <c r="M27" s="309"/>
      <c r="N27" s="547">
        <v>72026.326469999971</v>
      </c>
      <c r="O27" s="554">
        <v>18006.581617499993</v>
      </c>
      <c r="P27" s="547">
        <v>0</v>
      </c>
      <c r="Q27" s="559">
        <v>0</v>
      </c>
      <c r="R27" s="547">
        <v>1286.1844012499996</v>
      </c>
      <c r="S27" s="554">
        <v>5144.7376049999984</v>
      </c>
      <c r="T27" s="563">
        <v>0</v>
      </c>
      <c r="U27" s="564">
        <v>0</v>
      </c>
      <c r="V27" s="571">
        <v>8360.1986081249979</v>
      </c>
      <c r="W27" s="572">
        <v>0</v>
      </c>
      <c r="X27" s="578">
        <v>81672.709479374957</v>
      </c>
      <c r="Y27" s="578">
        <v>23151.319222499995</v>
      </c>
      <c r="Z27" s="586">
        <v>0.77914110429447847</v>
      </c>
      <c r="AA27" s="587">
        <v>0.22085889570552153</v>
      </c>
      <c r="AB27" s="153"/>
      <c r="AC27" s="153"/>
      <c r="AD27" s="50"/>
      <c r="AE27" s="50"/>
      <c r="AF27" s="4"/>
      <c r="AG27" s="4"/>
      <c r="AI27" s="23"/>
    </row>
    <row r="28" spans="1:38" s="3" customFormat="1" ht="16.2" thickBot="1" x14ac:dyDescent="0.35">
      <c r="A28" s="4"/>
      <c r="B28" s="637" t="s">
        <v>240</v>
      </c>
      <c r="C28" s="374" t="s">
        <v>277</v>
      </c>
      <c r="D28" s="472" t="s">
        <v>1</v>
      </c>
      <c r="E28" s="374" t="s">
        <v>317</v>
      </c>
      <c r="F28" s="1020"/>
      <c r="G28" s="500">
        <f>257668.711656442*180000/300000</f>
        <v>154601.22699386522</v>
      </c>
      <c r="H28" s="431">
        <v>0</v>
      </c>
      <c r="I28" s="501">
        <f>18404.9079754601*180000/300000</f>
        <v>11042.94478527606</v>
      </c>
      <c r="J28" s="431">
        <v>0</v>
      </c>
      <c r="K28" s="501">
        <f>23926.3803680982*180000/300000</f>
        <v>14355.828220858921</v>
      </c>
      <c r="L28" s="1030">
        <v>180000</v>
      </c>
      <c r="M28" s="309"/>
      <c r="N28" s="548">
        <v>206134.96932515339</v>
      </c>
      <c r="O28" s="555">
        <v>51533.742331288347</v>
      </c>
      <c r="P28" s="548">
        <v>0</v>
      </c>
      <c r="Q28" s="560">
        <v>0</v>
      </c>
      <c r="R28" s="548">
        <v>3680.9815950920256</v>
      </c>
      <c r="S28" s="555">
        <v>14723.926380368101</v>
      </c>
      <c r="T28" s="565">
        <v>0</v>
      </c>
      <c r="U28" s="566">
        <v>0</v>
      </c>
      <c r="V28" s="573">
        <v>23926.380368098165</v>
      </c>
      <c r="W28" s="574">
        <v>0</v>
      </c>
      <c r="X28" s="579">
        <v>233742.33128834359</v>
      </c>
      <c r="Y28" s="579">
        <v>66257.668711656414</v>
      </c>
      <c r="Z28" s="588">
        <v>0.77914110429447858</v>
      </c>
      <c r="AA28" s="589">
        <v>0.22085889570552142</v>
      </c>
      <c r="AB28" s="153"/>
      <c r="AC28" s="153"/>
      <c r="AD28" s="50"/>
      <c r="AE28" s="50"/>
      <c r="AF28" s="50"/>
      <c r="AG28" s="4"/>
      <c r="AI28" s="23"/>
    </row>
    <row r="29" spans="1:38" s="3" customFormat="1" ht="16.2" thickBot="1" x14ac:dyDescent="0.35">
      <c r="A29" s="4"/>
      <c r="B29" s="51"/>
      <c r="C29" s="48"/>
      <c r="D29" s="48"/>
      <c r="E29" s="48"/>
      <c r="F29" s="1023"/>
      <c r="G29" s="1027"/>
      <c r="H29" s="63"/>
      <c r="I29" s="63"/>
      <c r="J29" s="63"/>
      <c r="K29" s="63"/>
      <c r="L29" s="1028"/>
      <c r="M29" s="312"/>
      <c r="N29" s="556"/>
      <c r="O29" s="508"/>
      <c r="P29" s="508"/>
      <c r="Q29" s="508"/>
      <c r="R29" s="508"/>
      <c r="S29" s="508"/>
      <c r="T29" s="509"/>
      <c r="U29" s="509"/>
      <c r="V29" s="509"/>
      <c r="W29" s="509"/>
      <c r="X29" s="580"/>
      <c r="Y29" s="580"/>
      <c r="Z29" s="155"/>
      <c r="AA29" s="1034"/>
      <c r="AB29" s="6"/>
      <c r="AC29" s="6"/>
      <c r="AD29" s="50"/>
      <c r="AE29" s="50"/>
      <c r="AF29" s="4"/>
      <c r="AG29" s="4"/>
      <c r="AH29" s="4"/>
      <c r="AI29" s="6"/>
      <c r="AJ29" s="4"/>
      <c r="AK29" s="4"/>
      <c r="AL29" s="4"/>
    </row>
    <row r="30" spans="1:38" s="3" customFormat="1" ht="16.2" thickBot="1" x14ac:dyDescent="0.35">
      <c r="A30" s="4"/>
      <c r="B30" s="357" t="s">
        <v>21</v>
      </c>
      <c r="C30" s="356"/>
      <c r="D30" s="356"/>
      <c r="E30" s="356"/>
      <c r="F30" s="1019"/>
      <c r="G30" s="439"/>
      <c r="H30" s="440"/>
      <c r="I30" s="440"/>
      <c r="J30" s="440"/>
      <c r="K30" s="440"/>
      <c r="L30" s="378"/>
      <c r="M30" s="311"/>
      <c r="N30" s="434"/>
      <c r="O30" s="550"/>
      <c r="P30" s="434"/>
      <c r="Q30" s="550"/>
      <c r="R30" s="434"/>
      <c r="S30" s="550"/>
      <c r="T30" s="434"/>
      <c r="U30" s="550"/>
      <c r="V30" s="434"/>
      <c r="W30" s="550"/>
      <c r="X30" s="581"/>
      <c r="Y30" s="581"/>
      <c r="Z30" s="590"/>
      <c r="AA30" s="591"/>
      <c r="AB30" s="181"/>
      <c r="AC30" s="181"/>
      <c r="AD30" s="50"/>
      <c r="AE30" s="50"/>
      <c r="AF30" s="50"/>
      <c r="AG30" s="4"/>
      <c r="AI30" s="23"/>
    </row>
    <row r="31" spans="1:38" s="8" customFormat="1" ht="15.6" x14ac:dyDescent="0.3">
      <c r="A31" s="4"/>
      <c r="B31" s="635" t="s">
        <v>22</v>
      </c>
      <c r="C31" s="446" t="s">
        <v>277</v>
      </c>
      <c r="D31" s="467" t="s">
        <v>2</v>
      </c>
      <c r="E31" s="372" t="s">
        <v>317</v>
      </c>
      <c r="F31" s="1020"/>
      <c r="G31" s="432">
        <v>141.16658062499994</v>
      </c>
      <c r="H31" s="433">
        <v>0</v>
      </c>
      <c r="I31" s="433">
        <v>15.685175624999994</v>
      </c>
      <c r="J31" s="433">
        <v>0</v>
      </c>
      <c r="K31" s="433">
        <v>40.781456624999983</v>
      </c>
      <c r="L31" s="376">
        <v>197.63321287499991</v>
      </c>
      <c r="M31" s="309"/>
      <c r="N31" s="549">
        <v>112.93326449999995</v>
      </c>
      <c r="O31" s="553">
        <v>28.233316124999988</v>
      </c>
      <c r="P31" s="549">
        <v>0</v>
      </c>
      <c r="Q31" s="558">
        <v>0</v>
      </c>
      <c r="R31" s="549">
        <v>3.1370351249999988</v>
      </c>
      <c r="S31" s="553">
        <v>12.548140499999995</v>
      </c>
      <c r="T31" s="561">
        <v>0</v>
      </c>
      <c r="U31" s="562">
        <v>0</v>
      </c>
      <c r="V31" s="569">
        <v>40.781456624999983</v>
      </c>
      <c r="W31" s="570">
        <v>0</v>
      </c>
      <c r="X31" s="577">
        <v>156.85175624999994</v>
      </c>
      <c r="Y31" s="577">
        <v>40.781456624999976</v>
      </c>
      <c r="Z31" s="584">
        <v>0.79365079365079372</v>
      </c>
      <c r="AA31" s="585">
        <v>0.20634920634920628</v>
      </c>
      <c r="AB31" s="153"/>
      <c r="AC31" s="153"/>
      <c r="AD31" s="50"/>
      <c r="AE31" s="50"/>
      <c r="AF31" s="4"/>
      <c r="AG31" s="4"/>
      <c r="AI31" s="25"/>
    </row>
    <row r="32" spans="1:38" s="3" customFormat="1" ht="15.6" x14ac:dyDescent="0.3">
      <c r="A32" s="5"/>
      <c r="B32" s="636" t="s">
        <v>32</v>
      </c>
      <c r="C32" s="373" t="s">
        <v>277</v>
      </c>
      <c r="D32" s="471" t="s">
        <v>117</v>
      </c>
      <c r="E32" s="373" t="s">
        <v>317</v>
      </c>
      <c r="F32" s="1020"/>
      <c r="G32" s="184">
        <v>398.92630006249982</v>
      </c>
      <c r="H32" s="183">
        <v>0</v>
      </c>
      <c r="I32" s="183">
        <v>56.989471437499986</v>
      </c>
      <c r="J32" s="183">
        <v>0</v>
      </c>
      <c r="K32" s="183">
        <v>177.80715088499994</v>
      </c>
      <c r="L32" s="185">
        <v>633.72292238499972</v>
      </c>
      <c r="M32" s="313"/>
      <c r="N32" s="547">
        <v>319.1410400499999</v>
      </c>
      <c r="O32" s="554">
        <v>79.785260012499919</v>
      </c>
      <c r="P32" s="547">
        <v>0</v>
      </c>
      <c r="Q32" s="559">
        <v>0</v>
      </c>
      <c r="R32" s="547">
        <v>11.397894287499998</v>
      </c>
      <c r="S32" s="554">
        <v>45.591577149999992</v>
      </c>
      <c r="T32" s="563">
        <v>0</v>
      </c>
      <c r="U32" s="564">
        <v>0</v>
      </c>
      <c r="V32" s="571">
        <v>177.80715088499994</v>
      </c>
      <c r="W32" s="572">
        <v>0</v>
      </c>
      <c r="X32" s="578">
        <v>508.34608522249982</v>
      </c>
      <c r="Y32" s="578">
        <v>125.3768371624999</v>
      </c>
      <c r="Z32" s="594">
        <v>0.80215827338129508</v>
      </c>
      <c r="AA32" s="595">
        <v>0.19784172661870492</v>
      </c>
      <c r="AB32" s="163"/>
      <c r="AC32" s="163"/>
      <c r="AD32" s="50"/>
      <c r="AE32" s="50"/>
      <c r="AF32" s="50"/>
      <c r="AG32" s="4"/>
      <c r="AI32" s="23"/>
    </row>
    <row r="33" spans="1:35" s="3" customFormat="1" ht="15.6" x14ac:dyDescent="0.3">
      <c r="A33" s="4"/>
      <c r="B33" s="636" t="s">
        <v>31</v>
      </c>
      <c r="C33" s="373" t="s">
        <v>277</v>
      </c>
      <c r="D33" s="471" t="s">
        <v>118</v>
      </c>
      <c r="E33" s="373" t="s">
        <v>317</v>
      </c>
      <c r="F33" s="1020"/>
      <c r="G33" s="184">
        <v>52.5</v>
      </c>
      <c r="H33" s="183">
        <v>0</v>
      </c>
      <c r="I33" s="183">
        <v>7.5</v>
      </c>
      <c r="J33" s="183">
        <v>0</v>
      </c>
      <c r="K33" s="183">
        <v>23.400000000000002</v>
      </c>
      <c r="L33" s="185">
        <v>83.4</v>
      </c>
      <c r="M33" s="308"/>
      <c r="N33" s="547">
        <v>42</v>
      </c>
      <c r="O33" s="554">
        <v>10.5</v>
      </c>
      <c r="P33" s="547">
        <v>0</v>
      </c>
      <c r="Q33" s="559">
        <v>0</v>
      </c>
      <c r="R33" s="547">
        <v>1.5</v>
      </c>
      <c r="S33" s="554">
        <v>6</v>
      </c>
      <c r="T33" s="563">
        <v>0</v>
      </c>
      <c r="U33" s="564">
        <v>0</v>
      </c>
      <c r="V33" s="571">
        <v>23.400000000000002</v>
      </c>
      <c r="W33" s="572">
        <v>0</v>
      </c>
      <c r="X33" s="578">
        <v>66.900000000000006</v>
      </c>
      <c r="Y33" s="578">
        <v>16.5</v>
      </c>
      <c r="Z33" s="594">
        <v>0.80215827338129497</v>
      </c>
      <c r="AA33" s="595">
        <v>0.19784172661870503</v>
      </c>
      <c r="AB33" s="25"/>
      <c r="AC33" s="25"/>
      <c r="AD33" s="50"/>
      <c r="AE33" s="50"/>
      <c r="AF33" s="4"/>
      <c r="AG33" s="4"/>
      <c r="AI33" s="23"/>
    </row>
    <row r="34" spans="1:35" s="3" customFormat="1" ht="15.6" x14ac:dyDescent="0.3">
      <c r="A34" s="4"/>
      <c r="B34" s="636" t="s">
        <v>30</v>
      </c>
      <c r="C34" s="449" t="s">
        <v>277</v>
      </c>
      <c r="D34" s="473" t="s">
        <v>1</v>
      </c>
      <c r="E34" s="373" t="s">
        <v>317</v>
      </c>
      <c r="F34" s="1020"/>
      <c r="G34" s="184">
        <v>1307.0979687499996</v>
      </c>
      <c r="H34" s="183">
        <v>0</v>
      </c>
      <c r="I34" s="183">
        <v>261.41959374999993</v>
      </c>
      <c r="J34" s="183">
        <v>0</v>
      </c>
      <c r="K34" s="183">
        <v>951.56732124999974</v>
      </c>
      <c r="L34" s="185">
        <v>2520.0848837499993</v>
      </c>
      <c r="M34" s="313"/>
      <c r="N34" s="547">
        <v>1045.6783749999997</v>
      </c>
      <c r="O34" s="554">
        <v>261.41959374999988</v>
      </c>
      <c r="P34" s="547">
        <v>0</v>
      </c>
      <c r="Q34" s="559">
        <v>0</v>
      </c>
      <c r="R34" s="547">
        <v>52.283918749999991</v>
      </c>
      <c r="S34" s="554">
        <v>209.13567499999994</v>
      </c>
      <c r="T34" s="563">
        <v>0</v>
      </c>
      <c r="U34" s="564">
        <v>0</v>
      </c>
      <c r="V34" s="571">
        <v>951.56732124999974</v>
      </c>
      <c r="W34" s="572">
        <v>0</v>
      </c>
      <c r="X34" s="578">
        <v>2049.5296149999995</v>
      </c>
      <c r="Y34" s="578">
        <v>470.55526874999987</v>
      </c>
      <c r="Z34" s="594">
        <v>0.81327800829875518</v>
      </c>
      <c r="AA34" s="595">
        <v>0.18672199170124482</v>
      </c>
      <c r="AB34" s="163"/>
      <c r="AC34" s="163"/>
      <c r="AD34" s="50"/>
      <c r="AE34" s="50"/>
      <c r="AF34" s="50"/>
      <c r="AG34" s="4"/>
      <c r="AI34" s="23"/>
    </row>
    <row r="35" spans="1:35" s="3" customFormat="1" x14ac:dyDescent="0.25">
      <c r="A35" s="4"/>
      <c r="B35" s="636" t="s">
        <v>29</v>
      </c>
      <c r="C35" s="373" t="s">
        <v>277</v>
      </c>
      <c r="D35" s="471" t="s">
        <v>118</v>
      </c>
      <c r="E35" s="373" t="s">
        <v>317</v>
      </c>
      <c r="F35" s="1020"/>
      <c r="G35" s="184">
        <v>52.5</v>
      </c>
      <c r="H35" s="183">
        <v>0</v>
      </c>
      <c r="I35" s="183">
        <v>7.5</v>
      </c>
      <c r="J35" s="183">
        <v>0</v>
      </c>
      <c r="K35" s="183">
        <v>23.400000000000002</v>
      </c>
      <c r="L35" s="185">
        <v>83.4</v>
      </c>
      <c r="M35" s="313"/>
      <c r="N35" s="547">
        <v>42</v>
      </c>
      <c r="O35" s="554">
        <v>10.5</v>
      </c>
      <c r="P35" s="547">
        <v>0</v>
      </c>
      <c r="Q35" s="559">
        <v>0</v>
      </c>
      <c r="R35" s="547">
        <v>1.5</v>
      </c>
      <c r="S35" s="554">
        <v>6</v>
      </c>
      <c r="T35" s="563">
        <v>0</v>
      </c>
      <c r="U35" s="564">
        <v>0</v>
      </c>
      <c r="V35" s="571">
        <v>23.400000000000002</v>
      </c>
      <c r="W35" s="572">
        <v>0</v>
      </c>
      <c r="X35" s="578">
        <v>66.900000000000006</v>
      </c>
      <c r="Y35" s="578">
        <v>16.5</v>
      </c>
      <c r="Z35" s="594">
        <v>0.80215827338129497</v>
      </c>
      <c r="AA35" s="595">
        <v>0.19784172661870503</v>
      </c>
      <c r="AB35" s="163"/>
      <c r="AC35" s="163"/>
      <c r="AF35" s="4"/>
      <c r="AG35" s="4"/>
      <c r="AI35" s="23"/>
    </row>
    <row r="36" spans="1:35" s="3" customFormat="1" ht="16.2" thickBot="1" x14ac:dyDescent="0.35">
      <c r="A36" s="4"/>
      <c r="B36" s="637" t="s">
        <v>28</v>
      </c>
      <c r="C36" s="448" t="s">
        <v>277</v>
      </c>
      <c r="D36" s="469" t="s">
        <v>1</v>
      </c>
      <c r="E36" s="374" t="s">
        <v>317</v>
      </c>
      <c r="F36" s="1020"/>
      <c r="G36" s="430">
        <v>41827.134999999987</v>
      </c>
      <c r="H36" s="431">
        <v>0</v>
      </c>
      <c r="I36" s="431">
        <v>5228.3918749999984</v>
      </c>
      <c r="J36" s="431">
        <v>0</v>
      </c>
      <c r="K36" s="431">
        <v>14953.200762499997</v>
      </c>
      <c r="L36" s="377">
        <v>62008.727637499986</v>
      </c>
      <c r="M36" s="313"/>
      <c r="N36" s="548">
        <v>33461.707999999991</v>
      </c>
      <c r="O36" s="555">
        <v>8365.426999999996</v>
      </c>
      <c r="P36" s="548">
        <v>0</v>
      </c>
      <c r="Q36" s="560">
        <v>0</v>
      </c>
      <c r="R36" s="548">
        <v>1045.6783749999997</v>
      </c>
      <c r="S36" s="555">
        <v>4182.7134999999989</v>
      </c>
      <c r="T36" s="565">
        <v>0</v>
      </c>
      <c r="U36" s="566">
        <v>0</v>
      </c>
      <c r="V36" s="573">
        <v>14953.200762499997</v>
      </c>
      <c r="W36" s="574">
        <v>0</v>
      </c>
      <c r="X36" s="579">
        <v>49460.587137499992</v>
      </c>
      <c r="Y36" s="579">
        <v>12548.140499999994</v>
      </c>
      <c r="Z36" s="596">
        <v>0.79763912310286678</v>
      </c>
      <c r="AA36" s="597">
        <v>0.20236087689713322</v>
      </c>
      <c r="AB36" s="163"/>
      <c r="AC36" s="163"/>
      <c r="AD36" s="50"/>
      <c r="AE36" s="50"/>
      <c r="AF36" s="50"/>
      <c r="AG36" s="4"/>
      <c r="AI36" s="23"/>
    </row>
    <row r="37" spans="1:35" s="3" customFormat="1" ht="16.2" thickBot="1" x14ac:dyDescent="0.35">
      <c r="A37" s="4"/>
      <c r="B37" s="51"/>
      <c r="C37" s="46"/>
      <c r="D37" s="46"/>
      <c r="E37" s="46"/>
      <c r="F37" s="1024"/>
      <c r="G37" s="1027"/>
      <c r="H37" s="63"/>
      <c r="I37" s="63"/>
      <c r="J37" s="63"/>
      <c r="K37" s="63"/>
      <c r="L37" s="1028"/>
      <c r="M37" s="312"/>
      <c r="N37" s="556"/>
      <c r="O37" s="508"/>
      <c r="P37" s="508"/>
      <c r="Q37" s="508"/>
      <c r="R37" s="508"/>
      <c r="S37" s="508"/>
      <c r="T37" s="509"/>
      <c r="U37" s="509"/>
      <c r="V37" s="509"/>
      <c r="W37" s="509"/>
      <c r="X37" s="580"/>
      <c r="Y37" s="580"/>
      <c r="Z37" s="155"/>
      <c r="AA37" s="1034"/>
      <c r="AB37" s="6"/>
      <c r="AC37" s="6"/>
      <c r="AD37" s="50"/>
      <c r="AE37" s="50"/>
      <c r="AF37" s="4"/>
      <c r="AG37" s="4"/>
      <c r="AI37" s="23"/>
    </row>
    <row r="38" spans="1:35" s="3" customFormat="1" ht="16.2" thickBot="1" x14ac:dyDescent="0.35">
      <c r="A38" s="4"/>
      <c r="B38" s="357" t="s">
        <v>23</v>
      </c>
      <c r="C38" s="356"/>
      <c r="D38" s="356"/>
      <c r="E38" s="356"/>
      <c r="F38" s="1019"/>
      <c r="G38" s="439"/>
      <c r="H38" s="440"/>
      <c r="I38" s="440"/>
      <c r="J38" s="440"/>
      <c r="K38" s="440"/>
      <c r="L38" s="378"/>
      <c r="M38" s="314"/>
      <c r="N38" s="434"/>
      <c r="O38" s="550"/>
      <c r="P38" s="434"/>
      <c r="Q38" s="550"/>
      <c r="R38" s="434"/>
      <c r="S38" s="550"/>
      <c r="T38" s="434"/>
      <c r="U38" s="550"/>
      <c r="V38" s="434"/>
      <c r="W38" s="550"/>
      <c r="X38" s="581"/>
      <c r="Y38" s="581"/>
      <c r="Z38" s="590"/>
      <c r="AA38" s="591"/>
      <c r="AB38" s="162"/>
      <c r="AC38" s="162"/>
      <c r="AD38" s="50"/>
      <c r="AE38" s="50"/>
      <c r="AF38" s="50"/>
      <c r="AG38" s="4"/>
      <c r="AI38" s="23"/>
    </row>
    <row r="39" spans="1:35" s="3" customFormat="1" ht="15.6" x14ac:dyDescent="0.3">
      <c r="A39" s="11"/>
      <c r="B39" s="635" t="s">
        <v>24</v>
      </c>
      <c r="C39" s="446" t="s">
        <v>287</v>
      </c>
      <c r="D39" s="467" t="s">
        <v>1</v>
      </c>
      <c r="E39" s="372" t="s">
        <v>318</v>
      </c>
      <c r="F39" s="1020"/>
      <c r="G39" s="432">
        <v>29981.690367999989</v>
      </c>
      <c r="H39" s="433">
        <v>149.90845183999994</v>
      </c>
      <c r="I39" s="433">
        <v>3504.6069174242421</v>
      </c>
      <c r="J39" s="433">
        <v>2998.169036799999</v>
      </c>
      <c r="K39" s="433">
        <v>911.19779853030298</v>
      </c>
      <c r="L39" s="376">
        <v>37545.57257259453</v>
      </c>
      <c r="M39" s="313"/>
      <c r="N39" s="549">
        <v>0</v>
      </c>
      <c r="O39" s="553">
        <v>29981.690367999989</v>
      </c>
      <c r="P39" s="549">
        <v>149.90845183999994</v>
      </c>
      <c r="Q39" s="558">
        <v>0</v>
      </c>
      <c r="R39" s="549">
        <v>700.92138348484843</v>
      </c>
      <c r="S39" s="553">
        <v>2803.6855339393937</v>
      </c>
      <c r="T39" s="561">
        <v>0</v>
      </c>
      <c r="U39" s="562">
        <v>2998.169036799999</v>
      </c>
      <c r="V39" s="569">
        <v>911.19779853030298</v>
      </c>
      <c r="W39" s="570">
        <v>0</v>
      </c>
      <c r="X39" s="577">
        <v>1762.0276338551512</v>
      </c>
      <c r="Y39" s="577">
        <v>35783.544938739382</v>
      </c>
      <c r="Z39" s="427">
        <v>4.6930370563620066E-2</v>
      </c>
      <c r="AA39" s="598">
        <v>0.95306962943637996</v>
      </c>
      <c r="AB39" s="163"/>
      <c r="AC39" s="163"/>
      <c r="AD39" s="50"/>
      <c r="AE39" s="50"/>
      <c r="AF39" s="4"/>
      <c r="AG39" s="4"/>
      <c r="AI39" s="22"/>
    </row>
    <row r="40" spans="1:35" s="8" customFormat="1" ht="16.2" thickBot="1" x14ac:dyDescent="0.35">
      <c r="A40" s="11"/>
      <c r="B40" s="637" t="s">
        <v>25</v>
      </c>
      <c r="C40" s="448" t="s">
        <v>287</v>
      </c>
      <c r="D40" s="469" t="s">
        <v>1</v>
      </c>
      <c r="E40" s="374" t="s">
        <v>318</v>
      </c>
      <c r="F40" s="1020"/>
      <c r="G40" s="430">
        <v>7495.4225919999972</v>
      </c>
      <c r="H40" s="431">
        <v>37.477112959999985</v>
      </c>
      <c r="I40" s="431">
        <v>754.1559189393937</v>
      </c>
      <c r="J40" s="431">
        <v>749.54225919999976</v>
      </c>
      <c r="K40" s="431">
        <v>784.3221556969695</v>
      </c>
      <c r="L40" s="377">
        <v>9820.9200387963592</v>
      </c>
      <c r="M40" s="313"/>
      <c r="N40" s="548">
        <v>0</v>
      </c>
      <c r="O40" s="555">
        <v>7495.4225919999972</v>
      </c>
      <c r="P40" s="548">
        <v>37.477112959999985</v>
      </c>
      <c r="Q40" s="560">
        <v>0</v>
      </c>
      <c r="R40" s="548">
        <v>150.83118378787876</v>
      </c>
      <c r="S40" s="555">
        <v>603.32473515151491</v>
      </c>
      <c r="T40" s="565">
        <v>0</v>
      </c>
      <c r="U40" s="566">
        <v>749.54225919999976</v>
      </c>
      <c r="V40" s="573">
        <v>784.3221556969695</v>
      </c>
      <c r="W40" s="574">
        <v>0</v>
      </c>
      <c r="X40" s="579">
        <v>972.63045244484829</v>
      </c>
      <c r="Y40" s="579">
        <v>8848.2895863515114</v>
      </c>
      <c r="Z40" s="596">
        <v>9.9036592152526345E-2</v>
      </c>
      <c r="AA40" s="597">
        <v>0.90096340784747364</v>
      </c>
      <c r="AB40" s="163"/>
      <c r="AC40" s="163"/>
      <c r="AD40" s="50"/>
      <c r="AE40" s="50"/>
      <c r="AF40" s="50"/>
      <c r="AG40" s="4"/>
      <c r="AI40" s="22"/>
    </row>
    <row r="41" spans="1:35" s="3" customFormat="1" ht="16.2" thickBot="1" x14ac:dyDescent="0.35">
      <c r="A41" s="4"/>
      <c r="B41" s="51"/>
      <c r="C41" s="48"/>
      <c r="D41" s="48"/>
      <c r="E41" s="48"/>
      <c r="F41" s="1023"/>
      <c r="G41" s="1027"/>
      <c r="H41" s="63"/>
      <c r="I41" s="63"/>
      <c r="J41" s="63"/>
      <c r="K41" s="63"/>
      <c r="L41" s="1028"/>
      <c r="M41" s="312"/>
      <c r="N41" s="556"/>
      <c r="O41" s="508"/>
      <c r="P41" s="508"/>
      <c r="Q41" s="508"/>
      <c r="R41" s="508"/>
      <c r="S41" s="508"/>
      <c r="T41" s="509"/>
      <c r="U41" s="509"/>
      <c r="V41" s="509"/>
      <c r="W41" s="509"/>
      <c r="X41" s="580"/>
      <c r="Y41" s="580"/>
      <c r="Z41" s="155"/>
      <c r="AA41" s="1034"/>
      <c r="AB41" s="6"/>
      <c r="AC41" s="6"/>
      <c r="AD41" s="50"/>
      <c r="AE41" s="50"/>
      <c r="AF41" s="4"/>
      <c r="AG41" s="4"/>
      <c r="AH41" s="4"/>
      <c r="AI41" s="163"/>
    </row>
    <row r="42" spans="1:35" s="3" customFormat="1" ht="16.2" thickBot="1" x14ac:dyDescent="0.35">
      <c r="A42" s="1"/>
      <c r="B42" s="357" t="s">
        <v>131</v>
      </c>
      <c r="C42" s="356"/>
      <c r="D42" s="356"/>
      <c r="E42" s="356"/>
      <c r="F42" s="1019"/>
      <c r="G42" s="439"/>
      <c r="H42" s="440"/>
      <c r="I42" s="440"/>
      <c r="J42" s="440"/>
      <c r="K42" s="440"/>
      <c r="L42" s="378"/>
      <c r="M42" s="314"/>
      <c r="N42" s="434"/>
      <c r="O42" s="550"/>
      <c r="P42" s="434"/>
      <c r="Q42" s="550"/>
      <c r="R42" s="434"/>
      <c r="S42" s="550"/>
      <c r="T42" s="434"/>
      <c r="U42" s="550"/>
      <c r="V42" s="434"/>
      <c r="W42" s="550"/>
      <c r="X42" s="581"/>
      <c r="Y42" s="581"/>
      <c r="Z42" s="590"/>
      <c r="AA42" s="591"/>
      <c r="AB42" s="162"/>
      <c r="AC42" s="162"/>
      <c r="AD42" s="50"/>
      <c r="AE42" s="50"/>
      <c r="AF42" s="50"/>
      <c r="AG42" s="4"/>
      <c r="AI42" s="22"/>
    </row>
    <row r="43" spans="1:35" s="3" customFormat="1" ht="15.6" x14ac:dyDescent="0.3">
      <c r="A43" s="1"/>
      <c r="B43" s="635" t="s">
        <v>26</v>
      </c>
      <c r="C43" s="446" t="s">
        <v>278</v>
      </c>
      <c r="D43" s="467" t="s">
        <v>1</v>
      </c>
      <c r="E43" s="372" t="s">
        <v>318</v>
      </c>
      <c r="F43" s="1020"/>
      <c r="G43" s="432">
        <v>562156.69439999992</v>
      </c>
      <c r="H43" s="433">
        <v>2810.7834719999996</v>
      </c>
      <c r="I43" s="433">
        <v>43208.697943939384</v>
      </c>
      <c r="J43" s="433">
        <v>56215.669439999998</v>
      </c>
      <c r="K43" s="433">
        <v>44937.045861696963</v>
      </c>
      <c r="L43" s="376">
        <v>709328.89111763623</v>
      </c>
      <c r="M43" s="313"/>
      <c r="N43" s="549">
        <v>0</v>
      </c>
      <c r="O43" s="553">
        <v>562156.69439999992</v>
      </c>
      <c r="P43" s="549">
        <v>2810.7834719999996</v>
      </c>
      <c r="Q43" s="558">
        <v>0</v>
      </c>
      <c r="R43" s="549">
        <v>8641.7395887878774</v>
      </c>
      <c r="S43" s="553">
        <v>34566.95835515151</v>
      </c>
      <c r="T43" s="561">
        <v>0</v>
      </c>
      <c r="U43" s="562">
        <v>56215.669439999998</v>
      </c>
      <c r="V43" s="569">
        <v>44937.045861696963</v>
      </c>
      <c r="W43" s="570">
        <v>0</v>
      </c>
      <c r="X43" s="577">
        <v>56389.568922484839</v>
      </c>
      <c r="Y43" s="577">
        <v>652939.32219515136</v>
      </c>
      <c r="Z43" s="427">
        <v>7.9497070581230705E-2</v>
      </c>
      <c r="AA43" s="598">
        <v>0.92050292941876932</v>
      </c>
      <c r="AB43" s="163"/>
      <c r="AC43" s="163"/>
      <c r="AD43" s="50"/>
      <c r="AE43" s="50"/>
      <c r="AF43" s="4"/>
      <c r="AG43" s="4"/>
      <c r="AI43" s="23"/>
    </row>
    <row r="44" spans="1:35" s="3" customFormat="1" ht="16.2" thickBot="1" x14ac:dyDescent="0.35">
      <c r="A44" s="11"/>
      <c r="B44" s="637" t="s">
        <v>27</v>
      </c>
      <c r="C44" s="448" t="s">
        <v>278</v>
      </c>
      <c r="D44" s="469" t="s">
        <v>1</v>
      </c>
      <c r="E44" s="374" t="s">
        <v>318</v>
      </c>
      <c r="F44" s="1020"/>
      <c r="G44" s="430">
        <v>555369.29112954519</v>
      </c>
      <c r="H44" s="431">
        <v>2776.8464556477261</v>
      </c>
      <c r="I44" s="431">
        <v>42720.714702272715</v>
      </c>
      <c r="J44" s="431">
        <v>55536.929112954524</v>
      </c>
      <c r="K44" s="431">
        <v>44429.543290363625</v>
      </c>
      <c r="L44" s="377">
        <v>700833.32469078375</v>
      </c>
      <c r="M44" s="313"/>
      <c r="N44" s="548">
        <v>0</v>
      </c>
      <c r="O44" s="555">
        <v>555369.29112954519</v>
      </c>
      <c r="P44" s="548">
        <v>2776.8464556477261</v>
      </c>
      <c r="Q44" s="560">
        <v>0</v>
      </c>
      <c r="R44" s="548">
        <v>8544.1429404545433</v>
      </c>
      <c r="S44" s="555">
        <v>34176.571761818173</v>
      </c>
      <c r="T44" s="565">
        <v>0</v>
      </c>
      <c r="U44" s="566">
        <v>55536.929112954524</v>
      </c>
      <c r="V44" s="573">
        <v>44429.543290363625</v>
      </c>
      <c r="W44" s="574">
        <v>0</v>
      </c>
      <c r="X44" s="579">
        <v>55750.532686465893</v>
      </c>
      <c r="Y44" s="579">
        <v>645082.79200431786</v>
      </c>
      <c r="Z44" s="596">
        <v>7.9548918012800993E-2</v>
      </c>
      <c r="AA44" s="597">
        <v>0.92045108198719905</v>
      </c>
      <c r="AB44" s="163"/>
      <c r="AC44" s="163"/>
      <c r="AD44" s="50"/>
      <c r="AE44" s="50"/>
      <c r="AF44" s="50"/>
      <c r="AG44" s="4"/>
      <c r="AI44" s="23"/>
    </row>
    <row r="45" spans="1:35" s="3" customFormat="1" ht="16.2" thickBot="1" x14ac:dyDescent="0.35">
      <c r="A45" s="4"/>
      <c r="B45" s="51"/>
      <c r="C45" s="48"/>
      <c r="D45" s="48"/>
      <c r="E45" s="48"/>
      <c r="F45" s="1023"/>
      <c r="G45" s="1027"/>
      <c r="H45" s="63"/>
      <c r="I45" s="63"/>
      <c r="J45" s="63"/>
      <c r="K45" s="63"/>
      <c r="L45" s="1028"/>
      <c r="M45" s="312"/>
      <c r="N45" s="556"/>
      <c r="O45" s="508"/>
      <c r="P45" s="508"/>
      <c r="Q45" s="508"/>
      <c r="R45" s="508"/>
      <c r="S45" s="508"/>
      <c r="T45" s="509"/>
      <c r="U45" s="509"/>
      <c r="V45" s="509"/>
      <c r="W45" s="509"/>
      <c r="X45" s="580"/>
      <c r="Y45" s="580"/>
      <c r="Z45" s="155"/>
      <c r="AA45" s="1034"/>
      <c r="AB45" s="6"/>
      <c r="AC45" s="6"/>
      <c r="AD45" s="50"/>
      <c r="AE45" s="50"/>
      <c r="AF45" s="50"/>
      <c r="AG45" s="4"/>
      <c r="AH45" s="4"/>
      <c r="AI45" s="23"/>
    </row>
    <row r="46" spans="1:35" s="3" customFormat="1" ht="16.2" thickBot="1" x14ac:dyDescent="0.35">
      <c r="A46" s="4"/>
      <c r="B46" s="357" t="s">
        <v>33</v>
      </c>
      <c r="C46" s="356"/>
      <c r="D46" s="356"/>
      <c r="E46" s="356"/>
      <c r="F46" s="1019"/>
      <c r="G46" s="439"/>
      <c r="H46" s="440"/>
      <c r="I46" s="440"/>
      <c r="J46" s="440"/>
      <c r="K46" s="440"/>
      <c r="L46" s="378"/>
      <c r="M46" s="314"/>
      <c r="N46" s="434"/>
      <c r="O46" s="550"/>
      <c r="P46" s="434"/>
      <c r="Q46" s="550"/>
      <c r="R46" s="434"/>
      <c r="S46" s="550"/>
      <c r="T46" s="434"/>
      <c r="U46" s="550"/>
      <c r="V46" s="434"/>
      <c r="W46" s="550"/>
      <c r="X46" s="581"/>
      <c r="Y46" s="581"/>
      <c r="Z46" s="590"/>
      <c r="AA46" s="591"/>
      <c r="AB46" s="162"/>
      <c r="AC46" s="162"/>
      <c r="AD46" s="50"/>
      <c r="AE46" s="50"/>
      <c r="AF46" s="4"/>
      <c r="AG46" s="4"/>
      <c r="AI46" s="23"/>
    </row>
    <row r="47" spans="1:35" s="3" customFormat="1" ht="15.6" x14ac:dyDescent="0.3">
      <c r="A47" s="11"/>
      <c r="B47" s="635" t="s">
        <v>34</v>
      </c>
      <c r="C47" s="372" t="s">
        <v>278</v>
      </c>
      <c r="D47" s="470" t="s">
        <v>253</v>
      </c>
      <c r="E47" s="372" t="s">
        <v>318</v>
      </c>
      <c r="F47" s="1020"/>
      <c r="G47" s="432">
        <v>207614.68827272719</v>
      </c>
      <c r="H47" s="433">
        <v>1038.073441363636</v>
      </c>
      <c r="I47" s="433">
        <v>15970.360636363634</v>
      </c>
      <c r="J47" s="433">
        <v>20761.468827272722</v>
      </c>
      <c r="K47" s="433">
        <v>16609.17506181818</v>
      </c>
      <c r="L47" s="376">
        <v>261993.76623954534</v>
      </c>
      <c r="M47" s="315"/>
      <c r="N47" s="549">
        <v>0</v>
      </c>
      <c r="O47" s="553">
        <v>207614.68827272719</v>
      </c>
      <c r="P47" s="549">
        <v>1038.073441363636</v>
      </c>
      <c r="Q47" s="558">
        <v>0</v>
      </c>
      <c r="R47" s="549">
        <v>3194.0721272727269</v>
      </c>
      <c r="S47" s="553">
        <v>12776.288509090908</v>
      </c>
      <c r="T47" s="561">
        <v>0</v>
      </c>
      <c r="U47" s="562">
        <v>20761.468827272722</v>
      </c>
      <c r="V47" s="569">
        <v>16609.17506181818</v>
      </c>
      <c r="W47" s="570">
        <v>0</v>
      </c>
      <c r="X47" s="577">
        <v>20841.320630454542</v>
      </c>
      <c r="Y47" s="577">
        <v>241152.44560909079</v>
      </c>
      <c r="Z47" s="427">
        <v>7.9548918012800993E-2</v>
      </c>
      <c r="AA47" s="598">
        <v>0.92045108198719905</v>
      </c>
      <c r="AB47" s="182"/>
      <c r="AC47" s="182"/>
      <c r="AD47" s="50"/>
      <c r="AE47" s="50"/>
      <c r="AF47" s="50"/>
      <c r="AG47" s="4"/>
      <c r="AI47" s="23"/>
    </row>
    <row r="48" spans="1:35" s="3" customFormat="1" ht="15.6" x14ac:dyDescent="0.3">
      <c r="A48" s="11"/>
      <c r="B48" s="636" t="s">
        <v>35</v>
      </c>
      <c r="C48" s="447" t="s">
        <v>278</v>
      </c>
      <c r="D48" s="468" t="s">
        <v>1</v>
      </c>
      <c r="E48" s="373" t="s">
        <v>318</v>
      </c>
      <c r="F48" s="1020"/>
      <c r="G48" s="184">
        <v>138409.79218181813</v>
      </c>
      <c r="H48" s="183">
        <v>692.04896090909074</v>
      </c>
      <c r="I48" s="183">
        <v>11534.149348484845</v>
      </c>
      <c r="J48" s="183">
        <v>13840.979218181814</v>
      </c>
      <c r="K48" s="183">
        <v>14994.394153030298</v>
      </c>
      <c r="L48" s="185">
        <v>179471.36386242419</v>
      </c>
      <c r="M48" s="315"/>
      <c r="N48" s="547">
        <v>0</v>
      </c>
      <c r="O48" s="554">
        <v>138409.79218181813</v>
      </c>
      <c r="P48" s="547">
        <v>692.04896090909074</v>
      </c>
      <c r="Q48" s="559">
        <v>0</v>
      </c>
      <c r="R48" s="547">
        <v>2306.8298696969691</v>
      </c>
      <c r="S48" s="554">
        <v>9227.3194787878765</v>
      </c>
      <c r="T48" s="563">
        <v>0</v>
      </c>
      <c r="U48" s="564">
        <v>13840.979218181814</v>
      </c>
      <c r="V48" s="571">
        <v>14994.394153030298</v>
      </c>
      <c r="W48" s="572">
        <v>0</v>
      </c>
      <c r="X48" s="578">
        <v>17993.272983636358</v>
      </c>
      <c r="Y48" s="578">
        <v>161478.09087878783</v>
      </c>
      <c r="Z48" s="594">
        <v>0.10025706940874037</v>
      </c>
      <c r="AA48" s="595">
        <v>0.89974293059125965</v>
      </c>
      <c r="AB48" s="182"/>
      <c r="AC48" s="182"/>
      <c r="AD48" s="50"/>
      <c r="AE48" s="50"/>
      <c r="AF48" s="4"/>
      <c r="AG48" s="4"/>
      <c r="AH48" s="10"/>
      <c r="AI48" s="23"/>
    </row>
    <row r="49" spans="1:35" s="3" customFormat="1" ht="15.6" x14ac:dyDescent="0.3">
      <c r="A49" s="11"/>
      <c r="B49" s="636" t="s">
        <v>38</v>
      </c>
      <c r="C49" s="447" t="s">
        <v>278</v>
      </c>
      <c r="D49" s="468" t="s">
        <v>1</v>
      </c>
      <c r="E49" s="373" t="s">
        <v>318</v>
      </c>
      <c r="F49" s="1020"/>
      <c r="G49" s="184">
        <v>57670.74674242422</v>
      </c>
      <c r="H49" s="183">
        <v>288.35373371212108</v>
      </c>
      <c r="I49" s="183">
        <v>4436.2112878787875</v>
      </c>
      <c r="J49" s="183">
        <v>5767.0746742424226</v>
      </c>
      <c r="K49" s="183">
        <v>4613.6597393939392</v>
      </c>
      <c r="L49" s="185">
        <v>72776.0461776515</v>
      </c>
      <c r="M49" s="315"/>
      <c r="N49" s="547">
        <v>0</v>
      </c>
      <c r="O49" s="554">
        <v>57670.74674242422</v>
      </c>
      <c r="P49" s="547">
        <v>288.35373371212108</v>
      </c>
      <c r="Q49" s="559">
        <v>0</v>
      </c>
      <c r="R49" s="547">
        <v>887.24225757575755</v>
      </c>
      <c r="S49" s="554">
        <v>3548.9690303030302</v>
      </c>
      <c r="T49" s="563">
        <v>0</v>
      </c>
      <c r="U49" s="564">
        <v>5767.0746742424226</v>
      </c>
      <c r="V49" s="571">
        <v>4613.6597393939392</v>
      </c>
      <c r="W49" s="572">
        <v>0</v>
      </c>
      <c r="X49" s="578">
        <v>5789.255730681818</v>
      </c>
      <c r="Y49" s="578">
        <v>66986.79044696968</v>
      </c>
      <c r="Z49" s="594">
        <v>7.9548918012800993E-2</v>
      </c>
      <c r="AA49" s="595">
        <v>0.92045108198719905</v>
      </c>
      <c r="AB49" s="182"/>
      <c r="AC49" s="182"/>
      <c r="AD49" s="50"/>
      <c r="AE49" s="50"/>
      <c r="AF49" s="50"/>
      <c r="AG49" s="4"/>
      <c r="AI49" s="23"/>
    </row>
    <row r="50" spans="1:35" s="3" customFormat="1" ht="26.4" x14ac:dyDescent="0.3">
      <c r="A50" s="11"/>
      <c r="B50" s="639" t="s">
        <v>249</v>
      </c>
      <c r="C50" s="373" t="s">
        <v>278</v>
      </c>
      <c r="D50" s="471" t="s">
        <v>1</v>
      </c>
      <c r="E50" s="373" t="s">
        <v>318</v>
      </c>
      <c r="F50" s="1020"/>
      <c r="G50" s="184">
        <v>53234.535454545439</v>
      </c>
      <c r="H50" s="183">
        <v>266.17267727272719</v>
      </c>
      <c r="I50" s="183">
        <v>4436.2112878787875</v>
      </c>
      <c r="J50" s="183">
        <v>5323.4535454545439</v>
      </c>
      <c r="K50" s="183">
        <v>5767.0746742424235</v>
      </c>
      <c r="L50" s="185">
        <v>69027.447639393926</v>
      </c>
      <c r="M50" s="315"/>
      <c r="N50" s="547">
        <v>0</v>
      </c>
      <c r="O50" s="554">
        <v>53234.535454545439</v>
      </c>
      <c r="P50" s="547">
        <v>266.17267727272719</v>
      </c>
      <c r="Q50" s="559">
        <v>0</v>
      </c>
      <c r="R50" s="547">
        <v>887.24225757575755</v>
      </c>
      <c r="S50" s="554">
        <v>3548.9690303030302</v>
      </c>
      <c r="T50" s="563">
        <v>0</v>
      </c>
      <c r="U50" s="564">
        <v>5323.4535454545439</v>
      </c>
      <c r="V50" s="571">
        <v>5767.0746742424235</v>
      </c>
      <c r="W50" s="572">
        <v>0</v>
      </c>
      <c r="X50" s="578">
        <v>6920.4896090909078</v>
      </c>
      <c r="Y50" s="578">
        <v>62106.958030303016</v>
      </c>
      <c r="Z50" s="594">
        <v>0.10025706940874037</v>
      </c>
      <c r="AA50" s="595">
        <v>0.89974293059125965</v>
      </c>
      <c r="AB50" s="182"/>
      <c r="AC50" s="182"/>
      <c r="AD50" s="50"/>
      <c r="AE50" s="50"/>
      <c r="AF50" s="4"/>
      <c r="AG50" s="4"/>
      <c r="AI50" s="22"/>
    </row>
    <row r="51" spans="1:35" s="3" customFormat="1" ht="39.6" x14ac:dyDescent="0.3">
      <c r="A51" s="11"/>
      <c r="B51" s="639" t="s">
        <v>250</v>
      </c>
      <c r="C51" s="451" t="s">
        <v>278</v>
      </c>
      <c r="D51" s="474" t="s">
        <v>44</v>
      </c>
      <c r="E51" s="373" t="s">
        <v>318</v>
      </c>
      <c r="F51" s="1020"/>
      <c r="G51" s="184">
        <v>86.506120113636328</v>
      </c>
      <c r="H51" s="183">
        <v>0.43253060056818166</v>
      </c>
      <c r="I51" s="183">
        <v>6.6543169318181796</v>
      </c>
      <c r="J51" s="183">
        <v>8.6506120113636324</v>
      </c>
      <c r="K51" s="183">
        <v>6.9204896090909074</v>
      </c>
      <c r="L51" s="185">
        <v>109.16406926647723</v>
      </c>
      <c r="M51" s="315"/>
      <c r="N51" s="547">
        <v>0</v>
      </c>
      <c r="O51" s="554">
        <v>86.506120113636328</v>
      </c>
      <c r="P51" s="547">
        <v>0.43253060056818166</v>
      </c>
      <c r="Q51" s="559">
        <v>0</v>
      </c>
      <c r="R51" s="547">
        <v>1.3308633863636361</v>
      </c>
      <c r="S51" s="554">
        <v>5.3234535454545435</v>
      </c>
      <c r="T51" s="563">
        <v>0</v>
      </c>
      <c r="U51" s="564">
        <v>8.6506120113636324</v>
      </c>
      <c r="V51" s="571">
        <v>6.9204896090909074</v>
      </c>
      <c r="W51" s="572">
        <v>0</v>
      </c>
      <c r="X51" s="578">
        <v>8.6838835960227243</v>
      </c>
      <c r="Y51" s="578">
        <v>100.4801856704545</v>
      </c>
      <c r="Z51" s="594">
        <v>7.9548918012800979E-2</v>
      </c>
      <c r="AA51" s="595">
        <v>0.92045108198719905</v>
      </c>
      <c r="AB51" s="182"/>
      <c r="AC51" s="182"/>
      <c r="AD51" s="50"/>
      <c r="AE51" s="50"/>
      <c r="AF51" s="50"/>
      <c r="AG51" s="4"/>
    </row>
    <row r="52" spans="1:35" ht="15.6" x14ac:dyDescent="0.3">
      <c r="A52" s="14"/>
      <c r="B52" s="636" t="s">
        <v>39</v>
      </c>
      <c r="C52" s="447" t="s">
        <v>278</v>
      </c>
      <c r="D52" s="468" t="s">
        <v>1</v>
      </c>
      <c r="E52" s="373" t="s">
        <v>318</v>
      </c>
      <c r="F52" s="1020"/>
      <c r="G52" s="184">
        <v>720884.33428030263</v>
      </c>
      <c r="H52" s="183">
        <v>3604.4216714015133</v>
      </c>
      <c r="I52" s="183">
        <v>55452.641098484833</v>
      </c>
      <c r="J52" s="183">
        <v>72088.433428030272</v>
      </c>
      <c r="K52" s="183">
        <v>57670.746742424228</v>
      </c>
      <c r="L52" s="185">
        <v>909700.5772206434</v>
      </c>
      <c r="M52" s="315"/>
      <c r="N52" s="547">
        <v>0</v>
      </c>
      <c r="O52" s="554">
        <v>720884.33428030263</v>
      </c>
      <c r="P52" s="547">
        <v>3604.4216714015133</v>
      </c>
      <c r="Q52" s="559">
        <v>0</v>
      </c>
      <c r="R52" s="547">
        <v>11090.528219696967</v>
      </c>
      <c r="S52" s="554">
        <v>44362.11287878787</v>
      </c>
      <c r="T52" s="563">
        <v>0</v>
      </c>
      <c r="U52" s="564">
        <v>72088.433428030272</v>
      </c>
      <c r="V52" s="571">
        <v>57670.746742424228</v>
      </c>
      <c r="W52" s="572">
        <v>0</v>
      </c>
      <c r="X52" s="578">
        <v>72365.696633522704</v>
      </c>
      <c r="Y52" s="578">
        <v>837334.88058712066</v>
      </c>
      <c r="Z52" s="594">
        <v>7.9548918012800993E-2</v>
      </c>
      <c r="AA52" s="595">
        <v>0.92045108198719905</v>
      </c>
      <c r="AB52" s="182"/>
      <c r="AC52" s="182"/>
      <c r="AD52" s="50"/>
      <c r="AE52" s="50"/>
      <c r="AF52" s="4"/>
      <c r="AG52" s="4"/>
    </row>
    <row r="53" spans="1:35" ht="16.2" thickBot="1" x14ac:dyDescent="0.35">
      <c r="A53" s="11"/>
      <c r="B53" s="637" t="s">
        <v>179</v>
      </c>
      <c r="C53" s="452" t="s">
        <v>278</v>
      </c>
      <c r="D53" s="475" t="s">
        <v>1</v>
      </c>
      <c r="E53" s="374" t="s">
        <v>318</v>
      </c>
      <c r="F53" s="1020"/>
      <c r="G53" s="430">
        <v>119777.70477272723</v>
      </c>
      <c r="H53" s="431">
        <v>598.88852386363612</v>
      </c>
      <c r="I53" s="431">
        <v>13308.63386363636</v>
      </c>
      <c r="J53" s="431">
        <v>11977.770477272723</v>
      </c>
      <c r="K53" s="431">
        <v>27681.958436363628</v>
      </c>
      <c r="L53" s="377">
        <v>173344.95607386358</v>
      </c>
      <c r="M53" s="315"/>
      <c r="N53" s="548">
        <v>0</v>
      </c>
      <c r="O53" s="555">
        <v>119777.70477272723</v>
      </c>
      <c r="P53" s="548">
        <v>598.88852386363612</v>
      </c>
      <c r="Q53" s="560">
        <v>0</v>
      </c>
      <c r="R53" s="548">
        <v>2661.726772727272</v>
      </c>
      <c r="S53" s="555">
        <v>10646.907090909088</v>
      </c>
      <c r="T53" s="565">
        <v>0</v>
      </c>
      <c r="U53" s="566">
        <v>11977.770477272723</v>
      </c>
      <c r="V53" s="573">
        <v>27681.958436363628</v>
      </c>
      <c r="W53" s="574">
        <v>0</v>
      </c>
      <c r="X53" s="579">
        <v>30942.573732954537</v>
      </c>
      <c r="Y53" s="579">
        <v>142402.38234090904</v>
      </c>
      <c r="Z53" s="596">
        <v>0.17850287907869483</v>
      </c>
      <c r="AA53" s="597">
        <v>0.82149712092130511</v>
      </c>
      <c r="AB53" s="182"/>
      <c r="AC53" s="182"/>
      <c r="AD53" s="50"/>
      <c r="AE53" s="50"/>
      <c r="AF53" s="50"/>
      <c r="AG53" s="4"/>
    </row>
    <row r="54" spans="1:35" ht="16.2" thickBot="1" x14ac:dyDescent="0.35">
      <c r="B54" s="51"/>
      <c r="C54" s="48"/>
      <c r="D54" s="48"/>
      <c r="E54" s="48"/>
      <c r="F54" s="1023"/>
      <c r="G54" s="1027"/>
      <c r="H54" s="63"/>
      <c r="I54" s="63"/>
      <c r="J54" s="63"/>
      <c r="K54" s="63"/>
      <c r="L54" s="1028"/>
      <c r="M54" s="312"/>
      <c r="N54" s="556"/>
      <c r="O54" s="508"/>
      <c r="P54" s="508"/>
      <c r="Q54" s="508"/>
      <c r="R54" s="508"/>
      <c r="S54" s="508"/>
      <c r="T54" s="509"/>
      <c r="U54" s="509"/>
      <c r="V54" s="509"/>
      <c r="W54" s="509"/>
      <c r="X54" s="580"/>
      <c r="Y54" s="580"/>
      <c r="Z54" s="155"/>
      <c r="AA54" s="1034"/>
      <c r="AB54" s="6"/>
      <c r="AC54" s="6"/>
      <c r="AD54" s="50"/>
      <c r="AE54" s="50"/>
      <c r="AF54" s="4"/>
      <c r="AG54" s="4"/>
    </row>
    <row r="55" spans="1:35" ht="16.2" thickBot="1" x14ac:dyDescent="0.35">
      <c r="B55" s="357" t="s">
        <v>36</v>
      </c>
      <c r="C55" s="356"/>
      <c r="D55" s="356"/>
      <c r="E55" s="356"/>
      <c r="F55" s="1019"/>
      <c r="G55" s="439"/>
      <c r="H55" s="440"/>
      <c r="I55" s="440"/>
      <c r="J55" s="440"/>
      <c r="K55" s="440"/>
      <c r="L55" s="378"/>
      <c r="M55" s="314"/>
      <c r="N55" s="434"/>
      <c r="O55" s="550"/>
      <c r="P55" s="434"/>
      <c r="Q55" s="550"/>
      <c r="R55" s="434"/>
      <c r="S55" s="550"/>
      <c r="T55" s="434"/>
      <c r="U55" s="550"/>
      <c r="V55" s="434"/>
      <c r="W55" s="550"/>
      <c r="X55" s="581"/>
      <c r="Y55" s="581"/>
      <c r="Z55" s="590"/>
      <c r="AA55" s="591"/>
      <c r="AB55" s="162"/>
      <c r="AC55" s="162"/>
      <c r="AD55" s="50"/>
      <c r="AE55" s="50"/>
      <c r="AF55" s="50"/>
      <c r="AG55" s="4"/>
    </row>
    <row r="56" spans="1:35" ht="15.6" x14ac:dyDescent="0.3">
      <c r="A56" s="14"/>
      <c r="B56" s="635" t="s">
        <v>63</v>
      </c>
      <c r="C56" s="453" t="s">
        <v>278</v>
      </c>
      <c r="D56" s="476" t="s">
        <v>5</v>
      </c>
      <c r="E56" s="372" t="s">
        <v>318</v>
      </c>
      <c r="F56" s="1020"/>
      <c r="G56" s="432">
        <v>63881.442545454513</v>
      </c>
      <c r="H56" s="433">
        <v>319.40721272727257</v>
      </c>
      <c r="I56" s="433">
        <v>5323.4535454545439</v>
      </c>
      <c r="J56" s="433">
        <v>6388.144254545452</v>
      </c>
      <c r="K56" s="433">
        <v>6920.489609090906</v>
      </c>
      <c r="L56" s="376">
        <v>82832.937167272685</v>
      </c>
      <c r="M56" s="315"/>
      <c r="N56" s="549">
        <v>0</v>
      </c>
      <c r="O56" s="553">
        <v>63881.442545454513</v>
      </c>
      <c r="P56" s="549">
        <v>319.40721272727257</v>
      </c>
      <c r="Q56" s="558">
        <v>0</v>
      </c>
      <c r="R56" s="549">
        <v>1064.6907090909087</v>
      </c>
      <c r="S56" s="553">
        <v>4258.762836363635</v>
      </c>
      <c r="T56" s="561">
        <v>0</v>
      </c>
      <c r="U56" s="562">
        <v>6388.144254545452</v>
      </c>
      <c r="V56" s="569">
        <v>6920.489609090906</v>
      </c>
      <c r="W56" s="570">
        <v>0</v>
      </c>
      <c r="X56" s="577">
        <v>8304.5875309090879</v>
      </c>
      <c r="Y56" s="577">
        <v>74528.349636363593</v>
      </c>
      <c r="Z56" s="427">
        <v>0.10025706940874038</v>
      </c>
      <c r="AA56" s="598">
        <v>0.89974293059125965</v>
      </c>
      <c r="AB56" s="182"/>
      <c r="AC56" s="182"/>
      <c r="AD56" s="50"/>
      <c r="AE56" s="50"/>
      <c r="AF56" s="4"/>
      <c r="AG56" s="4"/>
    </row>
    <row r="57" spans="1:35" ht="15.6" x14ac:dyDescent="0.3">
      <c r="B57" s="636" t="s">
        <v>61</v>
      </c>
      <c r="C57" s="373" t="s">
        <v>278</v>
      </c>
      <c r="D57" s="471" t="s">
        <v>254</v>
      </c>
      <c r="E57" s="373" t="s">
        <v>318</v>
      </c>
      <c r="F57" s="1020"/>
      <c r="G57" s="184">
        <v>43918.491749999979</v>
      </c>
      <c r="H57" s="183">
        <v>219.59245874999991</v>
      </c>
      <c r="I57" s="183">
        <v>3137.035124999999</v>
      </c>
      <c r="J57" s="183">
        <v>4391.8491749999985</v>
      </c>
      <c r="K57" s="183">
        <v>4078.1456624999987</v>
      </c>
      <c r="L57" s="185">
        <v>55745.114171249974</v>
      </c>
      <c r="M57" s="315"/>
      <c r="N57" s="547">
        <v>0</v>
      </c>
      <c r="O57" s="554">
        <v>43918.491749999979</v>
      </c>
      <c r="P57" s="547">
        <v>219.59245874999991</v>
      </c>
      <c r="Q57" s="559">
        <v>0</v>
      </c>
      <c r="R57" s="547">
        <v>627.40702499999986</v>
      </c>
      <c r="S57" s="554">
        <v>2509.628099999999</v>
      </c>
      <c r="T57" s="563">
        <v>0</v>
      </c>
      <c r="U57" s="564">
        <v>4391.8491749999985</v>
      </c>
      <c r="V57" s="571">
        <v>4078.1456624999987</v>
      </c>
      <c r="W57" s="572">
        <v>0</v>
      </c>
      <c r="X57" s="578">
        <v>4925.1451462499981</v>
      </c>
      <c r="Y57" s="578">
        <v>50819.969024999977</v>
      </c>
      <c r="Z57" s="594">
        <v>8.8351153629713006E-2</v>
      </c>
      <c r="AA57" s="595">
        <v>0.91164884637028698</v>
      </c>
      <c r="AB57" s="182"/>
      <c r="AC57" s="182"/>
      <c r="AD57" s="50"/>
      <c r="AE57" s="50"/>
      <c r="AF57" s="50"/>
      <c r="AG57" s="4"/>
    </row>
    <row r="58" spans="1:35" ht="15.6" x14ac:dyDescent="0.3">
      <c r="B58" s="636" t="s">
        <v>62</v>
      </c>
      <c r="C58" s="373" t="s">
        <v>278</v>
      </c>
      <c r="D58" s="471" t="s">
        <v>254</v>
      </c>
      <c r="E58" s="373" t="s">
        <v>318</v>
      </c>
      <c r="F58" s="1020"/>
      <c r="G58" s="184">
        <v>33984.547187499993</v>
      </c>
      <c r="H58" s="183">
        <v>169.92273593749997</v>
      </c>
      <c r="I58" s="183">
        <v>2614.1959374999992</v>
      </c>
      <c r="J58" s="183">
        <v>3398.4547187499993</v>
      </c>
      <c r="K58" s="183">
        <v>4078.1456624999987</v>
      </c>
      <c r="L58" s="185">
        <v>44245.266242187492</v>
      </c>
      <c r="M58" s="315"/>
      <c r="N58" s="547">
        <v>0</v>
      </c>
      <c r="O58" s="554">
        <v>33984.547187499993</v>
      </c>
      <c r="P58" s="547">
        <v>169.92273593749997</v>
      </c>
      <c r="Q58" s="559">
        <v>0</v>
      </c>
      <c r="R58" s="547">
        <v>522.83918749999987</v>
      </c>
      <c r="S58" s="554">
        <v>2091.3567499999995</v>
      </c>
      <c r="T58" s="563">
        <v>0</v>
      </c>
      <c r="U58" s="564">
        <v>3398.4547187499993</v>
      </c>
      <c r="V58" s="571">
        <v>4078.1456624999987</v>
      </c>
      <c r="W58" s="572">
        <v>0</v>
      </c>
      <c r="X58" s="578">
        <v>4770.9075859374989</v>
      </c>
      <c r="Y58" s="578">
        <v>39474.358656249991</v>
      </c>
      <c r="Z58" s="594">
        <v>0.10782865583456425</v>
      </c>
      <c r="AA58" s="595">
        <v>0.89217134416543575</v>
      </c>
      <c r="AB58" s="182"/>
      <c r="AC58" s="182"/>
      <c r="AD58" s="50"/>
      <c r="AE58" s="50"/>
      <c r="AF58" s="4"/>
      <c r="AG58" s="4"/>
    </row>
    <row r="59" spans="1:35" ht="15.6" x14ac:dyDescent="0.3">
      <c r="A59" s="14"/>
      <c r="B59" s="636" t="s">
        <v>60</v>
      </c>
      <c r="C59" s="373" t="s">
        <v>278</v>
      </c>
      <c r="D59" s="471" t="s">
        <v>254</v>
      </c>
      <c r="E59" s="373" t="s">
        <v>318</v>
      </c>
      <c r="F59" s="1020"/>
      <c r="G59" s="184">
        <v>26617.26772727272</v>
      </c>
      <c r="H59" s="183">
        <v>133.08633863636359</v>
      </c>
      <c r="I59" s="183">
        <v>2218.1056439393938</v>
      </c>
      <c r="J59" s="183">
        <v>2661.726772727272</v>
      </c>
      <c r="K59" s="183">
        <v>2883.5373371212117</v>
      </c>
      <c r="L59" s="185">
        <v>34513.723819696963</v>
      </c>
      <c r="M59" s="315"/>
      <c r="N59" s="547">
        <v>0</v>
      </c>
      <c r="O59" s="554">
        <v>26617.26772727272</v>
      </c>
      <c r="P59" s="547">
        <v>133.08633863636359</v>
      </c>
      <c r="Q59" s="559">
        <v>0</v>
      </c>
      <c r="R59" s="547">
        <v>443.62112878787877</v>
      </c>
      <c r="S59" s="554">
        <v>1774.4845151515151</v>
      </c>
      <c r="T59" s="563">
        <v>0</v>
      </c>
      <c r="U59" s="564">
        <v>2661.726772727272</v>
      </c>
      <c r="V59" s="571">
        <v>2883.5373371212117</v>
      </c>
      <c r="W59" s="572">
        <v>0</v>
      </c>
      <c r="X59" s="578">
        <v>3460.2448045454539</v>
      </c>
      <c r="Y59" s="578">
        <v>31053.479015151508</v>
      </c>
      <c r="Z59" s="594">
        <v>0.10025706940874037</v>
      </c>
      <c r="AA59" s="595">
        <v>0.89974293059125965</v>
      </c>
      <c r="AB59" s="182"/>
      <c r="AC59" s="182"/>
      <c r="AD59" s="50"/>
      <c r="AE59" s="50"/>
      <c r="AF59" s="50"/>
      <c r="AG59" s="4"/>
    </row>
    <row r="60" spans="1:35" ht="15.6" x14ac:dyDescent="0.3">
      <c r="A60" s="14"/>
      <c r="B60" s="636" t="s">
        <v>59</v>
      </c>
      <c r="C60" s="449" t="s">
        <v>278</v>
      </c>
      <c r="D60" s="473" t="s">
        <v>1</v>
      </c>
      <c r="E60" s="373" t="s">
        <v>318</v>
      </c>
      <c r="F60" s="1020"/>
      <c r="G60" s="184">
        <v>39038.659333333322</v>
      </c>
      <c r="H60" s="183">
        <v>195.19329666666661</v>
      </c>
      <c r="I60" s="183">
        <v>3548.9690303030293</v>
      </c>
      <c r="J60" s="183">
        <v>3903.8659333333326</v>
      </c>
      <c r="K60" s="183">
        <v>5536.3916872727259</v>
      </c>
      <c r="L60" s="185">
        <v>52223.079280909078</v>
      </c>
      <c r="M60" s="315"/>
      <c r="N60" s="547">
        <v>0</v>
      </c>
      <c r="O60" s="554">
        <v>39038.659333333322</v>
      </c>
      <c r="P60" s="547">
        <v>195.19329666666661</v>
      </c>
      <c r="Q60" s="559">
        <v>0</v>
      </c>
      <c r="R60" s="547">
        <v>709.7938060606059</v>
      </c>
      <c r="S60" s="554">
        <v>2839.1752242424236</v>
      </c>
      <c r="T60" s="563">
        <v>0</v>
      </c>
      <c r="U60" s="564">
        <v>3903.8659333333326</v>
      </c>
      <c r="V60" s="571">
        <v>5536.3916872727259</v>
      </c>
      <c r="W60" s="572">
        <v>0</v>
      </c>
      <c r="X60" s="578">
        <v>6441.3787899999988</v>
      </c>
      <c r="Y60" s="578">
        <v>45781.700490909076</v>
      </c>
      <c r="Z60" s="594">
        <v>0.1233435270132518</v>
      </c>
      <c r="AA60" s="595">
        <v>0.8766564729867482</v>
      </c>
      <c r="AB60" s="182"/>
      <c r="AC60" s="182"/>
      <c r="AD60" s="50"/>
      <c r="AE60" s="50"/>
    </row>
    <row r="61" spans="1:35" x14ac:dyDescent="0.25">
      <c r="B61" s="636" t="s">
        <v>58</v>
      </c>
      <c r="C61" s="373" t="s">
        <v>278</v>
      </c>
      <c r="D61" s="471" t="s">
        <v>254</v>
      </c>
      <c r="E61" s="373" t="s">
        <v>317</v>
      </c>
      <c r="F61" s="1020"/>
      <c r="G61" s="184">
        <v>19606.469531249993</v>
      </c>
      <c r="H61" s="183">
        <v>0</v>
      </c>
      <c r="I61" s="183">
        <v>1307.0979687499996</v>
      </c>
      <c r="J61" s="183">
        <v>0</v>
      </c>
      <c r="K61" s="183">
        <v>1359.3818874999997</v>
      </c>
      <c r="L61" s="185">
        <v>22272.949387499993</v>
      </c>
      <c r="M61" s="315"/>
      <c r="N61" s="547">
        <v>15685.175624999996</v>
      </c>
      <c r="O61" s="554">
        <v>3921.2939062499972</v>
      </c>
      <c r="P61" s="547">
        <v>0</v>
      </c>
      <c r="Q61" s="559">
        <v>0</v>
      </c>
      <c r="R61" s="547">
        <v>261.41959374999993</v>
      </c>
      <c r="S61" s="554">
        <v>1045.6783749999997</v>
      </c>
      <c r="T61" s="563">
        <v>0</v>
      </c>
      <c r="U61" s="564">
        <v>0</v>
      </c>
      <c r="V61" s="571">
        <v>1359.3818874999997</v>
      </c>
      <c r="W61" s="572">
        <v>0</v>
      </c>
      <c r="X61" s="578">
        <v>17305.977106249997</v>
      </c>
      <c r="Y61" s="578">
        <v>4966.9722812499967</v>
      </c>
      <c r="Z61" s="594">
        <v>0.77699530516431936</v>
      </c>
      <c r="AA61" s="595">
        <v>0.22300469483568064</v>
      </c>
      <c r="AB61" s="182"/>
      <c r="AC61" s="182"/>
    </row>
    <row r="62" spans="1:35" ht="26.4" x14ac:dyDescent="0.25">
      <c r="B62" s="639" t="s">
        <v>248</v>
      </c>
      <c r="C62" s="451" t="s">
        <v>278</v>
      </c>
      <c r="D62" s="474" t="s">
        <v>255</v>
      </c>
      <c r="E62" s="373" t="s">
        <v>317</v>
      </c>
      <c r="F62" s="1020"/>
      <c r="G62" s="184">
        <v>3921.2939062499991</v>
      </c>
      <c r="H62" s="183">
        <v>0</v>
      </c>
      <c r="I62" s="183">
        <v>261.41959374999993</v>
      </c>
      <c r="J62" s="183">
        <v>0</v>
      </c>
      <c r="K62" s="183">
        <v>271.87637749999993</v>
      </c>
      <c r="L62" s="185">
        <v>4454.5898774999987</v>
      </c>
      <c r="M62" s="315"/>
      <c r="N62" s="547">
        <v>3137.0351249999994</v>
      </c>
      <c r="O62" s="554">
        <v>784.25878124999963</v>
      </c>
      <c r="P62" s="547">
        <v>0</v>
      </c>
      <c r="Q62" s="559">
        <v>0</v>
      </c>
      <c r="R62" s="547">
        <v>52.283918749999991</v>
      </c>
      <c r="S62" s="554">
        <v>209.13567499999994</v>
      </c>
      <c r="T62" s="563">
        <v>0</v>
      </c>
      <c r="U62" s="564">
        <v>0</v>
      </c>
      <c r="V62" s="571">
        <v>271.87637749999993</v>
      </c>
      <c r="W62" s="572">
        <v>0</v>
      </c>
      <c r="X62" s="578">
        <v>3461.1954212499991</v>
      </c>
      <c r="Y62" s="578">
        <v>993.39445624999962</v>
      </c>
      <c r="Z62" s="594">
        <v>0.77699530516431925</v>
      </c>
      <c r="AA62" s="595">
        <v>0.22300469483568075</v>
      </c>
      <c r="AB62" s="182"/>
      <c r="AC62" s="182"/>
    </row>
    <row r="63" spans="1:35" x14ac:dyDescent="0.25">
      <c r="B63" s="636" t="s">
        <v>57</v>
      </c>
      <c r="C63" s="373" t="s">
        <v>278</v>
      </c>
      <c r="D63" s="471" t="s">
        <v>3</v>
      </c>
      <c r="E63" s="373" t="s">
        <v>317</v>
      </c>
      <c r="F63" s="1020"/>
      <c r="G63" s="184">
        <v>175.67396699999992</v>
      </c>
      <c r="H63" s="183">
        <v>0</v>
      </c>
      <c r="I63" s="183">
        <v>12.548140499999995</v>
      </c>
      <c r="J63" s="183">
        <v>0</v>
      </c>
      <c r="K63" s="183">
        <v>16.312582649999996</v>
      </c>
      <c r="L63" s="185">
        <v>204.5346901499999</v>
      </c>
      <c r="M63" s="315"/>
      <c r="N63" s="547">
        <v>140.53917359999994</v>
      </c>
      <c r="O63" s="554">
        <v>35.134793399999978</v>
      </c>
      <c r="P63" s="547">
        <v>0</v>
      </c>
      <c r="Q63" s="559">
        <v>0</v>
      </c>
      <c r="R63" s="547">
        <v>2.5096280999999991</v>
      </c>
      <c r="S63" s="554">
        <v>10.038512399999997</v>
      </c>
      <c r="T63" s="563">
        <v>0</v>
      </c>
      <c r="U63" s="564">
        <v>0</v>
      </c>
      <c r="V63" s="571">
        <v>16.312582649999996</v>
      </c>
      <c r="W63" s="572">
        <v>0</v>
      </c>
      <c r="X63" s="578">
        <v>159.36138434999992</v>
      </c>
      <c r="Y63" s="578">
        <v>45.17330579999998</v>
      </c>
      <c r="Z63" s="594">
        <v>0.77914110429447847</v>
      </c>
      <c r="AA63" s="595">
        <v>0.22085889570552153</v>
      </c>
      <c r="AB63" s="182"/>
      <c r="AC63" s="182"/>
    </row>
    <row r="64" spans="1:35" x14ac:dyDescent="0.25">
      <c r="B64" s="636" t="s">
        <v>56</v>
      </c>
      <c r="C64" s="451" t="s">
        <v>278</v>
      </c>
      <c r="D64" s="474" t="s">
        <v>256</v>
      </c>
      <c r="E64" s="373" t="s">
        <v>317</v>
      </c>
      <c r="F64" s="1020"/>
      <c r="G64" s="184">
        <v>31108.931656249988</v>
      </c>
      <c r="H64" s="183">
        <v>0</v>
      </c>
      <c r="I64" s="183">
        <v>1829.9371562499994</v>
      </c>
      <c r="J64" s="183">
        <v>0</v>
      </c>
      <c r="K64" s="183">
        <v>951.56732124999974</v>
      </c>
      <c r="L64" s="185">
        <v>33890.436133749987</v>
      </c>
      <c r="M64" s="315"/>
      <c r="N64" s="547">
        <v>24887.14532499999</v>
      </c>
      <c r="O64" s="554">
        <v>6221.7863312499976</v>
      </c>
      <c r="P64" s="547">
        <v>0</v>
      </c>
      <c r="Q64" s="559">
        <v>0</v>
      </c>
      <c r="R64" s="547">
        <v>365.98743124999987</v>
      </c>
      <c r="S64" s="554">
        <v>1463.9497249999995</v>
      </c>
      <c r="T64" s="563">
        <v>0</v>
      </c>
      <c r="U64" s="564">
        <v>0</v>
      </c>
      <c r="V64" s="571">
        <v>951.56732124999974</v>
      </c>
      <c r="W64" s="572">
        <v>0</v>
      </c>
      <c r="X64" s="578">
        <v>26204.700077499991</v>
      </c>
      <c r="Y64" s="578">
        <v>7685.7360562499962</v>
      </c>
      <c r="Z64" s="594">
        <v>0.77321814254859611</v>
      </c>
      <c r="AA64" s="595">
        <v>0.22678185745140389</v>
      </c>
      <c r="AB64" s="182"/>
      <c r="AC64" s="182"/>
    </row>
    <row r="65" spans="1:32" x14ac:dyDescent="0.25">
      <c r="B65" s="636" t="s">
        <v>55</v>
      </c>
      <c r="C65" s="373" t="s">
        <v>278</v>
      </c>
      <c r="D65" s="471" t="s">
        <v>254</v>
      </c>
      <c r="E65" s="373" t="s">
        <v>317</v>
      </c>
      <c r="F65" s="1020"/>
      <c r="G65" s="184">
        <v>41827.134999999987</v>
      </c>
      <c r="H65" s="183">
        <v>0</v>
      </c>
      <c r="I65" s="183">
        <v>2614.1959374999992</v>
      </c>
      <c r="J65" s="183">
        <v>0</v>
      </c>
      <c r="K65" s="183">
        <v>2039.0728312499994</v>
      </c>
      <c r="L65" s="185">
        <v>46480.403768749988</v>
      </c>
      <c r="M65" s="315"/>
      <c r="N65" s="547">
        <v>33461.707999999991</v>
      </c>
      <c r="O65" s="554">
        <v>8365.426999999996</v>
      </c>
      <c r="P65" s="547">
        <v>0</v>
      </c>
      <c r="Q65" s="559">
        <v>0</v>
      </c>
      <c r="R65" s="547">
        <v>522.83918749999987</v>
      </c>
      <c r="S65" s="554">
        <v>2091.3567499999995</v>
      </c>
      <c r="T65" s="563">
        <v>0</v>
      </c>
      <c r="U65" s="564">
        <v>0</v>
      </c>
      <c r="V65" s="571">
        <v>2039.0728312499994</v>
      </c>
      <c r="W65" s="572">
        <v>0</v>
      </c>
      <c r="X65" s="578">
        <v>36023.620018749993</v>
      </c>
      <c r="Y65" s="578">
        <v>10456.783749999995</v>
      </c>
      <c r="Z65" s="594">
        <v>0.77502812148481448</v>
      </c>
      <c r="AA65" s="595">
        <v>0.22497187851518552</v>
      </c>
      <c r="AB65" s="182"/>
      <c r="AC65" s="182"/>
    </row>
    <row r="66" spans="1:32" x14ac:dyDescent="0.25">
      <c r="B66" s="636" t="s">
        <v>54</v>
      </c>
      <c r="C66" s="449" t="s">
        <v>278</v>
      </c>
      <c r="D66" s="473" t="s">
        <v>5</v>
      </c>
      <c r="E66" s="373" t="s">
        <v>317</v>
      </c>
      <c r="F66" s="1020"/>
      <c r="G66" s="184">
        <v>94111.053749999963</v>
      </c>
      <c r="H66" s="183">
        <v>0</v>
      </c>
      <c r="I66" s="183">
        <v>6274.0702499999979</v>
      </c>
      <c r="J66" s="183">
        <v>0</v>
      </c>
      <c r="K66" s="183">
        <v>6525.0330599999979</v>
      </c>
      <c r="L66" s="185">
        <v>106910.15705999997</v>
      </c>
      <c r="M66" s="315"/>
      <c r="N66" s="547">
        <v>75288.842999999979</v>
      </c>
      <c r="O66" s="554">
        <v>18822.210749999984</v>
      </c>
      <c r="P66" s="547">
        <v>0</v>
      </c>
      <c r="Q66" s="559">
        <v>0</v>
      </c>
      <c r="R66" s="547">
        <v>1254.8140499999997</v>
      </c>
      <c r="S66" s="554">
        <v>5019.256199999998</v>
      </c>
      <c r="T66" s="563">
        <v>0</v>
      </c>
      <c r="U66" s="564">
        <v>0</v>
      </c>
      <c r="V66" s="571">
        <v>6525.0330599999979</v>
      </c>
      <c r="W66" s="572">
        <v>0</v>
      </c>
      <c r="X66" s="578">
        <v>83068.690109999981</v>
      </c>
      <c r="Y66" s="578">
        <v>23841.466949999987</v>
      </c>
      <c r="Z66" s="594">
        <v>0.77699530516431925</v>
      </c>
      <c r="AA66" s="595">
        <v>0.22300469483568075</v>
      </c>
      <c r="AB66" s="182"/>
      <c r="AC66" s="182"/>
    </row>
    <row r="67" spans="1:32" x14ac:dyDescent="0.25">
      <c r="B67" s="636" t="s">
        <v>64</v>
      </c>
      <c r="C67" s="373" t="s">
        <v>278</v>
      </c>
      <c r="D67" s="471" t="s">
        <v>254</v>
      </c>
      <c r="E67" s="373" t="s">
        <v>317</v>
      </c>
      <c r="F67" s="1020"/>
      <c r="G67" s="184">
        <v>83654.269999999975</v>
      </c>
      <c r="H67" s="183">
        <v>0</v>
      </c>
      <c r="I67" s="183">
        <v>5228.3918749999984</v>
      </c>
      <c r="J67" s="183">
        <v>0</v>
      </c>
      <c r="K67" s="183">
        <v>4078.1456624999987</v>
      </c>
      <c r="L67" s="185">
        <v>92960.807537499975</v>
      </c>
      <c r="M67" s="315"/>
      <c r="N67" s="547">
        <v>66923.415999999983</v>
      </c>
      <c r="O67" s="554">
        <v>16730.853999999992</v>
      </c>
      <c r="P67" s="547">
        <v>0</v>
      </c>
      <c r="Q67" s="559">
        <v>0</v>
      </c>
      <c r="R67" s="547">
        <v>1045.6783749999997</v>
      </c>
      <c r="S67" s="554">
        <v>4182.7134999999989</v>
      </c>
      <c r="T67" s="563">
        <v>0</v>
      </c>
      <c r="U67" s="564">
        <v>0</v>
      </c>
      <c r="V67" s="571">
        <v>4078.1456624999987</v>
      </c>
      <c r="W67" s="572">
        <v>0</v>
      </c>
      <c r="X67" s="578">
        <v>72047.240037499985</v>
      </c>
      <c r="Y67" s="578">
        <v>20913.56749999999</v>
      </c>
      <c r="Z67" s="594">
        <v>0.77502812148481448</v>
      </c>
      <c r="AA67" s="595">
        <v>0.22497187851518552</v>
      </c>
      <c r="AB67" s="182"/>
      <c r="AC67" s="182"/>
    </row>
    <row r="68" spans="1:32" ht="13.8" thickBot="1" x14ac:dyDescent="0.3">
      <c r="A68" s="14"/>
      <c r="B68" s="637" t="s">
        <v>53</v>
      </c>
      <c r="C68" s="374" t="s">
        <v>278</v>
      </c>
      <c r="D68" s="472" t="s">
        <v>254</v>
      </c>
      <c r="E68" s="374" t="s">
        <v>318</v>
      </c>
      <c r="F68" s="1020"/>
      <c r="G68" s="430">
        <v>28835.373371212117</v>
      </c>
      <c r="H68" s="431">
        <v>144.1768668560606</v>
      </c>
      <c r="I68" s="431">
        <v>2218.1056439393938</v>
      </c>
      <c r="J68" s="431">
        <v>2883.5373371212117</v>
      </c>
      <c r="K68" s="431">
        <v>2306.8298696969696</v>
      </c>
      <c r="L68" s="377">
        <v>36388.023088825757</v>
      </c>
      <c r="M68" s="315"/>
      <c r="N68" s="548">
        <v>0</v>
      </c>
      <c r="O68" s="555">
        <v>28835.373371212117</v>
      </c>
      <c r="P68" s="548">
        <v>144.1768668560606</v>
      </c>
      <c r="Q68" s="560">
        <v>0</v>
      </c>
      <c r="R68" s="548">
        <v>443.62112878787877</v>
      </c>
      <c r="S68" s="555">
        <v>1774.4845151515151</v>
      </c>
      <c r="T68" s="565">
        <v>0</v>
      </c>
      <c r="U68" s="566">
        <v>2883.5373371212117</v>
      </c>
      <c r="V68" s="573">
        <v>2306.8298696969696</v>
      </c>
      <c r="W68" s="574">
        <v>0</v>
      </c>
      <c r="X68" s="579">
        <v>2894.627865340909</v>
      </c>
      <c r="Y68" s="579">
        <v>33493.395223484848</v>
      </c>
      <c r="Z68" s="596">
        <v>7.9548918012800979E-2</v>
      </c>
      <c r="AA68" s="597">
        <v>0.92045108198719905</v>
      </c>
      <c r="AB68" s="182"/>
      <c r="AC68" s="182"/>
    </row>
    <row r="69" spans="1:32" ht="13.8" thickBot="1" x14ac:dyDescent="0.3">
      <c r="B69" s="51"/>
      <c r="C69" s="48"/>
      <c r="D69" s="48"/>
      <c r="E69" s="48"/>
      <c r="F69" s="1023"/>
      <c r="G69" s="1027"/>
      <c r="H69" s="63"/>
      <c r="I69" s="63"/>
      <c r="J69" s="63"/>
      <c r="K69" s="63"/>
      <c r="L69" s="1028"/>
      <c r="M69" s="312"/>
      <c r="N69" s="556"/>
      <c r="O69" s="508"/>
      <c r="P69" s="508"/>
      <c r="Q69" s="508"/>
      <c r="R69" s="508"/>
      <c r="S69" s="508"/>
      <c r="T69" s="509"/>
      <c r="U69" s="509"/>
      <c r="V69" s="509"/>
      <c r="W69" s="509"/>
      <c r="X69" s="580"/>
      <c r="Y69" s="580"/>
      <c r="Z69" s="155"/>
      <c r="AA69" s="1034"/>
      <c r="AB69" s="6"/>
      <c r="AC69" s="6"/>
      <c r="AD69" s="103"/>
      <c r="AE69" s="103"/>
      <c r="AF69" s="103"/>
    </row>
    <row r="70" spans="1:32" ht="16.2" thickBot="1" x14ac:dyDescent="0.3">
      <c r="B70" s="357" t="s">
        <v>128</v>
      </c>
      <c r="C70" s="356"/>
      <c r="D70" s="356"/>
      <c r="E70" s="356"/>
      <c r="F70" s="1019"/>
      <c r="G70" s="439"/>
      <c r="H70" s="440"/>
      <c r="I70" s="440"/>
      <c r="J70" s="440"/>
      <c r="K70" s="440"/>
      <c r="L70" s="378"/>
      <c r="M70" s="316"/>
      <c r="N70" s="434"/>
      <c r="O70" s="550"/>
      <c r="P70" s="434"/>
      <c r="Q70" s="550"/>
      <c r="R70" s="434"/>
      <c r="S70" s="550"/>
      <c r="T70" s="434"/>
      <c r="U70" s="550"/>
      <c r="V70" s="434"/>
      <c r="W70" s="550"/>
      <c r="X70" s="581"/>
      <c r="Y70" s="581"/>
      <c r="Z70" s="590"/>
      <c r="AA70" s="591"/>
      <c r="AB70" s="9"/>
      <c r="AC70" s="9"/>
    </row>
    <row r="71" spans="1:32" ht="16.2" thickBot="1" x14ac:dyDescent="0.35">
      <c r="B71" s="370" t="s">
        <v>237</v>
      </c>
      <c r="C71" s="371"/>
      <c r="D71" s="371"/>
      <c r="E71" s="371"/>
      <c r="F71" s="1019"/>
      <c r="G71" s="441"/>
      <c r="H71" s="442"/>
      <c r="I71" s="442"/>
      <c r="J71" s="442"/>
      <c r="K71" s="442"/>
      <c r="L71" s="385"/>
      <c r="M71" s="314"/>
      <c r="N71" s="510"/>
      <c r="O71" s="551"/>
      <c r="P71" s="510"/>
      <c r="Q71" s="551"/>
      <c r="R71" s="510"/>
      <c r="S71" s="551"/>
      <c r="T71" s="510"/>
      <c r="U71" s="551"/>
      <c r="V71" s="510"/>
      <c r="W71" s="551"/>
      <c r="X71" s="583"/>
      <c r="Y71" s="583"/>
      <c r="Z71" s="599"/>
      <c r="AA71" s="600"/>
      <c r="AB71" s="162"/>
      <c r="AC71" s="162"/>
    </row>
    <row r="72" spans="1:32" ht="26.4" x14ac:dyDescent="0.25">
      <c r="B72" s="639" t="s">
        <v>247</v>
      </c>
      <c r="C72" s="447" t="s">
        <v>277</v>
      </c>
      <c r="D72" s="468" t="s">
        <v>1</v>
      </c>
      <c r="E72" s="373" t="s">
        <v>317</v>
      </c>
      <c r="F72" s="1020"/>
      <c r="G72" s="184">
        <v>93169.943212499973</v>
      </c>
      <c r="H72" s="183">
        <v>0</v>
      </c>
      <c r="I72" s="183">
        <v>15528.323868749996</v>
      </c>
      <c r="J72" s="183">
        <v>0</v>
      </c>
      <c r="K72" s="183">
        <v>52485.734676374981</v>
      </c>
      <c r="L72" s="185">
        <v>161184.00175762497</v>
      </c>
      <c r="M72" s="313"/>
      <c r="N72" s="547">
        <v>74535.954569999987</v>
      </c>
      <c r="O72" s="554">
        <v>18633.988642499986</v>
      </c>
      <c r="P72" s="547">
        <v>0</v>
      </c>
      <c r="Q72" s="559">
        <v>0</v>
      </c>
      <c r="R72" s="547">
        <v>3105.6647737499993</v>
      </c>
      <c r="S72" s="554">
        <v>12422.659094999997</v>
      </c>
      <c r="T72" s="563">
        <v>0</v>
      </c>
      <c r="U72" s="564">
        <v>0</v>
      </c>
      <c r="V72" s="571">
        <v>52485.734676374981</v>
      </c>
      <c r="W72" s="572">
        <v>0</v>
      </c>
      <c r="X72" s="578">
        <v>130127.35402012497</v>
      </c>
      <c r="Y72" s="578">
        <v>31056.647737499996</v>
      </c>
      <c r="Z72" s="594">
        <v>0.80732177263969174</v>
      </c>
      <c r="AA72" s="595">
        <v>0.19267822736030826</v>
      </c>
      <c r="AB72" s="163"/>
      <c r="AC72" s="163"/>
    </row>
    <row r="73" spans="1:32" x14ac:dyDescent="0.25">
      <c r="B73" s="636" t="s">
        <v>130</v>
      </c>
      <c r="C73" s="373" t="s">
        <v>277</v>
      </c>
      <c r="D73" s="471" t="s">
        <v>2</v>
      </c>
      <c r="E73" s="373" t="s">
        <v>317</v>
      </c>
      <c r="F73" s="1020"/>
      <c r="G73" s="184">
        <v>1254.8140499999993</v>
      </c>
      <c r="H73" s="183">
        <v>0</v>
      </c>
      <c r="I73" s="183">
        <v>209.13567499999991</v>
      </c>
      <c r="J73" s="183">
        <v>0</v>
      </c>
      <c r="K73" s="183">
        <v>706.87858149999977</v>
      </c>
      <c r="L73" s="185">
        <v>2170.8283064999991</v>
      </c>
      <c r="M73" s="316"/>
      <c r="N73" s="547">
        <v>1003.8512399999995</v>
      </c>
      <c r="O73" s="554">
        <v>250.96280999999976</v>
      </c>
      <c r="P73" s="547">
        <v>0</v>
      </c>
      <c r="Q73" s="559">
        <v>0</v>
      </c>
      <c r="R73" s="547">
        <v>41.827134999999984</v>
      </c>
      <c r="S73" s="554">
        <v>167.30853999999994</v>
      </c>
      <c r="T73" s="563">
        <v>0</v>
      </c>
      <c r="U73" s="564">
        <v>0</v>
      </c>
      <c r="V73" s="571">
        <v>706.87858149999977</v>
      </c>
      <c r="W73" s="572">
        <v>0</v>
      </c>
      <c r="X73" s="578">
        <v>1752.5569564999992</v>
      </c>
      <c r="Y73" s="578">
        <v>418.27134999999998</v>
      </c>
      <c r="Z73" s="594">
        <v>0.80732177263969163</v>
      </c>
      <c r="AA73" s="595">
        <v>0.19267822736030837</v>
      </c>
      <c r="AB73" s="9"/>
      <c r="AC73" s="9"/>
    </row>
    <row r="74" spans="1:32" x14ac:dyDescent="0.25">
      <c r="B74" s="636" t="s">
        <v>40</v>
      </c>
      <c r="C74" s="447" t="s">
        <v>277</v>
      </c>
      <c r="D74" s="468" t="s">
        <v>2</v>
      </c>
      <c r="E74" s="373" t="s">
        <v>317</v>
      </c>
      <c r="F74" s="1020"/>
      <c r="G74" s="184">
        <v>404.99123463749982</v>
      </c>
      <c r="H74" s="183">
        <v>0</v>
      </c>
      <c r="I74" s="183">
        <v>67.498539106249979</v>
      </c>
      <c r="J74" s="183">
        <v>0</v>
      </c>
      <c r="K74" s="183">
        <v>228.14506217912492</v>
      </c>
      <c r="L74" s="185">
        <v>700.63483592287469</v>
      </c>
      <c r="M74" s="313"/>
      <c r="N74" s="547">
        <v>323.99298770999985</v>
      </c>
      <c r="O74" s="554">
        <v>80.998246927499963</v>
      </c>
      <c r="P74" s="547">
        <v>0</v>
      </c>
      <c r="Q74" s="559">
        <v>0</v>
      </c>
      <c r="R74" s="547">
        <v>13.499707821249997</v>
      </c>
      <c r="S74" s="554">
        <v>53.99883128499998</v>
      </c>
      <c r="T74" s="563">
        <v>0</v>
      </c>
      <c r="U74" s="564">
        <v>0</v>
      </c>
      <c r="V74" s="571">
        <v>228.14506217912492</v>
      </c>
      <c r="W74" s="572">
        <v>0</v>
      </c>
      <c r="X74" s="578">
        <v>565.63775771037479</v>
      </c>
      <c r="Y74" s="578">
        <v>134.9970782124999</v>
      </c>
      <c r="Z74" s="594">
        <v>0.80732177263969174</v>
      </c>
      <c r="AA74" s="595">
        <v>0.19267822736030826</v>
      </c>
      <c r="AB74" s="163"/>
      <c r="AC74" s="163"/>
    </row>
    <row r="75" spans="1:32" ht="26.4" x14ac:dyDescent="0.25">
      <c r="B75" s="639" t="s">
        <v>129</v>
      </c>
      <c r="C75" s="447" t="s">
        <v>277</v>
      </c>
      <c r="D75" s="468" t="s">
        <v>2</v>
      </c>
      <c r="E75" s="373" t="s">
        <v>317</v>
      </c>
      <c r="F75" s="1020"/>
      <c r="G75" s="184">
        <v>1536.1015328749995</v>
      </c>
      <c r="H75" s="183">
        <v>0</v>
      </c>
      <c r="I75" s="183">
        <v>118.16165637499996</v>
      </c>
      <c r="J75" s="183">
        <v>0</v>
      </c>
      <c r="K75" s="183">
        <v>184.33218394499994</v>
      </c>
      <c r="L75" s="185">
        <v>1838.5953731949994</v>
      </c>
      <c r="M75" s="313"/>
      <c r="N75" s="547">
        <v>1228.8812262999998</v>
      </c>
      <c r="O75" s="554">
        <v>307.22030657499977</v>
      </c>
      <c r="P75" s="547">
        <v>0</v>
      </c>
      <c r="Q75" s="559">
        <v>0</v>
      </c>
      <c r="R75" s="547">
        <v>23.632331274999995</v>
      </c>
      <c r="S75" s="554">
        <v>94.529325099999966</v>
      </c>
      <c r="T75" s="563">
        <v>0</v>
      </c>
      <c r="U75" s="564">
        <v>0</v>
      </c>
      <c r="V75" s="571">
        <v>184.33218394499994</v>
      </c>
      <c r="W75" s="572">
        <v>0</v>
      </c>
      <c r="X75" s="578">
        <v>1436.8457415199998</v>
      </c>
      <c r="Y75" s="578">
        <v>401.74963167499959</v>
      </c>
      <c r="Z75" s="594">
        <v>0.78149100257069426</v>
      </c>
      <c r="AA75" s="595">
        <v>0.21850899742930574</v>
      </c>
      <c r="AB75" s="163"/>
      <c r="AC75" s="163"/>
    </row>
    <row r="76" spans="1:32" ht="26.4" x14ac:dyDescent="0.25">
      <c r="B76" s="639" t="s">
        <v>246</v>
      </c>
      <c r="C76" s="447" t="s">
        <v>278</v>
      </c>
      <c r="D76" s="468" t="s">
        <v>1</v>
      </c>
      <c r="E76" s="373" t="s">
        <v>317</v>
      </c>
      <c r="F76" s="1020"/>
      <c r="G76" s="184">
        <v>215625</v>
      </c>
      <c r="H76" s="183">
        <v>0</v>
      </c>
      <c r="I76" s="183">
        <v>35937.5</v>
      </c>
      <c r="J76" s="183">
        <v>0</v>
      </c>
      <c r="K76" s="183">
        <v>121468.75</v>
      </c>
      <c r="L76" s="185">
        <v>373031.25</v>
      </c>
      <c r="M76" s="313"/>
      <c r="N76" s="547">
        <v>172500</v>
      </c>
      <c r="O76" s="554">
        <v>43125</v>
      </c>
      <c r="P76" s="547">
        <v>0</v>
      </c>
      <c r="Q76" s="559">
        <v>0</v>
      </c>
      <c r="R76" s="547">
        <v>7187.5</v>
      </c>
      <c r="S76" s="554">
        <v>28750</v>
      </c>
      <c r="T76" s="563">
        <v>0</v>
      </c>
      <c r="U76" s="564">
        <v>0</v>
      </c>
      <c r="V76" s="571">
        <v>121468.75</v>
      </c>
      <c r="W76" s="572">
        <v>0</v>
      </c>
      <c r="X76" s="578">
        <v>301156.25</v>
      </c>
      <c r="Y76" s="578">
        <v>71875</v>
      </c>
      <c r="Z76" s="594">
        <v>0.80732177263969174</v>
      </c>
      <c r="AA76" s="595">
        <v>0.19267822736030826</v>
      </c>
      <c r="AB76" s="163"/>
      <c r="AC76" s="163"/>
    </row>
    <row r="77" spans="1:32" x14ac:dyDescent="0.25">
      <c r="B77" s="636" t="s">
        <v>43</v>
      </c>
      <c r="C77" s="447" t="s">
        <v>277</v>
      </c>
      <c r="D77" s="468" t="s">
        <v>2</v>
      </c>
      <c r="E77" s="373" t="s">
        <v>317</v>
      </c>
      <c r="F77" s="1020"/>
      <c r="G77" s="184">
        <v>607.6437037124997</v>
      </c>
      <c r="H77" s="183">
        <v>0</v>
      </c>
      <c r="I77" s="183">
        <v>101.27395061874996</v>
      </c>
      <c r="J77" s="183">
        <v>0</v>
      </c>
      <c r="K77" s="183">
        <v>342.30595309137487</v>
      </c>
      <c r="L77" s="185">
        <v>1051.2236074226246</v>
      </c>
      <c r="M77" s="313"/>
      <c r="N77" s="547">
        <v>486.11496296999979</v>
      </c>
      <c r="O77" s="554">
        <v>121.52874074249991</v>
      </c>
      <c r="P77" s="547">
        <v>0</v>
      </c>
      <c r="Q77" s="559">
        <v>0</v>
      </c>
      <c r="R77" s="547">
        <v>20.254790123749995</v>
      </c>
      <c r="S77" s="554">
        <v>81.019160494999966</v>
      </c>
      <c r="T77" s="563">
        <v>0</v>
      </c>
      <c r="U77" s="564">
        <v>0</v>
      </c>
      <c r="V77" s="571">
        <v>342.30595309137487</v>
      </c>
      <c r="W77" s="572">
        <v>0</v>
      </c>
      <c r="X77" s="578">
        <v>848.67570618512468</v>
      </c>
      <c r="Y77" s="578">
        <v>202.5479012374999</v>
      </c>
      <c r="Z77" s="594">
        <v>0.80732177263969174</v>
      </c>
      <c r="AA77" s="595">
        <v>0.19267822736030826</v>
      </c>
      <c r="AB77" s="163"/>
      <c r="AC77" s="163"/>
    </row>
    <row r="78" spans="1:32" x14ac:dyDescent="0.25">
      <c r="B78" s="636" t="s">
        <v>41</v>
      </c>
      <c r="C78" s="447" t="s">
        <v>277</v>
      </c>
      <c r="D78" s="468" t="s">
        <v>2</v>
      </c>
      <c r="E78" s="373" t="s">
        <v>317</v>
      </c>
      <c r="F78" s="1020"/>
      <c r="G78" s="184">
        <v>809.98246927499963</v>
      </c>
      <c r="H78" s="183">
        <v>0</v>
      </c>
      <c r="I78" s="183">
        <v>134.99707821249996</v>
      </c>
      <c r="J78" s="183">
        <v>0</v>
      </c>
      <c r="K78" s="183">
        <v>456.29012435824984</v>
      </c>
      <c r="L78" s="185">
        <v>1401.2696718457494</v>
      </c>
      <c r="M78" s="313"/>
      <c r="N78" s="547">
        <v>647.9859754199997</v>
      </c>
      <c r="O78" s="554">
        <v>161.99649385499993</v>
      </c>
      <c r="P78" s="547">
        <v>0</v>
      </c>
      <c r="Q78" s="559">
        <v>0</v>
      </c>
      <c r="R78" s="547">
        <v>26.999415642499994</v>
      </c>
      <c r="S78" s="554">
        <v>107.99766256999996</v>
      </c>
      <c r="T78" s="563">
        <v>0</v>
      </c>
      <c r="U78" s="564">
        <v>0</v>
      </c>
      <c r="V78" s="571">
        <v>456.29012435824984</v>
      </c>
      <c r="W78" s="572">
        <v>0</v>
      </c>
      <c r="X78" s="578">
        <v>1131.2755154207496</v>
      </c>
      <c r="Y78" s="578">
        <v>269.9941564249998</v>
      </c>
      <c r="Z78" s="594">
        <v>0.80732177263969174</v>
      </c>
      <c r="AA78" s="595">
        <v>0.19267822736030826</v>
      </c>
      <c r="AB78" s="163"/>
      <c r="AC78" s="163"/>
    </row>
    <row r="79" spans="1:32" x14ac:dyDescent="0.25">
      <c r="B79" s="636" t="s">
        <v>42</v>
      </c>
      <c r="C79" s="447" t="s">
        <v>277</v>
      </c>
      <c r="D79" s="468" t="s">
        <v>2</v>
      </c>
      <c r="E79" s="373" t="s">
        <v>317</v>
      </c>
      <c r="F79" s="1020"/>
      <c r="G79" s="184">
        <v>404.99123463749982</v>
      </c>
      <c r="H79" s="183">
        <v>0</v>
      </c>
      <c r="I79" s="183">
        <v>67.498539106249979</v>
      </c>
      <c r="J79" s="183">
        <v>0</v>
      </c>
      <c r="K79" s="183">
        <v>228.14506217912492</v>
      </c>
      <c r="L79" s="185">
        <v>700.63483592287469</v>
      </c>
      <c r="M79" s="313"/>
      <c r="N79" s="547">
        <v>323.99298770999985</v>
      </c>
      <c r="O79" s="554">
        <v>80.998246927499963</v>
      </c>
      <c r="P79" s="547">
        <v>0</v>
      </c>
      <c r="Q79" s="559">
        <v>0</v>
      </c>
      <c r="R79" s="547">
        <v>13.499707821249997</v>
      </c>
      <c r="S79" s="554">
        <v>53.99883128499998</v>
      </c>
      <c r="T79" s="563">
        <v>0</v>
      </c>
      <c r="U79" s="564">
        <v>0</v>
      </c>
      <c r="V79" s="571">
        <v>228.14506217912492</v>
      </c>
      <c r="W79" s="572">
        <v>0</v>
      </c>
      <c r="X79" s="578">
        <v>565.63775771037479</v>
      </c>
      <c r="Y79" s="578">
        <v>134.9970782124999</v>
      </c>
      <c r="Z79" s="594">
        <v>0.80732177263969174</v>
      </c>
      <c r="AA79" s="595">
        <v>0.19267822736030826</v>
      </c>
      <c r="AB79" s="163"/>
      <c r="AC79" s="163"/>
    </row>
    <row r="80" spans="1:32" ht="26.4" x14ac:dyDescent="0.25">
      <c r="B80" s="639" t="s">
        <v>245</v>
      </c>
      <c r="C80" s="447" t="s">
        <v>277</v>
      </c>
      <c r="D80" s="468" t="s">
        <v>2</v>
      </c>
      <c r="E80" s="373" t="s">
        <v>317</v>
      </c>
      <c r="F80" s="1020"/>
      <c r="G80" s="184">
        <v>376.44421499999987</v>
      </c>
      <c r="H80" s="183">
        <v>0</v>
      </c>
      <c r="I80" s="183">
        <v>41.827134999999991</v>
      </c>
      <c r="J80" s="183">
        <v>0</v>
      </c>
      <c r="K80" s="183">
        <v>108.75055099999997</v>
      </c>
      <c r="L80" s="185">
        <v>527.02190099999984</v>
      </c>
      <c r="M80" s="313"/>
      <c r="N80" s="547">
        <v>301.15537199999989</v>
      </c>
      <c r="O80" s="554">
        <v>75.288842999999986</v>
      </c>
      <c r="P80" s="547">
        <v>0</v>
      </c>
      <c r="Q80" s="559">
        <v>0</v>
      </c>
      <c r="R80" s="547">
        <v>8.3654269999999986</v>
      </c>
      <c r="S80" s="554">
        <v>33.461707999999994</v>
      </c>
      <c r="T80" s="563">
        <v>0</v>
      </c>
      <c r="U80" s="564">
        <v>0</v>
      </c>
      <c r="V80" s="571">
        <v>108.75055099999997</v>
      </c>
      <c r="W80" s="572">
        <v>0</v>
      </c>
      <c r="X80" s="578">
        <v>418.27134999999987</v>
      </c>
      <c r="Y80" s="578">
        <v>108.75055099999997</v>
      </c>
      <c r="Z80" s="594">
        <v>0.79365079365079361</v>
      </c>
      <c r="AA80" s="595">
        <v>0.20634920634920639</v>
      </c>
      <c r="AB80" s="163"/>
      <c r="AC80" s="163"/>
    </row>
    <row r="81" spans="2:35" ht="13.8" thickBot="1" x14ac:dyDescent="0.3">
      <c r="B81" s="640" t="s">
        <v>37</v>
      </c>
      <c r="C81" s="454" t="s">
        <v>277</v>
      </c>
      <c r="D81" s="477" t="s">
        <v>2</v>
      </c>
      <c r="E81" s="375" t="s">
        <v>317</v>
      </c>
      <c r="F81" s="1020"/>
      <c r="G81" s="430">
        <v>784.25878124999974</v>
      </c>
      <c r="H81" s="431">
        <v>0</v>
      </c>
      <c r="I81" s="431">
        <v>130.70979687499997</v>
      </c>
      <c r="J81" s="183">
        <v>0</v>
      </c>
      <c r="K81" s="431">
        <v>441.7991134374999</v>
      </c>
      <c r="L81" s="377">
        <v>1356.7676915624995</v>
      </c>
      <c r="M81" s="313"/>
      <c r="N81" s="548">
        <v>627.40702499999986</v>
      </c>
      <c r="O81" s="555">
        <v>156.85175624999988</v>
      </c>
      <c r="P81" s="548">
        <v>0</v>
      </c>
      <c r="Q81" s="560">
        <v>0</v>
      </c>
      <c r="R81" s="548">
        <v>26.141959374999995</v>
      </c>
      <c r="S81" s="555">
        <v>104.56783749999997</v>
      </c>
      <c r="T81" s="565">
        <v>0</v>
      </c>
      <c r="U81" s="566">
        <v>0</v>
      </c>
      <c r="V81" s="573">
        <v>441.7991134374999</v>
      </c>
      <c r="W81" s="574">
        <v>0</v>
      </c>
      <c r="X81" s="579">
        <v>1095.3480978124996</v>
      </c>
      <c r="Y81" s="579">
        <v>261.41959374999988</v>
      </c>
      <c r="Z81" s="596">
        <v>0.80732177263969174</v>
      </c>
      <c r="AA81" s="597">
        <v>0.19267822736030826</v>
      </c>
      <c r="AB81" s="163"/>
      <c r="AC81" s="163"/>
    </row>
    <row r="82" spans="2:35" ht="16.2" thickBot="1" x14ac:dyDescent="0.35">
      <c r="B82" s="370" t="s">
        <v>238</v>
      </c>
      <c r="C82" s="371"/>
      <c r="D82" s="371"/>
      <c r="E82" s="371"/>
      <c r="F82" s="1019"/>
      <c r="G82" s="441"/>
      <c r="H82" s="442"/>
      <c r="I82" s="442"/>
      <c r="J82" s="442"/>
      <c r="K82" s="442"/>
      <c r="L82" s="385"/>
      <c r="M82" s="314"/>
      <c r="N82" s="510"/>
      <c r="O82" s="551"/>
      <c r="P82" s="510"/>
      <c r="Q82" s="551"/>
      <c r="R82" s="510"/>
      <c r="S82" s="551"/>
      <c r="T82" s="510"/>
      <c r="U82" s="551"/>
      <c r="V82" s="510"/>
      <c r="W82" s="551"/>
      <c r="X82" s="583"/>
      <c r="Y82" s="583"/>
      <c r="Z82" s="599"/>
      <c r="AA82" s="600"/>
      <c r="AB82" s="162"/>
      <c r="AC82" s="162"/>
    </row>
    <row r="83" spans="2:35" ht="26.4" x14ac:dyDescent="0.25">
      <c r="B83" s="639" t="s">
        <v>247</v>
      </c>
      <c r="C83" s="447" t="s">
        <v>277</v>
      </c>
      <c r="D83" s="468" t="s">
        <v>1</v>
      </c>
      <c r="E83" s="373" t="s">
        <v>317</v>
      </c>
      <c r="F83" s="1020"/>
      <c r="G83" s="184">
        <v>111992.15396249996</v>
      </c>
      <c r="H83" s="183">
        <v>0</v>
      </c>
      <c r="I83" s="183">
        <v>18665.358993749993</v>
      </c>
      <c r="J83" s="183">
        <v>0</v>
      </c>
      <c r="K83" s="183">
        <v>63088.913398874982</v>
      </c>
      <c r="L83" s="185">
        <v>193746.42635512492</v>
      </c>
      <c r="M83" s="316"/>
      <c r="N83" s="547">
        <v>89593.723169999968</v>
      </c>
      <c r="O83" s="554">
        <v>22398.430792499988</v>
      </c>
      <c r="P83" s="547">
        <v>0</v>
      </c>
      <c r="Q83" s="559">
        <v>0</v>
      </c>
      <c r="R83" s="547">
        <v>3733.0717987499988</v>
      </c>
      <c r="S83" s="554">
        <v>14932.287194999994</v>
      </c>
      <c r="T83" s="563">
        <v>0</v>
      </c>
      <c r="U83" s="564">
        <v>0</v>
      </c>
      <c r="V83" s="571">
        <v>63088.913398874982</v>
      </c>
      <c r="W83" s="572">
        <v>0</v>
      </c>
      <c r="X83" s="578">
        <v>156415.70836762496</v>
      </c>
      <c r="Y83" s="578">
        <v>37330.717987499957</v>
      </c>
      <c r="Z83" s="594">
        <v>0.80732177263969185</v>
      </c>
      <c r="AA83" s="595">
        <v>0.19267822736030815</v>
      </c>
      <c r="AB83" s="9"/>
      <c r="AC83" s="9"/>
    </row>
    <row r="84" spans="2:35" x14ac:dyDescent="0.25">
      <c r="B84" s="636" t="s">
        <v>130</v>
      </c>
      <c r="C84" s="373" t="s">
        <v>277</v>
      </c>
      <c r="D84" s="471" t="s">
        <v>2</v>
      </c>
      <c r="E84" s="373" t="s">
        <v>317</v>
      </c>
      <c r="F84" s="1020"/>
      <c r="G84" s="184">
        <v>1254.8140499999993</v>
      </c>
      <c r="H84" s="183">
        <v>0</v>
      </c>
      <c r="I84" s="183">
        <v>209.13567499999991</v>
      </c>
      <c r="J84" s="183">
        <v>0</v>
      </c>
      <c r="K84" s="183">
        <v>706.87858149999977</v>
      </c>
      <c r="L84" s="185">
        <v>2170.8283064999991</v>
      </c>
      <c r="M84" s="316"/>
      <c r="N84" s="547">
        <v>1003.8512399999995</v>
      </c>
      <c r="O84" s="554">
        <v>250.96280999999976</v>
      </c>
      <c r="P84" s="547">
        <v>0</v>
      </c>
      <c r="Q84" s="559">
        <v>0</v>
      </c>
      <c r="R84" s="547">
        <v>41.827134999999984</v>
      </c>
      <c r="S84" s="554">
        <v>167.30853999999994</v>
      </c>
      <c r="T84" s="563">
        <v>0</v>
      </c>
      <c r="U84" s="564">
        <v>0</v>
      </c>
      <c r="V84" s="571">
        <v>706.87858149999977</v>
      </c>
      <c r="W84" s="572">
        <v>0</v>
      </c>
      <c r="X84" s="578">
        <v>1752.5569564999992</v>
      </c>
      <c r="Y84" s="578">
        <v>418.27134999999998</v>
      </c>
      <c r="Z84" s="594">
        <v>0.80732177263969163</v>
      </c>
      <c r="AA84" s="595">
        <v>0.19267822736030837</v>
      </c>
      <c r="AB84" s="9"/>
      <c r="AC84" s="9"/>
    </row>
    <row r="85" spans="2:35" x14ac:dyDescent="0.25">
      <c r="B85" s="636" t="s">
        <v>40</v>
      </c>
      <c r="C85" s="447" t="s">
        <v>277</v>
      </c>
      <c r="D85" s="468" t="s">
        <v>2</v>
      </c>
      <c r="E85" s="373" t="s">
        <v>317</v>
      </c>
      <c r="F85" s="1020"/>
      <c r="G85" s="184">
        <v>404.99123463749982</v>
      </c>
      <c r="H85" s="183">
        <v>0</v>
      </c>
      <c r="I85" s="183">
        <v>67.498539106249979</v>
      </c>
      <c r="J85" s="183">
        <v>0</v>
      </c>
      <c r="K85" s="183">
        <v>228.14506217912492</v>
      </c>
      <c r="L85" s="185">
        <v>700.63483592287469</v>
      </c>
      <c r="M85" s="313"/>
      <c r="N85" s="547">
        <v>323.99298770999985</v>
      </c>
      <c r="O85" s="554">
        <v>80.998246927499963</v>
      </c>
      <c r="P85" s="547">
        <v>0</v>
      </c>
      <c r="Q85" s="559">
        <v>0</v>
      </c>
      <c r="R85" s="547">
        <v>13.499707821249997</v>
      </c>
      <c r="S85" s="554">
        <v>53.99883128499998</v>
      </c>
      <c r="T85" s="563">
        <v>0</v>
      </c>
      <c r="U85" s="564">
        <v>0</v>
      </c>
      <c r="V85" s="571">
        <v>228.14506217912492</v>
      </c>
      <c r="W85" s="572">
        <v>0</v>
      </c>
      <c r="X85" s="578">
        <v>565.63775771037479</v>
      </c>
      <c r="Y85" s="578">
        <v>134.9970782124999</v>
      </c>
      <c r="Z85" s="594">
        <v>0.80732177263969174</v>
      </c>
      <c r="AA85" s="595">
        <v>0.19267822736030826</v>
      </c>
      <c r="AB85" s="163"/>
      <c r="AC85" s="163"/>
    </row>
    <row r="86" spans="2:35" ht="26.4" x14ac:dyDescent="0.25">
      <c r="B86" s="639" t="s">
        <v>129</v>
      </c>
      <c r="C86" s="447" t="s">
        <v>277</v>
      </c>
      <c r="D86" s="468" t="s">
        <v>2</v>
      </c>
      <c r="E86" s="373" t="s">
        <v>317</v>
      </c>
      <c r="F86" s="1020"/>
      <c r="G86" s="184">
        <v>1536.1015328749995</v>
      </c>
      <c r="H86" s="183">
        <v>0</v>
      </c>
      <c r="I86" s="183">
        <v>118.16165637499996</v>
      </c>
      <c r="J86" s="183">
        <v>0</v>
      </c>
      <c r="K86" s="183">
        <v>184.33218394499994</v>
      </c>
      <c r="L86" s="185">
        <v>1838.5953731949994</v>
      </c>
      <c r="M86" s="313"/>
      <c r="N86" s="547">
        <v>1228.8812262999998</v>
      </c>
      <c r="O86" s="554">
        <v>307.22030657499977</v>
      </c>
      <c r="P86" s="547">
        <v>0</v>
      </c>
      <c r="Q86" s="559">
        <v>0</v>
      </c>
      <c r="R86" s="547">
        <v>23.632331274999995</v>
      </c>
      <c r="S86" s="554">
        <v>94.529325099999966</v>
      </c>
      <c r="T86" s="563">
        <v>0</v>
      </c>
      <c r="U86" s="564">
        <v>0</v>
      </c>
      <c r="V86" s="571">
        <v>184.33218394499994</v>
      </c>
      <c r="W86" s="572">
        <v>0</v>
      </c>
      <c r="X86" s="578">
        <v>1436.8457415199998</v>
      </c>
      <c r="Y86" s="578">
        <v>401.74963167499959</v>
      </c>
      <c r="Z86" s="594">
        <v>0.78149100257069426</v>
      </c>
      <c r="AA86" s="595">
        <v>0.21850899742930574</v>
      </c>
      <c r="AB86" s="163"/>
      <c r="AC86" s="163"/>
    </row>
    <row r="87" spans="2:35" ht="26.4" x14ac:dyDescent="0.25">
      <c r="B87" s="639" t="s">
        <v>246</v>
      </c>
      <c r="C87" s="447" t="s">
        <v>278</v>
      </c>
      <c r="D87" s="468" t="s">
        <v>1</v>
      </c>
      <c r="E87" s="373" t="s">
        <v>317</v>
      </c>
      <c r="F87" s="1020"/>
      <c r="G87" s="184">
        <v>215625</v>
      </c>
      <c r="H87" s="183">
        <v>0</v>
      </c>
      <c r="I87" s="183">
        <v>35937.5</v>
      </c>
      <c r="J87" s="183">
        <v>0</v>
      </c>
      <c r="K87" s="183">
        <v>121468.75</v>
      </c>
      <c r="L87" s="185">
        <v>373031.25</v>
      </c>
      <c r="M87" s="313"/>
      <c r="N87" s="547">
        <v>172500</v>
      </c>
      <c r="O87" s="554">
        <v>43125</v>
      </c>
      <c r="P87" s="547">
        <v>0</v>
      </c>
      <c r="Q87" s="559">
        <v>0</v>
      </c>
      <c r="R87" s="547">
        <v>7187.5</v>
      </c>
      <c r="S87" s="554">
        <v>28750</v>
      </c>
      <c r="T87" s="563">
        <v>0</v>
      </c>
      <c r="U87" s="564">
        <v>0</v>
      </c>
      <c r="V87" s="571">
        <v>121468.75</v>
      </c>
      <c r="W87" s="572">
        <v>0</v>
      </c>
      <c r="X87" s="578">
        <v>301156.25</v>
      </c>
      <c r="Y87" s="578">
        <v>71875</v>
      </c>
      <c r="Z87" s="594">
        <v>0.80732177263969174</v>
      </c>
      <c r="AA87" s="595">
        <v>0.19267822736030826</v>
      </c>
      <c r="AB87" s="163"/>
      <c r="AC87" s="163"/>
    </row>
    <row r="88" spans="2:35" x14ac:dyDescent="0.25">
      <c r="B88" s="636" t="s">
        <v>43</v>
      </c>
      <c r="C88" s="447" t="s">
        <v>277</v>
      </c>
      <c r="D88" s="468" t="s">
        <v>2</v>
      </c>
      <c r="E88" s="373" t="s">
        <v>317</v>
      </c>
      <c r="F88" s="1020"/>
      <c r="G88" s="184">
        <v>607.6437037124997</v>
      </c>
      <c r="H88" s="183">
        <v>0</v>
      </c>
      <c r="I88" s="183">
        <v>101.27395061874996</v>
      </c>
      <c r="J88" s="183">
        <v>0</v>
      </c>
      <c r="K88" s="183">
        <v>342.30595309137487</v>
      </c>
      <c r="L88" s="185">
        <v>1051.2236074226246</v>
      </c>
      <c r="M88" s="313"/>
      <c r="N88" s="547">
        <v>486.11496296999979</v>
      </c>
      <c r="O88" s="554">
        <v>121.52874074249991</v>
      </c>
      <c r="P88" s="547">
        <v>0</v>
      </c>
      <c r="Q88" s="559">
        <v>0</v>
      </c>
      <c r="R88" s="547">
        <v>20.254790123749995</v>
      </c>
      <c r="S88" s="554">
        <v>81.019160494999966</v>
      </c>
      <c r="T88" s="563">
        <v>0</v>
      </c>
      <c r="U88" s="564">
        <v>0</v>
      </c>
      <c r="V88" s="571">
        <v>342.30595309137487</v>
      </c>
      <c r="W88" s="572">
        <v>0</v>
      </c>
      <c r="X88" s="578">
        <v>848.67570618512468</v>
      </c>
      <c r="Y88" s="578">
        <v>202.5479012374999</v>
      </c>
      <c r="Z88" s="594">
        <v>0.80732177263969174</v>
      </c>
      <c r="AA88" s="595">
        <v>0.19267822736030826</v>
      </c>
      <c r="AB88" s="163"/>
      <c r="AC88" s="163"/>
    </row>
    <row r="89" spans="2:35" x14ac:dyDescent="0.25">
      <c r="B89" s="636" t="s">
        <v>41</v>
      </c>
      <c r="C89" s="447" t="s">
        <v>277</v>
      </c>
      <c r="D89" s="468" t="s">
        <v>2</v>
      </c>
      <c r="E89" s="373" t="s">
        <v>317</v>
      </c>
      <c r="F89" s="1020"/>
      <c r="G89" s="184">
        <v>809.98246927499963</v>
      </c>
      <c r="H89" s="183">
        <v>0</v>
      </c>
      <c r="I89" s="183">
        <v>134.99707821249996</v>
      </c>
      <c r="J89" s="183">
        <v>0</v>
      </c>
      <c r="K89" s="183">
        <v>456.29012435824984</v>
      </c>
      <c r="L89" s="185">
        <v>1401.2696718457494</v>
      </c>
      <c r="M89" s="313"/>
      <c r="N89" s="547">
        <v>647.9859754199997</v>
      </c>
      <c r="O89" s="554">
        <v>161.99649385499993</v>
      </c>
      <c r="P89" s="547">
        <v>0</v>
      </c>
      <c r="Q89" s="559">
        <v>0</v>
      </c>
      <c r="R89" s="547">
        <v>26.999415642499994</v>
      </c>
      <c r="S89" s="554">
        <v>107.99766256999996</v>
      </c>
      <c r="T89" s="563">
        <v>0</v>
      </c>
      <c r="U89" s="564">
        <v>0</v>
      </c>
      <c r="V89" s="571">
        <v>456.29012435824984</v>
      </c>
      <c r="W89" s="572">
        <v>0</v>
      </c>
      <c r="X89" s="578">
        <v>1131.2755154207496</v>
      </c>
      <c r="Y89" s="578">
        <v>269.9941564249998</v>
      </c>
      <c r="Z89" s="594">
        <v>0.80732177263969174</v>
      </c>
      <c r="AA89" s="595">
        <v>0.19267822736030826</v>
      </c>
      <c r="AB89" s="163"/>
      <c r="AC89" s="163"/>
    </row>
    <row r="90" spans="2:35" x14ac:dyDescent="0.25">
      <c r="B90" s="636" t="s">
        <v>42</v>
      </c>
      <c r="C90" s="447" t="s">
        <v>277</v>
      </c>
      <c r="D90" s="468" t="s">
        <v>2</v>
      </c>
      <c r="E90" s="373" t="s">
        <v>317</v>
      </c>
      <c r="F90" s="1020"/>
      <c r="G90" s="184">
        <v>404.99123463749982</v>
      </c>
      <c r="H90" s="183">
        <v>0</v>
      </c>
      <c r="I90" s="183">
        <v>67.498539106249979</v>
      </c>
      <c r="J90" s="183">
        <v>0</v>
      </c>
      <c r="K90" s="183">
        <v>228.14506217912492</v>
      </c>
      <c r="L90" s="185">
        <v>700.63483592287469</v>
      </c>
      <c r="M90" s="313"/>
      <c r="N90" s="547">
        <v>323.99298770999985</v>
      </c>
      <c r="O90" s="554">
        <v>80.998246927499963</v>
      </c>
      <c r="P90" s="547">
        <v>0</v>
      </c>
      <c r="Q90" s="559">
        <v>0</v>
      </c>
      <c r="R90" s="547">
        <v>13.499707821249997</v>
      </c>
      <c r="S90" s="554">
        <v>53.99883128499998</v>
      </c>
      <c r="T90" s="563">
        <v>0</v>
      </c>
      <c r="U90" s="564">
        <v>0</v>
      </c>
      <c r="V90" s="571">
        <v>228.14506217912492</v>
      </c>
      <c r="W90" s="572">
        <v>0</v>
      </c>
      <c r="X90" s="578">
        <v>565.63775771037479</v>
      </c>
      <c r="Y90" s="578">
        <v>134.9970782124999</v>
      </c>
      <c r="Z90" s="594">
        <v>0.80732177263969174</v>
      </c>
      <c r="AA90" s="595">
        <v>0.19267822736030826</v>
      </c>
      <c r="AB90" s="163"/>
      <c r="AC90" s="163"/>
    </row>
    <row r="91" spans="2:35" ht="26.4" x14ac:dyDescent="0.25">
      <c r="B91" s="639" t="s">
        <v>245</v>
      </c>
      <c r="C91" s="447" t="s">
        <v>277</v>
      </c>
      <c r="D91" s="468" t="s">
        <v>2</v>
      </c>
      <c r="E91" s="373" t="s">
        <v>317</v>
      </c>
      <c r="F91" s="1020"/>
      <c r="G91" s="184">
        <v>376.44421499999987</v>
      </c>
      <c r="H91" s="183">
        <v>0</v>
      </c>
      <c r="I91" s="183">
        <v>41.827134999999991</v>
      </c>
      <c r="J91" s="183">
        <v>0</v>
      </c>
      <c r="K91" s="183">
        <v>108.75055099999997</v>
      </c>
      <c r="L91" s="185">
        <v>527.02190099999984</v>
      </c>
      <c r="M91" s="313"/>
      <c r="N91" s="547">
        <v>301.15537199999989</v>
      </c>
      <c r="O91" s="554">
        <v>75.288842999999986</v>
      </c>
      <c r="P91" s="547">
        <v>0</v>
      </c>
      <c r="Q91" s="559">
        <v>0</v>
      </c>
      <c r="R91" s="547">
        <v>8.3654269999999986</v>
      </c>
      <c r="S91" s="554">
        <v>33.461707999999994</v>
      </c>
      <c r="T91" s="563">
        <v>0</v>
      </c>
      <c r="U91" s="564">
        <v>0</v>
      </c>
      <c r="V91" s="571">
        <v>108.75055099999997</v>
      </c>
      <c r="W91" s="572">
        <v>0</v>
      </c>
      <c r="X91" s="578">
        <v>418.27134999999987</v>
      </c>
      <c r="Y91" s="578">
        <v>108.75055099999997</v>
      </c>
      <c r="Z91" s="594">
        <v>0.79365079365079361</v>
      </c>
      <c r="AA91" s="595">
        <v>0.20634920634920639</v>
      </c>
      <c r="AB91" s="163"/>
      <c r="AC91" s="163"/>
      <c r="AD91" s="103"/>
    </row>
    <row r="92" spans="2:35" ht="13.8" thickBot="1" x14ac:dyDescent="0.3">
      <c r="B92" s="637" t="s">
        <v>37</v>
      </c>
      <c r="C92" s="448" t="s">
        <v>277</v>
      </c>
      <c r="D92" s="469" t="s">
        <v>2</v>
      </c>
      <c r="E92" s="374" t="s">
        <v>317</v>
      </c>
      <c r="F92" s="1020"/>
      <c r="G92" s="430">
        <v>784.25878124999974</v>
      </c>
      <c r="H92" s="431">
        <v>0</v>
      </c>
      <c r="I92" s="431">
        <v>130.70979687499997</v>
      </c>
      <c r="J92" s="431">
        <v>0</v>
      </c>
      <c r="K92" s="431">
        <v>441.7991134374999</v>
      </c>
      <c r="L92" s="377">
        <v>1356.7676915624995</v>
      </c>
      <c r="M92" s="313"/>
      <c r="N92" s="548">
        <v>627.40702499999986</v>
      </c>
      <c r="O92" s="555">
        <v>156.85175624999988</v>
      </c>
      <c r="P92" s="548">
        <v>0</v>
      </c>
      <c r="Q92" s="560">
        <v>0</v>
      </c>
      <c r="R92" s="548">
        <v>26.141959374999995</v>
      </c>
      <c r="S92" s="555">
        <v>104.56783749999997</v>
      </c>
      <c r="T92" s="565">
        <v>0</v>
      </c>
      <c r="U92" s="566">
        <v>0</v>
      </c>
      <c r="V92" s="573">
        <v>441.7991134374999</v>
      </c>
      <c r="W92" s="574">
        <v>0</v>
      </c>
      <c r="X92" s="579">
        <v>1095.3480978124996</v>
      </c>
      <c r="Y92" s="579">
        <v>261.41959374999988</v>
      </c>
      <c r="Z92" s="596">
        <v>0.80732177263969174</v>
      </c>
      <c r="AA92" s="597">
        <v>0.19267822736030826</v>
      </c>
      <c r="AB92" s="163"/>
      <c r="AC92" s="163"/>
      <c r="AD92" s="103"/>
    </row>
    <row r="93" spans="2:35" ht="13.8" thickBot="1" x14ac:dyDescent="0.3">
      <c r="B93" s="84"/>
      <c r="C93" s="48"/>
      <c r="D93" s="48"/>
      <c r="E93" s="48"/>
      <c r="F93" s="1023"/>
      <c r="G93" s="1027"/>
      <c r="H93" s="63"/>
      <c r="I93" s="63"/>
      <c r="J93" s="63"/>
      <c r="K93" s="63"/>
      <c r="L93" s="1028"/>
      <c r="M93" s="316"/>
      <c r="N93" s="556"/>
      <c r="O93" s="557"/>
      <c r="P93" s="508"/>
      <c r="Q93" s="508"/>
      <c r="R93" s="508"/>
      <c r="S93" s="508"/>
      <c r="T93" s="509"/>
      <c r="U93" s="509"/>
      <c r="V93" s="509"/>
      <c r="W93" s="509"/>
      <c r="X93" s="580"/>
      <c r="Y93" s="580"/>
      <c r="Z93" s="155"/>
      <c r="AA93" s="1034"/>
      <c r="AB93" s="9"/>
      <c r="AC93" s="9"/>
      <c r="AD93" s="103"/>
      <c r="AE93" s="103"/>
      <c r="AF93" s="103"/>
      <c r="AG93" s="103"/>
      <c r="AH93" s="103"/>
      <c r="AI93" s="103"/>
    </row>
    <row r="94" spans="2:35" ht="16.2" thickBot="1" x14ac:dyDescent="0.3">
      <c r="B94" s="357" t="s">
        <v>71</v>
      </c>
      <c r="C94" s="368"/>
      <c r="D94" s="356"/>
      <c r="E94" s="368"/>
      <c r="F94" s="1019"/>
      <c r="G94" s="439"/>
      <c r="H94" s="440"/>
      <c r="I94" s="440"/>
      <c r="J94" s="440"/>
      <c r="K94" s="440"/>
      <c r="L94" s="378"/>
      <c r="M94" s="316"/>
      <c r="N94" s="434"/>
      <c r="O94" s="550"/>
      <c r="P94" s="434"/>
      <c r="Q94" s="550"/>
      <c r="R94" s="434"/>
      <c r="S94" s="550"/>
      <c r="T94" s="434"/>
      <c r="U94" s="550"/>
      <c r="V94" s="434"/>
      <c r="W94" s="550"/>
      <c r="X94" s="581"/>
      <c r="Y94" s="581"/>
      <c r="Z94" s="590"/>
      <c r="AA94" s="591"/>
      <c r="AB94" s="9"/>
      <c r="AC94" s="9"/>
    </row>
    <row r="95" spans="2:35" x14ac:dyDescent="0.25">
      <c r="B95" s="635" t="s">
        <v>45</v>
      </c>
      <c r="C95" s="446" t="s">
        <v>277</v>
      </c>
      <c r="D95" s="467" t="s">
        <v>2</v>
      </c>
      <c r="E95" s="372" t="s">
        <v>317</v>
      </c>
      <c r="F95" s="1020"/>
      <c r="G95" s="432">
        <v>404.99123463749982</v>
      </c>
      <c r="H95" s="433">
        <v>0</v>
      </c>
      <c r="I95" s="433">
        <v>67.498539106249979</v>
      </c>
      <c r="J95" s="433">
        <v>0</v>
      </c>
      <c r="K95" s="433">
        <v>228.14506217912492</v>
      </c>
      <c r="L95" s="376">
        <v>700.63483592287469</v>
      </c>
      <c r="M95" s="313"/>
      <c r="N95" s="549">
        <v>323.99298770999985</v>
      </c>
      <c r="O95" s="553">
        <v>80.998246927499963</v>
      </c>
      <c r="P95" s="549">
        <v>0</v>
      </c>
      <c r="Q95" s="558">
        <v>0</v>
      </c>
      <c r="R95" s="549">
        <v>13.499707821249997</v>
      </c>
      <c r="S95" s="553">
        <v>53.99883128499998</v>
      </c>
      <c r="T95" s="561">
        <v>0</v>
      </c>
      <c r="U95" s="562">
        <v>0</v>
      </c>
      <c r="V95" s="569">
        <v>228.14506217912492</v>
      </c>
      <c r="W95" s="570">
        <v>0</v>
      </c>
      <c r="X95" s="577">
        <v>565.63775771037479</v>
      </c>
      <c r="Y95" s="577">
        <v>134.9970782124999</v>
      </c>
      <c r="Z95" s="427">
        <v>0.80732177263969174</v>
      </c>
      <c r="AA95" s="598">
        <v>0.19267822736030826</v>
      </c>
      <c r="AB95" s="163"/>
      <c r="AC95" s="163"/>
    </row>
    <row r="96" spans="2:35" x14ac:dyDescent="0.25">
      <c r="B96" s="636" t="s">
        <v>46</v>
      </c>
      <c r="C96" s="447" t="s">
        <v>277</v>
      </c>
      <c r="D96" s="468" t="s">
        <v>2</v>
      </c>
      <c r="E96" s="373" t="s">
        <v>317</v>
      </c>
      <c r="F96" s="1020"/>
      <c r="G96" s="184">
        <v>573.76372436249972</v>
      </c>
      <c r="H96" s="183">
        <v>0</v>
      </c>
      <c r="I96" s="183">
        <v>95.627287393749967</v>
      </c>
      <c r="J96" s="183">
        <v>0</v>
      </c>
      <c r="K96" s="183">
        <v>323.22023139087486</v>
      </c>
      <c r="L96" s="185">
        <v>992.61124314712447</v>
      </c>
      <c r="M96" s="313"/>
      <c r="N96" s="547">
        <v>459.01097948999978</v>
      </c>
      <c r="O96" s="554">
        <v>114.75274487249993</v>
      </c>
      <c r="P96" s="547">
        <v>0</v>
      </c>
      <c r="Q96" s="559">
        <v>0</v>
      </c>
      <c r="R96" s="547">
        <v>19.125457478749993</v>
      </c>
      <c r="S96" s="554">
        <v>76.501829914999973</v>
      </c>
      <c r="T96" s="563">
        <v>0</v>
      </c>
      <c r="U96" s="564">
        <v>0</v>
      </c>
      <c r="V96" s="571">
        <v>323.22023139087486</v>
      </c>
      <c r="W96" s="572">
        <v>0</v>
      </c>
      <c r="X96" s="578">
        <v>801.35666835962456</v>
      </c>
      <c r="Y96" s="578">
        <v>191.25457478749991</v>
      </c>
      <c r="Z96" s="594">
        <v>0.80732177263969174</v>
      </c>
      <c r="AA96" s="595">
        <v>0.19267822736030826</v>
      </c>
      <c r="AB96" s="163"/>
      <c r="AC96" s="163"/>
    </row>
    <row r="97" spans="1:35" x14ac:dyDescent="0.25">
      <c r="B97" s="636" t="s">
        <v>0</v>
      </c>
      <c r="C97" s="447" t="s">
        <v>277</v>
      </c>
      <c r="D97" s="468" t="s">
        <v>2</v>
      </c>
      <c r="E97" s="373" t="s">
        <v>317</v>
      </c>
      <c r="F97" s="1020"/>
      <c r="G97" s="184">
        <v>573.76372436249972</v>
      </c>
      <c r="H97" s="183">
        <v>0</v>
      </c>
      <c r="I97" s="183">
        <v>95.627287393749967</v>
      </c>
      <c r="J97" s="183">
        <v>0</v>
      </c>
      <c r="K97" s="183">
        <v>323.22023139087486</v>
      </c>
      <c r="L97" s="185">
        <v>992.61124314712447</v>
      </c>
      <c r="M97" s="313"/>
      <c r="N97" s="547">
        <v>459.01097948999978</v>
      </c>
      <c r="O97" s="554">
        <v>114.75274487249993</v>
      </c>
      <c r="P97" s="547">
        <v>0</v>
      </c>
      <c r="Q97" s="559">
        <v>0</v>
      </c>
      <c r="R97" s="547">
        <v>19.125457478749993</v>
      </c>
      <c r="S97" s="554">
        <v>76.501829914999973</v>
      </c>
      <c r="T97" s="563">
        <v>0</v>
      </c>
      <c r="U97" s="564">
        <v>0</v>
      </c>
      <c r="V97" s="571">
        <v>323.22023139087486</v>
      </c>
      <c r="W97" s="572">
        <v>0</v>
      </c>
      <c r="X97" s="578">
        <v>801.35666835962456</v>
      </c>
      <c r="Y97" s="578">
        <v>191.25457478749991</v>
      </c>
      <c r="Z97" s="594">
        <v>0.80732177263969174</v>
      </c>
      <c r="AA97" s="595">
        <v>0.19267822736030826</v>
      </c>
      <c r="AB97" s="163"/>
      <c r="AC97" s="163"/>
    </row>
    <row r="98" spans="1:35" x14ac:dyDescent="0.25">
      <c r="A98" s="14"/>
      <c r="B98" s="636" t="s">
        <v>47</v>
      </c>
      <c r="C98" s="447" t="s">
        <v>278</v>
      </c>
      <c r="D98" s="468" t="s">
        <v>2</v>
      </c>
      <c r="E98" s="373" t="s">
        <v>318</v>
      </c>
      <c r="F98" s="1020"/>
      <c r="G98" s="184">
        <v>922.73194787878754</v>
      </c>
      <c r="H98" s="183">
        <v>4.6136597393939374</v>
      </c>
      <c r="I98" s="183">
        <v>70.979380606060587</v>
      </c>
      <c r="J98" s="183">
        <v>92.273194787878765</v>
      </c>
      <c r="K98" s="183">
        <v>73.818555830303012</v>
      </c>
      <c r="L98" s="185">
        <v>1164.4167388424239</v>
      </c>
      <c r="M98" s="313"/>
      <c r="N98" s="547">
        <v>0</v>
      </c>
      <c r="O98" s="554">
        <v>922.73194787878754</v>
      </c>
      <c r="P98" s="547">
        <v>4.6136597393939374</v>
      </c>
      <c r="Q98" s="559">
        <v>0</v>
      </c>
      <c r="R98" s="547">
        <v>14.195876121212118</v>
      </c>
      <c r="S98" s="554">
        <v>56.783504484848471</v>
      </c>
      <c r="T98" s="563">
        <v>0</v>
      </c>
      <c r="U98" s="564">
        <v>92.273194787878765</v>
      </c>
      <c r="V98" s="571">
        <v>73.818555830303012</v>
      </c>
      <c r="W98" s="572">
        <v>0</v>
      </c>
      <c r="X98" s="578">
        <v>92.628091690909059</v>
      </c>
      <c r="Y98" s="578">
        <v>1071.7886471515149</v>
      </c>
      <c r="Z98" s="594">
        <v>7.9548918012800965E-2</v>
      </c>
      <c r="AA98" s="595">
        <v>0.92045108198719905</v>
      </c>
      <c r="AB98" s="163"/>
      <c r="AC98" s="163"/>
    </row>
    <row r="99" spans="1:35" x14ac:dyDescent="0.25">
      <c r="A99" s="14"/>
      <c r="B99" s="636" t="s">
        <v>48</v>
      </c>
      <c r="C99" s="447" t="s">
        <v>278</v>
      </c>
      <c r="D99" s="468" t="s">
        <v>1</v>
      </c>
      <c r="E99" s="373" t="s">
        <v>318</v>
      </c>
      <c r="F99" s="1020"/>
      <c r="G99" s="184">
        <v>124435.72662499995</v>
      </c>
      <c r="H99" s="183">
        <v>622.17863312499981</v>
      </c>
      <c r="I99" s="183">
        <v>7319.7486249999974</v>
      </c>
      <c r="J99" s="183">
        <v>12443.572662499995</v>
      </c>
      <c r="K99" s="183">
        <v>0</v>
      </c>
      <c r="L99" s="185">
        <v>144821.22654562496</v>
      </c>
      <c r="M99" s="313"/>
      <c r="N99" s="547">
        <v>0</v>
      </c>
      <c r="O99" s="554">
        <v>124435.72662499995</v>
      </c>
      <c r="P99" s="547">
        <v>622.17863312499981</v>
      </c>
      <c r="Q99" s="559">
        <v>0</v>
      </c>
      <c r="R99" s="547">
        <v>1463.9497249999995</v>
      </c>
      <c r="S99" s="554">
        <v>5855.798899999998</v>
      </c>
      <c r="T99" s="563">
        <v>0</v>
      </c>
      <c r="U99" s="564">
        <v>12443.572662499995</v>
      </c>
      <c r="V99" s="571">
        <v>0</v>
      </c>
      <c r="W99" s="572">
        <v>0</v>
      </c>
      <c r="X99" s="578">
        <v>2086.1283581249991</v>
      </c>
      <c r="Y99" s="578">
        <v>142735.09818749997</v>
      </c>
      <c r="Z99" s="594">
        <v>1.4404852160727821E-2</v>
      </c>
      <c r="AA99" s="595">
        <v>0.98559514783927216</v>
      </c>
      <c r="AB99" s="163"/>
      <c r="AC99" s="163"/>
    </row>
    <row r="100" spans="1:35" x14ac:dyDescent="0.25">
      <c r="A100" s="14"/>
      <c r="B100" s="636" t="s">
        <v>49</v>
      </c>
      <c r="C100" s="449" t="s">
        <v>278</v>
      </c>
      <c r="D100" s="473" t="s">
        <v>1</v>
      </c>
      <c r="E100" s="373" t="s">
        <v>318</v>
      </c>
      <c r="F100" s="1020"/>
      <c r="G100" s="184">
        <v>576707.46742424229</v>
      </c>
      <c r="H100" s="183">
        <v>2883.5373371212113</v>
      </c>
      <c r="I100" s="183">
        <v>44362.11287878787</v>
      </c>
      <c r="J100" s="183">
        <v>57670.746742424235</v>
      </c>
      <c r="K100" s="183">
        <v>46136.597393939388</v>
      </c>
      <c r="L100" s="185">
        <v>727760.461776515</v>
      </c>
      <c r="M100" s="313"/>
      <c r="N100" s="547">
        <v>0</v>
      </c>
      <c r="O100" s="554">
        <v>576707.46742424229</v>
      </c>
      <c r="P100" s="547">
        <v>2883.5373371212113</v>
      </c>
      <c r="Q100" s="559">
        <v>0</v>
      </c>
      <c r="R100" s="547">
        <v>8872.422575757575</v>
      </c>
      <c r="S100" s="554">
        <v>35489.690303030293</v>
      </c>
      <c r="T100" s="563">
        <v>0</v>
      </c>
      <c r="U100" s="564">
        <v>57670.746742424235</v>
      </c>
      <c r="V100" s="571">
        <v>46136.597393939388</v>
      </c>
      <c r="W100" s="572">
        <v>0</v>
      </c>
      <c r="X100" s="578">
        <v>57892.557306818177</v>
      </c>
      <c r="Y100" s="578">
        <v>669867.9044696968</v>
      </c>
      <c r="Z100" s="594">
        <v>7.9548918012800979E-2</v>
      </c>
      <c r="AA100" s="595">
        <v>0.92045108198719905</v>
      </c>
      <c r="AB100" s="163"/>
      <c r="AC100" s="163"/>
    </row>
    <row r="101" spans="1:35" ht="27" thickBot="1" x14ac:dyDescent="0.3">
      <c r="B101" s="638" t="s">
        <v>245</v>
      </c>
      <c r="C101" s="448" t="s">
        <v>277</v>
      </c>
      <c r="D101" s="469" t="s">
        <v>2</v>
      </c>
      <c r="E101" s="374" t="s">
        <v>317</v>
      </c>
      <c r="F101" s="1020"/>
      <c r="G101" s="430">
        <v>141.16658062499994</v>
      </c>
      <c r="H101" s="431">
        <v>0</v>
      </c>
      <c r="I101" s="431">
        <v>15.685175624999994</v>
      </c>
      <c r="J101" s="431">
        <v>0</v>
      </c>
      <c r="K101" s="431">
        <v>40.781456624999983</v>
      </c>
      <c r="L101" s="377">
        <v>197.63321287499991</v>
      </c>
      <c r="M101" s="313"/>
      <c r="N101" s="548">
        <v>112.93326449999995</v>
      </c>
      <c r="O101" s="555">
        <v>28.233316124999988</v>
      </c>
      <c r="P101" s="548">
        <v>0</v>
      </c>
      <c r="Q101" s="560">
        <v>0</v>
      </c>
      <c r="R101" s="548">
        <v>3.1370351249999988</v>
      </c>
      <c r="S101" s="555">
        <v>12.548140499999995</v>
      </c>
      <c r="T101" s="565">
        <v>0</v>
      </c>
      <c r="U101" s="566">
        <v>0</v>
      </c>
      <c r="V101" s="573">
        <v>40.781456624999983</v>
      </c>
      <c r="W101" s="574">
        <v>0</v>
      </c>
      <c r="X101" s="579">
        <v>156.85175624999994</v>
      </c>
      <c r="Y101" s="579">
        <v>40.781456624999976</v>
      </c>
      <c r="Z101" s="596">
        <v>0.79365079365079372</v>
      </c>
      <c r="AA101" s="597">
        <v>0.20634920634920628</v>
      </c>
      <c r="AB101" s="163"/>
      <c r="AC101" s="163"/>
    </row>
    <row r="102" spans="1:35" ht="13.8" thickBot="1" x14ac:dyDescent="0.3">
      <c r="B102" s="51"/>
      <c r="C102" s="48"/>
      <c r="D102" s="48"/>
      <c r="E102" s="48"/>
      <c r="F102" s="1023"/>
      <c r="G102" s="1027"/>
      <c r="H102" s="63"/>
      <c r="I102" s="63"/>
      <c r="J102" s="63"/>
      <c r="K102" s="63"/>
      <c r="L102" s="1028"/>
      <c r="M102" s="316"/>
      <c r="N102" s="556"/>
      <c r="O102" s="508"/>
      <c r="P102" s="508"/>
      <c r="Q102" s="508"/>
      <c r="R102" s="508"/>
      <c r="S102" s="508"/>
      <c r="T102" s="509"/>
      <c r="U102" s="509"/>
      <c r="V102" s="509"/>
      <c r="W102" s="509"/>
      <c r="X102" s="580"/>
      <c r="Y102" s="580"/>
      <c r="Z102" s="155"/>
      <c r="AA102" s="1034"/>
      <c r="AB102" s="9"/>
      <c r="AC102" s="9"/>
      <c r="AD102" s="103"/>
      <c r="AE102" s="103"/>
      <c r="AF102" s="103"/>
      <c r="AG102" s="103"/>
      <c r="AH102" s="13"/>
      <c r="AI102" s="13"/>
    </row>
    <row r="103" spans="1:35" ht="31.8" thickBot="1" x14ac:dyDescent="0.35">
      <c r="B103" s="355" t="s">
        <v>251</v>
      </c>
      <c r="C103" s="368"/>
      <c r="D103" s="356"/>
      <c r="E103" s="368"/>
      <c r="F103" s="1019"/>
      <c r="G103" s="439"/>
      <c r="H103" s="440"/>
      <c r="I103" s="440"/>
      <c r="J103" s="440"/>
      <c r="K103" s="440"/>
      <c r="L103" s="378"/>
      <c r="M103" s="314"/>
      <c r="N103" s="434"/>
      <c r="O103" s="550"/>
      <c r="P103" s="434"/>
      <c r="Q103" s="550"/>
      <c r="R103" s="434"/>
      <c r="S103" s="550"/>
      <c r="T103" s="434"/>
      <c r="U103" s="550"/>
      <c r="V103" s="434"/>
      <c r="W103" s="550"/>
      <c r="X103" s="581"/>
      <c r="Y103" s="581"/>
      <c r="Z103" s="590"/>
      <c r="AA103" s="591"/>
      <c r="AB103" s="162"/>
      <c r="AC103" s="162"/>
    </row>
    <row r="104" spans="1:35" x14ac:dyDescent="0.25">
      <c r="B104" s="635" t="s">
        <v>51</v>
      </c>
      <c r="C104" s="372" t="s">
        <v>277</v>
      </c>
      <c r="D104" s="470" t="s">
        <v>258</v>
      </c>
      <c r="E104" s="372" t="s">
        <v>317</v>
      </c>
      <c r="F104" s="1020"/>
      <c r="G104" s="432">
        <v>1097.9622937499996</v>
      </c>
      <c r="H104" s="433">
        <v>0</v>
      </c>
      <c r="I104" s="433">
        <v>182.99371562499994</v>
      </c>
      <c r="J104" s="433">
        <v>0</v>
      </c>
      <c r="K104" s="433">
        <v>618.51875881249975</v>
      </c>
      <c r="L104" s="376">
        <v>1899.4747681874994</v>
      </c>
      <c r="M104" s="310"/>
      <c r="N104" s="549">
        <v>878.36983499999974</v>
      </c>
      <c r="O104" s="553">
        <v>219.59245874999988</v>
      </c>
      <c r="P104" s="549">
        <v>0</v>
      </c>
      <c r="Q104" s="558">
        <v>0</v>
      </c>
      <c r="R104" s="549">
        <v>36.598743124999991</v>
      </c>
      <c r="S104" s="553">
        <v>146.39497249999994</v>
      </c>
      <c r="T104" s="561">
        <v>0</v>
      </c>
      <c r="U104" s="562">
        <v>0</v>
      </c>
      <c r="V104" s="569">
        <v>618.51875881249975</v>
      </c>
      <c r="W104" s="570">
        <v>0</v>
      </c>
      <c r="X104" s="577">
        <v>1533.4873369374995</v>
      </c>
      <c r="Y104" s="577">
        <v>365.98743124999987</v>
      </c>
      <c r="Z104" s="584">
        <v>0.80732177263969174</v>
      </c>
      <c r="AA104" s="585">
        <v>0.19267822736030826</v>
      </c>
      <c r="AB104" s="12"/>
      <c r="AC104" s="12"/>
    </row>
    <row r="105" spans="1:35" x14ac:dyDescent="0.25">
      <c r="B105" s="636" t="s">
        <v>235</v>
      </c>
      <c r="C105" s="375" t="s">
        <v>277</v>
      </c>
      <c r="D105" s="471" t="s">
        <v>234</v>
      </c>
      <c r="E105" s="375" t="s">
        <v>317</v>
      </c>
      <c r="F105" s="1020"/>
      <c r="G105" s="184">
        <v>141.16658062499994</v>
      </c>
      <c r="H105" s="183">
        <v>0</v>
      </c>
      <c r="I105" s="183">
        <v>15.685175624999994</v>
      </c>
      <c r="J105" s="183">
        <v>0</v>
      </c>
      <c r="K105" s="183">
        <v>40.781456624999983</v>
      </c>
      <c r="L105" s="185">
        <v>197.63321287499991</v>
      </c>
      <c r="M105" s="310"/>
      <c r="N105" s="547">
        <v>112.93326449999995</v>
      </c>
      <c r="O105" s="554">
        <v>28.233316124999988</v>
      </c>
      <c r="P105" s="547">
        <v>0</v>
      </c>
      <c r="Q105" s="559">
        <v>0</v>
      </c>
      <c r="R105" s="547">
        <v>3.1370351249999988</v>
      </c>
      <c r="S105" s="554">
        <v>12.548140499999995</v>
      </c>
      <c r="T105" s="563">
        <v>0</v>
      </c>
      <c r="U105" s="564">
        <v>0</v>
      </c>
      <c r="V105" s="571">
        <v>40.781456624999983</v>
      </c>
      <c r="W105" s="572">
        <v>0</v>
      </c>
      <c r="X105" s="578">
        <v>156.85175624999994</v>
      </c>
      <c r="Y105" s="578">
        <v>40.781456624999976</v>
      </c>
      <c r="Z105" s="586">
        <v>0.79365079365079372</v>
      </c>
      <c r="AA105" s="587">
        <v>0.20634920634920628</v>
      </c>
      <c r="AB105" s="12"/>
      <c r="AC105" s="12"/>
    </row>
    <row r="106" spans="1:35" x14ac:dyDescent="0.25">
      <c r="B106" s="636" t="s">
        <v>536</v>
      </c>
      <c r="C106" s="373" t="s">
        <v>287</v>
      </c>
      <c r="D106" s="471" t="s">
        <v>1</v>
      </c>
      <c r="E106" s="373" t="s">
        <v>317</v>
      </c>
      <c r="F106" s="1020"/>
      <c r="G106" s="379">
        <v>130000</v>
      </c>
      <c r="H106" s="380">
        <v>0</v>
      </c>
      <c r="I106" s="380">
        <v>0</v>
      </c>
      <c r="J106" s="380">
        <v>0</v>
      </c>
      <c r="K106" s="380">
        <v>0</v>
      </c>
      <c r="L106" s="185">
        <v>130000</v>
      </c>
      <c r="M106" s="310"/>
      <c r="N106" s="547">
        <v>104000</v>
      </c>
      <c r="O106" s="554">
        <v>26000</v>
      </c>
      <c r="P106" s="547">
        <v>0</v>
      </c>
      <c r="Q106" s="559">
        <v>0</v>
      </c>
      <c r="R106" s="547">
        <v>0</v>
      </c>
      <c r="S106" s="554">
        <v>0</v>
      </c>
      <c r="T106" s="563">
        <v>0</v>
      </c>
      <c r="U106" s="564">
        <v>0</v>
      </c>
      <c r="V106" s="571">
        <v>0</v>
      </c>
      <c r="W106" s="572">
        <v>0</v>
      </c>
      <c r="X106" s="578">
        <v>104000</v>
      </c>
      <c r="Y106" s="578">
        <v>26000</v>
      </c>
      <c r="Z106" s="586">
        <v>0.8</v>
      </c>
      <c r="AA106" s="587">
        <v>0.19999999999999996</v>
      </c>
      <c r="AB106" s="12"/>
      <c r="AC106" s="12"/>
    </row>
    <row r="107" spans="1:35" x14ac:dyDescent="0.25">
      <c r="B107" s="636" t="s">
        <v>537</v>
      </c>
      <c r="C107" s="373" t="s">
        <v>287</v>
      </c>
      <c r="D107" s="471" t="s">
        <v>1</v>
      </c>
      <c r="E107" s="373" t="s">
        <v>317</v>
      </c>
      <c r="F107" s="1020"/>
      <c r="G107" s="379">
        <v>130000</v>
      </c>
      <c r="H107" s="380">
        <v>0</v>
      </c>
      <c r="I107" s="380">
        <v>0</v>
      </c>
      <c r="J107" s="380">
        <v>0</v>
      </c>
      <c r="K107" s="380">
        <v>0</v>
      </c>
      <c r="L107" s="185">
        <v>130000</v>
      </c>
      <c r="M107" s="310"/>
      <c r="N107" s="547">
        <v>104000</v>
      </c>
      <c r="O107" s="554">
        <v>26000</v>
      </c>
      <c r="P107" s="547">
        <v>0</v>
      </c>
      <c r="Q107" s="559">
        <v>0</v>
      </c>
      <c r="R107" s="547">
        <v>0</v>
      </c>
      <c r="S107" s="554">
        <v>0</v>
      </c>
      <c r="T107" s="563">
        <v>0</v>
      </c>
      <c r="U107" s="564">
        <v>0</v>
      </c>
      <c r="V107" s="571">
        <v>0</v>
      </c>
      <c r="W107" s="572">
        <v>0</v>
      </c>
      <c r="X107" s="578">
        <v>104000</v>
      </c>
      <c r="Y107" s="578">
        <v>26000</v>
      </c>
      <c r="Z107" s="586">
        <v>0.8</v>
      </c>
      <c r="AA107" s="587">
        <v>0.19999999999999996</v>
      </c>
      <c r="AB107" s="12"/>
      <c r="AC107" s="12"/>
    </row>
    <row r="108" spans="1:35" x14ac:dyDescent="0.25">
      <c r="B108" s="636" t="s">
        <v>236</v>
      </c>
      <c r="C108" s="375" t="s">
        <v>277</v>
      </c>
      <c r="D108" s="471" t="s">
        <v>1</v>
      </c>
      <c r="E108" s="375" t="s">
        <v>317</v>
      </c>
      <c r="F108" s="1020"/>
      <c r="G108" s="184">
        <v>1568.5175624999995</v>
      </c>
      <c r="H108" s="183">
        <v>0</v>
      </c>
      <c r="I108" s="183">
        <v>522.83918749999987</v>
      </c>
      <c r="J108" s="183">
        <v>0</v>
      </c>
      <c r="K108" s="183">
        <v>2175.0110199999995</v>
      </c>
      <c r="L108" s="185">
        <v>4266.3677699999989</v>
      </c>
      <c r="M108" s="310"/>
      <c r="N108" s="547">
        <v>1254.8140499999997</v>
      </c>
      <c r="O108" s="554">
        <v>313.70351249999976</v>
      </c>
      <c r="P108" s="547">
        <v>0</v>
      </c>
      <c r="Q108" s="559">
        <v>0</v>
      </c>
      <c r="R108" s="547">
        <v>104.56783749999998</v>
      </c>
      <c r="S108" s="554">
        <v>418.27134999999987</v>
      </c>
      <c r="T108" s="563">
        <v>0</v>
      </c>
      <c r="U108" s="564">
        <v>0</v>
      </c>
      <c r="V108" s="571">
        <v>2175.0110199999995</v>
      </c>
      <c r="W108" s="572">
        <v>0</v>
      </c>
      <c r="X108" s="578">
        <v>3534.3929074999992</v>
      </c>
      <c r="Y108" s="578">
        <v>731.97486249999974</v>
      </c>
      <c r="Z108" s="586">
        <v>0.82843137254901966</v>
      </c>
      <c r="AA108" s="587">
        <v>0.17156862745098034</v>
      </c>
      <c r="AB108" s="12"/>
      <c r="AC108" s="12"/>
    </row>
    <row r="109" spans="1:35" x14ac:dyDescent="0.25">
      <c r="B109" s="636" t="s">
        <v>239</v>
      </c>
      <c r="C109" s="375" t="s">
        <v>277</v>
      </c>
      <c r="D109" s="471" t="s">
        <v>1</v>
      </c>
      <c r="E109" s="375" t="s">
        <v>317</v>
      </c>
      <c r="F109" s="1020"/>
      <c r="G109" s="184">
        <v>1568.5175624999995</v>
      </c>
      <c r="H109" s="183">
        <v>0</v>
      </c>
      <c r="I109" s="183">
        <v>522.83918749999987</v>
      </c>
      <c r="J109" s="183">
        <v>0</v>
      </c>
      <c r="K109" s="183">
        <v>2175.0110199999995</v>
      </c>
      <c r="L109" s="185">
        <v>4266.3677699999989</v>
      </c>
      <c r="M109" s="310"/>
      <c r="N109" s="547">
        <v>1254.8140499999997</v>
      </c>
      <c r="O109" s="554">
        <v>313.70351249999976</v>
      </c>
      <c r="P109" s="547">
        <v>0</v>
      </c>
      <c r="Q109" s="559">
        <v>0</v>
      </c>
      <c r="R109" s="547">
        <v>104.56783749999998</v>
      </c>
      <c r="S109" s="554">
        <v>418.27134999999987</v>
      </c>
      <c r="T109" s="563">
        <v>0</v>
      </c>
      <c r="U109" s="564">
        <v>0</v>
      </c>
      <c r="V109" s="571">
        <v>2175.0110199999995</v>
      </c>
      <c r="W109" s="572">
        <v>0</v>
      </c>
      <c r="X109" s="578">
        <v>3534.3929074999992</v>
      </c>
      <c r="Y109" s="578">
        <v>731.97486249999974</v>
      </c>
      <c r="Z109" s="586">
        <v>0.82843137254901966</v>
      </c>
      <c r="AA109" s="587">
        <v>0.17156862745098034</v>
      </c>
      <c r="AB109" s="12"/>
      <c r="AC109" s="12"/>
    </row>
    <row r="110" spans="1:35" ht="13.8" thickBot="1" x14ac:dyDescent="0.3">
      <c r="B110" s="637" t="s">
        <v>52</v>
      </c>
      <c r="C110" s="374" t="s">
        <v>277</v>
      </c>
      <c r="D110" s="472" t="s">
        <v>8</v>
      </c>
      <c r="E110" s="374" t="s">
        <v>317</v>
      </c>
      <c r="F110" s="1022"/>
      <c r="G110" s="430">
        <v>1568.5175624999995</v>
      </c>
      <c r="H110" s="431">
        <v>0</v>
      </c>
      <c r="I110" s="431">
        <v>522.83918749999987</v>
      </c>
      <c r="J110" s="431">
        <v>0</v>
      </c>
      <c r="K110" s="431">
        <v>2175.0110199999995</v>
      </c>
      <c r="L110" s="377">
        <v>4266.3677699999989</v>
      </c>
      <c r="M110" s="310"/>
      <c r="N110" s="548">
        <v>1254.8140499999997</v>
      </c>
      <c r="O110" s="555">
        <v>313.70351249999976</v>
      </c>
      <c r="P110" s="548">
        <v>0</v>
      </c>
      <c r="Q110" s="560">
        <v>0</v>
      </c>
      <c r="R110" s="548">
        <v>104.56783749999998</v>
      </c>
      <c r="S110" s="555">
        <v>418.27134999999987</v>
      </c>
      <c r="T110" s="565">
        <v>0</v>
      </c>
      <c r="U110" s="566">
        <v>0</v>
      </c>
      <c r="V110" s="573">
        <v>2175.0110199999995</v>
      </c>
      <c r="W110" s="574">
        <v>0</v>
      </c>
      <c r="X110" s="579">
        <v>3534.3929074999992</v>
      </c>
      <c r="Y110" s="579">
        <v>731.97486249999974</v>
      </c>
      <c r="Z110" s="588">
        <v>0.82843137254901966</v>
      </c>
      <c r="AA110" s="589">
        <v>0.17156862745098034</v>
      </c>
      <c r="AB110" s="12"/>
      <c r="AC110" s="12"/>
    </row>
    <row r="111" spans="1:35" x14ac:dyDescent="0.25">
      <c r="A111" s="166"/>
      <c r="B111" s="51"/>
      <c r="C111" s="51"/>
      <c r="D111" s="48"/>
      <c r="E111" s="48"/>
      <c r="F111" s="48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03"/>
      <c r="AE111" s="103"/>
    </row>
    <row r="112" spans="1:35" x14ac:dyDescent="0.25">
      <c r="A112" s="166"/>
      <c r="B112" s="103"/>
      <c r="C112" s="103"/>
      <c r="D112" s="103"/>
      <c r="E112" s="103"/>
      <c r="F112" s="10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03"/>
      <c r="AE112" s="103"/>
    </row>
    <row r="113" spans="1:31" x14ac:dyDescent="0.25">
      <c r="A113" s="166"/>
      <c r="B113" s="103"/>
      <c r="C113" s="103"/>
      <c r="D113" s="103"/>
      <c r="E113" s="103"/>
      <c r="F113" s="10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103"/>
      <c r="AE113" s="103"/>
    </row>
    <row r="114" spans="1:31" ht="15.6" x14ac:dyDescent="0.3">
      <c r="A114" s="166"/>
      <c r="B114" s="103"/>
      <c r="C114" s="103"/>
      <c r="D114" s="103"/>
      <c r="E114" s="103"/>
      <c r="F114" s="103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03"/>
      <c r="AE114" s="103"/>
    </row>
    <row r="115" spans="1:31" x14ac:dyDescent="0.25">
      <c r="A115" s="166"/>
      <c r="B115" s="103"/>
      <c r="C115" s="103"/>
      <c r="D115" s="103"/>
      <c r="E115" s="103"/>
      <c r="F115" s="103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03"/>
      <c r="AE115" s="103"/>
    </row>
    <row r="116" spans="1:31" x14ac:dyDescent="0.25">
      <c r="A116" s="166"/>
      <c r="B116" s="103"/>
      <c r="C116" s="103"/>
      <c r="D116" s="103"/>
      <c r="E116" s="103"/>
      <c r="F116" s="103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03"/>
      <c r="AE116" s="103"/>
    </row>
    <row r="117" spans="1:31" x14ac:dyDescent="0.25">
      <c r="A117" s="166"/>
      <c r="B117" s="103"/>
      <c r="C117" s="103"/>
      <c r="D117" s="103"/>
      <c r="E117" s="103"/>
      <c r="F117" s="103"/>
      <c r="G117" s="155"/>
      <c r="H117" s="155"/>
      <c r="I117" s="191"/>
      <c r="J117" s="191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03"/>
      <c r="AE117" s="103"/>
    </row>
    <row r="118" spans="1:31" x14ac:dyDescent="0.25">
      <c r="A118" s="166"/>
      <c r="B118" s="103"/>
      <c r="C118" s="103"/>
      <c r="D118" s="103"/>
      <c r="E118" s="103"/>
      <c r="F118" s="10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103"/>
      <c r="AE118" s="103"/>
    </row>
    <row r="119" spans="1:31" x14ac:dyDescent="0.25">
      <c r="A119" s="166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</row>
    <row r="120" spans="1:31" x14ac:dyDescent="0.25">
      <c r="A120" s="166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</row>
    <row r="121" spans="1:31" x14ac:dyDescent="0.25">
      <c r="A121" s="166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</row>
    <row r="122" spans="1:31" x14ac:dyDescent="0.25">
      <c r="A122" s="166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</row>
    <row r="123" spans="1:31" x14ac:dyDescent="0.25">
      <c r="A123" s="166"/>
      <c r="B123" s="166"/>
      <c r="C123" s="166"/>
      <c r="D123" s="166"/>
      <c r="E123" s="166"/>
      <c r="F123" s="166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</row>
    <row r="124" spans="1:31" x14ac:dyDescent="0.25">
      <c r="A124" s="166"/>
      <c r="B124" s="166"/>
      <c r="C124" s="166"/>
      <c r="D124" s="166"/>
      <c r="E124" s="166"/>
      <c r="F124" s="166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</row>
    <row r="125" spans="1:31" x14ac:dyDescent="0.25">
      <c r="A125" s="166"/>
      <c r="B125" s="166"/>
      <c r="C125" s="166"/>
      <c r="D125" s="166"/>
      <c r="E125" s="166"/>
      <c r="F125" s="166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</row>
    <row r="126" spans="1:31" x14ac:dyDescent="0.25">
      <c r="A126" s="166"/>
      <c r="B126" s="166"/>
      <c r="C126" s="166"/>
      <c r="D126" s="166"/>
      <c r="E126" s="166"/>
      <c r="F126" s="166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</row>
    <row r="127" spans="1:31" x14ac:dyDescent="0.25">
      <c r="A127" s="166"/>
      <c r="B127" s="166"/>
      <c r="C127" s="166"/>
      <c r="D127" s="166"/>
      <c r="E127" s="166"/>
      <c r="F127" s="166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</row>
    <row r="128" spans="1:31" x14ac:dyDescent="0.25">
      <c r="A128" s="166"/>
      <c r="B128" s="166"/>
      <c r="C128" s="166"/>
      <c r="D128" s="166"/>
      <c r="E128" s="166"/>
      <c r="F128" s="166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</row>
    <row r="129" spans="1:31" x14ac:dyDescent="0.25">
      <c r="A129" s="166"/>
      <c r="B129" s="166"/>
      <c r="C129" s="166"/>
      <c r="D129" s="166"/>
      <c r="E129" s="166"/>
      <c r="F129" s="166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</row>
    <row r="130" spans="1:31" x14ac:dyDescent="0.25">
      <c r="A130" s="166"/>
      <c r="B130" s="166"/>
      <c r="C130" s="166"/>
      <c r="D130" s="166"/>
      <c r="E130" s="166"/>
      <c r="F130" s="166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</row>
    <row r="131" spans="1:31" x14ac:dyDescent="0.25">
      <c r="A131" s="166"/>
      <c r="B131" s="166"/>
      <c r="C131" s="166"/>
      <c r="D131" s="166"/>
      <c r="E131" s="166"/>
      <c r="F131" s="166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</row>
    <row r="132" spans="1:31" x14ac:dyDescent="0.25">
      <c r="A132" s="166"/>
      <c r="B132" s="166"/>
      <c r="C132" s="166"/>
      <c r="D132" s="166"/>
      <c r="E132" s="166"/>
      <c r="F132" s="166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</row>
    <row r="133" spans="1:31" x14ac:dyDescent="0.25">
      <c r="A133" s="166"/>
      <c r="B133" s="166"/>
      <c r="C133" s="166"/>
      <c r="D133" s="166"/>
      <c r="E133" s="166"/>
      <c r="F133" s="166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</row>
    <row r="134" spans="1:31" x14ac:dyDescent="0.25">
      <c r="A134" s="166"/>
      <c r="B134" s="166"/>
      <c r="C134" s="166"/>
      <c r="D134" s="166"/>
      <c r="E134" s="166"/>
      <c r="F134" s="166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</row>
    <row r="135" spans="1:31" x14ac:dyDescent="0.25">
      <c r="A135" s="166"/>
      <c r="B135" s="166"/>
      <c r="C135" s="166"/>
      <c r="D135" s="166"/>
      <c r="E135" s="166"/>
      <c r="F135" s="166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</row>
    <row r="136" spans="1:31" x14ac:dyDescent="0.25">
      <c r="A136" s="166"/>
      <c r="B136" s="166"/>
      <c r="C136" s="166"/>
      <c r="D136" s="166"/>
      <c r="E136" s="166"/>
      <c r="F136" s="166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</row>
    <row r="137" spans="1:31" x14ac:dyDescent="0.25">
      <c r="A137" s="166"/>
      <c r="B137" s="166"/>
      <c r="C137" s="166"/>
      <c r="D137" s="166"/>
      <c r="E137" s="166"/>
      <c r="F137" s="166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</row>
    <row r="138" spans="1:31" x14ac:dyDescent="0.25">
      <c r="A138" s="166"/>
      <c r="B138" s="166"/>
      <c r="C138" s="166"/>
      <c r="D138" s="166"/>
      <c r="E138" s="166"/>
      <c r="F138" s="166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</row>
    <row r="139" spans="1:31" x14ac:dyDescent="0.25">
      <c r="A139" s="166"/>
      <c r="B139" s="166"/>
      <c r="C139" s="166"/>
      <c r="D139" s="166"/>
      <c r="E139" s="166"/>
      <c r="F139" s="166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</row>
    <row r="140" spans="1:31" x14ac:dyDescent="0.25">
      <c r="A140" s="166"/>
      <c r="B140" s="166"/>
      <c r="C140" s="166"/>
      <c r="D140" s="166"/>
      <c r="E140" s="166"/>
      <c r="F140" s="166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</row>
    <row r="141" spans="1:31" x14ac:dyDescent="0.25">
      <c r="A141" s="166"/>
      <c r="B141" s="166"/>
      <c r="C141" s="166"/>
      <c r="D141" s="166"/>
      <c r="E141" s="166"/>
      <c r="F141" s="166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x14ac:dyDescent="0.25">
      <c r="A142" s="166"/>
      <c r="B142" s="166"/>
      <c r="C142" s="166"/>
      <c r="D142" s="166"/>
      <c r="E142" s="166"/>
      <c r="F142" s="166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x14ac:dyDescent="0.25">
      <c r="F143" s="166"/>
    </row>
    <row r="144" spans="1:31" x14ac:dyDescent="0.25">
      <c r="F144" s="166"/>
    </row>
    <row r="145" spans="6:6" x14ac:dyDescent="0.25">
      <c r="F145" s="166"/>
    </row>
    <row r="146" spans="6:6" x14ac:dyDescent="0.25">
      <c r="F146" s="166"/>
    </row>
  </sheetData>
  <sheetProtection algorithmName="SHA-512" hashValue="mjGy8QT3nvLxHQOhlfOSBDOiyx7MB84VTVzsrePeWAEgarJ9EmjhzS8jU71Gy6jQo5OLKkODH7Dhr+wFniXYYQ==" saltValue="oY5+6CrfwNkwwRvX685Gig==" spinCount="100000" sheet="1" objects="1" scenarios="1"/>
  <mergeCells count="15">
    <mergeCell ref="B2:B5"/>
    <mergeCell ref="C11:C12"/>
    <mergeCell ref="E11:E12"/>
    <mergeCell ref="D11:D12"/>
    <mergeCell ref="V12:W12"/>
    <mergeCell ref="N10:AA10"/>
    <mergeCell ref="G11:L11"/>
    <mergeCell ref="G10:L10"/>
    <mergeCell ref="X12:Y12"/>
    <mergeCell ref="Z12:AA12"/>
    <mergeCell ref="N11:AA11"/>
    <mergeCell ref="N12:O12"/>
    <mergeCell ref="P12:Q12"/>
    <mergeCell ref="R12:S12"/>
    <mergeCell ref="T12:U12"/>
  </mergeCells>
  <dataValidations disablePrompts="1" count="2">
    <dataValidation type="list" showInputMessage="1" showErrorMessage="1" sqref="B10:C10 C19:C21 C24:C28 C31:C36 C39:C40 C43:C44 C47:C53 C56:C68 C95:C101 C104:C110 C16 C72:C81 C83:C92">
      <formula1>Capex_Category_Code</formula1>
    </dataValidation>
    <dataValidation type="list" allowBlank="1" showInputMessage="1" showErrorMessage="1" sqref="E19:E21 E24:E28 E31:E36 E39:E40 E43:E44 E47:E53 E56:E68 E95:E101 E104:E110 E16 E72:E81 E83:E92">
      <formula1>Suministro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FFFF00"/>
  </sheetPr>
  <dimension ref="A2:BM76"/>
  <sheetViews>
    <sheetView workbookViewId="0">
      <selection activeCell="B120" sqref="B120"/>
    </sheetView>
  </sheetViews>
  <sheetFormatPr baseColWidth="10" defaultRowHeight="13.2" x14ac:dyDescent="0.25"/>
  <cols>
    <col min="2" max="2" width="21.44140625" bestFit="1" customWidth="1"/>
    <col min="3" max="3" width="19.5546875" bestFit="1" customWidth="1"/>
    <col min="5" max="5" width="14.109375" customWidth="1"/>
    <col min="6" max="6" width="14.6640625" customWidth="1"/>
    <col min="9" max="9" width="19.5546875" bestFit="1" customWidth="1"/>
    <col min="10" max="10" width="16.88671875" bestFit="1" customWidth="1"/>
  </cols>
  <sheetData>
    <row r="2" spans="2:7" ht="14.4" x14ac:dyDescent="0.25">
      <c r="B2" s="1069" t="s">
        <v>260</v>
      </c>
      <c r="C2" s="502" t="s">
        <v>312</v>
      </c>
    </row>
    <row r="3" spans="2:7" ht="14.4" x14ac:dyDescent="0.25">
      <c r="B3" s="1069"/>
      <c r="C3" s="498" t="s">
        <v>325</v>
      </c>
    </row>
    <row r="4" spans="2:7" ht="14.4" x14ac:dyDescent="0.25">
      <c r="B4" s="1069"/>
      <c r="C4" s="499" t="s">
        <v>324</v>
      </c>
    </row>
    <row r="5" spans="2:7" ht="14.4" x14ac:dyDescent="0.25">
      <c r="B5" s="1069"/>
      <c r="C5" s="503" t="s">
        <v>261</v>
      </c>
    </row>
    <row r="8" spans="2:7" x14ac:dyDescent="0.25">
      <c r="B8" s="14" t="s">
        <v>331</v>
      </c>
    </row>
    <row r="10" spans="2:7" x14ac:dyDescent="0.25">
      <c r="B10" s="42" t="s">
        <v>332</v>
      </c>
      <c r="C10" s="518">
        <v>300</v>
      </c>
    </row>
    <row r="11" spans="2:7" x14ac:dyDescent="0.25">
      <c r="B11" s="14"/>
      <c r="C11" s="166"/>
      <c r="D11" s="166"/>
    </row>
    <row r="12" spans="2:7" x14ac:dyDescent="0.25">
      <c r="B12" s="42" t="s">
        <v>333</v>
      </c>
      <c r="C12" s="14" t="s">
        <v>376</v>
      </c>
      <c r="D12" s="272">
        <f>1-D13</f>
        <v>0.85</v>
      </c>
    </row>
    <row r="13" spans="2:7" x14ac:dyDescent="0.25">
      <c r="B13" s="14"/>
      <c r="C13" s="523" t="s">
        <v>334</v>
      </c>
      <c r="D13" s="524">
        <v>0.15</v>
      </c>
    </row>
    <row r="14" spans="2:7" x14ac:dyDescent="0.25">
      <c r="B14" s="14"/>
      <c r="C14" s="523"/>
      <c r="D14" s="166"/>
    </row>
    <row r="15" spans="2:7" x14ac:dyDescent="0.25">
      <c r="B15" s="14"/>
      <c r="C15" s="546" t="s">
        <v>335</v>
      </c>
      <c r="D15" s="518"/>
      <c r="E15" s="518"/>
      <c r="F15" s="166"/>
      <c r="G15" s="166"/>
    </row>
    <row r="16" spans="2:7" x14ac:dyDescent="0.25">
      <c r="B16" s="14"/>
      <c r="C16" s="138" t="s">
        <v>342</v>
      </c>
      <c r="D16" s="525">
        <v>4</v>
      </c>
      <c r="E16" s="1013">
        <v>200</v>
      </c>
    </row>
    <row r="17" spans="1:65" x14ac:dyDescent="0.25">
      <c r="B17" s="14"/>
      <c r="C17" s="166"/>
      <c r="D17" s="525">
        <v>20</v>
      </c>
      <c r="E17" s="1013">
        <v>200</v>
      </c>
    </row>
    <row r="19" spans="1:65" x14ac:dyDescent="0.25">
      <c r="A19" s="526"/>
      <c r="C19" s="546" t="s">
        <v>336</v>
      </c>
      <c r="D19" s="518"/>
      <c r="E19" s="518"/>
      <c r="F19" s="518"/>
      <c r="G19" s="166"/>
    </row>
    <row r="20" spans="1:65" x14ac:dyDescent="0.25">
      <c r="A20" s="526"/>
      <c r="C20" s="138"/>
      <c r="D20" s="166"/>
      <c r="E20" s="1097" t="s">
        <v>343</v>
      </c>
      <c r="F20" s="1098"/>
      <c r="G20" s="166"/>
      <c r="H20" s="523"/>
      <c r="I20" s="166"/>
      <c r="K20" s="166"/>
      <c r="L20" s="166"/>
      <c r="M20" s="166"/>
      <c r="N20" s="166"/>
      <c r="O20" s="523"/>
      <c r="P20" s="166"/>
      <c r="Q20" s="166"/>
      <c r="R20" s="166"/>
    </row>
    <row r="21" spans="1:65" x14ac:dyDescent="0.25">
      <c r="A21" s="526"/>
      <c r="C21" s="138"/>
      <c r="D21" s="166"/>
      <c r="E21" s="634" t="s">
        <v>344</v>
      </c>
      <c r="F21" s="634" t="s">
        <v>345</v>
      </c>
      <c r="G21" s="166"/>
      <c r="H21" s="525"/>
      <c r="I21" s="525"/>
      <c r="K21" s="275"/>
      <c r="L21" s="166"/>
      <c r="M21" s="166"/>
      <c r="N21" s="166"/>
      <c r="O21" s="523"/>
      <c r="P21" s="166"/>
      <c r="Q21" s="166"/>
      <c r="R21" s="166"/>
    </row>
    <row r="22" spans="1:65" x14ac:dyDescent="0.25">
      <c r="A22" s="526"/>
      <c r="C22" s="138"/>
      <c r="D22" s="525">
        <v>4</v>
      </c>
      <c r="E22" s="279">
        <v>200</v>
      </c>
      <c r="F22" s="279">
        <v>200</v>
      </c>
      <c r="G22" s="166"/>
      <c r="H22" s="275"/>
      <c r="I22" s="275"/>
      <c r="K22" s="275"/>
      <c r="L22" s="166"/>
      <c r="M22" s="166"/>
      <c r="N22" s="166"/>
      <c r="O22" s="166"/>
      <c r="P22" s="166"/>
      <c r="Q22" s="166"/>
      <c r="R22" s="166"/>
    </row>
    <row r="23" spans="1:65" x14ac:dyDescent="0.25">
      <c r="A23" s="526"/>
      <c r="C23" s="138"/>
      <c r="D23" s="525">
        <v>20</v>
      </c>
      <c r="E23" s="279">
        <v>200</v>
      </c>
      <c r="F23" s="279">
        <v>200</v>
      </c>
      <c r="G23" s="166"/>
      <c r="H23" s="275"/>
      <c r="I23" s="275"/>
      <c r="K23" s="275"/>
      <c r="L23" s="166"/>
      <c r="M23" s="166"/>
      <c r="N23" s="166"/>
      <c r="O23" s="166"/>
      <c r="P23" s="166"/>
      <c r="Q23" s="166"/>
      <c r="R23" s="166"/>
    </row>
    <row r="24" spans="1:65" x14ac:dyDescent="0.25">
      <c r="G24" s="166"/>
    </row>
    <row r="25" spans="1:65" x14ac:dyDescent="0.25">
      <c r="C25" s="545" t="s">
        <v>337</v>
      </c>
      <c r="D25" s="518"/>
      <c r="E25" s="518"/>
      <c r="F25" s="518"/>
      <c r="G25" s="166"/>
    </row>
    <row r="27" spans="1:65" x14ac:dyDescent="0.25">
      <c r="C27" s="523"/>
      <c r="D27" s="523"/>
      <c r="E27" s="166"/>
      <c r="F27" s="166"/>
      <c r="G27" s="166"/>
    </row>
    <row r="28" spans="1:65" x14ac:dyDescent="0.25">
      <c r="C28" s="166"/>
      <c r="D28" s="523"/>
      <c r="E28" s="166"/>
      <c r="F28" s="166"/>
      <c r="G28" s="166"/>
    </row>
    <row r="30" spans="1:65" x14ac:dyDescent="0.25">
      <c r="B30" s="511" t="s">
        <v>558</v>
      </c>
    </row>
    <row r="31" spans="1:65" ht="13.8" thickBot="1" x14ac:dyDescent="0.3">
      <c r="B31" s="14"/>
    </row>
    <row r="32" spans="1:65" ht="13.8" x14ac:dyDescent="0.25">
      <c r="B32" s="14"/>
      <c r="D32" s="1010">
        <v>3147.4</v>
      </c>
      <c r="I32" s="1010">
        <f>$D32*AX32/AS32</f>
        <v>3318.2</v>
      </c>
      <c r="N32" s="1010">
        <f>$D32*BC32/AX32</f>
        <v>3369.0705985172685</v>
      </c>
      <c r="S32" s="1010">
        <f>$D32*BH32/BC32</f>
        <v>3436.5400715110222</v>
      </c>
      <c r="X32" s="1010">
        <f>$D32*BM32/BH32</f>
        <v>3579.2321747202309</v>
      </c>
      <c r="AS32" s="1010">
        <v>3147.4</v>
      </c>
      <c r="AX32" s="1010">
        <v>3318.2</v>
      </c>
      <c r="BC32" s="1010">
        <v>3551.9</v>
      </c>
      <c r="BH32" s="1010">
        <v>3878.2</v>
      </c>
      <c r="BM32" s="1010">
        <v>4410.2999999999993</v>
      </c>
    </row>
    <row r="33" spans="2:65" ht="13.8" x14ac:dyDescent="0.25">
      <c r="B33" s="14"/>
      <c r="D33" s="1011">
        <f>D$32*AS33/AS$32</f>
        <v>3120.2000000000003</v>
      </c>
      <c r="I33" s="1011">
        <f>I$32*AX33/AX$32</f>
        <v>3294.6</v>
      </c>
      <c r="N33" s="1011">
        <f>N$32*BC33/BC$32</f>
        <v>3387.9462720752217</v>
      </c>
      <c r="S33" s="1011">
        <f>S$32*BH33/BH$32</f>
        <v>3408.6273768968717</v>
      </c>
      <c r="X33" s="1011">
        <f>X$32*BM33/BM$32</f>
        <v>3538.7352276829461</v>
      </c>
      <c r="AS33" s="1011">
        <v>3120.2</v>
      </c>
      <c r="AX33" s="1011">
        <v>3294.6</v>
      </c>
      <c r="BC33" s="1011">
        <v>3571.8</v>
      </c>
      <c r="BH33" s="1011">
        <v>3846.7</v>
      </c>
      <c r="BM33" s="1011">
        <v>4360.3999999999996</v>
      </c>
    </row>
    <row r="34" spans="2:65" ht="13.8" x14ac:dyDescent="0.25">
      <c r="B34" s="14"/>
      <c r="D34" s="1011">
        <f t="shared" ref="D34:D36" si="0">D$32*AS34/AS$32</f>
        <v>3080.2000000000003</v>
      </c>
      <c r="I34" s="1011">
        <f t="shared" ref="I34:I36" si="1">I$32*AX34/AX$32</f>
        <v>3243.3</v>
      </c>
      <c r="N34" s="1011">
        <f t="shared" ref="N34:N36" si="2">N$32*BC34/BC$32</f>
        <v>3324.110451449581</v>
      </c>
      <c r="S34" s="1011">
        <f t="shared" ref="S34:S36" si="3">S$32*BH34/BH$32</f>
        <v>3328.4337622117741</v>
      </c>
      <c r="X34" s="1011">
        <f t="shared" ref="X34:X36" si="4">X$32*BM34/BM$32</f>
        <v>3451.898086741272</v>
      </c>
      <c r="AS34" s="1011">
        <v>3080.2</v>
      </c>
      <c r="AX34" s="1011">
        <v>3243.3</v>
      </c>
      <c r="BC34" s="1011">
        <v>3504.5</v>
      </c>
      <c r="BH34" s="1011">
        <v>3756.2</v>
      </c>
      <c r="BM34" s="1011">
        <v>4253.3999999999996</v>
      </c>
    </row>
    <row r="35" spans="2:65" ht="13.8" x14ac:dyDescent="0.25">
      <c r="B35" s="14"/>
      <c r="D35" s="1011">
        <f t="shared" si="0"/>
        <v>3031.7</v>
      </c>
      <c r="I35" s="1011">
        <f t="shared" si="1"/>
        <v>3197.3</v>
      </c>
      <c r="N35" s="1011">
        <f t="shared" si="2"/>
        <v>3278.3914833343383</v>
      </c>
      <c r="S35" s="1011">
        <f t="shared" si="3"/>
        <v>3286.0773557814132</v>
      </c>
      <c r="X35" s="1011">
        <f t="shared" si="4"/>
        <v>3387.9469960290867</v>
      </c>
      <c r="AS35" s="1011">
        <v>3031.7</v>
      </c>
      <c r="AX35" s="1011">
        <v>3197.3</v>
      </c>
      <c r="BC35" s="1011">
        <v>3456.3</v>
      </c>
      <c r="BH35" s="1011">
        <v>3708.4</v>
      </c>
      <c r="BM35" s="1011">
        <v>4174.6000000000004</v>
      </c>
    </row>
    <row r="36" spans="2:65" ht="14.4" thickBot="1" x14ac:dyDescent="0.3">
      <c r="B36" s="14"/>
      <c r="D36" s="1011">
        <f t="shared" si="0"/>
        <v>3002.7000000000003</v>
      </c>
      <c r="I36" s="1011">
        <f t="shared" si="1"/>
        <v>3138.8</v>
      </c>
      <c r="N36" s="1011">
        <f t="shared" si="2"/>
        <v>3224.8945994816468</v>
      </c>
      <c r="S36" s="1011">
        <f t="shared" si="3"/>
        <v>3217.137430670909</v>
      </c>
      <c r="X36" s="1011">
        <f t="shared" si="4"/>
        <v>3326.5929039245011</v>
      </c>
      <c r="AS36" s="1012">
        <v>3002.7</v>
      </c>
      <c r="AX36" s="1012">
        <v>3138.8</v>
      </c>
      <c r="BC36" s="1012">
        <v>3399.9</v>
      </c>
      <c r="BH36" s="1012">
        <v>3630.6000000000004</v>
      </c>
      <c r="BM36" s="1012">
        <v>4099</v>
      </c>
    </row>
    <row r="37" spans="2:65" ht="13.8" thickBot="1" x14ac:dyDescent="0.3">
      <c r="B37" s="42" t="s">
        <v>329</v>
      </c>
    </row>
    <row r="38" spans="2:65" ht="14.4" thickBot="1" x14ac:dyDescent="0.3">
      <c r="B38" s="512" t="s">
        <v>259</v>
      </c>
      <c r="C38" s="522">
        <v>2019</v>
      </c>
      <c r="D38" s="350">
        <v>2020</v>
      </c>
      <c r="E38" s="350">
        <v>2021</v>
      </c>
      <c r="F38" s="350">
        <v>2022</v>
      </c>
      <c r="G38" s="350">
        <v>2023</v>
      </c>
      <c r="H38" s="350">
        <v>2024</v>
      </c>
      <c r="I38" s="350">
        <v>2025</v>
      </c>
      <c r="J38" s="350">
        <v>2026</v>
      </c>
      <c r="K38" s="350">
        <v>2027</v>
      </c>
      <c r="L38" s="350">
        <v>2028</v>
      </c>
      <c r="M38" s="350">
        <v>2029</v>
      </c>
      <c r="N38" s="350">
        <v>2030</v>
      </c>
      <c r="O38" s="350">
        <v>2031</v>
      </c>
      <c r="P38" s="350">
        <v>2032</v>
      </c>
      <c r="Q38" s="350">
        <v>2033</v>
      </c>
      <c r="R38" s="350">
        <v>2034</v>
      </c>
      <c r="S38" s="350">
        <v>2035</v>
      </c>
      <c r="T38" s="350">
        <v>2036</v>
      </c>
      <c r="U38" s="350">
        <v>2037</v>
      </c>
      <c r="V38" s="350">
        <v>2038</v>
      </c>
      <c r="W38" s="350">
        <v>2039</v>
      </c>
      <c r="X38" s="350">
        <v>2040</v>
      </c>
      <c r="Y38" s="350">
        <v>2041</v>
      </c>
      <c r="Z38" s="350">
        <v>2042</v>
      </c>
      <c r="AA38" s="350">
        <v>2043</v>
      </c>
      <c r="AB38" s="350">
        <v>2044</v>
      </c>
      <c r="AC38" s="350">
        <v>2045</v>
      </c>
      <c r="AD38" s="350">
        <v>2046</v>
      </c>
      <c r="AE38" s="350">
        <v>2047</v>
      </c>
      <c r="AF38" s="350">
        <v>2048</v>
      </c>
      <c r="AG38" s="351">
        <v>2049</v>
      </c>
      <c r="AH38" s="351">
        <v>2050</v>
      </c>
      <c r="AI38" s="351">
        <v>2051</v>
      </c>
      <c r="AJ38" s="351">
        <v>2052</v>
      </c>
      <c r="AK38" s="351">
        <v>2053</v>
      </c>
      <c r="AL38" s="351">
        <v>2054</v>
      </c>
      <c r="AM38" s="351">
        <v>2055</v>
      </c>
      <c r="AN38" s="351">
        <v>2056</v>
      </c>
      <c r="AO38" s="351">
        <v>2057</v>
      </c>
      <c r="AP38" s="351">
        <v>2058</v>
      </c>
      <c r="AQ38" s="351">
        <v>2059</v>
      </c>
    </row>
    <row r="39" spans="2:65" ht="14.4" x14ac:dyDescent="0.25">
      <c r="B39" s="513" t="s">
        <v>542</v>
      </c>
      <c r="C39" s="536">
        <f>D39-0.25*D39</f>
        <v>26228.333333333336</v>
      </c>
      <c r="D39" s="690">
        <f>D32*PARAMETROS!$C$23/PARAMETROS!$C$25</f>
        <v>34971.111111111117</v>
      </c>
      <c r="E39" s="537">
        <f>D39+($I39-$D39)/5</f>
        <v>35350.666666666672</v>
      </c>
      <c r="F39" s="537">
        <f t="shared" ref="F39:H39" si="5">E39+($I39-$D39)/5</f>
        <v>35730.222222222226</v>
      </c>
      <c r="G39" s="537">
        <f t="shared" si="5"/>
        <v>36109.777777777781</v>
      </c>
      <c r="H39" s="537">
        <f t="shared" si="5"/>
        <v>36489.333333333336</v>
      </c>
      <c r="I39" s="690">
        <f>I32*PARAMETROS!$C$23/PARAMETROS!$C$25</f>
        <v>36868.888888888891</v>
      </c>
      <c r="J39" s="537">
        <f>I39+($N39-$I39)/5</f>
        <v>36981.934663371707</v>
      </c>
      <c r="K39" s="537">
        <f t="shared" ref="K39:M39" si="6">J39+($N39-$I39)/5</f>
        <v>37094.980437854523</v>
      </c>
      <c r="L39" s="537">
        <f t="shared" si="6"/>
        <v>37208.02621233734</v>
      </c>
      <c r="M39" s="537">
        <f t="shared" si="6"/>
        <v>37321.071986820156</v>
      </c>
      <c r="N39" s="690">
        <f>N32*PARAMETROS!$C$23/PARAMETROS!$C$25</f>
        <v>37434.117761302987</v>
      </c>
      <c r="O39" s="537">
        <f>N39+($S39-$N39)/5</f>
        <v>37584.049923511331</v>
      </c>
      <c r="P39" s="537">
        <f t="shared" ref="P39:R39" si="7">O39+($S39-$N39)/5</f>
        <v>37733.982085719676</v>
      </c>
      <c r="Q39" s="537">
        <f t="shared" si="7"/>
        <v>37883.91424792802</v>
      </c>
      <c r="R39" s="537">
        <f t="shared" si="7"/>
        <v>38033.846410136364</v>
      </c>
      <c r="S39" s="690">
        <f>S32*PARAMETROS!$C$23/PARAMETROS!$C$25</f>
        <v>38183.778572344694</v>
      </c>
      <c r="T39" s="537">
        <f>S39+($X39-$S39)/5</f>
        <v>38500.872135031823</v>
      </c>
      <c r="U39" s="537">
        <f>T39+($X39-$S39)/5</f>
        <v>38817.965697718952</v>
      </c>
      <c r="V39" s="537">
        <f t="shared" ref="V39:W39" si="8">U39+($X39-$S39)/5</f>
        <v>39135.05926040608</v>
      </c>
      <c r="W39" s="537">
        <f t="shared" si="8"/>
        <v>39452.152823093209</v>
      </c>
      <c r="X39" s="690">
        <f>X32*PARAMETROS!$C$23/PARAMETROS!$C$25</f>
        <v>39769.246385780345</v>
      </c>
      <c r="Y39" s="537">
        <f>$X39</f>
        <v>39769.246385780345</v>
      </c>
      <c r="Z39" s="537">
        <f t="shared" ref="Z39:AQ43" si="9">$X39</f>
        <v>39769.246385780345</v>
      </c>
      <c r="AA39" s="537">
        <f t="shared" si="9"/>
        <v>39769.246385780345</v>
      </c>
      <c r="AB39" s="537">
        <f t="shared" si="9"/>
        <v>39769.246385780345</v>
      </c>
      <c r="AC39" s="537">
        <f t="shared" si="9"/>
        <v>39769.246385780345</v>
      </c>
      <c r="AD39" s="537">
        <f t="shared" si="9"/>
        <v>39769.246385780345</v>
      </c>
      <c r="AE39" s="537">
        <f t="shared" si="9"/>
        <v>39769.246385780345</v>
      </c>
      <c r="AF39" s="537">
        <f t="shared" si="9"/>
        <v>39769.246385780345</v>
      </c>
      <c r="AG39" s="538">
        <f t="shared" si="9"/>
        <v>39769.246385780345</v>
      </c>
      <c r="AH39" s="538">
        <f t="shared" si="9"/>
        <v>39769.246385780345</v>
      </c>
      <c r="AI39" s="538">
        <f t="shared" si="9"/>
        <v>39769.246385780345</v>
      </c>
      <c r="AJ39" s="538">
        <f t="shared" si="9"/>
        <v>39769.246385780345</v>
      </c>
      <c r="AK39" s="538">
        <f t="shared" si="9"/>
        <v>39769.246385780345</v>
      </c>
      <c r="AL39" s="538">
        <f t="shared" si="9"/>
        <v>39769.246385780345</v>
      </c>
      <c r="AM39" s="538">
        <f t="shared" si="9"/>
        <v>39769.246385780345</v>
      </c>
      <c r="AN39" s="538">
        <f t="shared" si="9"/>
        <v>39769.246385780345</v>
      </c>
      <c r="AO39" s="538">
        <f t="shared" si="9"/>
        <v>39769.246385780345</v>
      </c>
      <c r="AP39" s="538">
        <f t="shared" si="9"/>
        <v>39769.246385780345</v>
      </c>
      <c r="AQ39" s="538">
        <f t="shared" si="9"/>
        <v>39769.246385780345</v>
      </c>
    </row>
    <row r="40" spans="2:65" ht="14.4" x14ac:dyDescent="0.25">
      <c r="B40" s="514" t="s">
        <v>543</v>
      </c>
      <c r="C40" s="539">
        <f t="shared" ref="C40:C43" si="10">D40-0.25*D40</f>
        <v>26001.666666666668</v>
      </c>
      <c r="D40" s="692">
        <f>D33*PARAMETROS!$C$23/PARAMETROS!$C$25</f>
        <v>34668.888888888891</v>
      </c>
      <c r="E40" s="540">
        <f t="shared" ref="E40:H40" si="11">D40+($I40-$D40)/5</f>
        <v>35056.444444444445</v>
      </c>
      <c r="F40" s="540">
        <f t="shared" si="11"/>
        <v>35444</v>
      </c>
      <c r="G40" s="540">
        <f t="shared" si="11"/>
        <v>35831.555555555555</v>
      </c>
      <c r="H40" s="540">
        <f t="shared" si="11"/>
        <v>36219.111111111109</v>
      </c>
      <c r="I40" s="692">
        <f>I33*PARAMETROS!$C$23/PARAMETROS!$C$25</f>
        <v>36606.666666666664</v>
      </c>
      <c r="J40" s="540">
        <f t="shared" ref="J40:M40" si="12">I40+($N40-$I40)/5</f>
        <v>36814.102826833827</v>
      </c>
      <c r="K40" s="540">
        <f t="shared" si="12"/>
        <v>37021.538987000989</v>
      </c>
      <c r="L40" s="540">
        <f t="shared" si="12"/>
        <v>37228.975147168152</v>
      </c>
      <c r="M40" s="540">
        <f t="shared" si="12"/>
        <v>37436.411307335315</v>
      </c>
      <c r="N40" s="692">
        <f>N33*PARAMETROS!$C$23/PARAMETROS!$C$25</f>
        <v>37643.847467502463</v>
      </c>
      <c r="O40" s="540">
        <f t="shared" ref="O40:R40" si="13">N40+($S40-$N40)/5</f>
        <v>37689.80547821724</v>
      </c>
      <c r="P40" s="540">
        <f t="shared" si="13"/>
        <v>37735.763488932018</v>
      </c>
      <c r="Q40" s="540">
        <f t="shared" si="13"/>
        <v>37781.721499646796</v>
      </c>
      <c r="R40" s="540">
        <f t="shared" si="13"/>
        <v>37827.679510361573</v>
      </c>
      <c r="S40" s="692">
        <f>S33*PARAMETROS!$C$23/PARAMETROS!$C$25</f>
        <v>37873.637521076351</v>
      </c>
      <c r="T40" s="540">
        <f t="shared" ref="T40:W40" si="14">S40+($X40-$S40)/5</f>
        <v>38162.766078378736</v>
      </c>
      <c r="U40" s="540">
        <f t="shared" si="14"/>
        <v>38451.894635681121</v>
      </c>
      <c r="V40" s="540">
        <f t="shared" si="14"/>
        <v>38741.023192983506</v>
      </c>
      <c r="W40" s="540">
        <f t="shared" si="14"/>
        <v>39030.151750285891</v>
      </c>
      <c r="X40" s="692">
        <f>X33*PARAMETROS!$C$23/PARAMETROS!$C$25</f>
        <v>39319.280307588291</v>
      </c>
      <c r="Y40" s="540">
        <f t="shared" ref="Y40:AN43" si="15">$X40</f>
        <v>39319.280307588291</v>
      </c>
      <c r="Z40" s="540">
        <f t="shared" si="15"/>
        <v>39319.280307588291</v>
      </c>
      <c r="AA40" s="540">
        <f t="shared" si="15"/>
        <v>39319.280307588291</v>
      </c>
      <c r="AB40" s="540">
        <f t="shared" si="15"/>
        <v>39319.280307588291</v>
      </c>
      <c r="AC40" s="540">
        <f t="shared" si="15"/>
        <v>39319.280307588291</v>
      </c>
      <c r="AD40" s="540">
        <f t="shared" si="15"/>
        <v>39319.280307588291</v>
      </c>
      <c r="AE40" s="540">
        <f t="shared" si="15"/>
        <v>39319.280307588291</v>
      </c>
      <c r="AF40" s="540">
        <f t="shared" si="15"/>
        <v>39319.280307588291</v>
      </c>
      <c r="AG40" s="541">
        <f t="shared" si="15"/>
        <v>39319.280307588291</v>
      </c>
      <c r="AH40" s="541">
        <f t="shared" si="15"/>
        <v>39319.280307588291</v>
      </c>
      <c r="AI40" s="541">
        <f t="shared" si="15"/>
        <v>39319.280307588291</v>
      </c>
      <c r="AJ40" s="541">
        <f t="shared" si="15"/>
        <v>39319.280307588291</v>
      </c>
      <c r="AK40" s="541">
        <f t="shared" si="15"/>
        <v>39319.280307588291</v>
      </c>
      <c r="AL40" s="541">
        <f t="shared" si="15"/>
        <v>39319.280307588291</v>
      </c>
      <c r="AM40" s="541">
        <f t="shared" si="15"/>
        <v>39319.280307588291</v>
      </c>
      <c r="AN40" s="541">
        <f t="shared" si="15"/>
        <v>39319.280307588291</v>
      </c>
      <c r="AO40" s="541">
        <f t="shared" si="9"/>
        <v>39319.280307588291</v>
      </c>
      <c r="AP40" s="541">
        <f t="shared" si="9"/>
        <v>39319.280307588291</v>
      </c>
      <c r="AQ40" s="541">
        <f t="shared" si="9"/>
        <v>39319.280307588291</v>
      </c>
    </row>
    <row r="41" spans="2:65" ht="14.4" x14ac:dyDescent="0.25">
      <c r="B41" s="514" t="s">
        <v>544</v>
      </c>
      <c r="C41" s="539">
        <f t="shared" si="10"/>
        <v>25668.333333333336</v>
      </c>
      <c r="D41" s="692">
        <f>D34*PARAMETROS!$C$23/PARAMETROS!$C$25</f>
        <v>34224.444444444445</v>
      </c>
      <c r="E41" s="540">
        <f t="shared" ref="E41:H41" si="16">D41+($I41-$D41)/5</f>
        <v>34586.888888888891</v>
      </c>
      <c r="F41" s="540">
        <f t="shared" si="16"/>
        <v>34949.333333333336</v>
      </c>
      <c r="G41" s="540">
        <f t="shared" si="16"/>
        <v>35311.777777777781</v>
      </c>
      <c r="H41" s="540">
        <f t="shared" si="16"/>
        <v>35674.222222222226</v>
      </c>
      <c r="I41" s="692">
        <f>I34*PARAMETROS!$C$23/PARAMETROS!$C$25</f>
        <v>36036.666666666672</v>
      </c>
      <c r="J41" s="540">
        <f t="shared" ref="J41:M41" si="17">I41+($N41-$I41)/5</f>
        <v>36216.245447665737</v>
      </c>
      <c r="K41" s="540">
        <f t="shared" si="17"/>
        <v>36395.824228664802</v>
      </c>
      <c r="L41" s="540">
        <f t="shared" si="17"/>
        <v>36575.403009663867</v>
      </c>
      <c r="M41" s="540">
        <f t="shared" si="17"/>
        <v>36754.981790662932</v>
      </c>
      <c r="N41" s="692">
        <f>N34*PARAMETROS!$C$23/PARAMETROS!$C$25</f>
        <v>36934.560571662012</v>
      </c>
      <c r="O41" s="540">
        <f t="shared" ref="O41:R41" si="18">N41+($S41-$N41)/5</f>
        <v>36944.167928911331</v>
      </c>
      <c r="P41" s="540">
        <f t="shared" si="18"/>
        <v>36953.77528616065</v>
      </c>
      <c r="Q41" s="540">
        <f t="shared" si="18"/>
        <v>36963.382643409968</v>
      </c>
      <c r="R41" s="540">
        <f t="shared" si="18"/>
        <v>36972.990000659287</v>
      </c>
      <c r="S41" s="692">
        <f>S34*PARAMETROS!$C$23/PARAMETROS!$C$25</f>
        <v>36982.597357908606</v>
      </c>
      <c r="T41" s="540">
        <f t="shared" ref="T41:W41" si="19">S41+($X41-$S41)/5</f>
        <v>37256.962523529714</v>
      </c>
      <c r="U41" s="540">
        <f t="shared" si="19"/>
        <v>37531.327689150821</v>
      </c>
      <c r="V41" s="540">
        <f t="shared" si="19"/>
        <v>37805.692854771929</v>
      </c>
      <c r="W41" s="540">
        <f t="shared" si="19"/>
        <v>38080.058020393037</v>
      </c>
      <c r="X41" s="692">
        <f>X34*PARAMETROS!$C$23/PARAMETROS!$C$25</f>
        <v>38354.423186014137</v>
      </c>
      <c r="Y41" s="540">
        <f t="shared" si="15"/>
        <v>38354.423186014137</v>
      </c>
      <c r="Z41" s="540">
        <f t="shared" si="15"/>
        <v>38354.423186014137</v>
      </c>
      <c r="AA41" s="540">
        <f t="shared" si="15"/>
        <v>38354.423186014137</v>
      </c>
      <c r="AB41" s="540">
        <f t="shared" si="15"/>
        <v>38354.423186014137</v>
      </c>
      <c r="AC41" s="540">
        <f t="shared" si="15"/>
        <v>38354.423186014137</v>
      </c>
      <c r="AD41" s="540">
        <f t="shared" si="15"/>
        <v>38354.423186014137</v>
      </c>
      <c r="AE41" s="540">
        <f t="shared" si="15"/>
        <v>38354.423186014137</v>
      </c>
      <c r="AF41" s="540">
        <f t="shared" si="15"/>
        <v>38354.423186014137</v>
      </c>
      <c r="AG41" s="541">
        <f t="shared" si="15"/>
        <v>38354.423186014137</v>
      </c>
      <c r="AH41" s="541">
        <f t="shared" si="9"/>
        <v>38354.423186014137</v>
      </c>
      <c r="AI41" s="541">
        <f t="shared" si="9"/>
        <v>38354.423186014137</v>
      </c>
      <c r="AJ41" s="541">
        <f t="shared" si="9"/>
        <v>38354.423186014137</v>
      </c>
      <c r="AK41" s="541">
        <f t="shared" si="9"/>
        <v>38354.423186014137</v>
      </c>
      <c r="AL41" s="541">
        <f t="shared" si="9"/>
        <v>38354.423186014137</v>
      </c>
      <c r="AM41" s="541">
        <f t="shared" si="9"/>
        <v>38354.423186014137</v>
      </c>
      <c r="AN41" s="541">
        <f t="shared" si="9"/>
        <v>38354.423186014137</v>
      </c>
      <c r="AO41" s="541">
        <f t="shared" si="9"/>
        <v>38354.423186014137</v>
      </c>
      <c r="AP41" s="541">
        <f t="shared" si="9"/>
        <v>38354.423186014137</v>
      </c>
      <c r="AQ41" s="541">
        <f t="shared" si="9"/>
        <v>38354.423186014137</v>
      </c>
    </row>
    <row r="42" spans="2:65" ht="14.4" x14ac:dyDescent="0.25">
      <c r="B42" s="514" t="s">
        <v>545</v>
      </c>
      <c r="C42" s="539">
        <f t="shared" si="10"/>
        <v>25264.166666666664</v>
      </c>
      <c r="D42" s="692">
        <f>D35*PARAMETROS!$C$23/PARAMETROS!$C$25</f>
        <v>33685.555555555555</v>
      </c>
      <c r="E42" s="540">
        <f t="shared" ref="E42:H42" si="20">D42+($I42-$D42)/5</f>
        <v>34053.555555555555</v>
      </c>
      <c r="F42" s="540">
        <f t="shared" si="20"/>
        <v>34421.555555555555</v>
      </c>
      <c r="G42" s="540">
        <f t="shared" si="20"/>
        <v>34789.555555555555</v>
      </c>
      <c r="H42" s="540">
        <f t="shared" si="20"/>
        <v>35157.555555555555</v>
      </c>
      <c r="I42" s="692">
        <f>I35*PARAMETROS!$C$23/PARAMETROS!$C$25</f>
        <v>35525.555555555562</v>
      </c>
      <c r="J42" s="540">
        <f t="shared" ref="J42:M42" si="21">I42+($N42-$I42)/5</f>
        <v>35705.758851854087</v>
      </c>
      <c r="K42" s="540">
        <f t="shared" si="21"/>
        <v>35885.962148152612</v>
      </c>
      <c r="L42" s="540">
        <f t="shared" si="21"/>
        <v>36066.165444451137</v>
      </c>
      <c r="M42" s="540">
        <f t="shared" si="21"/>
        <v>36246.368740749662</v>
      </c>
      <c r="N42" s="692">
        <f>N35*PARAMETROS!$C$23/PARAMETROS!$C$25</f>
        <v>36426.572037048201</v>
      </c>
      <c r="O42" s="540">
        <f t="shared" ref="O42:R42" si="22">N42+($S42-$N42)/5</f>
        <v>36443.65175359726</v>
      </c>
      <c r="P42" s="540">
        <f t="shared" si="22"/>
        <v>36460.731470146318</v>
      </c>
      <c r="Q42" s="540">
        <f t="shared" si="22"/>
        <v>36477.811186695377</v>
      </c>
      <c r="R42" s="540">
        <f t="shared" si="22"/>
        <v>36494.890903244435</v>
      </c>
      <c r="S42" s="692">
        <f>S35*PARAMETROS!$C$23/PARAMETROS!$C$25</f>
        <v>36511.970619793479</v>
      </c>
      <c r="T42" s="540">
        <f t="shared" ref="T42:W42" si="23">S42+($X42-$S42)/5</f>
        <v>36738.34759812164</v>
      </c>
      <c r="U42" s="540">
        <f t="shared" si="23"/>
        <v>36964.7245764498</v>
      </c>
      <c r="V42" s="540">
        <f t="shared" si="23"/>
        <v>37191.101554777961</v>
      </c>
      <c r="W42" s="540">
        <f t="shared" si="23"/>
        <v>37417.478533106121</v>
      </c>
      <c r="X42" s="692">
        <f>X35*PARAMETROS!$C$23/PARAMETROS!$C$25</f>
        <v>37643.855511434296</v>
      </c>
      <c r="Y42" s="540">
        <f t="shared" si="15"/>
        <v>37643.855511434296</v>
      </c>
      <c r="Z42" s="540">
        <f t="shared" si="15"/>
        <v>37643.855511434296</v>
      </c>
      <c r="AA42" s="540">
        <f t="shared" si="15"/>
        <v>37643.855511434296</v>
      </c>
      <c r="AB42" s="540">
        <f t="shared" si="15"/>
        <v>37643.855511434296</v>
      </c>
      <c r="AC42" s="540">
        <f t="shared" si="15"/>
        <v>37643.855511434296</v>
      </c>
      <c r="AD42" s="540">
        <f t="shared" si="15"/>
        <v>37643.855511434296</v>
      </c>
      <c r="AE42" s="540">
        <f t="shared" si="15"/>
        <v>37643.855511434296</v>
      </c>
      <c r="AF42" s="540">
        <f t="shared" si="15"/>
        <v>37643.855511434296</v>
      </c>
      <c r="AG42" s="541">
        <f t="shared" si="15"/>
        <v>37643.855511434296</v>
      </c>
      <c r="AH42" s="541">
        <f t="shared" si="9"/>
        <v>37643.855511434296</v>
      </c>
      <c r="AI42" s="541">
        <f t="shared" si="9"/>
        <v>37643.855511434296</v>
      </c>
      <c r="AJ42" s="541">
        <f t="shared" si="9"/>
        <v>37643.855511434296</v>
      </c>
      <c r="AK42" s="541">
        <f t="shared" si="9"/>
        <v>37643.855511434296</v>
      </c>
      <c r="AL42" s="541">
        <f t="shared" si="9"/>
        <v>37643.855511434296</v>
      </c>
      <c r="AM42" s="541">
        <f t="shared" si="9"/>
        <v>37643.855511434296</v>
      </c>
      <c r="AN42" s="541">
        <f t="shared" si="9"/>
        <v>37643.855511434296</v>
      </c>
      <c r="AO42" s="541">
        <f t="shared" si="9"/>
        <v>37643.855511434296</v>
      </c>
      <c r="AP42" s="541">
        <f t="shared" si="9"/>
        <v>37643.855511434296</v>
      </c>
      <c r="AQ42" s="541">
        <f t="shared" si="9"/>
        <v>37643.855511434296</v>
      </c>
    </row>
    <row r="43" spans="2:65" ht="15" thickBot="1" x14ac:dyDescent="0.3">
      <c r="B43" s="515" t="s">
        <v>546</v>
      </c>
      <c r="C43" s="542">
        <f t="shared" si="10"/>
        <v>25022.5</v>
      </c>
      <c r="D43" s="693">
        <f>D36*PARAMETROS!$C$23/PARAMETROS!$C$25</f>
        <v>33363.333333333336</v>
      </c>
      <c r="E43" s="543">
        <f t="shared" ref="E43:H43" si="24">D43+($I43-$D43)/5</f>
        <v>33665.777777777781</v>
      </c>
      <c r="F43" s="543">
        <f t="shared" si="24"/>
        <v>33968.222222222226</v>
      </c>
      <c r="G43" s="543">
        <f t="shared" si="24"/>
        <v>34270.666666666672</v>
      </c>
      <c r="H43" s="543">
        <f t="shared" si="24"/>
        <v>34573.111111111117</v>
      </c>
      <c r="I43" s="693">
        <f>I36*PARAMETROS!$C$23/PARAMETROS!$C$25</f>
        <v>34875.555555555562</v>
      </c>
      <c r="J43" s="543">
        <f t="shared" ref="J43:M43" si="25">I43+($N43-$I43)/5</f>
        <v>35066.876887736995</v>
      </c>
      <c r="K43" s="543">
        <f t="shared" si="25"/>
        <v>35258.198219918428</v>
      </c>
      <c r="L43" s="543">
        <f t="shared" si="25"/>
        <v>35449.51955209986</v>
      </c>
      <c r="M43" s="543">
        <f t="shared" si="25"/>
        <v>35640.840884281293</v>
      </c>
      <c r="N43" s="693">
        <f>N36*PARAMETROS!$C$23/PARAMETROS!$C$25</f>
        <v>35832.162216462741</v>
      </c>
      <c r="O43" s="543">
        <f t="shared" ref="O43:R43" si="26">N43+($S43-$N43)/5</f>
        <v>35814.924063549988</v>
      </c>
      <c r="P43" s="543">
        <f t="shared" si="26"/>
        <v>35797.685910637236</v>
      </c>
      <c r="Q43" s="543">
        <f t="shared" si="26"/>
        <v>35780.447757724483</v>
      </c>
      <c r="R43" s="543">
        <f t="shared" si="26"/>
        <v>35763.209604811731</v>
      </c>
      <c r="S43" s="693">
        <f>S36*PARAMETROS!$C$23/PARAMETROS!$C$25</f>
        <v>35745.971451898993</v>
      </c>
      <c r="T43" s="543">
        <f t="shared" ref="T43:W43" si="27">S43+($X43-$S43)/5</f>
        <v>35989.205836906978</v>
      </c>
      <c r="U43" s="543">
        <f t="shared" si="27"/>
        <v>36232.440221914963</v>
      </c>
      <c r="V43" s="543">
        <f t="shared" si="27"/>
        <v>36475.674606922948</v>
      </c>
      <c r="W43" s="543">
        <f t="shared" si="27"/>
        <v>36718.908991930934</v>
      </c>
      <c r="X43" s="693">
        <f>X36*PARAMETROS!$C$23/PARAMETROS!$C$25</f>
        <v>36962.143376938904</v>
      </c>
      <c r="Y43" s="543">
        <f t="shared" si="15"/>
        <v>36962.143376938904</v>
      </c>
      <c r="Z43" s="543">
        <f t="shared" si="15"/>
        <v>36962.143376938904</v>
      </c>
      <c r="AA43" s="543">
        <f t="shared" si="15"/>
        <v>36962.143376938904</v>
      </c>
      <c r="AB43" s="543">
        <f t="shared" si="15"/>
        <v>36962.143376938904</v>
      </c>
      <c r="AC43" s="543">
        <f t="shared" si="15"/>
        <v>36962.143376938904</v>
      </c>
      <c r="AD43" s="543">
        <f t="shared" si="15"/>
        <v>36962.143376938904</v>
      </c>
      <c r="AE43" s="543">
        <f t="shared" si="15"/>
        <v>36962.143376938904</v>
      </c>
      <c r="AF43" s="543">
        <f t="shared" si="15"/>
        <v>36962.143376938904</v>
      </c>
      <c r="AG43" s="544">
        <f t="shared" si="15"/>
        <v>36962.143376938904</v>
      </c>
      <c r="AH43" s="544">
        <f t="shared" si="9"/>
        <v>36962.143376938904</v>
      </c>
      <c r="AI43" s="544">
        <f t="shared" si="9"/>
        <v>36962.143376938904</v>
      </c>
      <c r="AJ43" s="544">
        <f t="shared" si="9"/>
        <v>36962.143376938904</v>
      </c>
      <c r="AK43" s="544">
        <f t="shared" si="9"/>
        <v>36962.143376938904</v>
      </c>
      <c r="AL43" s="544">
        <f t="shared" si="9"/>
        <v>36962.143376938904</v>
      </c>
      <c r="AM43" s="544">
        <f t="shared" si="9"/>
        <v>36962.143376938904</v>
      </c>
      <c r="AN43" s="544">
        <f t="shared" si="9"/>
        <v>36962.143376938904</v>
      </c>
      <c r="AO43" s="544">
        <f t="shared" si="9"/>
        <v>36962.143376938904</v>
      </c>
      <c r="AP43" s="544">
        <f t="shared" si="9"/>
        <v>36962.143376938904</v>
      </c>
      <c r="AQ43" s="544">
        <f t="shared" si="9"/>
        <v>36962.143376938904</v>
      </c>
    </row>
    <row r="44" spans="2:65" x14ac:dyDescent="0.25">
      <c r="B44" s="166"/>
      <c r="C44" s="166"/>
    </row>
    <row r="45" spans="2:65" ht="15" thickBot="1" x14ac:dyDescent="0.3">
      <c r="B45" s="517" t="s">
        <v>330</v>
      </c>
      <c r="C45" s="166"/>
    </row>
    <row r="46" spans="2:65" ht="14.4" thickBot="1" x14ac:dyDescent="0.3">
      <c r="B46" s="512" t="s">
        <v>259</v>
      </c>
      <c r="C46" s="522">
        <v>2019</v>
      </c>
      <c r="D46" s="350">
        <v>2020</v>
      </c>
      <c r="E46" s="350">
        <v>2021</v>
      </c>
      <c r="F46" s="350">
        <v>2022</v>
      </c>
      <c r="G46" s="350">
        <v>2023</v>
      </c>
      <c r="H46" s="350">
        <v>2024</v>
      </c>
      <c r="I46" s="350">
        <v>2025</v>
      </c>
      <c r="J46" s="350">
        <v>2026</v>
      </c>
      <c r="K46" s="350">
        <v>2027</v>
      </c>
      <c r="L46" s="350">
        <v>2028</v>
      </c>
      <c r="M46" s="350">
        <v>2029</v>
      </c>
      <c r="N46" s="350">
        <v>2030</v>
      </c>
      <c r="O46" s="350">
        <v>2031</v>
      </c>
      <c r="P46" s="350">
        <v>2032</v>
      </c>
      <c r="Q46" s="350">
        <v>2033</v>
      </c>
      <c r="R46" s="350">
        <v>2034</v>
      </c>
      <c r="S46" s="350">
        <v>2035</v>
      </c>
      <c r="T46" s="350">
        <v>2036</v>
      </c>
      <c r="U46" s="350">
        <v>2037</v>
      </c>
      <c r="V46" s="350">
        <v>2038</v>
      </c>
      <c r="W46" s="350">
        <v>2039</v>
      </c>
      <c r="X46" s="350">
        <v>2040</v>
      </c>
      <c r="Y46" s="350">
        <v>2041</v>
      </c>
      <c r="Z46" s="350">
        <v>2042</v>
      </c>
      <c r="AA46" s="350">
        <v>2043</v>
      </c>
      <c r="AB46" s="350">
        <v>2044</v>
      </c>
      <c r="AC46" s="350">
        <v>2045</v>
      </c>
      <c r="AD46" s="350">
        <v>2046</v>
      </c>
      <c r="AE46" s="350">
        <v>2047</v>
      </c>
      <c r="AF46" s="350">
        <v>2048</v>
      </c>
      <c r="AG46" s="351">
        <v>2049</v>
      </c>
      <c r="AH46" s="351">
        <v>2050</v>
      </c>
      <c r="AI46" s="351">
        <v>2051</v>
      </c>
      <c r="AJ46" s="351">
        <v>2052</v>
      </c>
      <c r="AK46" s="351">
        <v>2053</v>
      </c>
      <c r="AL46" s="351">
        <v>2054</v>
      </c>
      <c r="AM46" s="351">
        <v>2055</v>
      </c>
      <c r="AN46" s="351">
        <v>2056</v>
      </c>
      <c r="AO46" s="351">
        <v>2057</v>
      </c>
      <c r="AP46" s="351">
        <v>2058</v>
      </c>
      <c r="AQ46" s="351">
        <v>2059</v>
      </c>
    </row>
    <row r="47" spans="2:65" ht="14.4" x14ac:dyDescent="0.25">
      <c r="B47" s="513" t="s">
        <v>542</v>
      </c>
      <c r="C47" s="527">
        <f>$C$10*C39</f>
        <v>7868500.0000000009</v>
      </c>
      <c r="D47" s="528">
        <f t="shared" ref="D47:AG47" si="28">$C$10*D39</f>
        <v>10491333.333333336</v>
      </c>
      <c r="E47" s="528">
        <f t="shared" si="28"/>
        <v>10605200.000000002</v>
      </c>
      <c r="F47" s="528">
        <f t="shared" si="28"/>
        <v>10719066.666666668</v>
      </c>
      <c r="G47" s="528">
        <f t="shared" si="28"/>
        <v>10832933.333333334</v>
      </c>
      <c r="H47" s="528">
        <f t="shared" si="28"/>
        <v>10946800</v>
      </c>
      <c r="I47" s="528">
        <f t="shared" si="28"/>
        <v>11060666.666666668</v>
      </c>
      <c r="J47" s="528">
        <f t="shared" si="28"/>
        <v>11094580.399011511</v>
      </c>
      <c r="K47" s="528">
        <f t="shared" si="28"/>
        <v>11128494.131356357</v>
      </c>
      <c r="L47" s="528">
        <f t="shared" si="28"/>
        <v>11162407.863701202</v>
      </c>
      <c r="M47" s="528">
        <f t="shared" si="28"/>
        <v>11196321.596046047</v>
      </c>
      <c r="N47" s="528">
        <f t="shared" si="28"/>
        <v>11230235.328390896</v>
      </c>
      <c r="O47" s="528">
        <f t="shared" si="28"/>
        <v>11275214.9770534</v>
      </c>
      <c r="P47" s="528">
        <f t="shared" si="28"/>
        <v>11320194.625715902</v>
      </c>
      <c r="Q47" s="528">
        <f t="shared" si="28"/>
        <v>11365174.274378406</v>
      </c>
      <c r="R47" s="528">
        <f t="shared" si="28"/>
        <v>11410153.92304091</v>
      </c>
      <c r="S47" s="528">
        <f t="shared" si="28"/>
        <v>11455133.571703408</v>
      </c>
      <c r="T47" s="528">
        <f t="shared" si="28"/>
        <v>11550261.640509548</v>
      </c>
      <c r="U47" s="528">
        <f t="shared" si="28"/>
        <v>11645389.709315686</v>
      </c>
      <c r="V47" s="528">
        <f t="shared" si="28"/>
        <v>11740517.778121823</v>
      </c>
      <c r="W47" s="528">
        <f t="shared" si="28"/>
        <v>11835645.846927963</v>
      </c>
      <c r="X47" s="528">
        <f t="shared" si="28"/>
        <v>11930773.915734103</v>
      </c>
      <c r="Y47" s="528">
        <f t="shared" si="28"/>
        <v>11930773.915734103</v>
      </c>
      <c r="Z47" s="528">
        <f t="shared" si="28"/>
        <v>11930773.915734103</v>
      </c>
      <c r="AA47" s="528">
        <f t="shared" si="28"/>
        <v>11930773.915734103</v>
      </c>
      <c r="AB47" s="528">
        <f t="shared" si="28"/>
        <v>11930773.915734103</v>
      </c>
      <c r="AC47" s="528">
        <f t="shared" si="28"/>
        <v>11930773.915734103</v>
      </c>
      <c r="AD47" s="528">
        <f t="shared" si="28"/>
        <v>11930773.915734103</v>
      </c>
      <c r="AE47" s="528">
        <f t="shared" si="28"/>
        <v>11930773.915734103</v>
      </c>
      <c r="AF47" s="528">
        <f t="shared" si="28"/>
        <v>11930773.915734103</v>
      </c>
      <c r="AG47" s="529">
        <f t="shared" si="28"/>
        <v>11930773.915734103</v>
      </c>
      <c r="AH47" s="529">
        <f t="shared" ref="AH47:AQ47" si="29">$C$10*AH39</f>
        <v>11930773.915734103</v>
      </c>
      <c r="AI47" s="529">
        <f t="shared" si="29"/>
        <v>11930773.915734103</v>
      </c>
      <c r="AJ47" s="529">
        <f t="shared" si="29"/>
        <v>11930773.915734103</v>
      </c>
      <c r="AK47" s="529">
        <f t="shared" si="29"/>
        <v>11930773.915734103</v>
      </c>
      <c r="AL47" s="529">
        <f t="shared" si="29"/>
        <v>11930773.915734103</v>
      </c>
      <c r="AM47" s="529">
        <f t="shared" si="29"/>
        <v>11930773.915734103</v>
      </c>
      <c r="AN47" s="529">
        <f t="shared" si="29"/>
        <v>11930773.915734103</v>
      </c>
      <c r="AO47" s="529">
        <f t="shared" si="29"/>
        <v>11930773.915734103</v>
      </c>
      <c r="AP47" s="529">
        <f t="shared" si="29"/>
        <v>11930773.915734103</v>
      </c>
      <c r="AQ47" s="529">
        <f t="shared" si="29"/>
        <v>11930773.915734103</v>
      </c>
    </row>
    <row r="48" spans="2:65" ht="14.4" x14ac:dyDescent="0.25">
      <c r="B48" s="514" t="s">
        <v>543</v>
      </c>
      <c r="C48" s="530">
        <f>$C$10*C40</f>
        <v>7800500</v>
      </c>
      <c r="D48" s="531">
        <f t="shared" ref="D48:AG51" si="30">$C$10*D40</f>
        <v>10400666.666666668</v>
      </c>
      <c r="E48" s="531">
        <f t="shared" si="30"/>
        <v>10516933.333333334</v>
      </c>
      <c r="F48" s="531">
        <f t="shared" si="30"/>
        <v>10633200</v>
      </c>
      <c r="G48" s="531">
        <f t="shared" si="30"/>
        <v>10749466.666666666</v>
      </c>
      <c r="H48" s="531">
        <f t="shared" si="30"/>
        <v>10865733.333333332</v>
      </c>
      <c r="I48" s="531">
        <f t="shared" si="30"/>
        <v>10982000</v>
      </c>
      <c r="J48" s="531">
        <f t="shared" si="30"/>
        <v>11044230.848050147</v>
      </c>
      <c r="K48" s="531">
        <f t="shared" si="30"/>
        <v>11106461.696100296</v>
      </c>
      <c r="L48" s="531">
        <f t="shared" si="30"/>
        <v>11168692.544150446</v>
      </c>
      <c r="M48" s="531">
        <f t="shared" si="30"/>
        <v>11230923.392200595</v>
      </c>
      <c r="N48" s="531">
        <f t="shared" si="30"/>
        <v>11293154.240250738</v>
      </c>
      <c r="O48" s="531">
        <f t="shared" si="30"/>
        <v>11306941.643465172</v>
      </c>
      <c r="P48" s="531">
        <f t="shared" si="30"/>
        <v>11320729.046679605</v>
      </c>
      <c r="Q48" s="531">
        <f t="shared" si="30"/>
        <v>11334516.449894039</v>
      </c>
      <c r="R48" s="531">
        <f t="shared" si="30"/>
        <v>11348303.853108471</v>
      </c>
      <c r="S48" s="531">
        <f t="shared" si="30"/>
        <v>11362091.256322905</v>
      </c>
      <c r="T48" s="531">
        <f t="shared" si="30"/>
        <v>11448829.823513621</v>
      </c>
      <c r="U48" s="531">
        <f t="shared" si="30"/>
        <v>11535568.390704336</v>
      </c>
      <c r="V48" s="531">
        <f t="shared" si="30"/>
        <v>11622306.957895052</v>
      </c>
      <c r="W48" s="531">
        <f t="shared" si="30"/>
        <v>11709045.525085768</v>
      </c>
      <c r="X48" s="531">
        <f t="shared" si="30"/>
        <v>11795784.092276487</v>
      </c>
      <c r="Y48" s="531">
        <f t="shared" si="30"/>
        <v>11795784.092276487</v>
      </c>
      <c r="Z48" s="531">
        <f t="shared" si="30"/>
        <v>11795784.092276487</v>
      </c>
      <c r="AA48" s="531">
        <f t="shared" si="30"/>
        <v>11795784.092276487</v>
      </c>
      <c r="AB48" s="531">
        <f t="shared" si="30"/>
        <v>11795784.092276487</v>
      </c>
      <c r="AC48" s="531">
        <f t="shared" si="30"/>
        <v>11795784.092276487</v>
      </c>
      <c r="AD48" s="531">
        <f t="shared" si="30"/>
        <v>11795784.092276487</v>
      </c>
      <c r="AE48" s="531">
        <f t="shared" si="30"/>
        <v>11795784.092276487</v>
      </c>
      <c r="AF48" s="531">
        <f t="shared" si="30"/>
        <v>11795784.092276487</v>
      </c>
      <c r="AG48" s="532">
        <f t="shared" si="30"/>
        <v>11795784.092276487</v>
      </c>
      <c r="AH48" s="532">
        <f t="shared" ref="AH48:AQ48" si="31">$C$10*AH40</f>
        <v>11795784.092276487</v>
      </c>
      <c r="AI48" s="532">
        <f t="shared" si="31"/>
        <v>11795784.092276487</v>
      </c>
      <c r="AJ48" s="532">
        <f t="shared" si="31"/>
        <v>11795784.092276487</v>
      </c>
      <c r="AK48" s="532">
        <f t="shared" si="31"/>
        <v>11795784.092276487</v>
      </c>
      <c r="AL48" s="532">
        <f t="shared" si="31"/>
        <v>11795784.092276487</v>
      </c>
      <c r="AM48" s="532">
        <f t="shared" si="31"/>
        <v>11795784.092276487</v>
      </c>
      <c r="AN48" s="532">
        <f t="shared" si="31"/>
        <v>11795784.092276487</v>
      </c>
      <c r="AO48" s="532">
        <f t="shared" si="31"/>
        <v>11795784.092276487</v>
      </c>
      <c r="AP48" s="532">
        <f t="shared" si="31"/>
        <v>11795784.092276487</v>
      </c>
      <c r="AQ48" s="532">
        <f t="shared" si="31"/>
        <v>11795784.092276487</v>
      </c>
    </row>
    <row r="49" spans="2:43" ht="14.4" x14ac:dyDescent="0.25">
      <c r="B49" s="514" t="s">
        <v>544</v>
      </c>
      <c r="C49" s="530">
        <f t="shared" ref="C49:R51" si="32">$C$10*C41</f>
        <v>7700500.0000000009</v>
      </c>
      <c r="D49" s="531">
        <f t="shared" si="32"/>
        <v>10267333.333333334</v>
      </c>
      <c r="E49" s="531">
        <f t="shared" si="32"/>
        <v>10376066.666666668</v>
      </c>
      <c r="F49" s="531">
        <f t="shared" si="32"/>
        <v>10484800</v>
      </c>
      <c r="G49" s="531">
        <f t="shared" si="32"/>
        <v>10593533.333333334</v>
      </c>
      <c r="H49" s="531">
        <f t="shared" si="32"/>
        <v>10702266.666666668</v>
      </c>
      <c r="I49" s="531">
        <f t="shared" si="32"/>
        <v>10811000.000000002</v>
      </c>
      <c r="J49" s="531">
        <f t="shared" si="32"/>
        <v>10864873.634299722</v>
      </c>
      <c r="K49" s="531">
        <f t="shared" si="32"/>
        <v>10918747.268599441</v>
      </c>
      <c r="L49" s="531">
        <f t="shared" si="32"/>
        <v>10972620.902899161</v>
      </c>
      <c r="M49" s="531">
        <f t="shared" si="32"/>
        <v>11026494.537198879</v>
      </c>
      <c r="N49" s="531">
        <f t="shared" si="32"/>
        <v>11080368.171498604</v>
      </c>
      <c r="O49" s="531">
        <f t="shared" si="32"/>
        <v>11083250.378673399</v>
      </c>
      <c r="P49" s="531">
        <f t="shared" si="32"/>
        <v>11086132.585848195</v>
      </c>
      <c r="Q49" s="531">
        <f t="shared" si="32"/>
        <v>11089014.79302299</v>
      </c>
      <c r="R49" s="531">
        <f t="shared" si="32"/>
        <v>11091897.000197787</v>
      </c>
      <c r="S49" s="531">
        <f t="shared" si="30"/>
        <v>11094779.207372582</v>
      </c>
      <c r="T49" s="531">
        <f t="shared" si="30"/>
        <v>11177088.757058915</v>
      </c>
      <c r="U49" s="531">
        <f t="shared" si="30"/>
        <v>11259398.306745246</v>
      </c>
      <c r="V49" s="531">
        <f t="shared" si="30"/>
        <v>11341707.856431579</v>
      </c>
      <c r="W49" s="531">
        <f t="shared" si="30"/>
        <v>11424017.406117911</v>
      </c>
      <c r="X49" s="531">
        <f t="shared" si="30"/>
        <v>11506326.955804242</v>
      </c>
      <c r="Y49" s="531">
        <f t="shared" si="30"/>
        <v>11506326.955804242</v>
      </c>
      <c r="Z49" s="531">
        <f t="shared" si="30"/>
        <v>11506326.955804242</v>
      </c>
      <c r="AA49" s="531">
        <f t="shared" si="30"/>
        <v>11506326.955804242</v>
      </c>
      <c r="AB49" s="531">
        <f t="shared" si="30"/>
        <v>11506326.955804242</v>
      </c>
      <c r="AC49" s="531">
        <f t="shared" si="30"/>
        <v>11506326.955804242</v>
      </c>
      <c r="AD49" s="531">
        <f t="shared" si="30"/>
        <v>11506326.955804242</v>
      </c>
      <c r="AE49" s="531">
        <f t="shared" si="30"/>
        <v>11506326.955804242</v>
      </c>
      <c r="AF49" s="531">
        <f t="shared" si="30"/>
        <v>11506326.955804242</v>
      </c>
      <c r="AG49" s="532">
        <f t="shared" si="30"/>
        <v>11506326.955804242</v>
      </c>
      <c r="AH49" s="532">
        <f t="shared" ref="AH49:AQ49" si="33">$C$10*AH41</f>
        <v>11506326.955804242</v>
      </c>
      <c r="AI49" s="532">
        <f t="shared" si="33"/>
        <v>11506326.955804242</v>
      </c>
      <c r="AJ49" s="532">
        <f t="shared" si="33"/>
        <v>11506326.955804242</v>
      </c>
      <c r="AK49" s="532">
        <f t="shared" si="33"/>
        <v>11506326.955804242</v>
      </c>
      <c r="AL49" s="532">
        <f t="shared" si="33"/>
        <v>11506326.955804242</v>
      </c>
      <c r="AM49" s="532">
        <f t="shared" si="33"/>
        <v>11506326.955804242</v>
      </c>
      <c r="AN49" s="532">
        <f t="shared" si="33"/>
        <v>11506326.955804242</v>
      </c>
      <c r="AO49" s="532">
        <f t="shared" si="33"/>
        <v>11506326.955804242</v>
      </c>
      <c r="AP49" s="532">
        <f t="shared" si="33"/>
        <v>11506326.955804242</v>
      </c>
      <c r="AQ49" s="532">
        <f t="shared" si="33"/>
        <v>11506326.955804242</v>
      </c>
    </row>
    <row r="50" spans="2:43" ht="14.4" x14ac:dyDescent="0.25">
      <c r="B50" s="514" t="s">
        <v>545</v>
      </c>
      <c r="C50" s="530">
        <f t="shared" si="32"/>
        <v>7579249.9999999991</v>
      </c>
      <c r="D50" s="531">
        <f t="shared" si="30"/>
        <v>10105666.666666666</v>
      </c>
      <c r="E50" s="531">
        <f t="shared" si="30"/>
        <v>10216066.666666666</v>
      </c>
      <c r="F50" s="531">
        <f t="shared" si="30"/>
        <v>10326466.666666666</v>
      </c>
      <c r="G50" s="531">
        <f t="shared" si="30"/>
        <v>10436866.666666666</v>
      </c>
      <c r="H50" s="531">
        <f t="shared" si="30"/>
        <v>10547266.666666666</v>
      </c>
      <c r="I50" s="531">
        <f t="shared" si="30"/>
        <v>10657666.666666668</v>
      </c>
      <c r="J50" s="531">
        <f t="shared" si="30"/>
        <v>10711727.655556226</v>
      </c>
      <c r="K50" s="531">
        <f t="shared" si="30"/>
        <v>10765788.644445784</v>
      </c>
      <c r="L50" s="531">
        <f t="shared" si="30"/>
        <v>10819849.633335341</v>
      </c>
      <c r="M50" s="531">
        <f t="shared" si="30"/>
        <v>10873910.622224899</v>
      </c>
      <c r="N50" s="531">
        <f t="shared" si="30"/>
        <v>10927971.611114461</v>
      </c>
      <c r="O50" s="531">
        <f t="shared" si="30"/>
        <v>10933095.526079178</v>
      </c>
      <c r="P50" s="531">
        <f t="shared" si="30"/>
        <v>10938219.441043895</v>
      </c>
      <c r="Q50" s="531">
        <f t="shared" si="30"/>
        <v>10943343.356008613</v>
      </c>
      <c r="R50" s="531">
        <f t="shared" si="30"/>
        <v>10948467.27097333</v>
      </c>
      <c r="S50" s="531">
        <f t="shared" si="30"/>
        <v>10953591.185938044</v>
      </c>
      <c r="T50" s="531">
        <f t="shared" si="30"/>
        <v>11021504.279436491</v>
      </c>
      <c r="U50" s="531">
        <f t="shared" si="30"/>
        <v>11089417.372934939</v>
      </c>
      <c r="V50" s="531">
        <f t="shared" si="30"/>
        <v>11157330.466433389</v>
      </c>
      <c r="W50" s="531">
        <f t="shared" si="30"/>
        <v>11225243.559931837</v>
      </c>
      <c r="X50" s="531">
        <f t="shared" si="30"/>
        <v>11293156.653430289</v>
      </c>
      <c r="Y50" s="531">
        <f t="shared" si="30"/>
        <v>11293156.653430289</v>
      </c>
      <c r="Z50" s="531">
        <f t="shared" si="30"/>
        <v>11293156.653430289</v>
      </c>
      <c r="AA50" s="531">
        <f t="shared" si="30"/>
        <v>11293156.653430289</v>
      </c>
      <c r="AB50" s="531">
        <f t="shared" si="30"/>
        <v>11293156.653430289</v>
      </c>
      <c r="AC50" s="531">
        <f t="shared" si="30"/>
        <v>11293156.653430289</v>
      </c>
      <c r="AD50" s="531">
        <f t="shared" si="30"/>
        <v>11293156.653430289</v>
      </c>
      <c r="AE50" s="531">
        <f t="shared" si="30"/>
        <v>11293156.653430289</v>
      </c>
      <c r="AF50" s="531">
        <f t="shared" si="30"/>
        <v>11293156.653430289</v>
      </c>
      <c r="AG50" s="532">
        <f t="shared" si="30"/>
        <v>11293156.653430289</v>
      </c>
      <c r="AH50" s="532">
        <f t="shared" ref="AH50:AQ50" si="34">$C$10*AH42</f>
        <v>11293156.653430289</v>
      </c>
      <c r="AI50" s="532">
        <f t="shared" si="34"/>
        <v>11293156.653430289</v>
      </c>
      <c r="AJ50" s="532">
        <f t="shared" si="34"/>
        <v>11293156.653430289</v>
      </c>
      <c r="AK50" s="532">
        <f t="shared" si="34"/>
        <v>11293156.653430289</v>
      </c>
      <c r="AL50" s="532">
        <f t="shared" si="34"/>
        <v>11293156.653430289</v>
      </c>
      <c r="AM50" s="532">
        <f t="shared" si="34"/>
        <v>11293156.653430289</v>
      </c>
      <c r="AN50" s="532">
        <f t="shared" si="34"/>
        <v>11293156.653430289</v>
      </c>
      <c r="AO50" s="532">
        <f t="shared" si="34"/>
        <v>11293156.653430289</v>
      </c>
      <c r="AP50" s="532">
        <f t="shared" si="34"/>
        <v>11293156.653430289</v>
      </c>
      <c r="AQ50" s="532">
        <f t="shared" si="34"/>
        <v>11293156.653430289</v>
      </c>
    </row>
    <row r="51" spans="2:43" ht="15" thickBot="1" x14ac:dyDescent="0.3">
      <c r="B51" s="515" t="s">
        <v>546</v>
      </c>
      <c r="C51" s="533">
        <f t="shared" si="32"/>
        <v>7506750</v>
      </c>
      <c r="D51" s="534">
        <f t="shared" si="30"/>
        <v>10009000</v>
      </c>
      <c r="E51" s="534">
        <f t="shared" si="30"/>
        <v>10099733.333333334</v>
      </c>
      <c r="F51" s="534">
        <f t="shared" si="30"/>
        <v>10190466.666666668</v>
      </c>
      <c r="G51" s="534">
        <f t="shared" si="30"/>
        <v>10281200.000000002</v>
      </c>
      <c r="H51" s="534">
        <f t="shared" si="30"/>
        <v>10371933.333333336</v>
      </c>
      <c r="I51" s="534">
        <f t="shared" si="30"/>
        <v>10462666.666666668</v>
      </c>
      <c r="J51" s="534">
        <f t="shared" si="30"/>
        <v>10520063.066321099</v>
      </c>
      <c r="K51" s="534">
        <f t="shared" si="30"/>
        <v>10577459.465975529</v>
      </c>
      <c r="L51" s="534">
        <f t="shared" si="30"/>
        <v>10634855.865629958</v>
      </c>
      <c r="M51" s="534">
        <f t="shared" si="30"/>
        <v>10692252.265284387</v>
      </c>
      <c r="N51" s="534">
        <f t="shared" si="30"/>
        <v>10749648.664938822</v>
      </c>
      <c r="O51" s="534">
        <f t="shared" si="30"/>
        <v>10744477.219064996</v>
      </c>
      <c r="P51" s="534">
        <f t="shared" si="30"/>
        <v>10739305.773191171</v>
      </c>
      <c r="Q51" s="534">
        <f t="shared" si="30"/>
        <v>10734134.327317346</v>
      </c>
      <c r="R51" s="534">
        <f t="shared" si="30"/>
        <v>10728962.881443519</v>
      </c>
      <c r="S51" s="534">
        <f t="shared" si="30"/>
        <v>10723791.435569698</v>
      </c>
      <c r="T51" s="534">
        <f t="shared" si="30"/>
        <v>10796761.751072094</v>
      </c>
      <c r="U51" s="534">
        <f t="shared" si="30"/>
        <v>10869732.06657449</v>
      </c>
      <c r="V51" s="534">
        <f t="shared" si="30"/>
        <v>10942702.382076884</v>
      </c>
      <c r="W51" s="534">
        <f t="shared" si="30"/>
        <v>11015672.69757928</v>
      </c>
      <c r="X51" s="534">
        <f t="shared" si="30"/>
        <v>11088643.013081672</v>
      </c>
      <c r="Y51" s="534">
        <f t="shared" si="30"/>
        <v>11088643.013081672</v>
      </c>
      <c r="Z51" s="534">
        <f t="shared" si="30"/>
        <v>11088643.013081672</v>
      </c>
      <c r="AA51" s="534">
        <f t="shared" si="30"/>
        <v>11088643.013081672</v>
      </c>
      <c r="AB51" s="534">
        <f t="shared" si="30"/>
        <v>11088643.013081672</v>
      </c>
      <c r="AC51" s="534">
        <f t="shared" si="30"/>
        <v>11088643.013081672</v>
      </c>
      <c r="AD51" s="534">
        <f t="shared" si="30"/>
        <v>11088643.013081672</v>
      </c>
      <c r="AE51" s="534">
        <f t="shared" si="30"/>
        <v>11088643.013081672</v>
      </c>
      <c r="AF51" s="534">
        <f t="shared" si="30"/>
        <v>11088643.013081672</v>
      </c>
      <c r="AG51" s="535">
        <f t="shared" si="30"/>
        <v>11088643.013081672</v>
      </c>
      <c r="AH51" s="535">
        <f t="shared" ref="AH51:AQ51" si="35">$C$10*AH43</f>
        <v>11088643.013081672</v>
      </c>
      <c r="AI51" s="535">
        <f t="shared" si="35"/>
        <v>11088643.013081672</v>
      </c>
      <c r="AJ51" s="535">
        <f t="shared" si="35"/>
        <v>11088643.013081672</v>
      </c>
      <c r="AK51" s="535">
        <f t="shared" si="35"/>
        <v>11088643.013081672</v>
      </c>
      <c r="AL51" s="535">
        <f t="shared" si="35"/>
        <v>11088643.013081672</v>
      </c>
      <c r="AM51" s="535">
        <f t="shared" si="35"/>
        <v>11088643.013081672</v>
      </c>
      <c r="AN51" s="535">
        <f t="shared" si="35"/>
        <v>11088643.013081672</v>
      </c>
      <c r="AO51" s="535">
        <f t="shared" si="35"/>
        <v>11088643.013081672</v>
      </c>
      <c r="AP51" s="535">
        <f t="shared" si="35"/>
        <v>11088643.013081672</v>
      </c>
      <c r="AQ51" s="535">
        <f t="shared" si="35"/>
        <v>11088643.013081672</v>
      </c>
    </row>
    <row r="55" spans="2:43" x14ac:dyDescent="0.25">
      <c r="B55" s="511" t="s">
        <v>559</v>
      </c>
    </row>
    <row r="56" spans="2:43" x14ac:dyDescent="0.25">
      <c r="B56" s="14"/>
    </row>
    <row r="57" spans="2:43" ht="13.8" x14ac:dyDescent="0.25">
      <c r="B57" s="14"/>
      <c r="D57" s="1009">
        <f>D32*2959/3148</f>
        <v>2958.4360228716646</v>
      </c>
      <c r="I57" s="1009">
        <f>I32*2959/3148</f>
        <v>3118.981512071156</v>
      </c>
      <c r="N57" s="1009">
        <f>N32*2959/3148</f>
        <v>3166.7979355186144</v>
      </c>
      <c r="S57" s="1009">
        <f>S32*2959/3148</f>
        <v>3230.2166682341535</v>
      </c>
      <c r="X57" s="1009">
        <f>X32*2959/3148</f>
        <v>3364.3418059076125</v>
      </c>
    </row>
    <row r="58" spans="2:43" ht="13.8" x14ac:dyDescent="0.25">
      <c r="B58" s="14"/>
      <c r="D58" s="1009">
        <f t="shared" ref="D58:D61" si="36">D33*2959/3148</f>
        <v>2932.8690597204577</v>
      </c>
      <c r="I58" s="1009">
        <f t="shared" ref="I58:I61" si="37">I33*2959/3148</f>
        <v>3096.798411689962</v>
      </c>
      <c r="N58" s="1009">
        <f t="shared" ref="N58:N61" si="38">N33*2959/3148</f>
        <v>3184.5403491329671</v>
      </c>
      <c r="S58" s="1009">
        <f t="shared" ref="S58:S61" si="39">S33*2959/3148</f>
        <v>3203.9797993131647</v>
      </c>
      <c r="X58" s="1009">
        <f t="shared" ref="X58:X61" si="40">X33*2959/3148</f>
        <v>3326.2762194135444</v>
      </c>
    </row>
    <row r="59" spans="2:43" ht="13.8" x14ac:dyDescent="0.25">
      <c r="B59" s="14"/>
      <c r="D59" s="1009">
        <f t="shared" si="36"/>
        <v>2895.2705844980942</v>
      </c>
      <c r="I59" s="1009">
        <f t="shared" si="37"/>
        <v>3048.5783672172811</v>
      </c>
      <c r="N59" s="1009">
        <f t="shared" si="38"/>
        <v>3124.5371111306576</v>
      </c>
      <c r="S59" s="1009">
        <f t="shared" si="39"/>
        <v>3128.6008584449301</v>
      </c>
      <c r="X59" s="1009">
        <f t="shared" si="40"/>
        <v>3244.6526171116338</v>
      </c>
    </row>
    <row r="60" spans="2:43" ht="13.8" x14ac:dyDescent="0.25">
      <c r="B60" s="14"/>
      <c r="D60" s="1009">
        <f t="shared" si="36"/>
        <v>2849.6824332909782</v>
      </c>
      <c r="I60" s="1009">
        <f t="shared" si="37"/>
        <v>3005.340120711563</v>
      </c>
      <c r="N60" s="1009">
        <f t="shared" si="38"/>
        <v>3081.5630238838335</v>
      </c>
      <c r="S60" s="1009">
        <f t="shared" si="39"/>
        <v>3088.7874510029233</v>
      </c>
      <c r="X60" s="1009">
        <f t="shared" si="40"/>
        <v>3184.5410296220039</v>
      </c>
    </row>
    <row r="61" spans="2:43" ht="13.8" x14ac:dyDescent="0.25">
      <c r="B61" s="14"/>
      <c r="D61" s="1009">
        <f t="shared" si="36"/>
        <v>2822.4235387547651</v>
      </c>
      <c r="I61" s="1009">
        <f t="shared" si="37"/>
        <v>2950.3523506988568</v>
      </c>
      <c r="N61" s="1009">
        <f t="shared" si="38"/>
        <v>3031.2779923336061</v>
      </c>
      <c r="S61" s="1009">
        <f t="shared" si="39"/>
        <v>3023.9865493504508</v>
      </c>
      <c r="X61" s="1009">
        <f t="shared" si="40"/>
        <v>3126.8705218273822</v>
      </c>
    </row>
    <row r="62" spans="2:43" ht="13.8" thickBot="1" x14ac:dyDescent="0.3">
      <c r="B62" s="42" t="s">
        <v>329</v>
      </c>
    </row>
    <row r="63" spans="2:43" ht="14.4" thickBot="1" x14ac:dyDescent="0.3">
      <c r="B63" s="512" t="s">
        <v>259</v>
      </c>
      <c r="C63" s="516">
        <v>2019</v>
      </c>
      <c r="D63" s="347">
        <v>2020</v>
      </c>
      <c r="E63" s="347">
        <v>2021</v>
      </c>
      <c r="F63" s="347">
        <v>2022</v>
      </c>
      <c r="G63" s="347">
        <v>2023</v>
      </c>
      <c r="H63" s="347">
        <v>2024</v>
      </c>
      <c r="I63" s="347">
        <v>2025</v>
      </c>
      <c r="J63" s="347">
        <v>2026</v>
      </c>
      <c r="K63" s="347">
        <v>2027</v>
      </c>
      <c r="L63" s="347">
        <v>2028</v>
      </c>
      <c r="M63" s="347">
        <v>2029</v>
      </c>
      <c r="N63" s="347">
        <v>2030</v>
      </c>
      <c r="O63" s="347">
        <v>2031</v>
      </c>
      <c r="P63" s="347">
        <v>2032</v>
      </c>
      <c r="Q63" s="347">
        <v>2033</v>
      </c>
      <c r="R63" s="347">
        <v>2034</v>
      </c>
      <c r="S63" s="347">
        <v>2035</v>
      </c>
      <c r="T63" s="347">
        <v>2036</v>
      </c>
      <c r="U63" s="347">
        <v>2037</v>
      </c>
      <c r="V63" s="347">
        <v>2038</v>
      </c>
      <c r="W63" s="347">
        <v>2039</v>
      </c>
      <c r="X63" s="347">
        <v>2040</v>
      </c>
      <c r="Y63" s="347">
        <v>2041</v>
      </c>
      <c r="Z63" s="347">
        <v>2042</v>
      </c>
      <c r="AA63" s="347">
        <v>2043</v>
      </c>
      <c r="AB63" s="347">
        <v>2044</v>
      </c>
      <c r="AC63" s="347">
        <v>2045</v>
      </c>
      <c r="AD63" s="347">
        <v>2046</v>
      </c>
      <c r="AE63" s="347">
        <v>2047</v>
      </c>
      <c r="AF63" s="347">
        <v>2048</v>
      </c>
      <c r="AG63" s="348">
        <v>2049</v>
      </c>
      <c r="AH63" s="348">
        <v>2050</v>
      </c>
      <c r="AI63" s="348">
        <v>2051</v>
      </c>
      <c r="AJ63" s="348">
        <v>2052</v>
      </c>
      <c r="AK63" s="348">
        <v>2053</v>
      </c>
      <c r="AL63" s="348">
        <v>2054</v>
      </c>
      <c r="AM63" s="348">
        <v>2055</v>
      </c>
      <c r="AN63" s="348">
        <v>2056</v>
      </c>
      <c r="AO63" s="348">
        <v>2057</v>
      </c>
      <c r="AP63" s="348">
        <v>2058</v>
      </c>
      <c r="AQ63" s="348">
        <v>2059</v>
      </c>
    </row>
    <row r="64" spans="2:43" ht="14.4" x14ac:dyDescent="0.25">
      <c r="B64" s="513" t="s">
        <v>542</v>
      </c>
      <c r="C64" s="536">
        <f>D64-0.25*D64</f>
        <v>24653.633523930537</v>
      </c>
      <c r="D64" s="690">
        <f>D57*PARAMETROS!$C$23/PARAMETROS!$C$25</f>
        <v>32871.511365240716</v>
      </c>
      <c r="E64" s="537">
        <f>D64+($I64-$D64)/5</f>
        <v>33228.279119017367</v>
      </c>
      <c r="F64" s="537">
        <f t="shared" ref="F64:H64" si="41">E64+($I64-$D64)/5</f>
        <v>33585.046872794017</v>
      </c>
      <c r="G64" s="537">
        <f t="shared" si="41"/>
        <v>33941.814626570667</v>
      </c>
      <c r="H64" s="537">
        <f t="shared" si="41"/>
        <v>34298.582380347318</v>
      </c>
      <c r="I64" s="690">
        <f>I57*PARAMETROS!$C$23/PARAMETROS!$C$25</f>
        <v>34655.350134123953</v>
      </c>
      <c r="J64" s="537">
        <f>I64+($N64-$I64)/5</f>
        <v>34761.608852896083</v>
      </c>
      <c r="K64" s="537">
        <f t="shared" ref="K64:M64" si="42">J64+($N64-$I64)/5</f>
        <v>34867.867571668212</v>
      </c>
      <c r="L64" s="537">
        <f t="shared" si="42"/>
        <v>34974.126290440341</v>
      </c>
      <c r="M64" s="537">
        <f t="shared" si="42"/>
        <v>35080.38500921247</v>
      </c>
      <c r="N64" s="690">
        <f>N57*PARAMETROS!$C$23/PARAMETROS!$C$25</f>
        <v>35186.643727984607</v>
      </c>
      <c r="O64" s="537">
        <f>N64+($S64-$N64)/5</f>
        <v>35327.57424513025</v>
      </c>
      <c r="P64" s="537">
        <f t="shared" ref="P64:R64" si="43">O64+($S64-$N64)/5</f>
        <v>35468.504762275894</v>
      </c>
      <c r="Q64" s="537">
        <f t="shared" si="43"/>
        <v>35609.435279421537</v>
      </c>
      <c r="R64" s="537">
        <f t="shared" si="43"/>
        <v>35750.365796567181</v>
      </c>
      <c r="S64" s="690">
        <f>S57*PARAMETROS!$C$23/PARAMETROS!$C$25</f>
        <v>35891.296313712817</v>
      </c>
      <c r="T64" s="537">
        <f>S64+($X64-$S64)/5</f>
        <v>36189.352175209395</v>
      </c>
      <c r="U64" s="537">
        <f>T64+($X64-$S64)/5</f>
        <v>36487.408036705972</v>
      </c>
      <c r="V64" s="537">
        <f t="shared" ref="V64:W64" si="44">U64+($X64-$S64)/5</f>
        <v>36785.46389820255</v>
      </c>
      <c r="W64" s="537">
        <f t="shared" si="44"/>
        <v>37083.519759699127</v>
      </c>
      <c r="X64" s="690">
        <f>X57*PARAMETROS!$C$23/PARAMETROS!$C$25</f>
        <v>37381.575621195698</v>
      </c>
      <c r="Y64" s="537">
        <f>$X64</f>
        <v>37381.575621195698</v>
      </c>
      <c r="Z64" s="537">
        <f t="shared" ref="Z64:AQ68" si="45">$X64</f>
        <v>37381.575621195698</v>
      </c>
      <c r="AA64" s="537">
        <f t="shared" si="45"/>
        <v>37381.575621195698</v>
      </c>
      <c r="AB64" s="537">
        <f t="shared" si="45"/>
        <v>37381.575621195698</v>
      </c>
      <c r="AC64" s="537">
        <f t="shared" si="45"/>
        <v>37381.575621195698</v>
      </c>
      <c r="AD64" s="537">
        <f t="shared" si="45"/>
        <v>37381.575621195698</v>
      </c>
      <c r="AE64" s="537">
        <f t="shared" si="45"/>
        <v>37381.575621195698</v>
      </c>
      <c r="AF64" s="537">
        <f t="shared" si="45"/>
        <v>37381.575621195698</v>
      </c>
      <c r="AG64" s="538">
        <f t="shared" si="45"/>
        <v>37381.575621195698</v>
      </c>
      <c r="AH64" s="538">
        <f t="shared" si="45"/>
        <v>37381.575621195698</v>
      </c>
      <c r="AI64" s="538">
        <f t="shared" si="45"/>
        <v>37381.575621195698</v>
      </c>
      <c r="AJ64" s="538">
        <f t="shared" si="45"/>
        <v>37381.575621195698</v>
      </c>
      <c r="AK64" s="538">
        <f t="shared" si="45"/>
        <v>37381.575621195698</v>
      </c>
      <c r="AL64" s="538">
        <f t="shared" si="45"/>
        <v>37381.575621195698</v>
      </c>
      <c r="AM64" s="538">
        <f t="shared" si="45"/>
        <v>37381.575621195698</v>
      </c>
      <c r="AN64" s="538">
        <f t="shared" si="45"/>
        <v>37381.575621195698</v>
      </c>
      <c r="AO64" s="538">
        <f t="shared" si="45"/>
        <v>37381.575621195698</v>
      </c>
      <c r="AP64" s="538">
        <f t="shared" si="45"/>
        <v>37381.575621195698</v>
      </c>
      <c r="AQ64" s="538">
        <f t="shared" si="45"/>
        <v>37381.575621195698</v>
      </c>
    </row>
    <row r="65" spans="2:43" ht="14.4" x14ac:dyDescent="0.25">
      <c r="B65" s="514" t="s">
        <v>543</v>
      </c>
      <c r="C65" s="539">
        <f t="shared" ref="C65:C68" si="46">D65-0.25*D65</f>
        <v>24440.575497670481</v>
      </c>
      <c r="D65" s="692">
        <f>D58*PARAMETROS!$C$23/PARAMETROS!$C$25</f>
        <v>32587.433996893975</v>
      </c>
      <c r="E65" s="540">
        <f t="shared" ref="E65:H65" si="47">D65+($I65-$D65)/5</f>
        <v>32951.721445715099</v>
      </c>
      <c r="F65" s="540">
        <f t="shared" si="47"/>
        <v>33316.008894536222</v>
      </c>
      <c r="G65" s="540">
        <f t="shared" si="47"/>
        <v>33680.296343357346</v>
      </c>
      <c r="H65" s="540">
        <f t="shared" si="47"/>
        <v>34044.58379217847</v>
      </c>
      <c r="I65" s="692">
        <f>I58*PARAMETROS!$C$23/PARAMETROS!$C$25</f>
        <v>34408.871240999579</v>
      </c>
      <c r="J65" s="540">
        <f t="shared" ref="J65:M65" si="48">I65+($N65-$I65)/5</f>
        <v>34603.853324206255</v>
      </c>
      <c r="K65" s="540">
        <f t="shared" si="48"/>
        <v>34798.835407412931</v>
      </c>
      <c r="L65" s="540">
        <f t="shared" si="48"/>
        <v>34993.817490619607</v>
      </c>
      <c r="M65" s="540">
        <f t="shared" si="48"/>
        <v>35188.799573826283</v>
      </c>
      <c r="N65" s="692">
        <f>N58*PARAMETROS!$C$23/PARAMETROS!$C$25</f>
        <v>35383.781657032967</v>
      </c>
      <c r="O65" s="540">
        <f t="shared" ref="O65:R65" si="49">N65+($S65-$N65)/5</f>
        <v>35426.980435211182</v>
      </c>
      <c r="P65" s="540">
        <f t="shared" si="49"/>
        <v>35470.179213389398</v>
      </c>
      <c r="Q65" s="540">
        <f t="shared" si="49"/>
        <v>35513.377991567613</v>
      </c>
      <c r="R65" s="540">
        <f t="shared" si="49"/>
        <v>35556.576769745829</v>
      </c>
      <c r="S65" s="692">
        <f>S58*PARAMETROS!$C$23/PARAMETROS!$C$25</f>
        <v>35599.775547924051</v>
      </c>
      <c r="T65" s="540">
        <f t="shared" ref="T65:W65" si="50">S65+($X65-$S65)/5</f>
        <v>35871.545370369342</v>
      </c>
      <c r="U65" s="540">
        <f t="shared" si="50"/>
        <v>36143.315192814633</v>
      </c>
      <c r="V65" s="540">
        <f t="shared" si="50"/>
        <v>36415.085015259923</v>
      </c>
      <c r="W65" s="540">
        <f t="shared" si="50"/>
        <v>36686.854837705214</v>
      </c>
      <c r="X65" s="692">
        <f>X58*PARAMETROS!$C$23/PARAMETROS!$C$25</f>
        <v>36958.624660150497</v>
      </c>
      <c r="Y65" s="540">
        <f t="shared" ref="Y65:AN68" si="51">$X65</f>
        <v>36958.624660150497</v>
      </c>
      <c r="Z65" s="540">
        <f t="shared" si="51"/>
        <v>36958.624660150497</v>
      </c>
      <c r="AA65" s="540">
        <f t="shared" si="51"/>
        <v>36958.624660150497</v>
      </c>
      <c r="AB65" s="540">
        <f t="shared" si="51"/>
        <v>36958.624660150497</v>
      </c>
      <c r="AC65" s="540">
        <f t="shared" si="51"/>
        <v>36958.624660150497</v>
      </c>
      <c r="AD65" s="540">
        <f t="shared" si="51"/>
        <v>36958.624660150497</v>
      </c>
      <c r="AE65" s="540">
        <f t="shared" si="51"/>
        <v>36958.624660150497</v>
      </c>
      <c r="AF65" s="540">
        <f t="shared" si="51"/>
        <v>36958.624660150497</v>
      </c>
      <c r="AG65" s="541">
        <f t="shared" si="51"/>
        <v>36958.624660150497</v>
      </c>
      <c r="AH65" s="541">
        <f t="shared" si="51"/>
        <v>36958.624660150497</v>
      </c>
      <c r="AI65" s="541">
        <f t="shared" si="51"/>
        <v>36958.624660150497</v>
      </c>
      <c r="AJ65" s="541">
        <f t="shared" si="51"/>
        <v>36958.624660150497</v>
      </c>
      <c r="AK65" s="541">
        <f t="shared" si="51"/>
        <v>36958.624660150497</v>
      </c>
      <c r="AL65" s="541">
        <f t="shared" si="51"/>
        <v>36958.624660150497</v>
      </c>
      <c r="AM65" s="541">
        <f t="shared" si="51"/>
        <v>36958.624660150497</v>
      </c>
      <c r="AN65" s="541">
        <f t="shared" si="51"/>
        <v>36958.624660150497</v>
      </c>
      <c r="AO65" s="541">
        <f t="shared" si="45"/>
        <v>36958.624660150497</v>
      </c>
      <c r="AP65" s="541">
        <f t="shared" si="45"/>
        <v>36958.624660150497</v>
      </c>
      <c r="AQ65" s="541">
        <f t="shared" si="45"/>
        <v>36958.624660150497</v>
      </c>
    </row>
    <row r="66" spans="2:43" ht="14.4" x14ac:dyDescent="0.25">
      <c r="B66" s="514" t="s">
        <v>544</v>
      </c>
      <c r="C66" s="539">
        <f t="shared" si="46"/>
        <v>24127.254870817451</v>
      </c>
      <c r="D66" s="692">
        <f>D59*PARAMETROS!$C$23/PARAMETROS!$C$25</f>
        <v>32169.673161089937</v>
      </c>
      <c r="E66" s="540">
        <f t="shared" ref="E66:H66" si="52">D66+($I66-$D66)/5</f>
        <v>32510.357122688129</v>
      </c>
      <c r="F66" s="540">
        <f t="shared" si="52"/>
        <v>32851.04108428632</v>
      </c>
      <c r="G66" s="540">
        <f t="shared" si="52"/>
        <v>33191.725045884516</v>
      </c>
      <c r="H66" s="540">
        <f t="shared" si="52"/>
        <v>33532.409007482711</v>
      </c>
      <c r="I66" s="692">
        <f>I59*PARAMETROS!$C$23/PARAMETROS!$C$25</f>
        <v>33873.092969080899</v>
      </c>
      <c r="J66" s="540">
        <f t="shared" ref="J66:M66" si="53">I66+($N66-$I66)/5</f>
        <v>34041.890177777292</v>
      </c>
      <c r="K66" s="540">
        <f t="shared" si="53"/>
        <v>34210.687386473684</v>
      </c>
      <c r="L66" s="540">
        <f t="shared" si="53"/>
        <v>34379.484595170077</v>
      </c>
      <c r="M66" s="540">
        <f t="shared" si="53"/>
        <v>34548.28180386647</v>
      </c>
      <c r="N66" s="692">
        <f>N59*PARAMETROS!$C$23/PARAMETROS!$C$25</f>
        <v>34717.079012562863</v>
      </c>
      <c r="O66" s="540">
        <f t="shared" ref="O66:R66" si="54">N66+($S66-$N66)/5</f>
        <v>34726.109562150137</v>
      </c>
      <c r="P66" s="540">
        <f t="shared" si="54"/>
        <v>34735.140111737412</v>
      </c>
      <c r="Q66" s="540">
        <f t="shared" si="54"/>
        <v>34744.170661324686</v>
      </c>
      <c r="R66" s="540">
        <f t="shared" si="54"/>
        <v>34753.201210911961</v>
      </c>
      <c r="S66" s="692">
        <f>S59*PARAMETROS!$C$23/PARAMETROS!$C$25</f>
        <v>34762.231760499228</v>
      </c>
      <c r="T66" s="540">
        <f t="shared" ref="T66:W66" si="55">S66+($X66-$S66)/5</f>
        <v>35020.12455753635</v>
      </c>
      <c r="U66" s="540">
        <f t="shared" si="55"/>
        <v>35278.017354573472</v>
      </c>
      <c r="V66" s="540">
        <f t="shared" si="55"/>
        <v>35535.910151610595</v>
      </c>
      <c r="W66" s="540">
        <f t="shared" si="55"/>
        <v>35793.802948647717</v>
      </c>
      <c r="X66" s="692">
        <f>X59*PARAMETROS!$C$23/PARAMETROS!$C$25</f>
        <v>36051.695745684825</v>
      </c>
      <c r="Y66" s="540">
        <f t="shared" si="51"/>
        <v>36051.695745684825</v>
      </c>
      <c r="Z66" s="540">
        <f t="shared" si="51"/>
        <v>36051.695745684825</v>
      </c>
      <c r="AA66" s="540">
        <f t="shared" si="51"/>
        <v>36051.695745684825</v>
      </c>
      <c r="AB66" s="540">
        <f t="shared" si="51"/>
        <v>36051.695745684825</v>
      </c>
      <c r="AC66" s="540">
        <f t="shared" si="51"/>
        <v>36051.695745684825</v>
      </c>
      <c r="AD66" s="540">
        <f t="shared" si="51"/>
        <v>36051.695745684825</v>
      </c>
      <c r="AE66" s="540">
        <f t="shared" si="51"/>
        <v>36051.695745684825</v>
      </c>
      <c r="AF66" s="540">
        <f t="shared" si="51"/>
        <v>36051.695745684825</v>
      </c>
      <c r="AG66" s="541">
        <f t="shared" si="51"/>
        <v>36051.695745684825</v>
      </c>
      <c r="AH66" s="541">
        <f t="shared" si="45"/>
        <v>36051.695745684825</v>
      </c>
      <c r="AI66" s="541">
        <f t="shared" si="45"/>
        <v>36051.695745684825</v>
      </c>
      <c r="AJ66" s="541">
        <f t="shared" si="45"/>
        <v>36051.695745684825</v>
      </c>
      <c r="AK66" s="541">
        <f t="shared" si="45"/>
        <v>36051.695745684825</v>
      </c>
      <c r="AL66" s="541">
        <f t="shared" si="45"/>
        <v>36051.695745684825</v>
      </c>
      <c r="AM66" s="541">
        <f t="shared" si="45"/>
        <v>36051.695745684825</v>
      </c>
      <c r="AN66" s="541">
        <f t="shared" si="45"/>
        <v>36051.695745684825</v>
      </c>
      <c r="AO66" s="541">
        <f t="shared" si="45"/>
        <v>36051.695745684825</v>
      </c>
      <c r="AP66" s="541">
        <f t="shared" si="45"/>
        <v>36051.695745684825</v>
      </c>
      <c r="AQ66" s="541">
        <f t="shared" si="45"/>
        <v>36051.695745684825</v>
      </c>
    </row>
    <row r="67" spans="2:43" ht="14.4" x14ac:dyDescent="0.25">
      <c r="B67" s="514" t="s">
        <v>545</v>
      </c>
      <c r="C67" s="539">
        <f t="shared" si="46"/>
        <v>23747.353610758153</v>
      </c>
      <c r="D67" s="692">
        <f>D60*PARAMETROS!$C$23/PARAMETROS!$C$25</f>
        <v>31663.138147677539</v>
      </c>
      <c r="E67" s="540">
        <f t="shared" ref="E67:H67" si="56">D67+($I67-$D67)/5</f>
        <v>32009.044119723283</v>
      </c>
      <c r="F67" s="540">
        <f t="shared" si="56"/>
        <v>32354.950091769027</v>
      </c>
      <c r="G67" s="540">
        <f t="shared" si="56"/>
        <v>32700.856063814772</v>
      </c>
      <c r="H67" s="540">
        <f t="shared" si="56"/>
        <v>33046.762035860513</v>
      </c>
      <c r="I67" s="692">
        <f>I60*PARAMETROS!$C$23/PARAMETROS!$C$25</f>
        <v>33392.668007906257</v>
      </c>
      <c r="J67" s="540">
        <f t="shared" ref="J67:M67" si="57">I67+($N67-$I67)/5</f>
        <v>33562.052237177966</v>
      </c>
      <c r="K67" s="540">
        <f t="shared" si="57"/>
        <v>33731.436466449675</v>
      </c>
      <c r="L67" s="540">
        <f t="shared" si="57"/>
        <v>33900.820695721384</v>
      </c>
      <c r="M67" s="540">
        <f t="shared" si="57"/>
        <v>34070.204924993093</v>
      </c>
      <c r="N67" s="692">
        <f>N60*PARAMETROS!$C$23/PARAMETROS!$C$25</f>
        <v>34239.589154264817</v>
      </c>
      <c r="O67" s="540">
        <f t="shared" ref="O67:R67" si="58">N67+($S67-$N67)/5</f>
        <v>34255.643436751685</v>
      </c>
      <c r="P67" s="540">
        <f t="shared" si="58"/>
        <v>34271.697719238553</v>
      </c>
      <c r="Q67" s="540">
        <f t="shared" si="58"/>
        <v>34287.752001725421</v>
      </c>
      <c r="R67" s="540">
        <f t="shared" si="58"/>
        <v>34303.806284212289</v>
      </c>
      <c r="S67" s="692">
        <f>S60*PARAMETROS!$C$23/PARAMETROS!$C$25</f>
        <v>34319.86056669915</v>
      </c>
      <c r="T67" s="540">
        <f t="shared" ref="T67:W67" si="59">S67+($X67-$S67)/5</f>
        <v>34532.646296963772</v>
      </c>
      <c r="U67" s="540">
        <f t="shared" si="59"/>
        <v>34745.432027228395</v>
      </c>
      <c r="V67" s="540">
        <f t="shared" si="59"/>
        <v>34958.217757493017</v>
      </c>
      <c r="W67" s="540">
        <f t="shared" si="59"/>
        <v>35171.00348775764</v>
      </c>
      <c r="X67" s="692">
        <f>X60*PARAMETROS!$C$23/PARAMETROS!$C$25</f>
        <v>35383.78921802227</v>
      </c>
      <c r="Y67" s="540">
        <f t="shared" si="51"/>
        <v>35383.78921802227</v>
      </c>
      <c r="Z67" s="540">
        <f t="shared" si="51"/>
        <v>35383.78921802227</v>
      </c>
      <c r="AA67" s="540">
        <f t="shared" si="51"/>
        <v>35383.78921802227</v>
      </c>
      <c r="AB67" s="540">
        <f t="shared" si="51"/>
        <v>35383.78921802227</v>
      </c>
      <c r="AC67" s="540">
        <f t="shared" si="51"/>
        <v>35383.78921802227</v>
      </c>
      <c r="AD67" s="540">
        <f t="shared" si="51"/>
        <v>35383.78921802227</v>
      </c>
      <c r="AE67" s="540">
        <f t="shared" si="51"/>
        <v>35383.78921802227</v>
      </c>
      <c r="AF67" s="540">
        <f t="shared" si="51"/>
        <v>35383.78921802227</v>
      </c>
      <c r="AG67" s="541">
        <f t="shared" si="51"/>
        <v>35383.78921802227</v>
      </c>
      <c r="AH67" s="541">
        <f t="shared" si="45"/>
        <v>35383.78921802227</v>
      </c>
      <c r="AI67" s="541">
        <f t="shared" si="45"/>
        <v>35383.78921802227</v>
      </c>
      <c r="AJ67" s="541">
        <f t="shared" si="45"/>
        <v>35383.78921802227</v>
      </c>
      <c r="AK67" s="541">
        <f t="shared" si="45"/>
        <v>35383.78921802227</v>
      </c>
      <c r="AL67" s="541">
        <f t="shared" si="45"/>
        <v>35383.78921802227</v>
      </c>
      <c r="AM67" s="541">
        <f t="shared" si="45"/>
        <v>35383.78921802227</v>
      </c>
      <c r="AN67" s="541">
        <f t="shared" si="45"/>
        <v>35383.78921802227</v>
      </c>
      <c r="AO67" s="541">
        <f t="shared" si="45"/>
        <v>35383.78921802227</v>
      </c>
      <c r="AP67" s="541">
        <f t="shared" si="45"/>
        <v>35383.78921802227</v>
      </c>
      <c r="AQ67" s="541">
        <f t="shared" si="45"/>
        <v>35383.78921802227</v>
      </c>
    </row>
    <row r="68" spans="2:43" ht="15" thickBot="1" x14ac:dyDescent="0.3">
      <c r="B68" s="515" t="s">
        <v>546</v>
      </c>
      <c r="C68" s="542">
        <f t="shared" si="46"/>
        <v>23520.196156289712</v>
      </c>
      <c r="D68" s="693">
        <f>D61*PARAMETROS!$C$23/PARAMETROS!$C$25</f>
        <v>31360.261541719614</v>
      </c>
      <c r="E68" s="543">
        <f t="shared" ref="E68:H68" si="60">D68+($I68-$D68)/5</f>
        <v>31644.547790484263</v>
      </c>
      <c r="F68" s="543">
        <f t="shared" si="60"/>
        <v>31928.834039248912</v>
      </c>
      <c r="G68" s="543">
        <f t="shared" si="60"/>
        <v>32213.120288013561</v>
      </c>
      <c r="H68" s="543">
        <f t="shared" si="60"/>
        <v>32497.40653677821</v>
      </c>
      <c r="I68" s="693">
        <f>I61*PARAMETROS!$C$23/PARAMETROS!$C$25</f>
        <v>32781.692785542851</v>
      </c>
      <c r="J68" s="543">
        <f t="shared" ref="J68:M68" si="61">I68+($N68-$I68)/5</f>
        <v>32961.527544731187</v>
      </c>
      <c r="K68" s="543">
        <f t="shared" si="61"/>
        <v>33141.362303919523</v>
      </c>
      <c r="L68" s="543">
        <f t="shared" si="61"/>
        <v>33321.197063107858</v>
      </c>
      <c r="M68" s="543">
        <f t="shared" si="61"/>
        <v>33501.031822296194</v>
      </c>
      <c r="N68" s="693">
        <f>N61*PARAMETROS!$C$23/PARAMETROS!$C$25</f>
        <v>33680.866581484515</v>
      </c>
      <c r="O68" s="543">
        <f t="shared" ref="O68:R68" si="62">N68+($S68-$N68)/5</f>
        <v>33664.663374855278</v>
      </c>
      <c r="P68" s="543">
        <f t="shared" si="62"/>
        <v>33648.46016822604</v>
      </c>
      <c r="Q68" s="543">
        <f t="shared" si="62"/>
        <v>33632.256961596802</v>
      </c>
      <c r="R68" s="543">
        <f t="shared" si="62"/>
        <v>33616.053754967565</v>
      </c>
      <c r="S68" s="693">
        <f>S61*PARAMETROS!$C$23/PARAMETROS!$C$25</f>
        <v>33599.850548338341</v>
      </c>
      <c r="T68" s="543">
        <f t="shared" ref="T68:W68" si="63">S68+($X68-$S68)/5</f>
        <v>33828.481598287079</v>
      </c>
      <c r="U68" s="543">
        <f t="shared" si="63"/>
        <v>34057.112648235816</v>
      </c>
      <c r="V68" s="543">
        <f t="shared" si="63"/>
        <v>34285.743698184553</v>
      </c>
      <c r="W68" s="543">
        <f t="shared" si="63"/>
        <v>34514.37474813329</v>
      </c>
      <c r="X68" s="693">
        <f>X61*PARAMETROS!$C$23/PARAMETROS!$C$25</f>
        <v>34743.005798082027</v>
      </c>
      <c r="Y68" s="543">
        <f t="shared" si="51"/>
        <v>34743.005798082027</v>
      </c>
      <c r="Z68" s="543">
        <f t="shared" si="51"/>
        <v>34743.005798082027</v>
      </c>
      <c r="AA68" s="543">
        <f t="shared" si="51"/>
        <v>34743.005798082027</v>
      </c>
      <c r="AB68" s="543">
        <f t="shared" si="51"/>
        <v>34743.005798082027</v>
      </c>
      <c r="AC68" s="543">
        <f t="shared" si="51"/>
        <v>34743.005798082027</v>
      </c>
      <c r="AD68" s="543">
        <f t="shared" si="51"/>
        <v>34743.005798082027</v>
      </c>
      <c r="AE68" s="543">
        <f t="shared" si="51"/>
        <v>34743.005798082027</v>
      </c>
      <c r="AF68" s="543">
        <f t="shared" si="51"/>
        <v>34743.005798082027</v>
      </c>
      <c r="AG68" s="544">
        <f t="shared" si="51"/>
        <v>34743.005798082027</v>
      </c>
      <c r="AH68" s="544">
        <f t="shared" si="45"/>
        <v>34743.005798082027</v>
      </c>
      <c r="AI68" s="544">
        <f t="shared" si="45"/>
        <v>34743.005798082027</v>
      </c>
      <c r="AJ68" s="544">
        <f t="shared" si="45"/>
        <v>34743.005798082027</v>
      </c>
      <c r="AK68" s="544">
        <f t="shared" si="45"/>
        <v>34743.005798082027</v>
      </c>
      <c r="AL68" s="544">
        <f t="shared" si="45"/>
        <v>34743.005798082027</v>
      </c>
      <c r="AM68" s="544">
        <f t="shared" si="45"/>
        <v>34743.005798082027</v>
      </c>
      <c r="AN68" s="544">
        <f t="shared" si="45"/>
        <v>34743.005798082027</v>
      </c>
      <c r="AO68" s="544">
        <f t="shared" si="45"/>
        <v>34743.005798082027</v>
      </c>
      <c r="AP68" s="544">
        <f t="shared" si="45"/>
        <v>34743.005798082027</v>
      </c>
      <c r="AQ68" s="544">
        <f t="shared" si="45"/>
        <v>34743.005798082027</v>
      </c>
    </row>
    <row r="69" spans="2:43" x14ac:dyDescent="0.25">
      <c r="B69" s="166"/>
      <c r="C69" s="166"/>
    </row>
    <row r="70" spans="2:43" ht="15" thickBot="1" x14ac:dyDescent="0.3">
      <c r="B70" s="517" t="s">
        <v>330</v>
      </c>
      <c r="C70" s="166"/>
    </row>
    <row r="71" spans="2:43" ht="14.4" thickBot="1" x14ac:dyDescent="0.3">
      <c r="B71" s="512" t="s">
        <v>259</v>
      </c>
      <c r="C71" s="522">
        <v>2019</v>
      </c>
      <c r="D71" s="350">
        <v>2020</v>
      </c>
      <c r="E71" s="350">
        <v>2021</v>
      </c>
      <c r="F71" s="350">
        <v>2022</v>
      </c>
      <c r="G71" s="350">
        <v>2023</v>
      </c>
      <c r="H71" s="350">
        <v>2024</v>
      </c>
      <c r="I71" s="350">
        <v>2025</v>
      </c>
      <c r="J71" s="350">
        <v>2026</v>
      </c>
      <c r="K71" s="350">
        <v>2027</v>
      </c>
      <c r="L71" s="350">
        <v>2028</v>
      </c>
      <c r="M71" s="350">
        <v>2029</v>
      </c>
      <c r="N71" s="350">
        <v>2030</v>
      </c>
      <c r="O71" s="350">
        <v>2031</v>
      </c>
      <c r="P71" s="350">
        <v>2032</v>
      </c>
      <c r="Q71" s="350">
        <v>2033</v>
      </c>
      <c r="R71" s="350">
        <v>2034</v>
      </c>
      <c r="S71" s="350">
        <v>2035</v>
      </c>
      <c r="T71" s="350">
        <v>2036</v>
      </c>
      <c r="U71" s="350">
        <v>2037</v>
      </c>
      <c r="V71" s="350">
        <v>2038</v>
      </c>
      <c r="W71" s="350">
        <v>2039</v>
      </c>
      <c r="X71" s="350">
        <v>2040</v>
      </c>
      <c r="Y71" s="350">
        <v>2041</v>
      </c>
      <c r="Z71" s="350">
        <v>2042</v>
      </c>
      <c r="AA71" s="350">
        <v>2043</v>
      </c>
      <c r="AB71" s="350">
        <v>2044</v>
      </c>
      <c r="AC71" s="350">
        <v>2045</v>
      </c>
      <c r="AD71" s="350">
        <v>2046</v>
      </c>
      <c r="AE71" s="350">
        <v>2047</v>
      </c>
      <c r="AF71" s="350">
        <v>2048</v>
      </c>
      <c r="AG71" s="351">
        <v>2049</v>
      </c>
      <c r="AH71" s="351">
        <v>2050</v>
      </c>
      <c r="AI71" s="351">
        <v>2051</v>
      </c>
      <c r="AJ71" s="351">
        <v>2052</v>
      </c>
      <c r="AK71" s="351">
        <v>2053</v>
      </c>
      <c r="AL71" s="351">
        <v>2054</v>
      </c>
      <c r="AM71" s="351">
        <v>2055</v>
      </c>
      <c r="AN71" s="351">
        <v>2056</v>
      </c>
      <c r="AO71" s="351">
        <v>2057</v>
      </c>
      <c r="AP71" s="351">
        <v>2058</v>
      </c>
      <c r="AQ71" s="351">
        <v>2059</v>
      </c>
    </row>
    <row r="72" spans="2:43" ht="14.4" x14ac:dyDescent="0.25">
      <c r="B72" s="513" t="s">
        <v>542</v>
      </c>
      <c r="C72" s="527">
        <f>$C$10*C64</f>
        <v>7396090.0571791613</v>
      </c>
      <c r="D72" s="528">
        <f t="shared" ref="D72:AG72" si="64">$C$10*D64</f>
        <v>9861453.4095722158</v>
      </c>
      <c r="E72" s="528">
        <f t="shared" si="64"/>
        <v>9968483.7357052099</v>
      </c>
      <c r="F72" s="528">
        <f t="shared" si="64"/>
        <v>10075514.061838206</v>
      </c>
      <c r="G72" s="528">
        <f t="shared" si="64"/>
        <v>10182544.3879712</v>
      </c>
      <c r="H72" s="528">
        <f t="shared" si="64"/>
        <v>10289574.714104196</v>
      </c>
      <c r="I72" s="528">
        <f t="shared" si="64"/>
        <v>10396605.040237186</v>
      </c>
      <c r="J72" s="528">
        <f t="shared" si="64"/>
        <v>10428482.655868825</v>
      </c>
      <c r="K72" s="528">
        <f t="shared" si="64"/>
        <v>10460360.271500463</v>
      </c>
      <c r="L72" s="528">
        <f t="shared" si="64"/>
        <v>10492237.887132103</v>
      </c>
      <c r="M72" s="528">
        <f t="shared" si="64"/>
        <v>10524115.502763741</v>
      </c>
      <c r="N72" s="528">
        <f t="shared" si="64"/>
        <v>10555993.118395383</v>
      </c>
      <c r="O72" s="528">
        <f t="shared" si="64"/>
        <v>10598272.273539076</v>
      </c>
      <c r="P72" s="528">
        <f t="shared" si="64"/>
        <v>10640551.428682769</v>
      </c>
      <c r="Q72" s="528">
        <f t="shared" si="64"/>
        <v>10682830.583826462</v>
      </c>
      <c r="R72" s="528">
        <f t="shared" si="64"/>
        <v>10725109.738970155</v>
      </c>
      <c r="S72" s="528">
        <f t="shared" si="64"/>
        <v>10767388.894113844</v>
      </c>
      <c r="T72" s="528">
        <f t="shared" si="64"/>
        <v>10856805.652562818</v>
      </c>
      <c r="U72" s="528">
        <f t="shared" si="64"/>
        <v>10946222.411011791</v>
      </c>
      <c r="V72" s="528">
        <f t="shared" si="64"/>
        <v>11035639.169460764</v>
      </c>
      <c r="W72" s="528">
        <f t="shared" si="64"/>
        <v>11125055.927909737</v>
      </c>
      <c r="X72" s="528">
        <f t="shared" si="64"/>
        <v>11214472.686358709</v>
      </c>
      <c r="Y72" s="528">
        <f t="shared" si="64"/>
        <v>11214472.686358709</v>
      </c>
      <c r="Z72" s="528">
        <f t="shared" si="64"/>
        <v>11214472.686358709</v>
      </c>
      <c r="AA72" s="528">
        <f t="shared" si="64"/>
        <v>11214472.686358709</v>
      </c>
      <c r="AB72" s="528">
        <f t="shared" si="64"/>
        <v>11214472.686358709</v>
      </c>
      <c r="AC72" s="528">
        <f t="shared" si="64"/>
        <v>11214472.686358709</v>
      </c>
      <c r="AD72" s="528">
        <f t="shared" si="64"/>
        <v>11214472.686358709</v>
      </c>
      <c r="AE72" s="528">
        <f t="shared" si="64"/>
        <v>11214472.686358709</v>
      </c>
      <c r="AF72" s="528">
        <f t="shared" si="64"/>
        <v>11214472.686358709</v>
      </c>
      <c r="AG72" s="529">
        <f t="shared" si="64"/>
        <v>11214472.686358709</v>
      </c>
      <c r="AH72" s="529">
        <f t="shared" ref="AH72:AQ72" si="65">$C$10*AH64</f>
        <v>11214472.686358709</v>
      </c>
      <c r="AI72" s="529">
        <f t="shared" si="65"/>
        <v>11214472.686358709</v>
      </c>
      <c r="AJ72" s="529">
        <f t="shared" si="65"/>
        <v>11214472.686358709</v>
      </c>
      <c r="AK72" s="529">
        <f t="shared" si="65"/>
        <v>11214472.686358709</v>
      </c>
      <c r="AL72" s="529">
        <f t="shared" si="65"/>
        <v>11214472.686358709</v>
      </c>
      <c r="AM72" s="529">
        <f t="shared" si="65"/>
        <v>11214472.686358709</v>
      </c>
      <c r="AN72" s="529">
        <f t="shared" si="65"/>
        <v>11214472.686358709</v>
      </c>
      <c r="AO72" s="529">
        <f t="shared" si="65"/>
        <v>11214472.686358709</v>
      </c>
      <c r="AP72" s="529">
        <f t="shared" si="65"/>
        <v>11214472.686358709</v>
      </c>
      <c r="AQ72" s="529">
        <f t="shared" si="65"/>
        <v>11214472.686358709</v>
      </c>
    </row>
    <row r="73" spans="2:43" ht="14.4" x14ac:dyDescent="0.25">
      <c r="B73" s="514" t="s">
        <v>543</v>
      </c>
      <c r="C73" s="530">
        <f>$C$10*C65</f>
        <v>7332172.6493011443</v>
      </c>
      <c r="D73" s="531">
        <f t="shared" ref="D73:AG73" si="66">$C$10*D65</f>
        <v>9776230.1990681924</v>
      </c>
      <c r="E73" s="531">
        <f t="shared" si="66"/>
        <v>9885516.4337145295</v>
      </c>
      <c r="F73" s="531">
        <f t="shared" si="66"/>
        <v>9994802.6683608666</v>
      </c>
      <c r="G73" s="531">
        <f t="shared" si="66"/>
        <v>10104088.903007204</v>
      </c>
      <c r="H73" s="531">
        <f t="shared" si="66"/>
        <v>10213375.137653541</v>
      </c>
      <c r="I73" s="531">
        <f t="shared" si="66"/>
        <v>10322661.372299874</v>
      </c>
      <c r="J73" s="531">
        <f t="shared" si="66"/>
        <v>10381155.997261876</v>
      </c>
      <c r="K73" s="531">
        <f t="shared" si="66"/>
        <v>10439650.62222388</v>
      </c>
      <c r="L73" s="531">
        <f t="shared" si="66"/>
        <v>10498145.247185882</v>
      </c>
      <c r="M73" s="531">
        <f t="shared" si="66"/>
        <v>10556639.872147884</v>
      </c>
      <c r="N73" s="531">
        <f t="shared" si="66"/>
        <v>10615134.49710989</v>
      </c>
      <c r="O73" s="531">
        <f t="shared" si="66"/>
        <v>10628094.130563354</v>
      </c>
      <c r="P73" s="531">
        <f t="shared" si="66"/>
        <v>10641053.76401682</v>
      </c>
      <c r="Q73" s="531">
        <f t="shared" si="66"/>
        <v>10654013.397470284</v>
      </c>
      <c r="R73" s="531">
        <f t="shared" si="66"/>
        <v>10666973.030923748</v>
      </c>
      <c r="S73" s="531">
        <f t="shared" si="66"/>
        <v>10679932.664377216</v>
      </c>
      <c r="T73" s="531">
        <f t="shared" si="66"/>
        <v>10761463.611110803</v>
      </c>
      <c r="U73" s="531">
        <f t="shared" si="66"/>
        <v>10842994.557844389</v>
      </c>
      <c r="V73" s="531">
        <f t="shared" si="66"/>
        <v>10924525.504577978</v>
      </c>
      <c r="W73" s="531">
        <f t="shared" si="66"/>
        <v>11006056.451311564</v>
      </c>
      <c r="X73" s="531">
        <f t="shared" si="66"/>
        <v>11087587.398045149</v>
      </c>
      <c r="Y73" s="531">
        <f t="shared" si="66"/>
        <v>11087587.398045149</v>
      </c>
      <c r="Z73" s="531">
        <f t="shared" si="66"/>
        <v>11087587.398045149</v>
      </c>
      <c r="AA73" s="531">
        <f t="shared" si="66"/>
        <v>11087587.398045149</v>
      </c>
      <c r="AB73" s="531">
        <f t="shared" si="66"/>
        <v>11087587.398045149</v>
      </c>
      <c r="AC73" s="531">
        <f t="shared" si="66"/>
        <v>11087587.398045149</v>
      </c>
      <c r="AD73" s="531">
        <f t="shared" si="66"/>
        <v>11087587.398045149</v>
      </c>
      <c r="AE73" s="531">
        <f t="shared" si="66"/>
        <v>11087587.398045149</v>
      </c>
      <c r="AF73" s="531">
        <f t="shared" si="66"/>
        <v>11087587.398045149</v>
      </c>
      <c r="AG73" s="532">
        <f t="shared" si="66"/>
        <v>11087587.398045149</v>
      </c>
      <c r="AH73" s="532">
        <f t="shared" ref="AH73:AQ73" si="67">$C$10*AH65</f>
        <v>11087587.398045149</v>
      </c>
      <c r="AI73" s="532">
        <f t="shared" si="67"/>
        <v>11087587.398045149</v>
      </c>
      <c r="AJ73" s="532">
        <f t="shared" si="67"/>
        <v>11087587.398045149</v>
      </c>
      <c r="AK73" s="532">
        <f t="shared" si="67"/>
        <v>11087587.398045149</v>
      </c>
      <c r="AL73" s="532">
        <f t="shared" si="67"/>
        <v>11087587.398045149</v>
      </c>
      <c r="AM73" s="532">
        <f t="shared" si="67"/>
        <v>11087587.398045149</v>
      </c>
      <c r="AN73" s="532">
        <f t="shared" si="67"/>
        <v>11087587.398045149</v>
      </c>
      <c r="AO73" s="532">
        <f t="shared" si="67"/>
        <v>11087587.398045149</v>
      </c>
      <c r="AP73" s="532">
        <f t="shared" si="67"/>
        <v>11087587.398045149</v>
      </c>
      <c r="AQ73" s="532">
        <f t="shared" si="67"/>
        <v>11087587.398045149</v>
      </c>
    </row>
    <row r="74" spans="2:43" ht="14.4" x14ac:dyDescent="0.25">
      <c r="B74" s="514" t="s">
        <v>544</v>
      </c>
      <c r="C74" s="530">
        <f t="shared" ref="C74:AG74" si="68">$C$10*C66</f>
        <v>7238176.4612452351</v>
      </c>
      <c r="D74" s="531">
        <f t="shared" si="68"/>
        <v>9650901.9483269807</v>
      </c>
      <c r="E74" s="531">
        <f t="shared" si="68"/>
        <v>9753107.1368064377</v>
      </c>
      <c r="F74" s="531">
        <f t="shared" si="68"/>
        <v>9855312.3252858967</v>
      </c>
      <c r="G74" s="531">
        <f t="shared" si="68"/>
        <v>9957517.5137653556</v>
      </c>
      <c r="H74" s="531">
        <f t="shared" si="68"/>
        <v>10059722.702244813</v>
      </c>
      <c r="I74" s="531">
        <f t="shared" si="68"/>
        <v>10161927.89072427</v>
      </c>
      <c r="J74" s="531">
        <f t="shared" si="68"/>
        <v>10212567.053333187</v>
      </c>
      <c r="K74" s="531">
        <f t="shared" si="68"/>
        <v>10263206.215942105</v>
      </c>
      <c r="L74" s="531">
        <f t="shared" si="68"/>
        <v>10313845.378551023</v>
      </c>
      <c r="M74" s="531">
        <f t="shared" si="68"/>
        <v>10364484.541159941</v>
      </c>
      <c r="N74" s="531">
        <f t="shared" si="68"/>
        <v>10415123.703768859</v>
      </c>
      <c r="O74" s="531">
        <f t="shared" si="68"/>
        <v>10417832.86864504</v>
      </c>
      <c r="P74" s="531">
        <f t="shared" si="68"/>
        <v>10420542.033521224</v>
      </c>
      <c r="Q74" s="531">
        <f t="shared" si="68"/>
        <v>10423251.198397405</v>
      </c>
      <c r="R74" s="531">
        <f t="shared" si="68"/>
        <v>10425960.363273589</v>
      </c>
      <c r="S74" s="531">
        <f t="shared" si="68"/>
        <v>10428669.528149769</v>
      </c>
      <c r="T74" s="531">
        <f t="shared" si="68"/>
        <v>10506037.367260905</v>
      </c>
      <c r="U74" s="531">
        <f t="shared" si="68"/>
        <v>10583405.206372041</v>
      </c>
      <c r="V74" s="531">
        <f t="shared" si="68"/>
        <v>10660773.045483178</v>
      </c>
      <c r="W74" s="531">
        <f t="shared" si="68"/>
        <v>10738140.884594316</v>
      </c>
      <c r="X74" s="531">
        <f t="shared" si="68"/>
        <v>10815508.723705448</v>
      </c>
      <c r="Y74" s="531">
        <f t="shared" si="68"/>
        <v>10815508.723705448</v>
      </c>
      <c r="Z74" s="531">
        <f t="shared" si="68"/>
        <v>10815508.723705448</v>
      </c>
      <c r="AA74" s="531">
        <f t="shared" si="68"/>
        <v>10815508.723705448</v>
      </c>
      <c r="AB74" s="531">
        <f t="shared" si="68"/>
        <v>10815508.723705448</v>
      </c>
      <c r="AC74" s="531">
        <f t="shared" si="68"/>
        <v>10815508.723705448</v>
      </c>
      <c r="AD74" s="531">
        <f t="shared" si="68"/>
        <v>10815508.723705448</v>
      </c>
      <c r="AE74" s="531">
        <f t="shared" si="68"/>
        <v>10815508.723705448</v>
      </c>
      <c r="AF74" s="531">
        <f t="shared" si="68"/>
        <v>10815508.723705448</v>
      </c>
      <c r="AG74" s="532">
        <f t="shared" si="68"/>
        <v>10815508.723705448</v>
      </c>
      <c r="AH74" s="532">
        <f t="shared" ref="AH74:AQ74" si="69">$C$10*AH66</f>
        <v>10815508.723705448</v>
      </c>
      <c r="AI74" s="532">
        <f t="shared" si="69"/>
        <v>10815508.723705448</v>
      </c>
      <c r="AJ74" s="532">
        <f t="shared" si="69"/>
        <v>10815508.723705448</v>
      </c>
      <c r="AK74" s="532">
        <f t="shared" si="69"/>
        <v>10815508.723705448</v>
      </c>
      <c r="AL74" s="532">
        <f t="shared" si="69"/>
        <v>10815508.723705448</v>
      </c>
      <c r="AM74" s="532">
        <f t="shared" si="69"/>
        <v>10815508.723705448</v>
      </c>
      <c r="AN74" s="532">
        <f t="shared" si="69"/>
        <v>10815508.723705448</v>
      </c>
      <c r="AO74" s="532">
        <f t="shared" si="69"/>
        <v>10815508.723705448</v>
      </c>
      <c r="AP74" s="532">
        <f t="shared" si="69"/>
        <v>10815508.723705448</v>
      </c>
      <c r="AQ74" s="532">
        <f t="shared" si="69"/>
        <v>10815508.723705448</v>
      </c>
    </row>
    <row r="75" spans="2:43" ht="14.4" x14ac:dyDescent="0.25">
      <c r="B75" s="514" t="s">
        <v>545</v>
      </c>
      <c r="C75" s="530">
        <f t="shared" ref="C75:AG75" si="70">$C$10*C67</f>
        <v>7124206.0832274463</v>
      </c>
      <c r="D75" s="531">
        <f t="shared" si="70"/>
        <v>9498941.4443032611</v>
      </c>
      <c r="E75" s="531">
        <f t="shared" si="70"/>
        <v>9602713.2359169852</v>
      </c>
      <c r="F75" s="531">
        <f t="shared" si="70"/>
        <v>9706485.0275307074</v>
      </c>
      <c r="G75" s="531">
        <f t="shared" si="70"/>
        <v>9810256.8191444315</v>
      </c>
      <c r="H75" s="531">
        <f t="shared" si="70"/>
        <v>9914028.6107581537</v>
      </c>
      <c r="I75" s="531">
        <f t="shared" si="70"/>
        <v>10017800.402371878</v>
      </c>
      <c r="J75" s="531">
        <f t="shared" si="70"/>
        <v>10068615.671153389</v>
      </c>
      <c r="K75" s="531">
        <f t="shared" si="70"/>
        <v>10119430.939934902</v>
      </c>
      <c r="L75" s="531">
        <f t="shared" si="70"/>
        <v>10170246.208716415</v>
      </c>
      <c r="M75" s="531">
        <f t="shared" si="70"/>
        <v>10221061.477497928</v>
      </c>
      <c r="N75" s="531">
        <f t="shared" si="70"/>
        <v>10271876.746279445</v>
      </c>
      <c r="O75" s="531">
        <f t="shared" si="70"/>
        <v>10276693.031025505</v>
      </c>
      <c r="P75" s="531">
        <f t="shared" si="70"/>
        <v>10281509.315771567</v>
      </c>
      <c r="Q75" s="531">
        <f t="shared" si="70"/>
        <v>10286325.600517627</v>
      </c>
      <c r="R75" s="531">
        <f t="shared" si="70"/>
        <v>10291141.885263687</v>
      </c>
      <c r="S75" s="531">
        <f t="shared" si="70"/>
        <v>10295958.170009745</v>
      </c>
      <c r="T75" s="531">
        <f t="shared" si="70"/>
        <v>10359793.889089132</v>
      </c>
      <c r="U75" s="531">
        <f t="shared" si="70"/>
        <v>10423629.608168518</v>
      </c>
      <c r="V75" s="531">
        <f t="shared" si="70"/>
        <v>10487465.327247905</v>
      </c>
      <c r="W75" s="531">
        <f t="shared" si="70"/>
        <v>10551301.046327293</v>
      </c>
      <c r="X75" s="531">
        <f t="shared" si="70"/>
        <v>10615136.765406681</v>
      </c>
      <c r="Y75" s="531">
        <f t="shared" si="70"/>
        <v>10615136.765406681</v>
      </c>
      <c r="Z75" s="531">
        <f t="shared" si="70"/>
        <v>10615136.765406681</v>
      </c>
      <c r="AA75" s="531">
        <f t="shared" si="70"/>
        <v>10615136.765406681</v>
      </c>
      <c r="AB75" s="531">
        <f t="shared" si="70"/>
        <v>10615136.765406681</v>
      </c>
      <c r="AC75" s="531">
        <f t="shared" si="70"/>
        <v>10615136.765406681</v>
      </c>
      <c r="AD75" s="531">
        <f t="shared" si="70"/>
        <v>10615136.765406681</v>
      </c>
      <c r="AE75" s="531">
        <f t="shared" si="70"/>
        <v>10615136.765406681</v>
      </c>
      <c r="AF75" s="531">
        <f t="shared" si="70"/>
        <v>10615136.765406681</v>
      </c>
      <c r="AG75" s="532">
        <f t="shared" si="70"/>
        <v>10615136.765406681</v>
      </c>
      <c r="AH75" s="532">
        <f t="shared" ref="AH75:AQ75" si="71">$C$10*AH67</f>
        <v>10615136.765406681</v>
      </c>
      <c r="AI75" s="532">
        <f t="shared" si="71"/>
        <v>10615136.765406681</v>
      </c>
      <c r="AJ75" s="532">
        <f t="shared" si="71"/>
        <v>10615136.765406681</v>
      </c>
      <c r="AK75" s="532">
        <f t="shared" si="71"/>
        <v>10615136.765406681</v>
      </c>
      <c r="AL75" s="532">
        <f t="shared" si="71"/>
        <v>10615136.765406681</v>
      </c>
      <c r="AM75" s="532">
        <f t="shared" si="71"/>
        <v>10615136.765406681</v>
      </c>
      <c r="AN75" s="532">
        <f t="shared" si="71"/>
        <v>10615136.765406681</v>
      </c>
      <c r="AO75" s="532">
        <f t="shared" si="71"/>
        <v>10615136.765406681</v>
      </c>
      <c r="AP75" s="532">
        <f t="shared" si="71"/>
        <v>10615136.765406681</v>
      </c>
      <c r="AQ75" s="532">
        <f t="shared" si="71"/>
        <v>10615136.765406681</v>
      </c>
    </row>
    <row r="76" spans="2:43" ht="15" thickBot="1" x14ac:dyDescent="0.3">
      <c r="B76" s="515" t="s">
        <v>546</v>
      </c>
      <c r="C76" s="533">
        <f t="shared" ref="C76:AG76" si="72">$C$10*C68</f>
        <v>7056058.8468869133</v>
      </c>
      <c r="D76" s="534">
        <f t="shared" si="72"/>
        <v>9408078.462515885</v>
      </c>
      <c r="E76" s="534">
        <f t="shared" si="72"/>
        <v>9493364.3371452782</v>
      </c>
      <c r="F76" s="534">
        <f t="shared" si="72"/>
        <v>9578650.2117746733</v>
      </c>
      <c r="G76" s="534">
        <f t="shared" si="72"/>
        <v>9663936.0864040684</v>
      </c>
      <c r="H76" s="534">
        <f t="shared" si="72"/>
        <v>9749221.9610334635</v>
      </c>
      <c r="I76" s="534">
        <f t="shared" si="72"/>
        <v>9834507.8356628548</v>
      </c>
      <c r="J76" s="534">
        <f t="shared" si="72"/>
        <v>9888458.2634193562</v>
      </c>
      <c r="K76" s="534">
        <f t="shared" si="72"/>
        <v>9942408.6911758576</v>
      </c>
      <c r="L76" s="534">
        <f t="shared" si="72"/>
        <v>9996359.1189323571</v>
      </c>
      <c r="M76" s="534">
        <f t="shared" si="72"/>
        <v>10050309.546688858</v>
      </c>
      <c r="N76" s="534">
        <f t="shared" si="72"/>
        <v>10104259.974445354</v>
      </c>
      <c r="O76" s="534">
        <f t="shared" si="72"/>
        <v>10099399.012456583</v>
      </c>
      <c r="P76" s="534">
        <f t="shared" si="72"/>
        <v>10094538.050467812</v>
      </c>
      <c r="Q76" s="534">
        <f t="shared" si="72"/>
        <v>10089677.08847904</v>
      </c>
      <c r="R76" s="534">
        <f t="shared" si="72"/>
        <v>10084816.126490269</v>
      </c>
      <c r="S76" s="534">
        <f t="shared" si="72"/>
        <v>10079955.164501503</v>
      </c>
      <c r="T76" s="534">
        <f t="shared" si="72"/>
        <v>10148544.479486123</v>
      </c>
      <c r="U76" s="534">
        <f t="shared" si="72"/>
        <v>10217133.794470744</v>
      </c>
      <c r="V76" s="534">
        <f t="shared" si="72"/>
        <v>10285723.109455366</v>
      </c>
      <c r="W76" s="534">
        <f t="shared" si="72"/>
        <v>10354312.424439987</v>
      </c>
      <c r="X76" s="534">
        <f t="shared" si="72"/>
        <v>10422901.739424609</v>
      </c>
      <c r="Y76" s="534">
        <f t="shared" si="72"/>
        <v>10422901.739424609</v>
      </c>
      <c r="Z76" s="534">
        <f t="shared" si="72"/>
        <v>10422901.739424609</v>
      </c>
      <c r="AA76" s="534">
        <f t="shared" si="72"/>
        <v>10422901.739424609</v>
      </c>
      <c r="AB76" s="534">
        <f t="shared" si="72"/>
        <v>10422901.739424609</v>
      </c>
      <c r="AC76" s="534">
        <f t="shared" si="72"/>
        <v>10422901.739424609</v>
      </c>
      <c r="AD76" s="534">
        <f t="shared" si="72"/>
        <v>10422901.739424609</v>
      </c>
      <c r="AE76" s="534">
        <f t="shared" si="72"/>
        <v>10422901.739424609</v>
      </c>
      <c r="AF76" s="534">
        <f t="shared" si="72"/>
        <v>10422901.739424609</v>
      </c>
      <c r="AG76" s="535">
        <f t="shared" si="72"/>
        <v>10422901.739424609</v>
      </c>
      <c r="AH76" s="535">
        <f t="shared" ref="AH76:AQ76" si="73">$C$10*AH68</f>
        <v>10422901.739424609</v>
      </c>
      <c r="AI76" s="535">
        <f t="shared" si="73"/>
        <v>10422901.739424609</v>
      </c>
      <c r="AJ76" s="535">
        <f t="shared" si="73"/>
        <v>10422901.739424609</v>
      </c>
      <c r="AK76" s="535">
        <f t="shared" si="73"/>
        <v>10422901.739424609</v>
      </c>
      <c r="AL76" s="535">
        <f t="shared" si="73"/>
        <v>10422901.739424609</v>
      </c>
      <c r="AM76" s="535">
        <f t="shared" si="73"/>
        <v>10422901.739424609</v>
      </c>
      <c r="AN76" s="535">
        <f t="shared" si="73"/>
        <v>10422901.739424609</v>
      </c>
      <c r="AO76" s="535">
        <f t="shared" si="73"/>
        <v>10422901.739424609</v>
      </c>
      <c r="AP76" s="535">
        <f t="shared" si="73"/>
        <v>10422901.739424609</v>
      </c>
      <c r="AQ76" s="535">
        <f t="shared" si="73"/>
        <v>10422901.739424609</v>
      </c>
    </row>
  </sheetData>
  <sheetProtection algorithmName="SHA-512" hashValue="z5O21LkpUzm7LJGC0yHw9mNK5BOHO7jYxZ5v+Gf5SNRusNGuPDyDzTifPuDaNPSCv42Jpefu/nyddzPlDBY7GQ==" saltValue="mOjYGqG00pNHsnrwD7Vuzw==" spinCount="100000" sheet="1" objects="1" scenarios="1"/>
  <mergeCells count="2">
    <mergeCell ref="B2:B5"/>
    <mergeCell ref="E20:F2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FFFF00"/>
  </sheetPr>
  <dimension ref="A1:P59"/>
  <sheetViews>
    <sheetView workbookViewId="0">
      <selection activeCell="B120" sqref="B120"/>
    </sheetView>
  </sheetViews>
  <sheetFormatPr baseColWidth="10" defaultRowHeight="13.2" x14ac:dyDescent="0.25"/>
  <cols>
    <col min="2" max="2" width="75.109375" bestFit="1" customWidth="1"/>
    <col min="3" max="3" width="14.44140625" bestFit="1" customWidth="1"/>
    <col min="4" max="4" width="29.5546875" bestFit="1" customWidth="1"/>
    <col min="5" max="5" width="22.109375" bestFit="1" customWidth="1"/>
    <col min="6" max="6" width="26.88671875" customWidth="1"/>
    <col min="7" max="7" width="32.6640625" customWidth="1"/>
    <col min="8" max="8" width="35" bestFit="1" customWidth="1"/>
    <col min="9" max="9" width="28.88671875" customWidth="1"/>
    <col min="10" max="10" width="28.109375" customWidth="1"/>
    <col min="11" max="11" width="23" bestFit="1" customWidth="1"/>
    <col min="12" max="12" width="32.88671875" customWidth="1"/>
    <col min="14" max="14" width="29.5546875" customWidth="1"/>
    <col min="15" max="15" width="21.33203125" customWidth="1"/>
    <col min="16" max="16" width="42" customWidth="1"/>
  </cols>
  <sheetData>
    <row r="1" spans="1:13" ht="14.4" x14ac:dyDescent="0.3">
      <c r="A1" s="642"/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</row>
    <row r="2" spans="1:13" ht="14.4" x14ac:dyDescent="0.3">
      <c r="A2" s="642"/>
      <c r="B2" s="1069" t="s">
        <v>260</v>
      </c>
      <c r="C2" s="502" t="s">
        <v>312</v>
      </c>
      <c r="D2" s="642"/>
      <c r="E2" s="642"/>
      <c r="F2" s="642"/>
      <c r="G2" s="642"/>
      <c r="H2" s="642"/>
      <c r="I2" s="642"/>
      <c r="J2" s="642"/>
      <c r="K2" s="642"/>
      <c r="L2" s="642"/>
      <c r="M2" s="642"/>
    </row>
    <row r="3" spans="1:13" ht="14.4" x14ac:dyDescent="0.3">
      <c r="A3" s="642"/>
      <c r="B3" s="1069"/>
      <c r="C3" s="498" t="s">
        <v>325</v>
      </c>
      <c r="D3" s="642"/>
      <c r="E3" s="642"/>
      <c r="F3" s="642"/>
      <c r="G3" s="642"/>
      <c r="H3" s="642"/>
      <c r="I3" s="642"/>
      <c r="J3" s="642"/>
      <c r="K3" s="642"/>
      <c r="L3" s="642"/>
      <c r="M3" s="642"/>
    </row>
    <row r="4" spans="1:13" ht="14.4" x14ac:dyDescent="0.3">
      <c r="A4" s="642"/>
      <c r="B4" s="1069"/>
      <c r="C4" s="499" t="s">
        <v>324</v>
      </c>
      <c r="D4" s="642"/>
      <c r="E4" s="642"/>
      <c r="F4" s="642"/>
      <c r="G4" s="642"/>
      <c r="H4" s="642"/>
      <c r="I4" s="642"/>
      <c r="J4" s="642"/>
      <c r="K4" s="642"/>
      <c r="L4" s="642"/>
      <c r="M4" s="642"/>
    </row>
    <row r="5" spans="1:13" ht="14.4" x14ac:dyDescent="0.3">
      <c r="A5" s="642"/>
      <c r="B5" s="1069"/>
      <c r="C5" s="503" t="s">
        <v>261</v>
      </c>
      <c r="D5" s="642"/>
      <c r="E5" s="642"/>
      <c r="F5" s="642"/>
      <c r="G5" s="642"/>
      <c r="H5" s="642"/>
      <c r="I5" s="642"/>
      <c r="J5" s="642"/>
      <c r="K5" s="642"/>
      <c r="L5" s="642"/>
      <c r="M5" s="642"/>
    </row>
    <row r="6" spans="1:13" ht="14.4" x14ac:dyDescent="0.3">
      <c r="A6" s="642"/>
      <c r="B6" s="642"/>
      <c r="C6" s="642"/>
      <c r="D6" s="642"/>
      <c r="E6" s="642"/>
      <c r="F6" s="642"/>
      <c r="G6" s="642"/>
      <c r="H6" s="642"/>
      <c r="I6" s="642"/>
      <c r="J6" s="642"/>
      <c r="K6" s="642"/>
      <c r="L6" s="642"/>
      <c r="M6" s="642"/>
    </row>
    <row r="7" spans="1:13" ht="14.4" x14ac:dyDescent="0.3">
      <c r="A7" s="642"/>
      <c r="B7" s="642"/>
      <c r="C7" s="642"/>
      <c r="D7" s="642"/>
      <c r="E7" s="642"/>
      <c r="F7" s="642"/>
      <c r="G7" s="642"/>
      <c r="H7" s="642"/>
      <c r="I7" s="642"/>
      <c r="J7" s="642"/>
      <c r="K7" s="642"/>
      <c r="L7" s="642"/>
      <c r="M7" s="642"/>
    </row>
    <row r="8" spans="1:13" ht="18" x14ac:dyDescent="0.35">
      <c r="A8" s="642"/>
      <c r="B8" s="643" t="s">
        <v>346</v>
      </c>
      <c r="C8" s="642"/>
      <c r="D8" s="642"/>
      <c r="E8" s="642"/>
      <c r="F8" s="644"/>
      <c r="G8" s="642"/>
      <c r="H8" s="642"/>
      <c r="I8" s="642"/>
      <c r="J8" s="642"/>
      <c r="K8" s="642"/>
      <c r="L8" s="642"/>
      <c r="M8" s="642"/>
    </row>
    <row r="9" spans="1:13" ht="15" thickBot="1" x14ac:dyDescent="0.35">
      <c r="A9" s="642"/>
      <c r="B9" s="642"/>
      <c r="C9" s="642"/>
      <c r="D9" s="642"/>
      <c r="E9" s="642"/>
      <c r="F9" s="642"/>
      <c r="G9" s="642"/>
      <c r="H9" s="642"/>
      <c r="I9" s="642"/>
      <c r="J9" s="642"/>
      <c r="K9" s="642"/>
      <c r="L9" s="642"/>
      <c r="M9" s="642"/>
    </row>
    <row r="10" spans="1:13" ht="21" x14ac:dyDescent="0.3">
      <c r="A10" s="642"/>
      <c r="B10" s="645" t="s">
        <v>344</v>
      </c>
      <c r="C10" s="949">
        <v>5</v>
      </c>
      <c r="D10" s="642"/>
      <c r="E10" s="642"/>
      <c r="F10" s="642"/>
      <c r="G10" s="642"/>
      <c r="H10" s="642"/>
      <c r="I10" s="642"/>
      <c r="J10" s="642"/>
      <c r="K10" s="642"/>
      <c r="L10" s="642"/>
      <c r="M10" s="642"/>
    </row>
    <row r="11" spans="1:13" ht="21" x14ac:dyDescent="0.3">
      <c r="A11" s="642"/>
      <c r="B11" s="646" t="s">
        <v>366</v>
      </c>
      <c r="C11" s="950">
        <v>5</v>
      </c>
      <c r="D11" s="642"/>
      <c r="E11" s="642"/>
      <c r="F11" s="642"/>
      <c r="G11" s="642"/>
      <c r="H11" s="642"/>
      <c r="I11" s="642"/>
      <c r="J11" s="642"/>
      <c r="K11" s="642"/>
      <c r="L11" s="642"/>
      <c r="M11" s="642"/>
    </row>
    <row r="12" spans="1:13" ht="21" x14ac:dyDescent="0.3">
      <c r="A12" s="642"/>
      <c r="B12" s="646" t="s">
        <v>367</v>
      </c>
      <c r="C12" s="950">
        <v>5</v>
      </c>
      <c r="D12" s="642"/>
      <c r="E12" s="642"/>
      <c r="F12" s="642"/>
      <c r="G12" s="642"/>
      <c r="H12" s="642"/>
      <c r="I12" s="642"/>
      <c r="J12" s="642"/>
      <c r="K12" s="642"/>
      <c r="L12" s="642"/>
      <c r="M12" s="642"/>
    </row>
    <row r="13" spans="1:13" ht="14.4" x14ac:dyDescent="0.3">
      <c r="A13" s="642"/>
      <c r="B13" s="642"/>
      <c r="C13" s="642"/>
      <c r="D13" s="642"/>
      <c r="E13" s="642"/>
      <c r="F13" s="642"/>
      <c r="G13" s="642"/>
      <c r="H13" s="642"/>
      <c r="I13" s="642"/>
      <c r="J13" s="642"/>
      <c r="K13" s="642"/>
      <c r="L13" s="642"/>
      <c r="M13" s="642"/>
    </row>
    <row r="14" spans="1:13" ht="18" x14ac:dyDescent="0.35">
      <c r="A14" s="642"/>
      <c r="B14" s="643" t="s">
        <v>347</v>
      </c>
      <c r="C14" s="642"/>
      <c r="D14" s="642"/>
      <c r="E14" s="642"/>
      <c r="F14" s="642"/>
      <c r="G14" s="642"/>
      <c r="H14" s="642"/>
      <c r="I14" s="642"/>
      <c r="J14" s="642"/>
      <c r="K14" s="642"/>
      <c r="L14" s="642"/>
      <c r="M14" s="642"/>
    </row>
    <row r="15" spans="1:13" ht="15" thickBot="1" x14ac:dyDescent="0.35">
      <c r="A15" s="642"/>
      <c r="B15" s="642"/>
      <c r="C15" s="642"/>
      <c r="D15" s="642"/>
      <c r="E15" s="642"/>
      <c r="F15" s="642"/>
      <c r="G15" s="642"/>
      <c r="H15" s="642"/>
      <c r="I15" s="642"/>
      <c r="J15" s="642"/>
      <c r="K15" s="642"/>
      <c r="L15" s="642"/>
      <c r="M15" s="642"/>
    </row>
    <row r="16" spans="1:13" ht="29.4" thickBot="1" x14ac:dyDescent="0.35">
      <c r="A16" s="642"/>
      <c r="B16" s="647" t="s">
        <v>107</v>
      </c>
      <c r="C16" s="649" t="s">
        <v>348</v>
      </c>
      <c r="D16" s="642"/>
      <c r="E16" s="642"/>
      <c r="F16" s="642"/>
      <c r="G16" s="642"/>
      <c r="H16" s="642"/>
      <c r="I16" s="642"/>
      <c r="J16" s="642"/>
      <c r="K16" s="642"/>
    </row>
    <row r="17" spans="1:16" ht="14.4" x14ac:dyDescent="0.3">
      <c r="A17" s="642"/>
      <c r="B17" s="650" t="s">
        <v>344</v>
      </c>
      <c r="C17" s="951">
        <f>7500/2</f>
        <v>3750</v>
      </c>
      <c r="D17" s="642"/>
      <c r="E17" s="642"/>
      <c r="F17" s="642"/>
      <c r="G17" s="642"/>
      <c r="H17" s="642"/>
      <c r="I17" s="642"/>
      <c r="J17" s="642"/>
      <c r="K17" s="642"/>
    </row>
    <row r="18" spans="1:16" ht="14.4" x14ac:dyDescent="0.3">
      <c r="A18" s="642"/>
      <c r="B18" s="652" t="s">
        <v>366</v>
      </c>
      <c r="C18" s="952">
        <f>14300/2</f>
        <v>7150</v>
      </c>
      <c r="D18" s="642"/>
      <c r="E18" s="642"/>
      <c r="F18" s="642"/>
      <c r="G18" s="642"/>
      <c r="H18" s="642"/>
      <c r="I18" s="642"/>
      <c r="J18" s="642"/>
      <c r="K18" s="642"/>
    </row>
    <row r="19" spans="1:16" ht="14.4" x14ac:dyDescent="0.3">
      <c r="A19" s="642"/>
      <c r="B19" s="652" t="s">
        <v>367</v>
      </c>
      <c r="C19" s="952">
        <v>0</v>
      </c>
      <c r="D19" s="642"/>
      <c r="E19" s="642"/>
      <c r="F19" s="642"/>
      <c r="G19" s="642"/>
      <c r="H19" s="642"/>
      <c r="I19" s="642"/>
      <c r="J19" s="642"/>
      <c r="K19" s="642"/>
    </row>
    <row r="20" spans="1:16" ht="14.4" x14ac:dyDescent="0.3">
      <c r="A20" s="642"/>
      <c r="B20" s="642"/>
      <c r="C20" s="642"/>
      <c r="D20" s="642"/>
      <c r="E20" s="642"/>
      <c r="F20" s="642"/>
      <c r="G20" s="642"/>
      <c r="H20" s="642"/>
      <c r="I20" s="642"/>
      <c r="J20" s="642"/>
      <c r="K20" s="642"/>
      <c r="L20" s="642"/>
      <c r="M20" s="642"/>
    </row>
    <row r="21" spans="1:16" ht="14.4" x14ac:dyDescent="0.3">
      <c r="A21" s="642"/>
      <c r="B21" s="642"/>
      <c r="C21" s="642"/>
      <c r="D21" s="642"/>
      <c r="E21" s="642"/>
      <c r="F21" s="642"/>
      <c r="G21" s="642"/>
      <c r="H21" s="642"/>
      <c r="I21" s="642"/>
      <c r="J21" s="642"/>
      <c r="K21" s="642"/>
      <c r="L21" s="642"/>
      <c r="M21" s="642"/>
    </row>
    <row r="22" spans="1:16" ht="18" x14ac:dyDescent="0.35">
      <c r="A22" s="642"/>
      <c r="B22" s="643" t="s">
        <v>349</v>
      </c>
      <c r="C22" s="642"/>
      <c r="D22" s="642"/>
      <c r="E22" s="642"/>
      <c r="F22" s="642"/>
      <c r="G22" s="642"/>
      <c r="H22" s="642"/>
      <c r="I22" s="642"/>
      <c r="J22" s="642"/>
      <c r="K22" s="642"/>
      <c r="L22" s="642"/>
      <c r="M22" s="642"/>
    </row>
    <row r="23" spans="1:16" ht="15" thickBot="1" x14ac:dyDescent="0.35">
      <c r="A23" s="642"/>
      <c r="B23" s="642"/>
      <c r="C23" s="642"/>
      <c r="D23" s="642"/>
      <c r="E23" s="642"/>
      <c r="F23" s="642"/>
      <c r="G23" s="642"/>
      <c r="H23" s="642"/>
      <c r="I23" s="642"/>
      <c r="J23" s="642"/>
      <c r="K23" s="642"/>
      <c r="L23" s="642"/>
      <c r="M23" s="642"/>
    </row>
    <row r="24" spans="1:16" ht="43.8" thickBot="1" x14ac:dyDescent="0.35">
      <c r="A24" s="642"/>
      <c r="B24" s="654" t="s">
        <v>107</v>
      </c>
      <c r="C24" s="673" t="s">
        <v>350</v>
      </c>
      <c r="D24" s="674" t="s">
        <v>351</v>
      </c>
      <c r="E24" s="674" t="s">
        <v>352</v>
      </c>
      <c r="F24" s="674" t="s">
        <v>353</v>
      </c>
      <c r="G24" s="674" t="s">
        <v>354</v>
      </c>
      <c r="H24" s="674" t="s">
        <v>355</v>
      </c>
      <c r="I24" s="674" t="s">
        <v>356</v>
      </c>
      <c r="J24" s="960" t="s">
        <v>357</v>
      </c>
      <c r="K24" s="961" t="s">
        <v>358</v>
      </c>
      <c r="L24" s="962" t="s">
        <v>359</v>
      </c>
      <c r="M24" s="642"/>
      <c r="N24" s="685" t="s">
        <v>368</v>
      </c>
      <c r="O24" s="685" t="s">
        <v>369</v>
      </c>
      <c r="P24" s="685" t="s">
        <v>370</v>
      </c>
    </row>
    <row r="25" spans="1:16" ht="14.4" x14ac:dyDescent="0.3">
      <c r="A25" s="642"/>
      <c r="B25" s="650" t="s">
        <v>344</v>
      </c>
      <c r="C25" s="954">
        <f>60*D25</f>
        <v>300</v>
      </c>
      <c r="D25" s="955">
        <f>$C$10</f>
        <v>5</v>
      </c>
      <c r="E25" s="956">
        <f>C17/1000</f>
        <v>3.75</v>
      </c>
      <c r="F25" s="955">
        <f>(0.1*H25)+IF(H25=0,0,5)</f>
        <v>6.3235294117647056</v>
      </c>
      <c r="G25" s="957">
        <v>17</v>
      </c>
      <c r="H25" s="955">
        <f>(60*E25)/G25</f>
        <v>13.235294117647058</v>
      </c>
      <c r="I25" s="958">
        <f>2*H25+2*F25</f>
        <v>39.117647058823529</v>
      </c>
      <c r="J25" s="955">
        <f>I25/D25</f>
        <v>7.8235294117647056</v>
      </c>
      <c r="K25" s="955">
        <f>(J25*1.1)*1.1</f>
        <v>9.4664705882352944</v>
      </c>
      <c r="L25" s="959">
        <f>ROUNDUP(K25,0)</f>
        <v>10</v>
      </c>
      <c r="M25" s="642"/>
      <c r="N25" s="684">
        <f>IF(I25=0,0,14*60/I25)</f>
        <v>21.473684210526315</v>
      </c>
      <c r="O25" s="684">
        <f>C17*N25/1000</f>
        <v>80.526315789473685</v>
      </c>
      <c r="P25" s="263">
        <f>O25*L25*300*1.2</f>
        <v>289894.73684210528</v>
      </c>
    </row>
    <row r="26" spans="1:16" ht="14.4" x14ac:dyDescent="0.3">
      <c r="A26" s="642"/>
      <c r="B26" s="652" t="s">
        <v>366</v>
      </c>
      <c r="C26" s="659">
        <f>60*D26</f>
        <v>300</v>
      </c>
      <c r="D26" s="660">
        <f>$C$11</f>
        <v>5</v>
      </c>
      <c r="E26" s="661">
        <f>C18/1000</f>
        <v>7.15</v>
      </c>
      <c r="F26" s="660">
        <f t="shared" ref="F26:F27" si="0">(0.1*H26)+IF(H26=0,0,5)</f>
        <v>7.5235294117647058</v>
      </c>
      <c r="G26" s="953">
        <v>17</v>
      </c>
      <c r="H26" s="660">
        <f>(60*E26)/G26</f>
        <v>25.235294117647058</v>
      </c>
      <c r="I26" s="662">
        <f>2*H26+2*F26</f>
        <v>65.517647058823528</v>
      </c>
      <c r="J26" s="660">
        <f>I26/D26</f>
        <v>13.103529411764706</v>
      </c>
      <c r="K26" s="660">
        <f>(J26*1.1)*1.1</f>
        <v>15.855270588235296</v>
      </c>
      <c r="L26" s="663">
        <f>ROUNDUP(K26,0)</f>
        <v>16</v>
      </c>
      <c r="M26" s="642"/>
      <c r="N26" s="684">
        <f t="shared" ref="N26:N27" si="1">IF(I26=0,0,14*60/I26)</f>
        <v>12.82097324474771</v>
      </c>
      <c r="O26" s="684">
        <f>C18*N26/1000</f>
        <v>91.669958699946136</v>
      </c>
      <c r="P26" s="263">
        <f t="shared" ref="P26:P27" si="2">O26*L26*300*1.2</f>
        <v>528018.96211168973</v>
      </c>
    </row>
    <row r="27" spans="1:16" ht="14.4" x14ac:dyDescent="0.3">
      <c r="A27" s="642"/>
      <c r="B27" s="652" t="s">
        <v>367</v>
      </c>
      <c r="C27" s="659">
        <f t="shared" ref="C27" si="3">60*D27</f>
        <v>300</v>
      </c>
      <c r="D27" s="660">
        <f>$C$12</f>
        <v>5</v>
      </c>
      <c r="E27" s="661">
        <f>C19/1000</f>
        <v>0</v>
      </c>
      <c r="F27" s="660">
        <f t="shared" si="0"/>
        <v>0</v>
      </c>
      <c r="G27" s="953">
        <v>17</v>
      </c>
      <c r="H27" s="660">
        <f t="shared" ref="H27" si="4">(60*E27)/G27</f>
        <v>0</v>
      </c>
      <c r="I27" s="662">
        <f t="shared" ref="I27" si="5">2*H27+2*F27</f>
        <v>0</v>
      </c>
      <c r="J27" s="660">
        <f t="shared" ref="J27" si="6">I27/D27</f>
        <v>0</v>
      </c>
      <c r="K27" s="660">
        <f t="shared" ref="K27" si="7">(J27*1.1)*1.1</f>
        <v>0</v>
      </c>
      <c r="L27" s="663">
        <f t="shared" ref="L27" si="8">ROUNDUP(K27,0)</f>
        <v>0</v>
      </c>
      <c r="M27" s="642"/>
      <c r="N27" s="684">
        <f t="shared" si="1"/>
        <v>0</v>
      </c>
      <c r="O27" s="684">
        <f>C19*N27/1000</f>
        <v>0</v>
      </c>
      <c r="P27" s="263">
        <f t="shared" si="2"/>
        <v>0</v>
      </c>
    </row>
    <row r="28" spans="1:16" ht="14.4" x14ac:dyDescent="0.3">
      <c r="A28" s="642"/>
      <c r="B28" s="642"/>
      <c r="C28" s="642"/>
      <c r="D28" s="642"/>
      <c r="E28" s="642"/>
      <c r="F28" s="642"/>
      <c r="G28" s="642"/>
      <c r="H28" s="642"/>
      <c r="I28" s="642"/>
      <c r="J28" s="642"/>
      <c r="K28" s="642"/>
      <c r="L28" s="642"/>
      <c r="M28" s="642"/>
    </row>
    <row r="29" spans="1:16" ht="15" thickBot="1" x14ac:dyDescent="0.35">
      <c r="A29" s="664"/>
      <c r="B29" s="664"/>
      <c r="C29" s="664"/>
      <c r="D29" s="664"/>
      <c r="E29" s="664"/>
      <c r="F29" s="664"/>
      <c r="G29" s="664"/>
      <c r="H29" s="664"/>
      <c r="I29" s="664"/>
      <c r="J29" s="664"/>
      <c r="K29" s="664"/>
      <c r="L29" s="642"/>
      <c r="M29" s="642"/>
    </row>
    <row r="30" spans="1:16" ht="29.4" thickBot="1" x14ac:dyDescent="0.35">
      <c r="A30" s="642"/>
      <c r="B30" s="647" t="s">
        <v>107</v>
      </c>
      <c r="C30" s="648" t="s">
        <v>350</v>
      </c>
      <c r="D30" s="648" t="s">
        <v>352</v>
      </c>
      <c r="E30" s="648" t="s">
        <v>354</v>
      </c>
      <c r="F30" s="655" t="s">
        <v>359</v>
      </c>
      <c r="G30" s="642"/>
      <c r="H30" s="642"/>
      <c r="I30" s="642"/>
      <c r="J30" s="642"/>
      <c r="K30" s="665"/>
      <c r="L30" s="665"/>
      <c r="M30" s="642"/>
    </row>
    <row r="31" spans="1:16" ht="14.4" x14ac:dyDescent="0.3">
      <c r="A31" s="642"/>
      <c r="B31" s="650" t="s">
        <v>344</v>
      </c>
      <c r="C31" s="651">
        <f>C25</f>
        <v>300</v>
      </c>
      <c r="D31" s="657">
        <f>E25</f>
        <v>3.75</v>
      </c>
      <c r="E31" s="656">
        <f>G25</f>
        <v>17</v>
      </c>
      <c r="F31" s="658">
        <f>L25</f>
        <v>10</v>
      </c>
      <c r="G31" s="642"/>
      <c r="H31" s="642"/>
      <c r="I31" s="642"/>
      <c r="J31" s="642"/>
      <c r="K31" s="666"/>
      <c r="L31" s="667"/>
      <c r="M31" s="642"/>
    </row>
    <row r="32" spans="1:16" ht="14.4" x14ac:dyDescent="0.3">
      <c r="A32" s="642"/>
      <c r="B32" s="652" t="s">
        <v>366</v>
      </c>
      <c r="C32" s="653">
        <f>C26</f>
        <v>300</v>
      </c>
      <c r="D32" s="661">
        <f>E26</f>
        <v>7.15</v>
      </c>
      <c r="E32" s="659">
        <f>G26</f>
        <v>17</v>
      </c>
      <c r="F32" s="663">
        <f>L26</f>
        <v>16</v>
      </c>
      <c r="G32" s="642"/>
      <c r="H32" s="642"/>
      <c r="I32" s="642"/>
      <c r="J32" s="642"/>
      <c r="K32" s="667"/>
      <c r="L32" s="667"/>
      <c r="M32" s="642"/>
    </row>
    <row r="33" spans="1:13" ht="14.4" x14ac:dyDescent="0.3">
      <c r="A33" s="642"/>
      <c r="B33" s="652" t="s">
        <v>367</v>
      </c>
      <c r="C33" s="653">
        <f>C27</f>
        <v>300</v>
      </c>
      <c r="D33" s="661">
        <f>E27</f>
        <v>0</v>
      </c>
      <c r="E33" s="659">
        <f>G27</f>
        <v>17</v>
      </c>
      <c r="F33" s="663">
        <f>L27</f>
        <v>0</v>
      </c>
      <c r="G33" s="642"/>
      <c r="H33" s="642"/>
      <c r="I33" s="642"/>
      <c r="J33" s="642"/>
      <c r="K33" s="668"/>
      <c r="L33" s="669"/>
      <c r="M33" s="642"/>
    </row>
    <row r="34" spans="1:13" ht="14.4" x14ac:dyDescent="0.3">
      <c r="A34" s="642"/>
      <c r="B34" s="642"/>
      <c r="C34" s="642"/>
      <c r="D34" s="642"/>
      <c r="E34" s="642"/>
      <c r="F34" s="642"/>
      <c r="G34" s="642"/>
      <c r="H34" s="642"/>
      <c r="I34" s="642"/>
      <c r="J34" s="642"/>
      <c r="K34" s="668"/>
      <c r="L34" s="669"/>
      <c r="M34" s="642"/>
    </row>
    <row r="35" spans="1:13" ht="14.4" x14ac:dyDescent="0.3">
      <c r="A35" s="642"/>
      <c r="B35" s="642"/>
      <c r="C35" s="642"/>
      <c r="D35" s="642"/>
      <c r="E35" s="642"/>
      <c r="F35" s="670"/>
      <c r="G35" s="642"/>
      <c r="H35" s="642"/>
      <c r="I35" s="642"/>
      <c r="J35" s="642"/>
      <c r="K35" s="668"/>
      <c r="L35" s="669"/>
      <c r="M35" s="642"/>
    </row>
    <row r="36" spans="1:13" ht="14.4" x14ac:dyDescent="0.3">
      <c r="A36" s="642"/>
      <c r="B36" s="644"/>
      <c r="C36" s="642"/>
      <c r="D36" s="642"/>
      <c r="E36" s="642"/>
      <c r="F36" s="642"/>
      <c r="G36" s="642"/>
      <c r="H36" s="642"/>
      <c r="I36" s="642"/>
      <c r="J36" s="642"/>
      <c r="K36" s="671"/>
      <c r="L36" s="671"/>
      <c r="M36" s="642"/>
    </row>
    <row r="37" spans="1:13" ht="14.4" x14ac:dyDescent="0.3">
      <c r="A37" s="642"/>
      <c r="B37" s="644"/>
      <c r="C37" s="642"/>
      <c r="D37" s="642"/>
      <c r="E37" s="642"/>
      <c r="F37" s="642"/>
      <c r="G37" s="642"/>
      <c r="H37" s="642"/>
      <c r="I37" s="642"/>
      <c r="J37" s="642"/>
      <c r="K37" s="671"/>
      <c r="L37" s="671"/>
      <c r="M37" s="642"/>
    </row>
    <row r="38" spans="1:13" ht="18" x14ac:dyDescent="0.35">
      <c r="A38" s="642"/>
      <c r="B38" s="643" t="s">
        <v>361</v>
      </c>
      <c r="C38" s="642"/>
      <c r="D38" s="642"/>
      <c r="E38" s="642"/>
      <c r="F38" s="642"/>
      <c r="G38" s="642"/>
      <c r="H38" s="642"/>
      <c r="I38" s="671"/>
      <c r="J38" s="671"/>
      <c r="K38" s="642"/>
      <c r="L38" s="642"/>
      <c r="M38" s="642"/>
    </row>
    <row r="39" spans="1:13" ht="15" thickBot="1" x14ac:dyDescent="0.35">
      <c r="A39" s="642"/>
      <c r="B39" s="642"/>
      <c r="C39" s="642"/>
      <c r="D39" s="642"/>
      <c r="E39" s="642"/>
      <c r="F39" s="642"/>
      <c r="G39" s="642"/>
      <c r="H39" s="642"/>
      <c r="I39" s="642"/>
      <c r="J39" s="642"/>
      <c r="K39" s="642"/>
      <c r="L39" s="642"/>
      <c r="M39" s="642"/>
    </row>
    <row r="40" spans="1:13" ht="29.4" thickBot="1" x14ac:dyDescent="0.35">
      <c r="A40" s="642"/>
      <c r="B40" s="672">
        <f>C10</f>
        <v>5</v>
      </c>
      <c r="C40" s="673" t="s">
        <v>362</v>
      </c>
      <c r="D40" s="674" t="s">
        <v>363</v>
      </c>
      <c r="E40" s="674" t="s">
        <v>360</v>
      </c>
      <c r="F40" s="674" t="s">
        <v>364</v>
      </c>
      <c r="G40" s="674" t="s">
        <v>365</v>
      </c>
      <c r="H40" s="642"/>
      <c r="I40" s="642"/>
      <c r="J40" s="642"/>
      <c r="K40" s="642"/>
      <c r="L40" s="642"/>
      <c r="M40" s="642"/>
    </row>
    <row r="41" spans="1:13" ht="14.4" x14ac:dyDescent="0.3">
      <c r="A41" s="642"/>
      <c r="B41" s="642"/>
      <c r="C41" s="675">
        <f>$B$40*60</f>
        <v>300</v>
      </c>
      <c r="D41" s="676">
        <f>3600/C41</f>
        <v>12</v>
      </c>
      <c r="E41" s="677" t="s">
        <v>560</v>
      </c>
      <c r="F41" s="678">
        <v>24</v>
      </c>
      <c r="G41" s="679">
        <f>D41*F41</f>
        <v>288</v>
      </c>
      <c r="H41" s="642"/>
      <c r="I41" s="642"/>
      <c r="J41" s="642"/>
      <c r="K41" s="642"/>
      <c r="L41" s="642"/>
      <c r="M41" s="642"/>
    </row>
    <row r="42" spans="1:13" ht="15" thickBot="1" x14ac:dyDescent="0.35">
      <c r="A42" s="642"/>
      <c r="B42" s="642"/>
      <c r="C42" s="642"/>
      <c r="D42" s="642"/>
      <c r="E42" s="642"/>
      <c r="F42" s="642"/>
      <c r="G42" s="642"/>
      <c r="H42" s="642"/>
      <c r="I42" s="642"/>
      <c r="J42" s="642"/>
      <c r="K42" s="642"/>
      <c r="L42" s="642"/>
      <c r="M42" s="642"/>
    </row>
    <row r="43" spans="1:13" ht="29.4" thickBot="1" x14ac:dyDescent="0.35">
      <c r="A43" s="642"/>
      <c r="B43" s="680">
        <f>C11</f>
        <v>5</v>
      </c>
      <c r="C43" s="673" t="s">
        <v>362</v>
      </c>
      <c r="D43" s="674" t="s">
        <v>363</v>
      </c>
      <c r="E43" s="674" t="s">
        <v>360</v>
      </c>
      <c r="F43" s="674" t="s">
        <v>364</v>
      </c>
      <c r="G43" s="674" t="s">
        <v>365</v>
      </c>
      <c r="H43" s="642"/>
      <c r="I43" s="642"/>
      <c r="J43" s="642"/>
      <c r="K43" s="642"/>
      <c r="L43" s="642"/>
      <c r="M43" s="642"/>
    </row>
    <row r="44" spans="1:13" ht="14.4" x14ac:dyDescent="0.3">
      <c r="A44" s="642"/>
      <c r="B44" s="642"/>
      <c r="C44" s="675">
        <f>$B$43*60</f>
        <v>300</v>
      </c>
      <c r="D44" s="676">
        <f>3600/C44</f>
        <v>12</v>
      </c>
      <c r="E44" s="677" t="s">
        <v>560</v>
      </c>
      <c r="F44" s="678">
        <v>24</v>
      </c>
      <c r="G44" s="679">
        <f>D44*F44</f>
        <v>288</v>
      </c>
      <c r="H44" s="642"/>
      <c r="I44" s="642"/>
      <c r="J44" s="642"/>
      <c r="K44" s="642"/>
      <c r="L44" s="642"/>
      <c r="M44" s="642"/>
    </row>
    <row r="45" spans="1:13" ht="15" thickBot="1" x14ac:dyDescent="0.35">
      <c r="A45" s="642"/>
      <c r="B45" s="642"/>
      <c r="C45" s="642"/>
      <c r="D45" s="642"/>
      <c r="E45" s="681"/>
      <c r="F45" s="671"/>
      <c r="G45" s="682"/>
      <c r="H45" s="642"/>
      <c r="I45" s="642"/>
      <c r="J45" s="642"/>
      <c r="K45" s="642"/>
      <c r="L45" s="642"/>
      <c r="M45" s="642"/>
    </row>
    <row r="46" spans="1:13" ht="29.4" thickBot="1" x14ac:dyDescent="0.35">
      <c r="A46" s="642"/>
      <c r="B46" s="680">
        <f>C12</f>
        <v>5</v>
      </c>
      <c r="C46" s="673" t="s">
        <v>362</v>
      </c>
      <c r="D46" s="674" t="s">
        <v>363</v>
      </c>
      <c r="E46" s="674" t="s">
        <v>360</v>
      </c>
      <c r="F46" s="674" t="s">
        <v>364</v>
      </c>
      <c r="G46" s="674" t="s">
        <v>365</v>
      </c>
      <c r="H46" s="642"/>
      <c r="I46" s="642"/>
      <c r="J46" s="642"/>
      <c r="K46" s="642"/>
      <c r="L46" s="642"/>
      <c r="M46" s="642"/>
    </row>
    <row r="47" spans="1:13" ht="14.4" x14ac:dyDescent="0.3">
      <c r="A47" s="642"/>
      <c r="B47" s="642"/>
      <c r="C47" s="675">
        <f>$B$43*60</f>
        <v>300</v>
      </c>
      <c r="D47" s="676">
        <f>3600/C47</f>
        <v>12</v>
      </c>
      <c r="E47" s="677" t="s">
        <v>560</v>
      </c>
      <c r="F47" s="678">
        <v>24</v>
      </c>
      <c r="G47" s="679">
        <f>D47*F47</f>
        <v>288</v>
      </c>
      <c r="H47" s="642"/>
      <c r="I47" s="642"/>
      <c r="J47" s="642"/>
      <c r="K47" s="642"/>
      <c r="L47" s="642"/>
      <c r="M47" s="642"/>
    </row>
    <row r="48" spans="1:13" ht="14.4" x14ac:dyDescent="0.3">
      <c r="A48" s="642"/>
      <c r="B48" s="642"/>
      <c r="C48" s="642"/>
      <c r="D48" s="642"/>
      <c r="E48" s="642"/>
      <c r="F48" s="642"/>
      <c r="G48" s="642"/>
      <c r="H48" s="642"/>
      <c r="I48" s="642"/>
      <c r="J48" s="642"/>
      <c r="K48" s="642"/>
      <c r="L48" s="642"/>
      <c r="M48" s="642"/>
    </row>
    <row r="49" spans="1:13" ht="14.4" x14ac:dyDescent="0.3">
      <c r="A49" s="642"/>
      <c r="B49" s="642"/>
      <c r="C49" s="642"/>
      <c r="D49" s="642"/>
      <c r="E49" s="642"/>
      <c r="F49" s="642"/>
      <c r="G49" s="642"/>
      <c r="H49" s="642"/>
      <c r="I49" s="642"/>
      <c r="J49" s="642"/>
      <c r="K49" s="642"/>
      <c r="L49" s="642"/>
      <c r="M49" s="642"/>
    </row>
    <row r="50" spans="1:13" ht="14.4" x14ac:dyDescent="0.3">
      <c r="A50" s="642"/>
      <c r="B50" s="642"/>
      <c r="C50" s="642"/>
      <c r="D50" s="642"/>
      <c r="E50" s="642"/>
      <c r="F50" s="642"/>
      <c r="G50" s="642"/>
      <c r="H50" s="642"/>
      <c r="I50" s="642"/>
      <c r="J50" s="642"/>
      <c r="K50" s="642"/>
      <c r="L50" s="642"/>
      <c r="M50" s="642"/>
    </row>
    <row r="51" spans="1:13" ht="14.4" x14ac:dyDescent="0.3">
      <c r="A51" s="642"/>
      <c r="B51" s="642"/>
      <c r="C51" s="642"/>
      <c r="D51" s="642"/>
      <c r="E51" s="642"/>
      <c r="F51" s="642"/>
      <c r="G51" s="642"/>
      <c r="H51" s="642"/>
      <c r="I51" s="642"/>
      <c r="J51" s="642"/>
      <c r="K51" s="642"/>
      <c r="L51" s="642"/>
      <c r="M51" s="642"/>
    </row>
    <row r="52" spans="1:13" ht="14.4" x14ac:dyDescent="0.3">
      <c r="A52" s="642"/>
      <c r="B52" s="642"/>
      <c r="C52" s="642"/>
      <c r="D52" s="642"/>
      <c r="E52" s="642"/>
      <c r="F52" s="642"/>
      <c r="G52" s="642"/>
      <c r="H52" s="642"/>
      <c r="I52" s="642"/>
      <c r="J52" s="642"/>
      <c r="K52" s="642"/>
      <c r="L52" s="642"/>
      <c r="M52" s="642"/>
    </row>
    <row r="53" spans="1:13" ht="14.4" x14ac:dyDescent="0.3">
      <c r="A53" s="642"/>
      <c r="B53" s="642"/>
      <c r="C53" s="642"/>
      <c r="D53" s="642"/>
      <c r="E53" s="642"/>
      <c r="F53" s="642"/>
      <c r="G53" s="642"/>
      <c r="H53" s="642"/>
      <c r="I53" s="642"/>
      <c r="J53" s="642"/>
      <c r="K53" s="642"/>
      <c r="L53" s="642"/>
      <c r="M53" s="642"/>
    </row>
    <row r="54" spans="1:13" ht="14.4" x14ac:dyDescent="0.3">
      <c r="A54" s="642"/>
      <c r="B54" s="642"/>
      <c r="C54" s="642"/>
      <c r="D54" s="642"/>
      <c r="E54" s="642"/>
      <c r="F54" s="642"/>
      <c r="G54" s="642"/>
      <c r="H54" s="642"/>
      <c r="I54" s="642"/>
      <c r="J54" s="642"/>
      <c r="K54" s="642"/>
      <c r="L54" s="642"/>
      <c r="M54" s="642"/>
    </row>
    <row r="55" spans="1:13" ht="14.4" x14ac:dyDescent="0.3">
      <c r="A55" s="642"/>
      <c r="B55" s="642"/>
      <c r="C55" s="642"/>
      <c r="D55" s="642"/>
      <c r="E55" s="642"/>
      <c r="F55" s="642"/>
      <c r="G55" s="642"/>
      <c r="H55" s="642"/>
      <c r="I55" s="642"/>
      <c r="J55" s="642"/>
      <c r="K55" s="642"/>
      <c r="L55" s="642"/>
      <c r="M55" s="642"/>
    </row>
    <row r="56" spans="1:13" ht="14.4" x14ac:dyDescent="0.3">
      <c r="A56" s="642"/>
      <c r="B56" s="642"/>
      <c r="C56" s="642"/>
      <c r="D56" s="642"/>
      <c r="E56" s="642"/>
      <c r="F56" s="642"/>
      <c r="G56" s="642"/>
      <c r="H56" s="642"/>
      <c r="I56" s="642"/>
      <c r="J56" s="642"/>
      <c r="K56" s="642"/>
      <c r="L56" s="642"/>
      <c r="M56" s="642"/>
    </row>
    <row r="57" spans="1:13" ht="14.4" x14ac:dyDescent="0.3">
      <c r="A57" s="642"/>
      <c r="B57" s="642"/>
      <c r="C57" s="642"/>
      <c r="D57" s="642"/>
      <c r="E57" s="642"/>
      <c r="F57" s="642"/>
      <c r="G57" s="642"/>
      <c r="H57" s="642"/>
      <c r="I57" s="642"/>
      <c r="J57" s="642"/>
      <c r="K57" s="642"/>
      <c r="L57" s="642"/>
      <c r="M57" s="642"/>
    </row>
    <row r="58" spans="1:13" ht="14.4" x14ac:dyDescent="0.3">
      <c r="A58" s="642"/>
      <c r="B58" s="642"/>
      <c r="C58" s="642"/>
      <c r="D58" s="642"/>
      <c r="E58" s="642"/>
      <c r="F58" s="642"/>
      <c r="G58" s="642"/>
      <c r="H58" s="642"/>
      <c r="I58" s="642"/>
      <c r="J58" s="642"/>
      <c r="K58" s="642"/>
      <c r="L58" s="642"/>
      <c r="M58" s="642"/>
    </row>
    <row r="59" spans="1:13" ht="14.4" x14ac:dyDescent="0.3">
      <c r="A59" s="642"/>
      <c r="B59" s="642"/>
      <c r="C59" s="642"/>
      <c r="D59" s="642"/>
      <c r="E59" s="642"/>
      <c r="F59" s="642"/>
      <c r="G59" s="642"/>
      <c r="H59" s="642"/>
      <c r="I59" s="642"/>
      <c r="J59" s="642"/>
      <c r="K59" s="642"/>
      <c r="L59" s="642"/>
      <c r="M59" s="642"/>
    </row>
  </sheetData>
  <sheetProtection algorithmName="SHA-512" hashValue="ERku0kwqvVwjWbOieWAZbviIPkLIKsswMvi/67oKZJw1R+H/UJME+zJUIiFWi5azCFIbwr/2mA7SClgZ2ZEX6Q==" saltValue="dquhPl8vBCth734rMGqb5g==" spinCount="100000" sheet="1" objects="1" scenarios="1"/>
  <mergeCells count="1">
    <mergeCell ref="B2:B5"/>
  </mergeCells>
  <conditionalFormatting sqref="G41">
    <cfRule type="cellIs" dxfId="2" priority="4" operator="greaterThan">
      <formula>50000</formula>
    </cfRule>
  </conditionalFormatting>
  <conditionalFormatting sqref="G44">
    <cfRule type="cellIs" dxfId="1" priority="3" operator="greaterThan">
      <formula>50000</formula>
    </cfRule>
  </conditionalFormatting>
  <conditionalFormatting sqref="G47">
    <cfRule type="cellIs" dxfId="0" priority="2" operator="greaterThan">
      <formula>50000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FFFF00"/>
  </sheetPr>
  <dimension ref="A2:AQ100"/>
  <sheetViews>
    <sheetView workbookViewId="0">
      <selection activeCell="B120" sqref="B120"/>
    </sheetView>
  </sheetViews>
  <sheetFormatPr baseColWidth="10" defaultRowHeight="13.2" x14ac:dyDescent="0.25"/>
  <cols>
    <col min="2" max="2" width="21.44140625" bestFit="1" customWidth="1"/>
    <col min="3" max="3" width="19.5546875" bestFit="1" customWidth="1"/>
    <col min="4" max="4" width="16.6640625" customWidth="1"/>
    <col min="5" max="5" width="14.109375" customWidth="1"/>
    <col min="6" max="6" width="14.6640625" customWidth="1"/>
    <col min="7" max="8" width="12.33203125" bestFit="1" customWidth="1"/>
    <col min="9" max="9" width="19.5546875" bestFit="1" customWidth="1"/>
    <col min="10" max="10" width="16.88671875" bestFit="1" customWidth="1"/>
    <col min="11" max="33" width="12.33203125" bestFit="1" customWidth="1"/>
  </cols>
  <sheetData>
    <row r="2" spans="1:9" ht="14.4" x14ac:dyDescent="0.25">
      <c r="B2" s="1069" t="s">
        <v>260</v>
      </c>
      <c r="C2" s="502" t="s">
        <v>312</v>
      </c>
    </row>
    <row r="3" spans="1:9" ht="14.4" x14ac:dyDescent="0.25">
      <c r="B3" s="1069"/>
      <c r="C3" s="498" t="s">
        <v>325</v>
      </c>
    </row>
    <row r="4" spans="1:9" ht="14.4" x14ac:dyDescent="0.25">
      <c r="B4" s="1069"/>
      <c r="C4" s="499" t="s">
        <v>324</v>
      </c>
    </row>
    <row r="5" spans="1:9" ht="14.4" x14ac:dyDescent="0.25">
      <c r="B5" s="1069"/>
      <c r="C5" s="503" t="s">
        <v>261</v>
      </c>
    </row>
    <row r="8" spans="1:9" x14ac:dyDescent="0.25">
      <c r="B8" s="14" t="s">
        <v>331</v>
      </c>
    </row>
    <row r="9" spans="1:9" x14ac:dyDescent="0.25">
      <c r="A9" s="166"/>
      <c r="B9" s="166"/>
      <c r="C9" s="166"/>
      <c r="D9" s="166"/>
      <c r="E9" s="166"/>
      <c r="F9" s="166"/>
      <c r="G9" s="166"/>
      <c r="H9" s="166"/>
      <c r="I9" s="166"/>
    </row>
    <row r="10" spans="1:9" x14ac:dyDescent="0.25">
      <c r="A10" s="166"/>
      <c r="B10" s="686" t="s">
        <v>332</v>
      </c>
      <c r="C10" s="166">
        <f>DEMANDA!C10</f>
        <v>300</v>
      </c>
      <c r="D10" s="166"/>
      <c r="E10" s="166"/>
      <c r="F10" s="166"/>
      <c r="G10" s="166"/>
      <c r="H10" s="166"/>
      <c r="I10" s="166"/>
    </row>
    <row r="11" spans="1:9" x14ac:dyDescent="0.25">
      <c r="A11" s="166"/>
      <c r="B11" s="523"/>
      <c r="C11" s="166"/>
      <c r="D11" s="166"/>
      <c r="E11" s="166"/>
      <c r="F11" s="166"/>
      <c r="G11" s="166"/>
      <c r="H11" s="166"/>
      <c r="I11" s="166"/>
    </row>
    <row r="12" spans="1:9" x14ac:dyDescent="0.25">
      <c r="A12" s="166"/>
      <c r="B12" s="686" t="s">
        <v>333</v>
      </c>
      <c r="C12" s="14" t="s">
        <v>376</v>
      </c>
      <c r="D12" s="272">
        <f>1-D13</f>
        <v>0.85</v>
      </c>
      <c r="E12" s="166"/>
      <c r="F12" s="166"/>
      <c r="G12" s="166"/>
      <c r="H12" s="166"/>
      <c r="I12" s="166"/>
    </row>
    <row r="13" spans="1:9" x14ac:dyDescent="0.25">
      <c r="A13" s="166"/>
      <c r="B13" s="686"/>
      <c r="C13" s="523" t="s">
        <v>334</v>
      </c>
      <c r="D13" s="687">
        <f>DEMANDA!D13</f>
        <v>0.15</v>
      </c>
      <c r="E13" s="166"/>
      <c r="F13" s="166"/>
      <c r="G13" s="166"/>
      <c r="H13" s="166"/>
      <c r="I13" s="166"/>
    </row>
    <row r="14" spans="1:9" x14ac:dyDescent="0.25">
      <c r="A14" s="166"/>
      <c r="B14" s="523"/>
      <c r="C14" s="523"/>
      <c r="D14" s="166"/>
      <c r="E14" s="166"/>
      <c r="F14" s="166"/>
      <c r="G14" s="166"/>
      <c r="H14" s="166"/>
      <c r="I14" s="166"/>
    </row>
    <row r="15" spans="1:9" x14ac:dyDescent="0.25">
      <c r="A15" s="166"/>
      <c r="B15" s="523"/>
      <c r="C15" s="138" t="str">
        <f>DEMANDA!C15</f>
        <v>Parqueardero de Samborondon gratuido</v>
      </c>
      <c r="D15" s="166"/>
      <c r="E15" s="166"/>
      <c r="F15" s="166"/>
      <c r="G15" s="166"/>
      <c r="H15" s="166"/>
      <c r="I15" s="166"/>
    </row>
    <row r="16" spans="1:9" x14ac:dyDescent="0.25">
      <c r="A16" s="166"/>
      <c r="B16" s="523"/>
      <c r="C16" s="138" t="s">
        <v>342</v>
      </c>
      <c r="D16" s="525">
        <v>4</v>
      </c>
      <c r="E16" s="166">
        <f>DEMANDA!E16</f>
        <v>200</v>
      </c>
      <c r="F16" s="166"/>
      <c r="G16" s="166"/>
      <c r="H16" s="166"/>
      <c r="I16" s="166"/>
    </row>
    <row r="17" spans="1:18" x14ac:dyDescent="0.25">
      <c r="A17" s="166"/>
      <c r="B17" s="523"/>
      <c r="C17" s="166"/>
      <c r="D17" s="525">
        <v>20</v>
      </c>
      <c r="E17" s="166">
        <f>DEMANDA!E17</f>
        <v>200</v>
      </c>
      <c r="F17" s="166"/>
      <c r="G17" s="166"/>
      <c r="H17" s="166"/>
      <c r="I17" s="166"/>
    </row>
    <row r="18" spans="1:18" x14ac:dyDescent="0.25">
      <c r="A18" s="166"/>
      <c r="B18" s="166"/>
      <c r="C18" s="166"/>
      <c r="D18" s="166"/>
      <c r="E18" s="166"/>
      <c r="F18" s="166"/>
      <c r="G18" s="166"/>
      <c r="H18" s="166"/>
      <c r="I18" s="166"/>
    </row>
    <row r="19" spans="1:18" x14ac:dyDescent="0.25">
      <c r="A19" s="688"/>
      <c r="B19" s="166"/>
      <c r="C19" s="138" t="str">
        <f>DEMANDA!C19</f>
        <v>Alimentadoras de Samborondon con tarifa integrada (gratuidas)</v>
      </c>
      <c r="D19" s="166"/>
      <c r="E19" s="166"/>
      <c r="F19" s="166"/>
      <c r="G19" s="166"/>
      <c r="H19" s="166"/>
      <c r="I19" s="166"/>
    </row>
    <row r="20" spans="1:18" x14ac:dyDescent="0.25">
      <c r="A20" s="688"/>
      <c r="B20" s="166"/>
      <c r="C20" s="138"/>
      <c r="D20" s="166"/>
      <c r="E20" s="1097" t="s">
        <v>343</v>
      </c>
      <c r="F20" s="1098"/>
      <c r="G20" s="166"/>
      <c r="H20" s="523"/>
      <c r="I20" s="166"/>
      <c r="J20" s="166"/>
      <c r="K20" s="166"/>
      <c r="L20" s="166"/>
      <c r="M20" s="166"/>
      <c r="N20" s="166"/>
      <c r="O20" s="523"/>
      <c r="P20" s="166"/>
      <c r="Q20" s="166"/>
      <c r="R20" s="166"/>
    </row>
    <row r="21" spans="1:18" x14ac:dyDescent="0.25">
      <c r="A21" s="688"/>
      <c r="B21" s="166"/>
      <c r="C21" s="138"/>
      <c r="D21" s="166"/>
      <c r="E21" s="634" t="s">
        <v>344</v>
      </c>
      <c r="F21" s="634" t="s">
        <v>345</v>
      </c>
      <c r="G21" s="166"/>
      <c r="H21" s="525"/>
      <c r="I21" s="525"/>
      <c r="J21" s="525"/>
      <c r="K21" s="275"/>
      <c r="L21" s="166"/>
      <c r="M21" s="166"/>
      <c r="N21" s="166"/>
      <c r="O21" s="523"/>
      <c r="P21" s="166"/>
      <c r="Q21" s="166"/>
      <c r="R21" s="166"/>
    </row>
    <row r="22" spans="1:18" x14ac:dyDescent="0.25">
      <c r="A22" s="688"/>
      <c r="B22" s="166"/>
      <c r="C22" s="138"/>
      <c r="D22" s="525">
        <v>4</v>
      </c>
      <c r="E22" s="274">
        <f>DEMANDA!E22</f>
        <v>200</v>
      </c>
      <c r="F22" s="274">
        <f>DEMANDA!F22</f>
        <v>200</v>
      </c>
      <c r="G22" s="166"/>
      <c r="H22" s="275"/>
      <c r="I22" s="275"/>
      <c r="J22" s="275"/>
      <c r="K22" s="275"/>
      <c r="L22" s="166"/>
      <c r="M22" s="166"/>
      <c r="N22" s="166"/>
      <c r="O22" s="166"/>
      <c r="P22" s="166"/>
      <c r="Q22" s="166"/>
      <c r="R22" s="166"/>
    </row>
    <row r="23" spans="1:18" x14ac:dyDescent="0.25">
      <c r="A23" s="688"/>
      <c r="B23" s="166"/>
      <c r="C23" s="138"/>
      <c r="D23" s="525">
        <v>20</v>
      </c>
      <c r="E23" s="274">
        <f>DEMANDA!E23</f>
        <v>200</v>
      </c>
      <c r="F23" s="274">
        <f>DEMANDA!F23</f>
        <v>200</v>
      </c>
      <c r="G23" s="166"/>
      <c r="H23" s="275"/>
      <c r="I23" s="275"/>
      <c r="J23" s="275"/>
      <c r="K23" s="275"/>
      <c r="L23" s="166"/>
      <c r="M23" s="166"/>
      <c r="N23" s="166"/>
      <c r="O23" s="166"/>
      <c r="P23" s="166"/>
      <c r="Q23" s="166"/>
      <c r="R23" s="166"/>
    </row>
    <row r="24" spans="1:18" x14ac:dyDescent="0.25">
      <c r="A24" s="166"/>
      <c r="B24" s="166"/>
      <c r="C24" s="166"/>
      <c r="D24" s="166"/>
      <c r="E24" s="166"/>
      <c r="F24" s="166"/>
      <c r="G24" s="166"/>
      <c r="H24" s="166"/>
      <c r="I24" s="166"/>
    </row>
    <row r="25" spans="1:18" x14ac:dyDescent="0.25">
      <c r="A25" s="166"/>
      <c r="B25" s="166"/>
      <c r="C25" s="523" t="str">
        <f>DEMANDA!C25</f>
        <v>Sin integracion tarifaria con el Metrovia</v>
      </c>
      <c r="D25" s="166"/>
      <c r="E25" s="166"/>
      <c r="F25" s="166"/>
      <c r="G25" s="166"/>
      <c r="H25" s="166"/>
      <c r="I25" s="166"/>
    </row>
    <row r="26" spans="1:18" x14ac:dyDescent="0.25">
      <c r="A26" s="166"/>
      <c r="B26" s="166"/>
      <c r="C26" s="166"/>
      <c r="D26" s="166"/>
      <c r="E26" s="166"/>
      <c r="F26" s="166"/>
      <c r="G26" s="166"/>
      <c r="H26" s="166"/>
      <c r="I26" s="166"/>
    </row>
    <row r="27" spans="1:18" x14ac:dyDescent="0.25">
      <c r="A27" s="166"/>
      <c r="B27" s="166"/>
      <c r="C27" s="523" t="s">
        <v>338</v>
      </c>
      <c r="D27" s="523">
        <f>DEMANDA!D27</f>
        <v>0</v>
      </c>
      <c r="E27" s="166"/>
      <c r="F27" s="166"/>
      <c r="G27" s="166"/>
      <c r="H27" s="166"/>
      <c r="I27" s="166"/>
    </row>
    <row r="28" spans="1:18" x14ac:dyDescent="0.25">
      <c r="A28" s="166"/>
      <c r="B28" s="166"/>
      <c r="C28" s="166"/>
      <c r="D28" s="523">
        <f>DEMANDA!D28</f>
        <v>0</v>
      </c>
      <c r="E28" s="166"/>
      <c r="F28" s="166"/>
      <c r="G28" s="166"/>
      <c r="H28" s="166"/>
      <c r="I28" s="166"/>
    </row>
    <row r="29" spans="1:18" x14ac:dyDescent="0.25">
      <c r="A29" s="166"/>
      <c r="B29" s="166"/>
      <c r="C29" s="166"/>
      <c r="D29" s="523"/>
      <c r="E29" s="166"/>
      <c r="F29" s="166"/>
      <c r="G29" s="166"/>
      <c r="H29" s="166"/>
      <c r="I29" s="166"/>
    </row>
    <row r="30" spans="1:18" x14ac:dyDescent="0.25">
      <c r="A30" s="166"/>
      <c r="B30" s="166"/>
      <c r="C30" s="166"/>
      <c r="D30" s="523"/>
      <c r="E30" s="166"/>
      <c r="F30" s="166"/>
      <c r="G30" s="166"/>
      <c r="H30" s="166"/>
      <c r="I30" s="166"/>
    </row>
    <row r="31" spans="1:18" x14ac:dyDescent="0.25">
      <c r="A31" s="166"/>
      <c r="B31" s="166" t="s">
        <v>371</v>
      </c>
      <c r="C31" s="275" t="s">
        <v>535</v>
      </c>
      <c r="D31" s="275" t="s">
        <v>538</v>
      </c>
      <c r="E31" s="525" t="s">
        <v>375</v>
      </c>
      <c r="F31" s="166"/>
      <c r="G31" s="166"/>
      <c r="H31" s="166"/>
      <c r="I31" s="166"/>
      <c r="J31" s="166"/>
    </row>
    <row r="32" spans="1:18" x14ac:dyDescent="0.25">
      <c r="A32" s="166"/>
      <c r="B32" s="166">
        <v>1</v>
      </c>
      <c r="C32" s="971">
        <v>0.6</v>
      </c>
      <c r="D32" s="970">
        <f>C32*(1-PARAMETROS!$C$54)</f>
        <v>0.52800000000000002</v>
      </c>
      <c r="E32" s="694">
        <f>D32/2</f>
        <v>0.26400000000000001</v>
      </c>
      <c r="F32" s="166"/>
      <c r="G32" s="166"/>
      <c r="H32" s="166"/>
      <c r="I32" s="166"/>
      <c r="J32" s="166"/>
    </row>
    <row r="33" spans="1:43" x14ac:dyDescent="0.25">
      <c r="A33" s="166"/>
      <c r="B33" s="166">
        <v>2</v>
      </c>
      <c r="C33" s="971">
        <v>0.75</v>
      </c>
      <c r="D33" s="970">
        <f>C33*(1-PARAMETROS!$C$54)</f>
        <v>0.66</v>
      </c>
      <c r="E33" s="694">
        <f t="shared" ref="E33:E36" si="0">D33/2</f>
        <v>0.33</v>
      </c>
      <c r="F33" s="166"/>
      <c r="G33" s="166"/>
      <c r="H33" s="166"/>
      <c r="I33" s="166"/>
      <c r="J33" s="166"/>
    </row>
    <row r="34" spans="1:43" x14ac:dyDescent="0.25">
      <c r="A34" s="166"/>
      <c r="B34" s="166">
        <v>3</v>
      </c>
      <c r="C34" s="971">
        <v>1</v>
      </c>
      <c r="D34" s="970">
        <f>C34*(1-PARAMETROS!$C$54)</f>
        <v>0.88</v>
      </c>
      <c r="E34" s="694">
        <f t="shared" si="0"/>
        <v>0.44</v>
      </c>
      <c r="F34" s="166"/>
      <c r="G34" s="166"/>
      <c r="H34" s="166"/>
      <c r="I34" s="166"/>
      <c r="J34" s="166"/>
    </row>
    <row r="35" spans="1:43" x14ac:dyDescent="0.25">
      <c r="B35" s="166">
        <v>4</v>
      </c>
      <c r="C35" s="971">
        <v>1.25</v>
      </c>
      <c r="D35" s="970">
        <f>C35*(1-PARAMETROS!$C$54)</f>
        <v>1.1000000000000001</v>
      </c>
      <c r="E35" s="694">
        <f t="shared" si="0"/>
        <v>0.55000000000000004</v>
      </c>
    </row>
    <row r="36" spans="1:43" x14ac:dyDescent="0.25">
      <c r="B36" s="166">
        <v>5</v>
      </c>
      <c r="C36" s="971">
        <v>1.5</v>
      </c>
      <c r="D36" s="970">
        <f>C36*(1-PARAMETROS!$C$54)</f>
        <v>1.32</v>
      </c>
      <c r="E36" s="694">
        <f t="shared" si="0"/>
        <v>0.66</v>
      </c>
    </row>
    <row r="41" spans="1:43" x14ac:dyDescent="0.25">
      <c r="B41" s="511" t="s">
        <v>558</v>
      </c>
    </row>
    <row r="42" spans="1:43" x14ac:dyDescent="0.25">
      <c r="B42" s="14"/>
    </row>
    <row r="43" spans="1:43" ht="15" thickBot="1" x14ac:dyDescent="0.3">
      <c r="B43" s="517" t="s">
        <v>372</v>
      </c>
      <c r="C43" s="166"/>
    </row>
    <row r="44" spans="1:43" ht="14.4" thickBot="1" x14ac:dyDescent="0.3">
      <c r="B44" s="512" t="s">
        <v>259</v>
      </c>
      <c r="C44" s="522">
        <v>2019</v>
      </c>
      <c r="D44" s="350">
        <v>2020</v>
      </c>
      <c r="E44" s="350">
        <v>2021</v>
      </c>
      <c r="F44" s="350">
        <v>2022</v>
      </c>
      <c r="G44" s="350">
        <v>2023</v>
      </c>
      <c r="H44" s="350">
        <v>2024</v>
      </c>
      <c r="I44" s="350">
        <v>2025</v>
      </c>
      <c r="J44" s="350">
        <v>2026</v>
      </c>
      <c r="K44" s="350">
        <v>2027</v>
      </c>
      <c r="L44" s="350">
        <v>2028</v>
      </c>
      <c r="M44" s="350">
        <v>2029</v>
      </c>
      <c r="N44" s="350">
        <v>2030</v>
      </c>
      <c r="O44" s="350">
        <v>2031</v>
      </c>
      <c r="P44" s="350">
        <v>2032</v>
      </c>
      <c r="Q44" s="350">
        <v>2033</v>
      </c>
      <c r="R44" s="350">
        <v>2034</v>
      </c>
      <c r="S44" s="350">
        <v>2035</v>
      </c>
      <c r="T44" s="350">
        <v>2036</v>
      </c>
      <c r="U44" s="350">
        <v>2037</v>
      </c>
      <c r="V44" s="350">
        <v>2038</v>
      </c>
      <c r="W44" s="350">
        <v>2039</v>
      </c>
      <c r="X44" s="350">
        <v>2040</v>
      </c>
      <c r="Y44" s="350">
        <v>2041</v>
      </c>
      <c r="Z44" s="350">
        <v>2042</v>
      </c>
      <c r="AA44" s="350">
        <v>2043</v>
      </c>
      <c r="AB44" s="350">
        <v>2044</v>
      </c>
      <c r="AC44" s="350">
        <v>2045</v>
      </c>
      <c r="AD44" s="350">
        <v>2046</v>
      </c>
      <c r="AE44" s="350">
        <v>2047</v>
      </c>
      <c r="AF44" s="350">
        <v>2048</v>
      </c>
      <c r="AG44" s="351">
        <v>2049</v>
      </c>
      <c r="AH44" s="351">
        <v>2050</v>
      </c>
      <c r="AI44" s="351">
        <v>2051</v>
      </c>
      <c r="AJ44" s="351">
        <v>2052</v>
      </c>
      <c r="AK44" s="351">
        <v>2053</v>
      </c>
      <c r="AL44" s="351">
        <v>2054</v>
      </c>
      <c r="AM44" s="351">
        <v>2055</v>
      </c>
      <c r="AN44" s="351">
        <v>2056</v>
      </c>
      <c r="AO44" s="351">
        <v>2057</v>
      </c>
      <c r="AP44" s="351">
        <v>2058</v>
      </c>
      <c r="AQ44" s="351">
        <v>2059</v>
      </c>
    </row>
    <row r="45" spans="1:43" ht="14.4" x14ac:dyDescent="0.25">
      <c r="B45" s="519" t="s">
        <v>542</v>
      </c>
      <c r="C45" s="527">
        <f>$D32*DEMANDA!C47*$D$12+$E32*DEMANDA!C47*$D$13</f>
        <v>3842975.4000000004</v>
      </c>
      <c r="D45" s="527">
        <f>$D32*DEMANDA!D47*$D$12+$E32*DEMANDA!D47*$D$13</f>
        <v>5123967.2000000011</v>
      </c>
      <c r="E45" s="527">
        <f>$D32*DEMANDA!E47*$D$12+$E32*DEMANDA!E47*$D$13</f>
        <v>5179579.6800000006</v>
      </c>
      <c r="F45" s="527">
        <f>$D32*DEMANDA!F47*$D$12+$E32*DEMANDA!F47*$D$13</f>
        <v>5235192.1600000011</v>
      </c>
      <c r="G45" s="527">
        <f>$D32*DEMANDA!G47*$D$12+$E32*DEMANDA!G47*$D$13</f>
        <v>5290804.6400000006</v>
      </c>
      <c r="H45" s="527">
        <f>$D32*DEMANDA!H47*$D$12+$E32*DEMANDA!H47*$D$13</f>
        <v>5346417.12</v>
      </c>
      <c r="I45" s="527">
        <f>$D32*DEMANDA!I47*$D$12+$E32*DEMANDA!I47*$D$13</f>
        <v>5402029.6000000015</v>
      </c>
      <c r="J45" s="527">
        <f>$D32*DEMANDA!J47*$D$12+$E32*DEMANDA!J47*$D$13</f>
        <v>5418593.0668772226</v>
      </c>
      <c r="K45" s="527">
        <f>$D32*DEMANDA!K47*$D$12+$E32*DEMANDA!K47*$D$13</f>
        <v>5435156.5337544456</v>
      </c>
      <c r="L45" s="527">
        <f>$D32*DEMANDA!L47*$D$12+$E32*DEMANDA!L47*$D$13</f>
        <v>5451720.0006316677</v>
      </c>
      <c r="M45" s="527">
        <f>$D32*DEMANDA!M47*$D$12+$E32*DEMANDA!M47*$D$13</f>
        <v>5468283.4675088888</v>
      </c>
      <c r="N45" s="527">
        <f>$D32*DEMANDA!N47*$D$12+$E32*DEMANDA!N47*$D$13</f>
        <v>5484846.9343861137</v>
      </c>
      <c r="O45" s="527">
        <f>$D32*DEMANDA!O47*$D$12+$E32*DEMANDA!O47*$D$13</f>
        <v>5506814.9947928814</v>
      </c>
      <c r="P45" s="527">
        <f>$D32*DEMANDA!P47*$D$12+$E32*DEMANDA!P47*$D$13</f>
        <v>5528783.0551996473</v>
      </c>
      <c r="Q45" s="527">
        <f>$D32*DEMANDA!Q47*$D$12+$E32*DEMANDA!Q47*$D$13</f>
        <v>5550751.1156064132</v>
      </c>
      <c r="R45" s="527">
        <f>$D32*DEMANDA!R47*$D$12+$E32*DEMANDA!R47*$D$13</f>
        <v>5572719.1760131801</v>
      </c>
      <c r="S45" s="527">
        <f>$D32*DEMANDA!S47*$D$12+$E32*DEMANDA!S47*$D$13</f>
        <v>5594687.2364199441</v>
      </c>
      <c r="T45" s="527">
        <f>$D32*DEMANDA!T47*$D$12+$E32*DEMANDA!T47*$D$13</f>
        <v>5641147.7852248633</v>
      </c>
      <c r="U45" s="527">
        <f>$D32*DEMANDA!U47*$D$12+$E32*DEMANDA!U47*$D$13</f>
        <v>5687608.3340297816</v>
      </c>
      <c r="V45" s="527">
        <f>$D32*DEMANDA!V47*$D$12+$E32*DEMANDA!V47*$D$13</f>
        <v>5734068.8828346981</v>
      </c>
      <c r="W45" s="527">
        <f>$D32*DEMANDA!W47*$D$12+$E32*DEMANDA!W47*$D$13</f>
        <v>5780529.4316396173</v>
      </c>
      <c r="X45" s="527">
        <f>$D32*DEMANDA!X47*$D$12+$E32*DEMANDA!X47*$D$13</f>
        <v>5826989.9804445356</v>
      </c>
      <c r="Y45" s="527">
        <f>$D32*DEMANDA!Y47*$D$12+$E32*DEMANDA!Y47*$D$13</f>
        <v>5826989.9804445356</v>
      </c>
      <c r="Z45" s="527">
        <f>$D32*DEMANDA!Z47*$D$12+$E32*DEMANDA!Z47*$D$13</f>
        <v>5826989.9804445356</v>
      </c>
      <c r="AA45" s="527">
        <f>$D32*DEMANDA!AA47*$D$12+$E32*DEMANDA!AA47*$D$13</f>
        <v>5826989.9804445356</v>
      </c>
      <c r="AB45" s="527">
        <f>$D32*DEMANDA!AB47*$D$12+$E32*DEMANDA!AB47*$D$13</f>
        <v>5826989.9804445356</v>
      </c>
      <c r="AC45" s="527">
        <f>$D32*DEMANDA!AC47*$D$12+$E32*DEMANDA!AC47*$D$13</f>
        <v>5826989.9804445356</v>
      </c>
      <c r="AD45" s="527">
        <f>$D32*DEMANDA!AD47*$D$12+$E32*DEMANDA!AD47*$D$13</f>
        <v>5826989.9804445356</v>
      </c>
      <c r="AE45" s="527">
        <f>$D32*DEMANDA!AE47*$D$12+$E32*DEMANDA!AE47*$D$13</f>
        <v>5826989.9804445356</v>
      </c>
      <c r="AF45" s="527">
        <f>$D32*DEMANDA!AF47*$D$12+$E32*DEMANDA!AF47*$D$13</f>
        <v>5826989.9804445356</v>
      </c>
      <c r="AG45" s="527">
        <f>$D32*DEMANDA!AG47*$D$12+$E32*DEMANDA!AG47*$D$13</f>
        <v>5826989.9804445356</v>
      </c>
      <c r="AH45" s="527">
        <f>$D32*DEMANDA!AH47*$D$12+$E32*DEMANDA!AH47*$D$13</f>
        <v>5826989.9804445356</v>
      </c>
      <c r="AI45" s="527">
        <f>$D32*DEMANDA!AI47*$D$12+$E32*DEMANDA!AI47*$D$13</f>
        <v>5826989.9804445356</v>
      </c>
      <c r="AJ45" s="527">
        <f>$D32*DEMANDA!AJ47*$D$12+$E32*DEMANDA!AJ47*$D$13</f>
        <v>5826989.9804445356</v>
      </c>
      <c r="AK45" s="527">
        <f>$D32*DEMANDA!AK47*$D$12+$E32*DEMANDA!AK47*$D$13</f>
        <v>5826989.9804445356</v>
      </c>
      <c r="AL45" s="527">
        <f>$D32*DEMANDA!AL47*$D$12+$E32*DEMANDA!AL47*$D$13</f>
        <v>5826989.9804445356</v>
      </c>
      <c r="AM45" s="527">
        <f>$D32*DEMANDA!AM47*$D$12+$E32*DEMANDA!AM47*$D$13</f>
        <v>5826989.9804445356</v>
      </c>
      <c r="AN45" s="527">
        <f>$D32*DEMANDA!AN47*$D$12+$E32*DEMANDA!AN47*$D$13</f>
        <v>5826989.9804445356</v>
      </c>
      <c r="AO45" s="527">
        <f>$D32*DEMANDA!AO47*$D$12+$E32*DEMANDA!AO47*$D$13</f>
        <v>5826989.9804445356</v>
      </c>
      <c r="AP45" s="527">
        <f>$D32*DEMANDA!AP47*$D$12+$E32*DEMANDA!AP47*$D$13</f>
        <v>5826989.9804445356</v>
      </c>
      <c r="AQ45" s="527">
        <f>$D32*DEMANDA!AQ47*$D$12+$E32*DEMANDA!AQ47*$D$13</f>
        <v>5826989.9804445356</v>
      </c>
    </row>
    <row r="46" spans="1:43" ht="14.4" x14ac:dyDescent="0.25">
      <c r="B46" s="520" t="s">
        <v>543</v>
      </c>
      <c r="C46" s="530">
        <f>$D33*DEMANDA!C48*$D$12+$E33*DEMANDA!C48*$D$13</f>
        <v>4762205.25</v>
      </c>
      <c r="D46" s="530">
        <f>$D33*DEMANDA!D48*$D$12+$E33*DEMANDA!D48*$D$13</f>
        <v>6349607.0000000009</v>
      </c>
      <c r="E46" s="530">
        <f>$D33*DEMANDA!E48*$D$12+$E33*DEMANDA!E48*$D$13</f>
        <v>6420587.8000000007</v>
      </c>
      <c r="F46" s="530">
        <f>$D33*DEMANDA!F48*$D$12+$E33*DEMANDA!F48*$D$13</f>
        <v>6491568.6000000006</v>
      </c>
      <c r="G46" s="530">
        <f>$D33*DEMANDA!G48*$D$12+$E33*DEMANDA!G48*$D$13</f>
        <v>6562549.3999999994</v>
      </c>
      <c r="H46" s="530">
        <f>$D33*DEMANDA!H48*$D$12+$E33*DEMANDA!H48*$D$13</f>
        <v>6633530.1999999993</v>
      </c>
      <c r="I46" s="530">
        <f>$D33*DEMANDA!I48*$D$12+$E33*DEMANDA!I48*$D$13</f>
        <v>6704511</v>
      </c>
      <c r="J46" s="530">
        <f>$D33*DEMANDA!J48*$D$12+$E33*DEMANDA!J48*$D$13</f>
        <v>6742502.9327346142</v>
      </c>
      <c r="K46" s="530">
        <f>$D33*DEMANDA!K48*$D$12+$E33*DEMANDA!K48*$D$13</f>
        <v>6780494.8654692313</v>
      </c>
      <c r="L46" s="530">
        <f>$D33*DEMANDA!L48*$D$12+$E33*DEMANDA!L48*$D$13</f>
        <v>6818486.7982038464</v>
      </c>
      <c r="M46" s="530">
        <f>$D33*DEMANDA!M48*$D$12+$E33*DEMANDA!M48*$D$13</f>
        <v>6856478.7309384635</v>
      </c>
      <c r="N46" s="530">
        <f>$D33*DEMANDA!N48*$D$12+$E33*DEMANDA!N48*$D$13</f>
        <v>6894470.6636730758</v>
      </c>
      <c r="O46" s="530">
        <f>$D33*DEMANDA!O48*$D$12+$E33*DEMANDA!O48*$D$13</f>
        <v>6902887.8733354881</v>
      </c>
      <c r="P46" s="530">
        <f>$D33*DEMANDA!P48*$D$12+$E33*DEMANDA!P48*$D$13</f>
        <v>6911305.0829978986</v>
      </c>
      <c r="Q46" s="530">
        <f>$D33*DEMANDA!Q48*$D$12+$E33*DEMANDA!Q48*$D$13</f>
        <v>6919722.2926603109</v>
      </c>
      <c r="R46" s="530">
        <f>$D33*DEMANDA!R48*$D$12+$E33*DEMANDA!R48*$D$13</f>
        <v>6928139.5023227213</v>
      </c>
      <c r="S46" s="530">
        <f>$D33*DEMANDA!S48*$D$12+$E33*DEMANDA!S48*$D$13</f>
        <v>6936556.7119851345</v>
      </c>
      <c r="T46" s="530">
        <f>$D33*DEMANDA!T48*$D$12+$E33*DEMANDA!T48*$D$13</f>
        <v>6989510.6072550658</v>
      </c>
      <c r="U46" s="530">
        <f>$D33*DEMANDA!U48*$D$12+$E33*DEMANDA!U48*$D$13</f>
        <v>7042464.5025249971</v>
      </c>
      <c r="V46" s="530">
        <f>$D33*DEMANDA!V48*$D$12+$E33*DEMANDA!V48*$D$13</f>
        <v>7095418.3977949293</v>
      </c>
      <c r="W46" s="530">
        <f>$D33*DEMANDA!W48*$D$12+$E33*DEMANDA!W48*$D$13</f>
        <v>7148372.2930648606</v>
      </c>
      <c r="X46" s="530">
        <f>$D33*DEMANDA!X48*$D$12+$E33*DEMANDA!X48*$D$13</f>
        <v>7201326.1883347966</v>
      </c>
      <c r="Y46" s="530">
        <f>$D33*DEMANDA!Y48*$D$12+$E33*DEMANDA!Y48*$D$13</f>
        <v>7201326.1883347966</v>
      </c>
      <c r="Z46" s="530">
        <f>$D33*DEMANDA!Z48*$D$12+$E33*DEMANDA!Z48*$D$13</f>
        <v>7201326.1883347966</v>
      </c>
      <c r="AA46" s="530">
        <f>$D33*DEMANDA!AA48*$D$12+$E33*DEMANDA!AA48*$D$13</f>
        <v>7201326.1883347966</v>
      </c>
      <c r="AB46" s="530">
        <f>$D33*DEMANDA!AB48*$D$12+$E33*DEMANDA!AB48*$D$13</f>
        <v>7201326.1883347966</v>
      </c>
      <c r="AC46" s="530">
        <f>$D33*DEMANDA!AC48*$D$12+$E33*DEMANDA!AC48*$D$13</f>
        <v>7201326.1883347966</v>
      </c>
      <c r="AD46" s="530">
        <f>$D33*DEMANDA!AD48*$D$12+$E33*DEMANDA!AD48*$D$13</f>
        <v>7201326.1883347966</v>
      </c>
      <c r="AE46" s="530">
        <f>$D33*DEMANDA!AE48*$D$12+$E33*DEMANDA!AE48*$D$13</f>
        <v>7201326.1883347966</v>
      </c>
      <c r="AF46" s="530">
        <f>$D33*DEMANDA!AF48*$D$12+$E33*DEMANDA!AF48*$D$13</f>
        <v>7201326.1883347966</v>
      </c>
      <c r="AG46" s="530">
        <f>$D33*DEMANDA!AG48*$D$12+$E33*DEMANDA!AG48*$D$13</f>
        <v>7201326.1883347966</v>
      </c>
      <c r="AH46" s="530">
        <f>$D33*DEMANDA!AH48*$D$12+$E33*DEMANDA!AH48*$D$13</f>
        <v>7201326.1883347966</v>
      </c>
      <c r="AI46" s="530">
        <f>$D33*DEMANDA!AI48*$D$12+$E33*DEMANDA!AI48*$D$13</f>
        <v>7201326.1883347966</v>
      </c>
      <c r="AJ46" s="530">
        <f>$D33*DEMANDA!AJ48*$D$12+$E33*DEMANDA!AJ48*$D$13</f>
        <v>7201326.1883347966</v>
      </c>
      <c r="AK46" s="530">
        <f>$D33*DEMANDA!AK48*$D$12+$E33*DEMANDA!AK48*$D$13</f>
        <v>7201326.1883347966</v>
      </c>
      <c r="AL46" s="530">
        <f>$D33*DEMANDA!AL48*$D$12+$E33*DEMANDA!AL48*$D$13</f>
        <v>7201326.1883347966</v>
      </c>
      <c r="AM46" s="530">
        <f>$D33*DEMANDA!AM48*$D$12+$E33*DEMANDA!AM48*$D$13</f>
        <v>7201326.1883347966</v>
      </c>
      <c r="AN46" s="530">
        <f>$D33*DEMANDA!AN48*$D$12+$E33*DEMANDA!AN48*$D$13</f>
        <v>7201326.1883347966</v>
      </c>
      <c r="AO46" s="530">
        <f>$D33*DEMANDA!AO48*$D$12+$E33*DEMANDA!AO48*$D$13</f>
        <v>7201326.1883347966</v>
      </c>
      <c r="AP46" s="530">
        <f>$D33*DEMANDA!AP48*$D$12+$E33*DEMANDA!AP48*$D$13</f>
        <v>7201326.1883347966</v>
      </c>
      <c r="AQ46" s="530">
        <f>$D33*DEMANDA!AQ48*$D$12+$E33*DEMANDA!AQ48*$D$13</f>
        <v>7201326.1883347966</v>
      </c>
    </row>
    <row r="47" spans="1:43" ht="14.4" x14ac:dyDescent="0.25">
      <c r="B47" s="520" t="s">
        <v>544</v>
      </c>
      <c r="C47" s="530">
        <f>$D34*DEMANDA!C49*$D$12+$E34*DEMANDA!C49*$D$13</f>
        <v>6268207.0000000009</v>
      </c>
      <c r="D47" s="530">
        <f>$D34*DEMANDA!D49*$D$12+$E34*DEMANDA!D49*$D$13</f>
        <v>8357609.333333334</v>
      </c>
      <c r="E47" s="530">
        <f>$D34*DEMANDA!E49*$D$12+$E34*DEMANDA!E49*$D$13</f>
        <v>8446118.2666666675</v>
      </c>
      <c r="F47" s="530">
        <f>$D34*DEMANDA!F49*$D$12+$E34*DEMANDA!F49*$D$13</f>
        <v>8534627.1999999993</v>
      </c>
      <c r="G47" s="530">
        <f>$D34*DEMANDA!G49*$D$12+$E34*DEMANDA!G49*$D$13</f>
        <v>8623136.1333333328</v>
      </c>
      <c r="H47" s="530">
        <f>$D34*DEMANDA!H49*$D$12+$E34*DEMANDA!H49*$D$13</f>
        <v>8711645.0666666683</v>
      </c>
      <c r="I47" s="530">
        <f>$D34*DEMANDA!I49*$D$12+$E34*DEMANDA!I49*$D$13</f>
        <v>8800154.0000000019</v>
      </c>
      <c r="J47" s="530">
        <f>$D34*DEMANDA!J49*$D$12+$E34*DEMANDA!J49*$D$13</f>
        <v>8844007.1383199748</v>
      </c>
      <c r="K47" s="530">
        <f>$D34*DEMANDA!K49*$D$12+$E34*DEMANDA!K49*$D$13</f>
        <v>8887860.2766399439</v>
      </c>
      <c r="L47" s="530">
        <f>$D34*DEMANDA!L49*$D$12+$E34*DEMANDA!L49*$D$13</f>
        <v>8931713.4149599168</v>
      </c>
      <c r="M47" s="530">
        <f>$D34*DEMANDA!M49*$D$12+$E34*DEMANDA!M49*$D$13</f>
        <v>8975566.553279886</v>
      </c>
      <c r="N47" s="530">
        <f>$D34*DEMANDA!N49*$D$12+$E34*DEMANDA!N49*$D$13</f>
        <v>9019419.6915998645</v>
      </c>
      <c r="O47" s="530">
        <f>$D34*DEMANDA!O49*$D$12+$E34*DEMANDA!O49*$D$13</f>
        <v>9021765.8082401454</v>
      </c>
      <c r="P47" s="530">
        <f>$D34*DEMANDA!P49*$D$12+$E34*DEMANDA!P49*$D$13</f>
        <v>9024111.9248804301</v>
      </c>
      <c r="Q47" s="530">
        <f>$D34*DEMANDA!Q49*$D$12+$E34*DEMANDA!Q49*$D$13</f>
        <v>9026458.0415207148</v>
      </c>
      <c r="R47" s="530">
        <f>$D34*DEMANDA!R49*$D$12+$E34*DEMANDA!R49*$D$13</f>
        <v>9028804.1581609994</v>
      </c>
      <c r="S47" s="530">
        <f>$D34*DEMANDA!S49*$D$12+$E34*DEMANDA!S49*$D$13</f>
        <v>9031150.2748012803</v>
      </c>
      <c r="T47" s="530">
        <f>$D34*DEMANDA!T49*$D$12+$E34*DEMANDA!T49*$D$13</f>
        <v>9098150.2482459564</v>
      </c>
      <c r="U47" s="530">
        <f>$D34*DEMANDA!U49*$D$12+$E34*DEMANDA!U49*$D$13</f>
        <v>9165150.2216906305</v>
      </c>
      <c r="V47" s="530">
        <f>$D34*DEMANDA!V49*$D$12+$E34*DEMANDA!V49*$D$13</f>
        <v>9232150.1951353066</v>
      </c>
      <c r="W47" s="530">
        <f>$D34*DEMANDA!W49*$D$12+$E34*DEMANDA!W49*$D$13</f>
        <v>9299150.1685799789</v>
      </c>
      <c r="X47" s="530">
        <f>$D34*DEMANDA!X49*$D$12+$E34*DEMANDA!X49*$D$13</f>
        <v>9366150.1420246512</v>
      </c>
      <c r="Y47" s="530">
        <f>$D34*DEMANDA!Y49*$D$12+$E34*DEMANDA!Y49*$D$13</f>
        <v>9366150.1420246512</v>
      </c>
      <c r="Z47" s="530">
        <f>$D34*DEMANDA!Z49*$D$12+$E34*DEMANDA!Z49*$D$13</f>
        <v>9366150.1420246512</v>
      </c>
      <c r="AA47" s="530">
        <f>$D34*DEMANDA!AA49*$D$12+$E34*DEMANDA!AA49*$D$13</f>
        <v>9366150.1420246512</v>
      </c>
      <c r="AB47" s="530">
        <f>$D34*DEMANDA!AB49*$D$12+$E34*DEMANDA!AB49*$D$13</f>
        <v>9366150.1420246512</v>
      </c>
      <c r="AC47" s="530">
        <f>$D34*DEMANDA!AC49*$D$12+$E34*DEMANDA!AC49*$D$13</f>
        <v>9366150.1420246512</v>
      </c>
      <c r="AD47" s="530">
        <f>$D34*DEMANDA!AD49*$D$12+$E34*DEMANDA!AD49*$D$13</f>
        <v>9366150.1420246512</v>
      </c>
      <c r="AE47" s="530">
        <f>$D34*DEMANDA!AE49*$D$12+$E34*DEMANDA!AE49*$D$13</f>
        <v>9366150.1420246512</v>
      </c>
      <c r="AF47" s="530">
        <f>$D34*DEMANDA!AF49*$D$12+$E34*DEMANDA!AF49*$D$13</f>
        <v>9366150.1420246512</v>
      </c>
      <c r="AG47" s="530">
        <f>$D34*DEMANDA!AG49*$D$12+$E34*DEMANDA!AG49*$D$13</f>
        <v>9366150.1420246512</v>
      </c>
      <c r="AH47" s="530">
        <f>$D34*DEMANDA!AH49*$D$12+$E34*DEMANDA!AH49*$D$13</f>
        <v>9366150.1420246512</v>
      </c>
      <c r="AI47" s="530">
        <f>$D34*DEMANDA!AI49*$D$12+$E34*DEMANDA!AI49*$D$13</f>
        <v>9366150.1420246512</v>
      </c>
      <c r="AJ47" s="530">
        <f>$D34*DEMANDA!AJ49*$D$12+$E34*DEMANDA!AJ49*$D$13</f>
        <v>9366150.1420246512</v>
      </c>
      <c r="AK47" s="530">
        <f>$D34*DEMANDA!AK49*$D$12+$E34*DEMANDA!AK49*$D$13</f>
        <v>9366150.1420246512</v>
      </c>
      <c r="AL47" s="530">
        <f>$D34*DEMANDA!AL49*$D$12+$E34*DEMANDA!AL49*$D$13</f>
        <v>9366150.1420246512</v>
      </c>
      <c r="AM47" s="530">
        <f>$D34*DEMANDA!AM49*$D$12+$E34*DEMANDA!AM49*$D$13</f>
        <v>9366150.1420246512</v>
      </c>
      <c r="AN47" s="530">
        <f>$D34*DEMANDA!AN49*$D$12+$E34*DEMANDA!AN49*$D$13</f>
        <v>9366150.1420246512</v>
      </c>
      <c r="AO47" s="530">
        <f>$D34*DEMANDA!AO49*$D$12+$E34*DEMANDA!AO49*$D$13</f>
        <v>9366150.1420246512</v>
      </c>
      <c r="AP47" s="530">
        <f>$D34*DEMANDA!AP49*$D$12+$E34*DEMANDA!AP49*$D$13</f>
        <v>9366150.1420246512</v>
      </c>
      <c r="AQ47" s="530">
        <f>$D34*DEMANDA!AQ49*$D$12+$E34*DEMANDA!AQ49*$D$13</f>
        <v>9366150.1420246512</v>
      </c>
    </row>
    <row r="48" spans="1:43" ht="14.4" x14ac:dyDescent="0.25">
      <c r="B48" s="520" t="s">
        <v>545</v>
      </c>
      <c r="C48" s="530">
        <f>$D35*DEMANDA!C49*$D$12+$E35*DEMANDA!C49*$D$13</f>
        <v>7835258.7500000009</v>
      </c>
      <c r="D48" s="530">
        <f>$D35*DEMANDA!D49*$D$12+$E35*DEMANDA!D49*$D$13</f>
        <v>10447011.666666668</v>
      </c>
      <c r="E48" s="530">
        <f>$D35*DEMANDA!E49*$D$12+$E35*DEMANDA!E49*$D$13</f>
        <v>10557647.833333336</v>
      </c>
      <c r="F48" s="530">
        <f>$D35*DEMANDA!F49*$D$12+$E35*DEMANDA!F49*$D$13</f>
        <v>10668284</v>
      </c>
      <c r="G48" s="530">
        <f>$D35*DEMANDA!G49*$D$12+$E35*DEMANDA!G49*$D$13</f>
        <v>10778920.166666668</v>
      </c>
      <c r="H48" s="530">
        <f>$D35*DEMANDA!H49*$D$12+$E35*DEMANDA!H49*$D$13</f>
        <v>10889556.333333336</v>
      </c>
      <c r="I48" s="530">
        <f>$D35*DEMANDA!I49*$D$12+$E35*DEMANDA!I49*$D$13</f>
        <v>11000192.500000004</v>
      </c>
      <c r="J48" s="530">
        <f>$D35*DEMANDA!J49*$D$12+$E35*DEMANDA!J49*$D$13</f>
        <v>11055008.922899967</v>
      </c>
      <c r="K48" s="530">
        <f>$D35*DEMANDA!K49*$D$12+$E35*DEMANDA!K49*$D$13</f>
        <v>11109825.345799934</v>
      </c>
      <c r="L48" s="530">
        <f>$D35*DEMANDA!L49*$D$12+$E35*DEMANDA!L49*$D$13</f>
        <v>11164641.768699896</v>
      </c>
      <c r="M48" s="530">
        <f>$D35*DEMANDA!M49*$D$12+$E35*DEMANDA!M49*$D$13</f>
        <v>11219458.191599861</v>
      </c>
      <c r="N48" s="530">
        <f>$D35*DEMANDA!N49*$D$12+$E35*DEMANDA!N49*$D$13</f>
        <v>11274274.61449983</v>
      </c>
      <c r="O48" s="530">
        <f>$D35*DEMANDA!O49*$D$12+$E35*DEMANDA!O49*$D$13</f>
        <v>11277207.260300186</v>
      </c>
      <c r="P48" s="530">
        <f>$D35*DEMANDA!P49*$D$12+$E35*DEMANDA!P49*$D$13</f>
        <v>11280139.906100538</v>
      </c>
      <c r="Q48" s="530">
        <f>$D35*DEMANDA!Q49*$D$12+$E35*DEMANDA!Q49*$D$13</f>
        <v>11283072.551900893</v>
      </c>
      <c r="R48" s="530">
        <f>$D35*DEMANDA!R49*$D$12+$E35*DEMANDA!R49*$D$13</f>
        <v>11286005.197701249</v>
      </c>
      <c r="S48" s="530">
        <f>$D35*DEMANDA!S49*$D$12+$E35*DEMANDA!S49*$D$13</f>
        <v>11288937.843501601</v>
      </c>
      <c r="T48" s="530">
        <f>$D35*DEMANDA!T49*$D$12+$E35*DEMANDA!T49*$D$13</f>
        <v>11372687.810307445</v>
      </c>
      <c r="U48" s="530">
        <f>$D35*DEMANDA!U49*$D$12+$E35*DEMANDA!U49*$D$13</f>
        <v>11456437.777113289</v>
      </c>
      <c r="V48" s="530">
        <f>$D35*DEMANDA!V49*$D$12+$E35*DEMANDA!V49*$D$13</f>
        <v>11540187.743919132</v>
      </c>
      <c r="W48" s="530">
        <f>$D35*DEMANDA!W49*$D$12+$E35*DEMANDA!W49*$D$13</f>
        <v>11623937.710724974</v>
      </c>
      <c r="X48" s="530">
        <f>$D35*DEMANDA!X49*$D$12+$E35*DEMANDA!X49*$D$13</f>
        <v>11707687.677530818</v>
      </c>
      <c r="Y48" s="530">
        <f>$D35*DEMANDA!Y49*$D$12+$E35*DEMANDA!Y49*$D$13</f>
        <v>11707687.677530818</v>
      </c>
      <c r="Z48" s="530">
        <f>$D35*DEMANDA!Z49*$D$12+$E35*DEMANDA!Z49*$D$13</f>
        <v>11707687.677530818</v>
      </c>
      <c r="AA48" s="530">
        <f>$D35*DEMANDA!AA49*$D$12+$E35*DEMANDA!AA49*$D$13</f>
        <v>11707687.677530818</v>
      </c>
      <c r="AB48" s="530">
        <f>$D35*DEMANDA!AB49*$D$12+$E35*DEMANDA!AB49*$D$13</f>
        <v>11707687.677530818</v>
      </c>
      <c r="AC48" s="530">
        <f>$D35*DEMANDA!AC49*$D$12+$E35*DEMANDA!AC49*$D$13</f>
        <v>11707687.677530818</v>
      </c>
      <c r="AD48" s="530">
        <f>$D35*DEMANDA!AD49*$D$12+$E35*DEMANDA!AD49*$D$13</f>
        <v>11707687.677530818</v>
      </c>
      <c r="AE48" s="530">
        <f>$D35*DEMANDA!AE49*$D$12+$E35*DEMANDA!AE49*$D$13</f>
        <v>11707687.677530818</v>
      </c>
      <c r="AF48" s="530">
        <f>$D35*DEMANDA!AF49*$D$12+$E35*DEMANDA!AF49*$D$13</f>
        <v>11707687.677530818</v>
      </c>
      <c r="AG48" s="530">
        <f>$D35*DEMANDA!AG49*$D$12+$E35*DEMANDA!AG49*$D$13</f>
        <v>11707687.677530818</v>
      </c>
      <c r="AH48" s="530">
        <f>$D35*DEMANDA!AH49*$D$12+$E35*DEMANDA!AH49*$D$13</f>
        <v>11707687.677530818</v>
      </c>
      <c r="AI48" s="530">
        <f>$D35*DEMANDA!AI49*$D$12+$E35*DEMANDA!AI49*$D$13</f>
        <v>11707687.677530818</v>
      </c>
      <c r="AJ48" s="530">
        <f>$D35*DEMANDA!AJ49*$D$12+$E35*DEMANDA!AJ49*$D$13</f>
        <v>11707687.677530818</v>
      </c>
      <c r="AK48" s="530">
        <f>$D35*DEMANDA!AK49*$D$12+$E35*DEMANDA!AK49*$D$13</f>
        <v>11707687.677530818</v>
      </c>
      <c r="AL48" s="530">
        <f>$D35*DEMANDA!AL49*$D$12+$E35*DEMANDA!AL49*$D$13</f>
        <v>11707687.677530818</v>
      </c>
      <c r="AM48" s="530">
        <f>$D35*DEMANDA!AM49*$D$12+$E35*DEMANDA!AM49*$D$13</f>
        <v>11707687.677530818</v>
      </c>
      <c r="AN48" s="530">
        <f>$D35*DEMANDA!AN49*$D$12+$E35*DEMANDA!AN49*$D$13</f>
        <v>11707687.677530818</v>
      </c>
      <c r="AO48" s="530">
        <f>$D35*DEMANDA!AO49*$D$12+$E35*DEMANDA!AO49*$D$13</f>
        <v>11707687.677530818</v>
      </c>
      <c r="AP48" s="530">
        <f>$D35*DEMANDA!AP49*$D$12+$E35*DEMANDA!AP49*$D$13</f>
        <v>11707687.677530818</v>
      </c>
      <c r="AQ48" s="530">
        <f>$D35*DEMANDA!AQ49*$D$12+$E35*DEMANDA!AQ49*$D$13</f>
        <v>11707687.677530818</v>
      </c>
    </row>
    <row r="49" spans="2:43" ht="15" thickBot="1" x14ac:dyDescent="0.3">
      <c r="B49" s="521" t="s">
        <v>546</v>
      </c>
      <c r="C49" s="533">
        <f>$D36*DEMANDA!C49*$D$12+$E36*DEMANDA!C49*$D$13</f>
        <v>9402310.5000000019</v>
      </c>
      <c r="D49" s="533">
        <f>$D36*DEMANDA!D49*$D$12+$E36*DEMANDA!D49*$D$13</f>
        <v>12536414.000000002</v>
      </c>
      <c r="E49" s="533">
        <f>$D36*DEMANDA!E49*$D$12+$E36*DEMANDA!E49*$D$13</f>
        <v>12669177.4</v>
      </c>
      <c r="F49" s="533">
        <f>$D36*DEMANDA!F49*$D$12+$E36*DEMANDA!F49*$D$13</f>
        <v>12801940.799999999</v>
      </c>
      <c r="G49" s="533">
        <f>$D36*DEMANDA!G49*$D$12+$E36*DEMANDA!G49*$D$13</f>
        <v>12934704.200000001</v>
      </c>
      <c r="H49" s="533">
        <f>$D36*DEMANDA!H49*$D$12+$E36*DEMANDA!H49*$D$13</f>
        <v>13067467.600000001</v>
      </c>
      <c r="I49" s="533">
        <f>$D36*DEMANDA!I49*$D$12+$E36*DEMANDA!I49*$D$13</f>
        <v>13200231.000000004</v>
      </c>
      <c r="J49" s="533">
        <f>$D36*DEMANDA!J49*$D$12+$E36*DEMANDA!J49*$D$13</f>
        <v>13266010.707479959</v>
      </c>
      <c r="K49" s="533">
        <f>$D36*DEMANDA!K49*$D$12+$E36*DEMANDA!K49*$D$13</f>
        <v>13331790.414959919</v>
      </c>
      <c r="L49" s="533">
        <f>$D36*DEMANDA!L49*$D$12+$E36*DEMANDA!L49*$D$13</f>
        <v>13397570.122439876</v>
      </c>
      <c r="M49" s="533">
        <f>$D36*DEMANDA!M49*$D$12+$E36*DEMANDA!M49*$D$13</f>
        <v>13463349.829919832</v>
      </c>
      <c r="N49" s="533">
        <f>$D36*DEMANDA!N49*$D$12+$E36*DEMANDA!N49*$D$13</f>
        <v>13529129.537399795</v>
      </c>
      <c r="O49" s="533">
        <f>$D36*DEMANDA!O49*$D$12+$E36*DEMANDA!O49*$D$13</f>
        <v>13532648.712360222</v>
      </c>
      <c r="P49" s="533">
        <f>$D36*DEMANDA!P49*$D$12+$E36*DEMANDA!P49*$D$13</f>
        <v>13536167.887320647</v>
      </c>
      <c r="Q49" s="533">
        <f>$D36*DEMANDA!Q49*$D$12+$E36*DEMANDA!Q49*$D$13</f>
        <v>13539687.062281072</v>
      </c>
      <c r="R49" s="533">
        <f>$D36*DEMANDA!R49*$D$12+$E36*DEMANDA!R49*$D$13</f>
        <v>13543206.237241497</v>
      </c>
      <c r="S49" s="533">
        <f>$D36*DEMANDA!S49*$D$12+$E36*DEMANDA!S49*$D$13</f>
        <v>13546725.412201922</v>
      </c>
      <c r="T49" s="533">
        <f>$D36*DEMANDA!T49*$D$12+$E36*DEMANDA!T49*$D$13</f>
        <v>13647225.372368934</v>
      </c>
      <c r="U49" s="533">
        <f>$D36*DEMANDA!U49*$D$12+$E36*DEMANDA!U49*$D$13</f>
        <v>13747725.332535947</v>
      </c>
      <c r="V49" s="533">
        <f>$D36*DEMANDA!V49*$D$12+$E36*DEMANDA!V49*$D$13</f>
        <v>13848225.292702958</v>
      </c>
      <c r="W49" s="533">
        <f>$D36*DEMANDA!W49*$D$12+$E36*DEMANDA!W49*$D$13</f>
        <v>13948725.252869967</v>
      </c>
      <c r="X49" s="533">
        <f>$D36*DEMANDA!X49*$D$12+$E36*DEMANDA!X49*$D$13</f>
        <v>14049225.21303698</v>
      </c>
      <c r="Y49" s="533">
        <f>$D36*DEMANDA!Y49*$D$12+$E36*DEMANDA!Y49*$D$13</f>
        <v>14049225.21303698</v>
      </c>
      <c r="Z49" s="533">
        <f>$D36*DEMANDA!Z49*$D$12+$E36*DEMANDA!Z49*$D$13</f>
        <v>14049225.21303698</v>
      </c>
      <c r="AA49" s="533">
        <f>$D36*DEMANDA!AA49*$D$12+$E36*DEMANDA!AA49*$D$13</f>
        <v>14049225.21303698</v>
      </c>
      <c r="AB49" s="533">
        <f>$D36*DEMANDA!AB49*$D$12+$E36*DEMANDA!AB49*$D$13</f>
        <v>14049225.21303698</v>
      </c>
      <c r="AC49" s="533">
        <f>$D36*DEMANDA!AC49*$D$12+$E36*DEMANDA!AC49*$D$13</f>
        <v>14049225.21303698</v>
      </c>
      <c r="AD49" s="533">
        <f>$D36*DEMANDA!AD49*$D$12+$E36*DEMANDA!AD49*$D$13</f>
        <v>14049225.21303698</v>
      </c>
      <c r="AE49" s="533">
        <f>$D36*DEMANDA!AE49*$D$12+$E36*DEMANDA!AE49*$D$13</f>
        <v>14049225.21303698</v>
      </c>
      <c r="AF49" s="533">
        <f>$D36*DEMANDA!AF49*$D$12+$E36*DEMANDA!AF49*$D$13</f>
        <v>14049225.21303698</v>
      </c>
      <c r="AG49" s="533">
        <f>$D36*DEMANDA!AG49*$D$12+$E36*DEMANDA!AG49*$D$13</f>
        <v>14049225.21303698</v>
      </c>
      <c r="AH49" s="533">
        <f>$D36*DEMANDA!AH49*$D$12+$E36*DEMANDA!AH49*$D$13</f>
        <v>14049225.21303698</v>
      </c>
      <c r="AI49" s="533">
        <f>$D36*DEMANDA!AI49*$D$12+$E36*DEMANDA!AI49*$D$13</f>
        <v>14049225.21303698</v>
      </c>
      <c r="AJ49" s="533">
        <f>$D36*DEMANDA!AJ49*$D$12+$E36*DEMANDA!AJ49*$D$13</f>
        <v>14049225.21303698</v>
      </c>
      <c r="AK49" s="533">
        <f>$D36*DEMANDA!AK49*$D$12+$E36*DEMANDA!AK49*$D$13</f>
        <v>14049225.21303698</v>
      </c>
      <c r="AL49" s="533">
        <f>$D36*DEMANDA!AL49*$D$12+$E36*DEMANDA!AL49*$D$13</f>
        <v>14049225.21303698</v>
      </c>
      <c r="AM49" s="533">
        <f>$D36*DEMANDA!AM49*$D$12+$E36*DEMANDA!AM49*$D$13</f>
        <v>14049225.21303698</v>
      </c>
      <c r="AN49" s="533">
        <f>$D36*DEMANDA!AN49*$D$12+$E36*DEMANDA!AN49*$D$13</f>
        <v>14049225.21303698</v>
      </c>
      <c r="AO49" s="533">
        <f>$D36*DEMANDA!AO49*$D$12+$E36*DEMANDA!AO49*$D$13</f>
        <v>14049225.21303698</v>
      </c>
      <c r="AP49" s="533">
        <f>$D36*DEMANDA!AP49*$D$12+$E36*DEMANDA!AP49*$D$13</f>
        <v>14049225.21303698</v>
      </c>
      <c r="AQ49" s="533">
        <f>$D36*DEMANDA!AQ49*$D$12+$E36*DEMANDA!AQ49*$D$13</f>
        <v>14049225.21303698</v>
      </c>
    </row>
    <row r="52" spans="2:43" ht="15" thickBot="1" x14ac:dyDescent="0.3">
      <c r="B52" s="517" t="s">
        <v>374</v>
      </c>
      <c r="C52" s="166"/>
    </row>
    <row r="53" spans="2:43" ht="14.4" thickBot="1" x14ac:dyDescent="0.3">
      <c r="B53" s="512" t="s">
        <v>259</v>
      </c>
      <c r="C53" s="522">
        <v>2019</v>
      </c>
      <c r="D53" s="350">
        <v>2020</v>
      </c>
      <c r="E53" s="350">
        <v>2021</v>
      </c>
      <c r="F53" s="350">
        <v>2022</v>
      </c>
      <c r="G53" s="350">
        <v>2023</v>
      </c>
      <c r="H53" s="350">
        <v>2024</v>
      </c>
      <c r="I53" s="350">
        <v>2025</v>
      </c>
      <c r="J53" s="350">
        <v>2026</v>
      </c>
      <c r="K53" s="350">
        <v>2027</v>
      </c>
      <c r="L53" s="350">
        <v>2028</v>
      </c>
      <c r="M53" s="350">
        <v>2029</v>
      </c>
      <c r="N53" s="350">
        <v>2030</v>
      </c>
      <c r="O53" s="350">
        <v>2031</v>
      </c>
      <c r="P53" s="350">
        <v>2032</v>
      </c>
      <c r="Q53" s="350">
        <v>2033</v>
      </c>
      <c r="R53" s="350">
        <v>2034</v>
      </c>
      <c r="S53" s="350">
        <v>2035</v>
      </c>
      <c r="T53" s="350">
        <v>2036</v>
      </c>
      <c r="U53" s="350">
        <v>2037</v>
      </c>
      <c r="V53" s="350">
        <v>2038</v>
      </c>
      <c r="W53" s="350">
        <v>2039</v>
      </c>
      <c r="X53" s="350">
        <v>2040</v>
      </c>
      <c r="Y53" s="350">
        <v>2041</v>
      </c>
      <c r="Z53" s="350">
        <v>2042</v>
      </c>
      <c r="AA53" s="350">
        <v>2043</v>
      </c>
      <c r="AB53" s="350">
        <v>2044</v>
      </c>
      <c r="AC53" s="350">
        <v>2045</v>
      </c>
      <c r="AD53" s="350">
        <v>2046</v>
      </c>
      <c r="AE53" s="350">
        <v>2047</v>
      </c>
      <c r="AF53" s="350">
        <v>2048</v>
      </c>
      <c r="AG53" s="351">
        <v>2049</v>
      </c>
      <c r="AH53" s="350">
        <v>2050</v>
      </c>
      <c r="AI53" s="351">
        <v>2051</v>
      </c>
      <c r="AJ53" s="350">
        <v>2052</v>
      </c>
      <c r="AK53" s="351">
        <v>2053</v>
      </c>
      <c r="AL53" s="350">
        <v>2054</v>
      </c>
      <c r="AM53" s="351">
        <v>2055</v>
      </c>
      <c r="AN53" s="350">
        <v>2056</v>
      </c>
      <c r="AO53" s="351">
        <v>2057</v>
      </c>
      <c r="AP53" s="350">
        <v>2058</v>
      </c>
      <c r="AQ53" s="351">
        <v>2059</v>
      </c>
    </row>
    <row r="54" spans="2:43" ht="14.4" thickBot="1" x14ac:dyDescent="0.3">
      <c r="B54" s="691"/>
      <c r="C54" s="522"/>
      <c r="D54" s="350"/>
      <c r="E54" s="350">
        <v>1</v>
      </c>
      <c r="F54" s="350">
        <v>2</v>
      </c>
      <c r="G54" s="350">
        <v>3</v>
      </c>
      <c r="H54" s="350">
        <v>4</v>
      </c>
      <c r="I54" s="350">
        <v>5</v>
      </c>
      <c r="J54" s="350">
        <v>6</v>
      </c>
      <c r="K54" s="350">
        <v>7</v>
      </c>
      <c r="L54" s="350">
        <v>8</v>
      </c>
      <c r="M54" s="350">
        <v>9</v>
      </c>
      <c r="N54" s="350">
        <v>10</v>
      </c>
      <c r="O54" s="350">
        <v>11</v>
      </c>
      <c r="P54" s="350">
        <v>12</v>
      </c>
      <c r="Q54" s="350">
        <v>13</v>
      </c>
      <c r="R54" s="350">
        <v>14</v>
      </c>
      <c r="S54" s="350">
        <v>15</v>
      </c>
      <c r="T54" s="350">
        <v>16</v>
      </c>
      <c r="U54" s="350">
        <v>17</v>
      </c>
      <c r="V54" s="350">
        <v>18</v>
      </c>
      <c r="W54" s="350">
        <v>19</v>
      </c>
      <c r="X54" s="350">
        <v>20</v>
      </c>
      <c r="Y54" s="350">
        <v>21</v>
      </c>
      <c r="Z54" s="350">
        <v>22</v>
      </c>
      <c r="AA54" s="350">
        <v>23</v>
      </c>
      <c r="AB54" s="350">
        <v>24</v>
      </c>
      <c r="AC54" s="350">
        <v>25</v>
      </c>
      <c r="AD54" s="350">
        <v>26</v>
      </c>
      <c r="AE54" s="350">
        <v>27</v>
      </c>
      <c r="AF54" s="350">
        <v>28</v>
      </c>
      <c r="AG54" s="350">
        <v>29</v>
      </c>
      <c r="AH54" s="350">
        <v>30</v>
      </c>
      <c r="AI54" s="350">
        <v>31</v>
      </c>
      <c r="AJ54" s="350">
        <v>32</v>
      </c>
      <c r="AK54" s="350">
        <v>33</v>
      </c>
      <c r="AL54" s="350">
        <v>34</v>
      </c>
      <c r="AM54" s="350">
        <v>35</v>
      </c>
      <c r="AN54" s="350">
        <v>36</v>
      </c>
      <c r="AO54" s="350">
        <v>37</v>
      </c>
      <c r="AP54" s="350">
        <v>38</v>
      </c>
      <c r="AQ54" s="350">
        <v>39</v>
      </c>
    </row>
    <row r="55" spans="2:43" ht="15" thickBot="1" x14ac:dyDescent="0.3">
      <c r="B55" s="519" t="s">
        <v>542</v>
      </c>
      <c r="C55" s="689">
        <f>C45</f>
        <v>3842975.4000000004</v>
      </c>
      <c r="D55" s="690">
        <f>D45*(1)</f>
        <v>5123967.2000000011</v>
      </c>
      <c r="E55" s="690">
        <f>E45*(1+PARAMETROS!$G$88)*(1+PARAMETROS!$H$88)^E$54</f>
        <v>5415250.5554400003</v>
      </c>
      <c r="F55" s="1014">
        <f>F45*(1+PARAMETROS!$G$88)*(1+PARAMETROS!$H$88)^(F$54-1)</f>
        <v>5473393.4032800011</v>
      </c>
      <c r="G55" s="690">
        <f>G45*(1+PARAMETROS!$G$88)*(1+PARAMETROS!$H$88)^G$54</f>
        <v>5755010.3156652479</v>
      </c>
      <c r="H55" s="1014">
        <f>H45*(1+PARAMETROS!$G$88)*(1+PARAMETROS!$H$88)^(H$54-1)</f>
        <v>5815502.1345579829</v>
      </c>
      <c r="I55" s="690">
        <f>I45*(1+PARAMETROS!$G$88)*(1+PARAMETROS!$H$88)^I$54</f>
        <v>6113384.1091701305</v>
      </c>
      <c r="J55" s="1014">
        <f>J45*(1+PARAMETROS!$G$88)*(1+PARAMETROS!$H$88)^(J$54-1)</f>
        <v>6132128.7001290489</v>
      </c>
      <c r="K55" s="690">
        <f>K45*(1+PARAMETROS!$G$88)*(1+PARAMETROS!$H$88)^K$54</f>
        <v>6399368.5720479218</v>
      </c>
      <c r="L55" s="1014">
        <f>L45*(1+PARAMETROS!$G$88)*(1+PARAMETROS!$H$88)^(L$54-1)</f>
        <v>6418870.4444815824</v>
      </c>
      <c r="M55" s="690">
        <f>M45*(1+PARAMETROS!$G$88)*(1+PARAMETROS!$H$88)^M$54</f>
        <v>6698482.5585186165</v>
      </c>
      <c r="N55" s="1014">
        <f>N45*(1+PARAMETROS!$G$88)*(1+PARAMETROS!$H$88)^(N$54-1)</f>
        <v>6718772.3065985991</v>
      </c>
      <c r="O55" s="690">
        <f>O45*(1+PARAMETROS!$G$88)*(1+PARAMETROS!$H$88)^O$54</f>
        <v>7018208.0927480953</v>
      </c>
      <c r="P55" s="1014">
        <f>P45*(1+PARAMETROS!$G$88)*(1+PARAMETROS!$H$88)^(P$54-1)</f>
        <v>7046205.4777110061</v>
      </c>
      <c r="Q55" s="690">
        <f>Q45*(1+PARAMETROS!$G$88)*(1+PARAMETROS!$H$88)^Q$54</f>
        <v>7360000.6583259422</v>
      </c>
      <c r="R55" s="1014">
        <f>R45*(1+PARAMETROS!$G$88)*(1+PARAMETROS!$H$88)^(R$54-1)</f>
        <v>7389129.1376413563</v>
      </c>
      <c r="S55" s="690">
        <f>S45*(1+PARAMETROS!$G$88)*(1+PARAMETROS!$H$88)^S$54</f>
        <v>7717955.224681817</v>
      </c>
      <c r="T55" s="1014">
        <f>T45*(1+PARAMETROS!$G$88)*(1+PARAMETROS!$H$88)^(T$54-1)</f>
        <v>7782048.2508399636</v>
      </c>
      <c r="U55" s="690">
        <f>U45*(1+PARAMETROS!$G$88)*(1+PARAMETROS!$H$88)^U$54</f>
        <v>8163125.3845888348</v>
      </c>
      <c r="V55" s="1014">
        <f>V45*(1+PARAMETROS!$G$88)*(1+PARAMETROS!$H$88)^(V$54-1)</f>
        <v>8229807.7690037666</v>
      </c>
      <c r="W55" s="690">
        <f>W45*(1+PARAMETROS!$G$88)*(1+PARAMETROS!$H$88)^W$54</f>
        <v>8631668.3556168154</v>
      </c>
      <c r="X55" s="1014">
        <f>X45*(1+PARAMETROS!$G$88)*(1+PARAMETROS!$H$88)^(X$54-1)</f>
        <v>8701044.7083621118</v>
      </c>
      <c r="Y55" s="690">
        <f>Y45*(1+PARAMETROS!$G$88)*(1+PARAMETROS!$H$88)^Y$54</f>
        <v>9052566.9145799428</v>
      </c>
      <c r="Z55" s="1014">
        <f>Z45*(1+PARAMETROS!$G$88)*(1+PARAMETROS!$H$88)^(Z$54-1)</f>
        <v>9052566.9145799428</v>
      </c>
      <c r="AA55" s="690">
        <f>AA45*(1+PARAMETROS!$G$88)*(1+PARAMETROS!$H$88)^AA$54</f>
        <v>9418290.6179289706</v>
      </c>
      <c r="AB55" s="1014">
        <f>AB45*(1+PARAMETROS!$G$88)*(1+PARAMETROS!$H$88)^(AB$54-1)</f>
        <v>9418290.6179289706</v>
      </c>
      <c r="AC55" s="690">
        <f>AC45*(1+PARAMETROS!$G$88)*(1+PARAMETROS!$H$88)^AC$54</f>
        <v>9798789.5588933006</v>
      </c>
      <c r="AD55" s="1014">
        <f>AD45*(1+PARAMETROS!$G$88)*(1+PARAMETROS!$H$88)^(AD$54-1)</f>
        <v>9798789.5588933006</v>
      </c>
      <c r="AE55" s="690">
        <f>AE45*(1+PARAMETROS!$G$88)*(1+PARAMETROS!$H$88)^AE$54</f>
        <v>10194660.657072591</v>
      </c>
      <c r="AF55" s="1014">
        <f>AF45*(1+PARAMETROS!$G$88)*(1+PARAMETROS!$H$88)^(AF$54-1)</f>
        <v>10194660.657072591</v>
      </c>
      <c r="AG55" s="690">
        <f>AG45*(1+PARAMETROS!$G$88)*(1+PARAMETROS!$H$88)^AG$54</f>
        <v>10606524.947618322</v>
      </c>
      <c r="AH55" s="1014">
        <f>AH45*(1+PARAMETROS!$G$88)*(1+PARAMETROS!$H$88)^(AH$54-1)</f>
        <v>10606524.947618322</v>
      </c>
      <c r="AI55" s="690">
        <f>AI45*(1+PARAMETROS!$G$88)*(1+PARAMETROS!$H$88)^AI$54</f>
        <v>11035028.555502102</v>
      </c>
      <c r="AJ55" s="1014">
        <f>AJ45*(1+PARAMETROS!$G$88)*(1+PARAMETROS!$H$88)^(AJ$54-1)</f>
        <v>11035028.555502102</v>
      </c>
      <c r="AK55" s="690">
        <f>AK45*(1+PARAMETROS!$G$88)*(1+PARAMETROS!$H$88)^AK$54</f>
        <v>11480843.709144389</v>
      </c>
      <c r="AL55" s="1014">
        <f>AL45*(1+PARAMETROS!$G$88)*(1+PARAMETROS!$H$88)^(AL$54-1)</f>
        <v>11480843.709144389</v>
      </c>
      <c r="AM55" s="690">
        <f>AM45*(1+PARAMETROS!$G$88)*(1+PARAMETROS!$H$88)^AM$54</f>
        <v>11944669.794993822</v>
      </c>
      <c r="AN55" s="1014">
        <f>AN45*(1+PARAMETROS!$G$88)*(1+PARAMETROS!$H$88)^(AN$54-1)</f>
        <v>11944669.794993822</v>
      </c>
      <c r="AO55" s="690">
        <f>AO45*(1+PARAMETROS!$G$88)*(1+PARAMETROS!$H$88)^AO$54</f>
        <v>12427234.454711573</v>
      </c>
      <c r="AP55" s="1014">
        <f>AP45*(1+PARAMETROS!$G$88)*(1+PARAMETROS!$H$88)^(AP$54-1)</f>
        <v>12427234.454711573</v>
      </c>
      <c r="AQ55" s="690">
        <f>AQ45*(1+PARAMETROS!$G$88)*(1+PARAMETROS!$H$88)^AQ$54</f>
        <v>12929294.726681918</v>
      </c>
    </row>
    <row r="56" spans="2:43" ht="15" thickBot="1" x14ac:dyDescent="0.3">
      <c r="B56" s="520" t="s">
        <v>543</v>
      </c>
      <c r="C56" s="689">
        <f>C46</f>
        <v>4762205.25</v>
      </c>
      <c r="D56" s="690">
        <f>D46*(1)</f>
        <v>6349607.0000000009</v>
      </c>
      <c r="E56" s="690">
        <f>E46*(1+PARAMETROS!$G$88)*(1+PARAMETROS!$H$88)^E$54</f>
        <v>6712724.5449000001</v>
      </c>
      <c r="F56" s="1014">
        <f>F46*(1+PARAMETROS!$G$88)*(1+PARAMETROS!$H$88)^(F$54-1)</f>
        <v>6786934.9713000003</v>
      </c>
      <c r="G56" s="690">
        <f>G46*(1+PARAMETROS!$G$88)*(1+PARAMETROS!$H$88)^G$54</f>
        <v>7138335.6717670783</v>
      </c>
      <c r="H56" s="1014">
        <f>H46*(1+PARAMETROS!$G$88)*(1+PARAMETROS!$H$88)^(H$54-1)</f>
        <v>7215544.1993936375</v>
      </c>
      <c r="I56" s="690">
        <f>I46*(1+PARAMETROS!$G$88)*(1+PARAMETROS!$H$88)^I$54</f>
        <v>7587379.9371918151</v>
      </c>
      <c r="J56" s="1014">
        <f>J46*(1+PARAMETROS!$G$88)*(1+PARAMETROS!$H$88)^(J$54-1)</f>
        <v>7630374.7548907883</v>
      </c>
      <c r="K56" s="690">
        <f>K46*(1+PARAMETROS!$G$88)*(1+PARAMETROS!$H$88)^K$54</f>
        <v>7983373.7033223882</v>
      </c>
      <c r="L56" s="1014">
        <f>L46*(1+PARAMETROS!$G$88)*(1+PARAMETROS!$H$88)^(L$54-1)</f>
        <v>8028105.5116563989</v>
      </c>
      <c r="M56" s="690">
        <f>M46*(1+PARAMETROS!$G$88)*(1+PARAMETROS!$H$88)^M$54</f>
        <v>8398979.9477180261</v>
      </c>
      <c r="N56" s="1014">
        <f>N46*(1+PARAMETROS!$G$88)*(1+PARAMETROS!$H$88)^(N$54-1)</f>
        <v>8445518.9211087301</v>
      </c>
      <c r="O56" s="690">
        <f>O46*(1+PARAMETROS!$G$88)*(1+PARAMETROS!$H$88)^O$54</f>
        <v>8797445.2713202015</v>
      </c>
      <c r="P56" s="1014">
        <f>P46*(1+PARAMETROS!$G$88)*(1+PARAMETROS!$H$88)^(P$54-1)</f>
        <v>8808172.6571188774</v>
      </c>
      <c r="Q56" s="690">
        <f>Q46*(1+PARAMETROS!$G$88)*(1+PARAMETROS!$H$88)^Q$54</f>
        <v>9175183.6046514288</v>
      </c>
      <c r="R56" s="1014">
        <f>R46*(1+PARAMETROS!$G$88)*(1+PARAMETROS!$H$88)^(R$54-1)</f>
        <v>9186344.3768363725</v>
      </c>
      <c r="S56" s="690">
        <f>S46*(1+PARAMETROS!$G$88)*(1+PARAMETROS!$H$88)^S$54</f>
        <v>9569084.3570417799</v>
      </c>
      <c r="T56" s="1014">
        <f>T46*(1+PARAMETROS!$G$88)*(1+PARAMETROS!$H$88)^(T$54-1)</f>
        <v>9642135.05235238</v>
      </c>
      <c r="U56" s="690">
        <f>U46*(1+PARAMETROS!$G$88)*(1+PARAMETROS!$H$88)^U$54</f>
        <v>10107679.251868568</v>
      </c>
      <c r="V56" s="1014">
        <f>V46*(1+PARAMETROS!$G$88)*(1+PARAMETROS!$H$88)^(V$54-1)</f>
        <v>10183681.195269719</v>
      </c>
      <c r="W56" s="690">
        <f>W46*(1+PARAMETROS!$G$88)*(1+PARAMETROS!$H$88)^W$54</f>
        <v>10674174.337473169</v>
      </c>
      <c r="X56" s="1014">
        <f>X46*(1+PARAMETROS!$G$88)*(1+PARAMETROS!$H$88)^(X$54-1)</f>
        <v>10753246.759387733</v>
      </c>
      <c r="Y56" s="690">
        <f>Y46*(1+PARAMETROS!$G$88)*(1+PARAMETROS!$H$88)^Y$54</f>
        <v>11187677.928466998</v>
      </c>
      <c r="Z56" s="1014">
        <f>Z46*(1+PARAMETROS!$G$88)*(1+PARAMETROS!$H$88)^(Z$54-1)</f>
        <v>11187677.928466998</v>
      </c>
      <c r="AA56" s="690">
        <f>AA46*(1+PARAMETROS!$G$88)*(1+PARAMETROS!$H$88)^AA$54</f>
        <v>11639660.116777062</v>
      </c>
      <c r="AB56" s="1014">
        <f>AB46*(1+PARAMETROS!$G$88)*(1+PARAMETROS!$H$88)^(AB$54-1)</f>
        <v>11639660.116777062</v>
      </c>
      <c r="AC56" s="690">
        <f>AC46*(1+PARAMETROS!$G$88)*(1+PARAMETROS!$H$88)^AC$54</f>
        <v>12109902.385494856</v>
      </c>
      <c r="AD56" s="1014">
        <f>AD46*(1+PARAMETROS!$G$88)*(1+PARAMETROS!$H$88)^(AD$54-1)</f>
        <v>12109902.385494856</v>
      </c>
      <c r="AE56" s="690">
        <f>AE46*(1+PARAMETROS!$G$88)*(1+PARAMETROS!$H$88)^AE$54</f>
        <v>12599142.441868847</v>
      </c>
      <c r="AF56" s="1014">
        <f>AF46*(1+PARAMETROS!$G$88)*(1+PARAMETROS!$H$88)^(AF$54-1)</f>
        <v>12599142.441868847</v>
      </c>
      <c r="AG56" s="690">
        <f>AG46*(1+PARAMETROS!$G$88)*(1+PARAMETROS!$H$88)^AG$54</f>
        <v>13108147.796520351</v>
      </c>
      <c r="AH56" s="1014">
        <f>AH46*(1+PARAMETROS!$G$88)*(1+PARAMETROS!$H$88)^(AH$54-1)</f>
        <v>13108147.796520351</v>
      </c>
      <c r="AI56" s="690">
        <f>AI46*(1+PARAMETROS!$G$88)*(1+PARAMETROS!$H$88)^AI$54</f>
        <v>13637716.96749977</v>
      </c>
      <c r="AJ56" s="1014">
        <f>AJ46*(1+PARAMETROS!$G$88)*(1+PARAMETROS!$H$88)^(AJ$54-1)</f>
        <v>13637716.96749977</v>
      </c>
      <c r="AK56" s="690">
        <f>AK46*(1+PARAMETROS!$G$88)*(1+PARAMETROS!$H$88)^AK$54</f>
        <v>14188680.732986765</v>
      </c>
      <c r="AL56" s="1014">
        <f>AL46*(1+PARAMETROS!$G$88)*(1+PARAMETROS!$H$88)^(AL$54-1)</f>
        <v>14188680.732986765</v>
      </c>
      <c r="AM56" s="690">
        <f>AM46*(1+PARAMETROS!$G$88)*(1+PARAMETROS!$H$88)^AM$54</f>
        <v>14761903.434599428</v>
      </c>
      <c r="AN56" s="1014">
        <f>AN46*(1+PARAMETROS!$G$88)*(1+PARAMETROS!$H$88)^(AN$54-1)</f>
        <v>14761903.434599428</v>
      </c>
      <c r="AO56" s="690">
        <f>AO46*(1+PARAMETROS!$G$88)*(1+PARAMETROS!$H$88)^AO$54</f>
        <v>15358284.333357247</v>
      </c>
      <c r="AP56" s="1014">
        <f>AP46*(1+PARAMETROS!$G$88)*(1+PARAMETROS!$H$88)^(AP$54-1)</f>
        <v>15358284.333357247</v>
      </c>
      <c r="AQ56" s="690">
        <f>AQ46*(1+PARAMETROS!$G$88)*(1+PARAMETROS!$H$88)^AQ$54</f>
        <v>15978759.020424874</v>
      </c>
    </row>
    <row r="57" spans="2:43" ht="15" thickBot="1" x14ac:dyDescent="0.3">
      <c r="B57" s="520" t="s">
        <v>544</v>
      </c>
      <c r="C57" s="689">
        <f>C47</f>
        <v>6268207.0000000009</v>
      </c>
      <c r="D57" s="690">
        <f>D47*(1)</f>
        <v>8357609.333333334</v>
      </c>
      <c r="E57" s="690">
        <f>E47*(1+PARAMETROS!$G$88)*(1+PARAMETROS!$H$88)^E$54</f>
        <v>8830416.6478000004</v>
      </c>
      <c r="F57" s="1014">
        <f>F47*(1+PARAMETROS!$G$88)*(1+PARAMETROS!$H$88)^(F$54-1)</f>
        <v>8922952.7375999987</v>
      </c>
      <c r="G57" s="690">
        <f>G47*(1+PARAMETROS!$G$88)*(1+PARAMETROS!$H$88)^G$54</f>
        <v>9379714.5760269575</v>
      </c>
      <c r="H57" s="1014">
        <f>H47*(1+PARAMETROS!$G$88)*(1+PARAMETROS!$H$88)^(H$54-1)</f>
        <v>9475989.1238548793</v>
      </c>
      <c r="I57" s="690">
        <f>I47*(1+PARAMETROS!$G$88)*(1+PARAMETROS!$H$88)^I$54</f>
        <v>9958983.1240187865</v>
      </c>
      <c r="J57" s="1014">
        <f>J47*(1+PARAMETROS!$G$88)*(1+PARAMETROS!$H$88)^(J$54-1)</f>
        <v>10008610.967402421</v>
      </c>
      <c r="K57" s="690">
        <f>K47*(1+PARAMETROS!$G$88)*(1+PARAMETROS!$H$88)^K$54</f>
        <v>10464591.658741808</v>
      </c>
      <c r="L57" s="1014">
        <f>L47*(1+PARAMETROS!$G$88)*(1+PARAMETROS!$H$88)^(L$54-1)</f>
        <v>10516224.466998143</v>
      </c>
      <c r="M57" s="690">
        <f>M47*(1+PARAMETROS!$G$88)*(1+PARAMETROS!$H$88)^M$54</f>
        <v>10994798.709174752</v>
      </c>
      <c r="N57" s="1014">
        <f>N47*(1+PARAMETROS!$G$88)*(1+PARAMETROS!$H$88)^(N$54-1)</f>
        <v>11048517.482884649</v>
      </c>
      <c r="O57" s="690">
        <f>O47*(1+PARAMETROS!$G$88)*(1+PARAMETROS!$H$88)^O$54</f>
        <v>11497867.617877087</v>
      </c>
      <c r="P57" s="1014">
        <f>P47*(1+PARAMETROS!$G$88)*(1+PARAMETROS!$H$88)^(P$54-1)</f>
        <v>11500857.646560987</v>
      </c>
      <c r="Q57" s="690">
        <f>Q47*(1+PARAMETROS!$G$88)*(1+PARAMETROS!$H$88)^Q$54</f>
        <v>11968603.121324789</v>
      </c>
      <c r="R57" s="1014">
        <f>R47*(1+PARAMETROS!$G$88)*(1+PARAMETROS!$H$88)^(R$54-1)</f>
        <v>11971713.947167519</v>
      </c>
      <c r="S57" s="690">
        <f>S47*(1+PARAMETROS!$G$88)*(1+PARAMETROS!$H$88)^S$54</f>
        <v>12458607.693839859</v>
      </c>
      <c r="T57" s="1014">
        <f>T47*(1+PARAMETROS!$G$88)*(1+PARAMETROS!$H$88)^(T$54-1)</f>
        <v>12551035.165340798</v>
      </c>
      <c r="U57" s="690">
        <f>U47*(1+PARAMETROS!$G$88)*(1+PARAMETROS!$H$88)^U$54</f>
        <v>13154258.527370147</v>
      </c>
      <c r="V57" s="1014">
        <f>V47*(1+PARAMETROS!$G$88)*(1+PARAMETROS!$H$88)^(V$54-1)</f>
        <v>13250420.068719724</v>
      </c>
      <c r="W57" s="690">
        <f>W47*(1+PARAMETROS!$G$88)*(1+PARAMETROS!$H$88)^W$54</f>
        <v>13885783.507116096</v>
      </c>
      <c r="X57" s="1014">
        <f>X47*(1+PARAMETROS!$G$88)*(1+PARAMETROS!$H$88)^(X$54-1)</f>
        <v>13985829.974736191</v>
      </c>
      <c r="Y57" s="690">
        <f>Y47*(1+PARAMETROS!$G$88)*(1+PARAMETROS!$H$88)^Y$54</f>
        <v>14550857.505715534</v>
      </c>
      <c r="Z57" s="1014">
        <f>Z47*(1+PARAMETROS!$G$88)*(1+PARAMETROS!$H$88)^(Z$54-1)</f>
        <v>14550857.505715534</v>
      </c>
      <c r="AA57" s="690">
        <f>AA47*(1+PARAMETROS!$G$88)*(1+PARAMETROS!$H$88)^AA$54</f>
        <v>15138712.14894644</v>
      </c>
      <c r="AB57" s="1014">
        <f>AB47*(1+PARAMETROS!$G$88)*(1+PARAMETROS!$H$88)^(AB$54-1)</f>
        <v>15138712.14894644</v>
      </c>
      <c r="AC57" s="690">
        <f>AC47*(1+PARAMETROS!$G$88)*(1+PARAMETROS!$H$88)^AC$54</f>
        <v>15750316.119763877</v>
      </c>
      <c r="AD57" s="1014">
        <f>AD47*(1+PARAMETROS!$G$88)*(1+PARAMETROS!$H$88)^(AD$54-1)</f>
        <v>15750316.119763877</v>
      </c>
      <c r="AE57" s="690">
        <f>AE47*(1+PARAMETROS!$G$88)*(1+PARAMETROS!$H$88)^AE$54</f>
        <v>16386628.891002337</v>
      </c>
      <c r="AF57" s="1014">
        <f>AF47*(1+PARAMETROS!$G$88)*(1+PARAMETROS!$H$88)^(AF$54-1)</f>
        <v>16386628.891002337</v>
      </c>
      <c r="AG57" s="690">
        <f>AG47*(1+PARAMETROS!$G$88)*(1+PARAMETROS!$H$88)^AG$54</f>
        <v>17048648.698198833</v>
      </c>
      <c r="AH57" s="1014">
        <f>AH47*(1+PARAMETROS!$G$88)*(1+PARAMETROS!$H$88)^(AH$54-1)</f>
        <v>17048648.698198833</v>
      </c>
      <c r="AI57" s="690">
        <f>AI47*(1+PARAMETROS!$G$88)*(1+PARAMETROS!$H$88)^AI$54</f>
        <v>17737414.10560606</v>
      </c>
      <c r="AJ57" s="1014">
        <f>AJ47*(1+PARAMETROS!$G$88)*(1+PARAMETROS!$H$88)^(AJ$54-1)</f>
        <v>17737414.10560606</v>
      </c>
      <c r="AK57" s="690">
        <f>AK47*(1+PARAMETROS!$G$88)*(1+PARAMETROS!$H$88)^AK$54</f>
        <v>18454005.635472551</v>
      </c>
      <c r="AL57" s="1014">
        <f>AL47*(1+PARAMETROS!$G$88)*(1+PARAMETROS!$H$88)^(AL$54-1)</f>
        <v>18454005.635472551</v>
      </c>
      <c r="AM57" s="690">
        <f>AM47*(1+PARAMETROS!$G$88)*(1+PARAMETROS!$H$88)^AM$54</f>
        <v>19199547.46314564</v>
      </c>
      <c r="AN57" s="1014">
        <f>AN47*(1+PARAMETROS!$G$88)*(1+PARAMETROS!$H$88)^(AN$54-1)</f>
        <v>19199547.46314564</v>
      </c>
      <c r="AO57" s="690">
        <f>AO47*(1+PARAMETROS!$G$88)*(1+PARAMETROS!$H$88)^AO$54</f>
        <v>19975209.180656727</v>
      </c>
      <c r="AP57" s="1014">
        <f>AP47*(1+PARAMETROS!$G$88)*(1+PARAMETROS!$H$88)^(AP$54-1)</f>
        <v>19975209.180656727</v>
      </c>
      <c r="AQ57" s="690">
        <f>AQ47*(1+PARAMETROS!$G$88)*(1+PARAMETROS!$H$88)^AQ$54</f>
        <v>20782207.631555252</v>
      </c>
    </row>
    <row r="58" spans="2:43" ht="15" thickBot="1" x14ac:dyDescent="0.3">
      <c r="B58" s="520" t="s">
        <v>545</v>
      </c>
      <c r="C58" s="689">
        <f>C48</f>
        <v>7835258.7500000009</v>
      </c>
      <c r="D58" s="690">
        <f>D48*(1)</f>
        <v>10447011.666666668</v>
      </c>
      <c r="E58" s="690">
        <f>E48*(1+PARAMETROS!$G$88)*(1+PARAMETROS!$H$88)^E$54</f>
        <v>11038020.809750002</v>
      </c>
      <c r="F58" s="1014">
        <f>F48*(1+PARAMETROS!$G$88)*(1+PARAMETROS!$H$88)^(F$54-1)</f>
        <v>11153690.922</v>
      </c>
      <c r="G58" s="690">
        <f>G48*(1+PARAMETROS!$G$88)*(1+PARAMETROS!$H$88)^G$54</f>
        <v>11724643.2200337</v>
      </c>
      <c r="H58" s="1014">
        <f>H48*(1+PARAMETROS!$G$88)*(1+PARAMETROS!$H$88)^(H$54-1)</f>
        <v>11844986.404818602</v>
      </c>
      <c r="I58" s="690">
        <f>I48*(1+PARAMETROS!$G$88)*(1+PARAMETROS!$H$88)^I$54</f>
        <v>12448728.905023485</v>
      </c>
      <c r="J58" s="1014">
        <f>J48*(1+PARAMETROS!$G$88)*(1+PARAMETROS!$H$88)^(J$54-1)</f>
        <v>12510763.709253026</v>
      </c>
      <c r="K58" s="690">
        <f>K48*(1+PARAMETROS!$G$88)*(1+PARAMETROS!$H$88)^K$54</f>
        <v>13080739.573427266</v>
      </c>
      <c r="L58" s="1014">
        <f>L48*(1+PARAMETROS!$G$88)*(1+PARAMETROS!$H$88)^(L$54-1)</f>
        <v>13145280.583747678</v>
      </c>
      <c r="M58" s="690">
        <f>M48*(1+PARAMETROS!$G$88)*(1+PARAMETROS!$H$88)^M$54</f>
        <v>13743498.386468446</v>
      </c>
      <c r="N58" s="1014">
        <f>N48*(1+PARAMETROS!$G$88)*(1+PARAMETROS!$H$88)^(N$54-1)</f>
        <v>13810646.853605812</v>
      </c>
      <c r="O58" s="690">
        <f>O48*(1+PARAMETROS!$G$88)*(1+PARAMETROS!$H$88)^O$54</f>
        <v>14372334.522346362</v>
      </c>
      <c r="P58" s="1014">
        <f>P48*(1+PARAMETROS!$G$88)*(1+PARAMETROS!$H$88)^(P$54-1)</f>
        <v>14376072.058201237</v>
      </c>
      <c r="Q58" s="690">
        <f>Q48*(1+PARAMETROS!$G$88)*(1+PARAMETROS!$H$88)^Q$54</f>
        <v>14960753.901655983</v>
      </c>
      <c r="R58" s="1014">
        <f>R48*(1+PARAMETROS!$G$88)*(1+PARAMETROS!$H$88)^(R$54-1)</f>
        <v>14964642.4339594</v>
      </c>
      <c r="S58" s="690">
        <f>S48*(1+PARAMETROS!$G$88)*(1+PARAMETROS!$H$88)^S$54</f>
        <v>15573259.617299825</v>
      </c>
      <c r="T58" s="1014">
        <f>T48*(1+PARAMETROS!$G$88)*(1+PARAMETROS!$H$88)^(T$54-1)</f>
        <v>15688793.956675997</v>
      </c>
      <c r="U58" s="690">
        <f>U48*(1+PARAMETROS!$G$88)*(1+PARAMETROS!$H$88)^U$54</f>
        <v>16442823.159212684</v>
      </c>
      <c r="V58" s="1014">
        <f>V48*(1+PARAMETROS!$G$88)*(1+PARAMETROS!$H$88)^(V$54-1)</f>
        <v>16563025.085899657</v>
      </c>
      <c r="W58" s="690">
        <f>W48*(1+PARAMETROS!$G$88)*(1+PARAMETROS!$H$88)^W$54</f>
        <v>17357229.383895122</v>
      </c>
      <c r="X58" s="1014">
        <f>X48*(1+PARAMETROS!$G$88)*(1+PARAMETROS!$H$88)^(X$54-1)</f>
        <v>17482287.468420245</v>
      </c>
      <c r="Y58" s="690">
        <f>Y48*(1+PARAMETROS!$G$88)*(1+PARAMETROS!$H$88)^Y$54</f>
        <v>18188571.882144425</v>
      </c>
      <c r="Z58" s="1014">
        <f>Z48*(1+PARAMETROS!$G$88)*(1+PARAMETROS!$H$88)^(Z$54-1)</f>
        <v>18188571.882144425</v>
      </c>
      <c r="AA58" s="690">
        <f>AA48*(1+PARAMETROS!$G$88)*(1+PARAMETROS!$H$88)^AA$54</f>
        <v>18923390.186183058</v>
      </c>
      <c r="AB58" s="1014">
        <f>AB48*(1+PARAMETROS!$G$88)*(1+PARAMETROS!$H$88)^(AB$54-1)</f>
        <v>18923390.186183058</v>
      </c>
      <c r="AC58" s="690">
        <f>AC48*(1+PARAMETROS!$G$88)*(1+PARAMETROS!$H$88)^AC$54</f>
        <v>19687895.149704855</v>
      </c>
      <c r="AD58" s="1014">
        <f>AD48*(1+PARAMETROS!$G$88)*(1+PARAMETROS!$H$88)^(AD$54-1)</f>
        <v>19687895.149704855</v>
      </c>
      <c r="AE58" s="690">
        <f>AE48*(1+PARAMETROS!$G$88)*(1+PARAMETROS!$H$88)^AE$54</f>
        <v>20483286.113752928</v>
      </c>
      <c r="AF58" s="1014">
        <f>AF48*(1+PARAMETROS!$G$88)*(1+PARAMETROS!$H$88)^(AF$54-1)</f>
        <v>20483286.113752928</v>
      </c>
      <c r="AG58" s="690">
        <f>AG48*(1+PARAMETROS!$G$88)*(1+PARAMETROS!$H$88)^AG$54</f>
        <v>21310810.872748546</v>
      </c>
      <c r="AH58" s="1014">
        <f>AH48*(1+PARAMETROS!$G$88)*(1+PARAMETROS!$H$88)^(AH$54-1)</f>
        <v>21310810.872748546</v>
      </c>
      <c r="AI58" s="690">
        <f>AI48*(1+PARAMETROS!$G$88)*(1+PARAMETROS!$H$88)^AI$54</f>
        <v>22171767.632007588</v>
      </c>
      <c r="AJ58" s="1014">
        <f>AJ48*(1+PARAMETROS!$G$88)*(1+PARAMETROS!$H$88)^(AJ$54-1)</f>
        <v>22171767.632007588</v>
      </c>
      <c r="AK58" s="690">
        <f>AK48*(1+PARAMETROS!$G$88)*(1+PARAMETROS!$H$88)^AK$54</f>
        <v>23067507.0443407</v>
      </c>
      <c r="AL58" s="1014">
        <f>AL48*(1+PARAMETROS!$G$88)*(1+PARAMETROS!$H$88)^(AL$54-1)</f>
        <v>23067507.0443407</v>
      </c>
      <c r="AM58" s="690">
        <f>AM48*(1+PARAMETROS!$G$88)*(1+PARAMETROS!$H$88)^AM$54</f>
        <v>23999434.328932062</v>
      </c>
      <c r="AN58" s="1014">
        <f>AN48*(1+PARAMETROS!$G$88)*(1+PARAMETROS!$H$88)^(AN$54-1)</f>
        <v>23999434.328932062</v>
      </c>
      <c r="AO58" s="690">
        <f>AO48*(1+PARAMETROS!$G$88)*(1+PARAMETROS!$H$88)^AO$54</f>
        <v>24969011.475820918</v>
      </c>
      <c r="AP58" s="1014">
        <f>AP48*(1+PARAMETROS!$G$88)*(1+PARAMETROS!$H$88)^(AP$54-1)</f>
        <v>24969011.475820918</v>
      </c>
      <c r="AQ58" s="690">
        <f>AQ48*(1+PARAMETROS!$G$88)*(1+PARAMETROS!$H$88)^AQ$54</f>
        <v>25977759.539444074</v>
      </c>
    </row>
    <row r="59" spans="2:43" ht="15" thickBot="1" x14ac:dyDescent="0.3">
      <c r="B59" s="521" t="s">
        <v>546</v>
      </c>
      <c r="C59" s="689">
        <f>C49</f>
        <v>9402310.5000000019</v>
      </c>
      <c r="D59" s="690">
        <f>D49*(1)</f>
        <v>12536414.000000002</v>
      </c>
      <c r="E59" s="690">
        <f>E49*(1+PARAMETROS!$G$88)*(1+PARAMETROS!$H$88)^E$54</f>
        <v>13245624.9717</v>
      </c>
      <c r="F59" s="1014">
        <f>F49*(1+PARAMETROS!$G$88)*(1+PARAMETROS!$H$88)^(F$54-1)</f>
        <v>13384429.106399998</v>
      </c>
      <c r="G59" s="690">
        <f>G49*(1+PARAMETROS!$G$88)*(1+PARAMETROS!$H$88)^G$54</f>
        <v>14069571.864040438</v>
      </c>
      <c r="H59" s="1014">
        <f>H49*(1+PARAMETROS!$G$88)*(1+PARAMETROS!$H$88)^(H$54-1)</f>
        <v>14213983.685782321</v>
      </c>
      <c r="I59" s="690">
        <f>I49*(1+PARAMETROS!$G$88)*(1+PARAMETROS!$H$88)^I$54</f>
        <v>14938474.686028181</v>
      </c>
      <c r="J59" s="1014">
        <f>J49*(1+PARAMETROS!$G$88)*(1+PARAMETROS!$H$88)^(J$54-1)</f>
        <v>15012916.45110363</v>
      </c>
      <c r="K59" s="690">
        <f>K49*(1+PARAMETROS!$G$88)*(1+PARAMETROS!$H$88)^K$54</f>
        <v>15696887.488112714</v>
      </c>
      <c r="L59" s="1014">
        <f>L49*(1+PARAMETROS!$G$88)*(1+PARAMETROS!$H$88)^(L$54-1)</f>
        <v>15774336.700497214</v>
      </c>
      <c r="M59" s="690">
        <f>M49*(1+PARAMETROS!$G$88)*(1+PARAMETROS!$H$88)^M$54</f>
        <v>16492198.063762134</v>
      </c>
      <c r="N59" s="1014">
        <f>N49*(1+PARAMETROS!$G$88)*(1+PARAMETROS!$H$88)^(N$54-1)</f>
        <v>16572776.224326974</v>
      </c>
      <c r="O59" s="690">
        <f>O49*(1+PARAMETROS!$G$88)*(1+PARAMETROS!$H$88)^O$54</f>
        <v>17246801.426815636</v>
      </c>
      <c r="P59" s="1014">
        <f>P49*(1+PARAMETROS!$G$88)*(1+PARAMETROS!$H$88)^(P$54-1)</f>
        <v>17251286.469841488</v>
      </c>
      <c r="Q59" s="690">
        <f>Q49*(1+PARAMETROS!$G$88)*(1+PARAMETROS!$H$88)^Q$54</f>
        <v>17952904.681987178</v>
      </c>
      <c r="R59" s="1014">
        <f>R49*(1+PARAMETROS!$G$88)*(1+PARAMETROS!$H$88)^(R$54-1)</f>
        <v>17957570.920751277</v>
      </c>
      <c r="S59" s="690">
        <f>S49*(1+PARAMETROS!$G$88)*(1+PARAMETROS!$H$88)^S$54</f>
        <v>18687911.540759791</v>
      </c>
      <c r="T59" s="1014">
        <f>T49*(1+PARAMETROS!$G$88)*(1+PARAMETROS!$H$88)^(T$54-1)</f>
        <v>18826552.748011198</v>
      </c>
      <c r="U59" s="690">
        <f>U49*(1+PARAMETROS!$G$88)*(1+PARAMETROS!$H$88)^U$54</f>
        <v>19731387.791055221</v>
      </c>
      <c r="V59" s="1014">
        <f>V49*(1+PARAMETROS!$G$88)*(1+PARAMETROS!$H$88)^(V$54-1)</f>
        <v>19875630.103079587</v>
      </c>
      <c r="W59" s="690">
        <f>W49*(1+PARAMETROS!$G$88)*(1+PARAMETROS!$H$88)^W$54</f>
        <v>20828675.260674145</v>
      </c>
      <c r="X59" s="1014">
        <f>X49*(1+PARAMETROS!$G$88)*(1+PARAMETROS!$H$88)^(X$54-1)</f>
        <v>20978744.962104294</v>
      </c>
      <c r="Y59" s="690">
        <f>Y49*(1+PARAMETROS!$G$88)*(1+PARAMETROS!$H$88)^Y$54</f>
        <v>21826286.258573309</v>
      </c>
      <c r="Z59" s="1014">
        <f>Z49*(1+PARAMETROS!$G$88)*(1+PARAMETROS!$H$88)^(Z$54-1)</f>
        <v>21826286.258573309</v>
      </c>
      <c r="AA59" s="690">
        <f>AA49*(1+PARAMETROS!$G$88)*(1+PARAMETROS!$H$88)^AA$54</f>
        <v>22708068.223419666</v>
      </c>
      <c r="AB59" s="1014">
        <f>AB49*(1+PARAMETROS!$G$88)*(1+PARAMETROS!$H$88)^(AB$54-1)</f>
        <v>22708068.223419666</v>
      </c>
      <c r="AC59" s="690">
        <f>AC49*(1+PARAMETROS!$G$88)*(1+PARAMETROS!$H$88)^AC$54</f>
        <v>23625474.179645821</v>
      </c>
      <c r="AD59" s="1014">
        <f>AD49*(1+PARAMETROS!$G$88)*(1+PARAMETROS!$H$88)^(AD$54-1)</f>
        <v>23625474.179645821</v>
      </c>
      <c r="AE59" s="690">
        <f>AE49*(1+PARAMETROS!$G$88)*(1+PARAMETROS!$H$88)^AE$54</f>
        <v>24579943.336503509</v>
      </c>
      <c r="AF59" s="1014">
        <f>AF49*(1+PARAMETROS!$G$88)*(1+PARAMETROS!$H$88)^(AF$54-1)</f>
        <v>24579943.336503509</v>
      </c>
      <c r="AG59" s="690">
        <f>AG49*(1+PARAMETROS!$G$88)*(1+PARAMETROS!$H$88)^AG$54</f>
        <v>25572973.047298253</v>
      </c>
      <c r="AH59" s="1014">
        <f>AH49*(1+PARAMETROS!$G$88)*(1+PARAMETROS!$H$88)^(AH$54-1)</f>
        <v>25572973.047298253</v>
      </c>
      <c r="AI59" s="690">
        <f>AI49*(1+PARAMETROS!$G$88)*(1+PARAMETROS!$H$88)^AI$54</f>
        <v>26606121.1584091</v>
      </c>
      <c r="AJ59" s="1014">
        <f>AJ49*(1+PARAMETROS!$G$88)*(1+PARAMETROS!$H$88)^(AJ$54-1)</f>
        <v>26606121.1584091</v>
      </c>
      <c r="AK59" s="690">
        <f>AK49*(1+PARAMETROS!$G$88)*(1+PARAMETROS!$H$88)^AK$54</f>
        <v>27681008.453208834</v>
      </c>
      <c r="AL59" s="1014">
        <f>AL49*(1+PARAMETROS!$G$88)*(1+PARAMETROS!$H$88)^(AL$54-1)</f>
        <v>27681008.453208834</v>
      </c>
      <c r="AM59" s="690">
        <f>AM49*(1+PARAMETROS!$G$88)*(1+PARAMETROS!$H$88)^AM$54</f>
        <v>28799321.194718469</v>
      </c>
      <c r="AN59" s="1014">
        <f>AN49*(1+PARAMETROS!$G$88)*(1+PARAMETROS!$H$88)^(AN$54-1)</f>
        <v>28799321.194718469</v>
      </c>
      <c r="AO59" s="690">
        <f>AO49*(1+PARAMETROS!$G$88)*(1+PARAMETROS!$H$88)^AO$54</f>
        <v>29962813.770985097</v>
      </c>
      <c r="AP59" s="1014">
        <f>AP49*(1+PARAMETROS!$G$88)*(1+PARAMETROS!$H$88)^(AP$54-1)</f>
        <v>29962813.770985097</v>
      </c>
      <c r="AQ59" s="690">
        <f>AQ49*(1+PARAMETROS!$G$88)*(1+PARAMETROS!$H$88)^AQ$54</f>
        <v>31173311.447332885</v>
      </c>
    </row>
    <row r="62" spans="2:43" ht="15" thickBot="1" x14ac:dyDescent="0.3">
      <c r="B62" s="517" t="s">
        <v>377</v>
      </c>
      <c r="C62" s="166"/>
    </row>
    <row r="63" spans="2:43" ht="14.4" thickBot="1" x14ac:dyDescent="0.3">
      <c r="B63" s="512" t="s">
        <v>259</v>
      </c>
      <c r="C63" s="522">
        <v>2019</v>
      </c>
      <c r="D63" s="350">
        <v>2020</v>
      </c>
      <c r="E63" s="350">
        <v>2021</v>
      </c>
      <c r="F63" s="350">
        <v>2022</v>
      </c>
      <c r="G63" s="350">
        <v>2023</v>
      </c>
      <c r="H63" s="350">
        <v>2024</v>
      </c>
      <c r="I63" s="350">
        <v>2025</v>
      </c>
      <c r="J63" s="350">
        <v>2026</v>
      </c>
      <c r="K63" s="350">
        <v>2027</v>
      </c>
      <c r="L63" s="350">
        <v>2028</v>
      </c>
      <c r="M63" s="350">
        <v>2029</v>
      </c>
      <c r="N63" s="350">
        <v>2030</v>
      </c>
      <c r="O63" s="350">
        <v>2031</v>
      </c>
      <c r="P63" s="350">
        <v>2032</v>
      </c>
      <c r="Q63" s="350">
        <v>2033</v>
      </c>
      <c r="R63" s="350">
        <v>2034</v>
      </c>
      <c r="S63" s="350">
        <v>2035</v>
      </c>
      <c r="T63" s="350">
        <v>2036</v>
      </c>
      <c r="U63" s="350">
        <v>2037</v>
      </c>
      <c r="V63" s="350">
        <v>2038</v>
      </c>
      <c r="W63" s="350">
        <v>2039</v>
      </c>
      <c r="X63" s="350">
        <v>2040</v>
      </c>
      <c r="Y63" s="350">
        <v>2041</v>
      </c>
      <c r="Z63" s="350">
        <v>2042</v>
      </c>
      <c r="AA63" s="350">
        <v>2043</v>
      </c>
      <c r="AB63" s="350">
        <v>2044</v>
      </c>
      <c r="AC63" s="350">
        <v>2045</v>
      </c>
      <c r="AD63" s="350">
        <v>2046</v>
      </c>
      <c r="AE63" s="350">
        <v>2047</v>
      </c>
      <c r="AF63" s="350">
        <v>2048</v>
      </c>
      <c r="AG63" s="351">
        <v>2049</v>
      </c>
      <c r="AH63" s="350">
        <v>2050</v>
      </c>
      <c r="AI63" s="351">
        <v>2051</v>
      </c>
      <c r="AJ63" s="350">
        <v>2052</v>
      </c>
      <c r="AK63" s="351">
        <v>2053</v>
      </c>
      <c r="AL63" s="350">
        <v>2054</v>
      </c>
      <c r="AM63" s="351">
        <v>2055</v>
      </c>
      <c r="AN63" s="350">
        <v>2056</v>
      </c>
      <c r="AO63" s="351">
        <v>2057</v>
      </c>
      <c r="AP63" s="350">
        <v>2058</v>
      </c>
      <c r="AQ63" s="351">
        <v>2059</v>
      </c>
    </row>
    <row r="64" spans="2:43" ht="14.4" thickBot="1" x14ac:dyDescent="0.3">
      <c r="B64" s="691"/>
      <c r="C64" s="522"/>
      <c r="D64" s="350"/>
      <c r="E64" s="350">
        <v>1</v>
      </c>
      <c r="F64" s="350">
        <v>2</v>
      </c>
      <c r="G64" s="350">
        <v>3</v>
      </c>
      <c r="H64" s="350">
        <v>4</v>
      </c>
      <c r="I64" s="350">
        <v>5</v>
      </c>
      <c r="J64" s="350">
        <v>6</v>
      </c>
      <c r="K64" s="350">
        <v>7</v>
      </c>
      <c r="L64" s="350">
        <v>8</v>
      </c>
      <c r="M64" s="350">
        <v>9</v>
      </c>
      <c r="N64" s="350">
        <v>10</v>
      </c>
      <c r="O64" s="350">
        <v>11</v>
      </c>
      <c r="P64" s="350">
        <v>12</v>
      </c>
      <c r="Q64" s="350">
        <v>13</v>
      </c>
      <c r="R64" s="350">
        <v>14</v>
      </c>
      <c r="S64" s="350">
        <v>15</v>
      </c>
      <c r="T64" s="350">
        <v>16</v>
      </c>
      <c r="U64" s="350">
        <v>17</v>
      </c>
      <c r="V64" s="350">
        <v>18</v>
      </c>
      <c r="W64" s="350">
        <v>19</v>
      </c>
      <c r="X64" s="350">
        <v>20</v>
      </c>
      <c r="Y64" s="350">
        <v>21</v>
      </c>
      <c r="Z64" s="350">
        <v>22</v>
      </c>
      <c r="AA64" s="350">
        <v>23</v>
      </c>
      <c r="AB64" s="350">
        <v>24</v>
      </c>
      <c r="AC64" s="350">
        <v>25</v>
      </c>
      <c r="AD64" s="350">
        <v>26</v>
      </c>
      <c r="AE64" s="350">
        <v>27</v>
      </c>
      <c r="AF64" s="350">
        <v>28</v>
      </c>
      <c r="AG64" s="350">
        <v>29</v>
      </c>
      <c r="AH64" s="350">
        <v>30</v>
      </c>
      <c r="AI64" s="350">
        <v>31</v>
      </c>
      <c r="AJ64" s="350">
        <v>32</v>
      </c>
      <c r="AK64" s="350">
        <v>33</v>
      </c>
      <c r="AL64" s="350">
        <v>34</v>
      </c>
      <c r="AM64" s="350">
        <v>35</v>
      </c>
      <c r="AN64" s="350">
        <v>36</v>
      </c>
      <c r="AO64" s="350">
        <v>37</v>
      </c>
      <c r="AP64" s="350">
        <v>38</v>
      </c>
      <c r="AQ64" s="350">
        <v>39</v>
      </c>
    </row>
    <row r="65" spans="2:43" ht="15" thickBot="1" x14ac:dyDescent="0.3">
      <c r="B65" s="519" t="s">
        <v>542</v>
      </c>
      <c r="C65" s="689">
        <f>C45</f>
        <v>3842975.4000000004</v>
      </c>
      <c r="D65" s="690">
        <f>D45*(1)</f>
        <v>5123967.2000000011</v>
      </c>
      <c r="E65" s="690">
        <f>E45*(1+PARAMETROS!$G$89)*(1+PARAMETROS!$H$89)^E$64</f>
        <v>5629167.1962240003</v>
      </c>
      <c r="F65" s="1014">
        <f>F45*(1+PARAMETROS!$G$89)*(1+PARAMETROS!$H$89)^(F$64-1)</f>
        <v>5689606.8394880006</v>
      </c>
      <c r="G65" s="690">
        <f>G45*(1+PARAMETROS!$G$89)*(1+PARAMETROS!$H$89)^G$64</f>
        <v>6219250.2757445639</v>
      </c>
      <c r="H65" s="1014">
        <f>H45*(1+PARAMETROS!$G$89)*(1+PARAMETROS!$H$89)^(H$64-1)</f>
        <v>6284621.7938989056</v>
      </c>
      <c r="I65" s="690">
        <f>I45*(1+PARAMETROS!$G$89)*(1+PARAMETROS!$H$89)^I$64</f>
        <v>6868152.7663167957</v>
      </c>
      <c r="J65" s="1014">
        <f>J45*(1+PARAMETROS!$G$89)*(1+PARAMETROS!$H$89)^(J$64-1)</f>
        <v>6889211.5959190223</v>
      </c>
      <c r="K65" s="690">
        <f>K45*(1+PARAMETROS!$G$89)*(1+PARAMETROS!$H$89)^K$64</f>
        <v>7474148.4922437845</v>
      </c>
      <c r="L65" s="1014">
        <f>L45*(1+PARAMETROS!$G$89)*(1+PARAMETROS!$H$89)^(L$64-1)</f>
        <v>7496925.7223415542</v>
      </c>
      <c r="M65" s="690">
        <f>M45*(1+PARAMETROS!$G$89)*(1+PARAMETROS!$H$89)^M$64</f>
        <v>8133310.7133583724</v>
      </c>
      <c r="N65" s="1014">
        <f>N45*(1+PARAMETROS!$G$89)*(1+PARAMETROS!$H$89)^(N$64-1)</f>
        <v>8157946.5654321248</v>
      </c>
      <c r="O65" s="690">
        <f>O45*(1+PARAMETROS!$G$89)*(1+PARAMETROS!$H$89)^O$64</f>
        <v>8858975.671760574</v>
      </c>
      <c r="P65" s="1014">
        <f>P45*(1+PARAMETROS!$G$89)*(1+PARAMETROS!$H$89)^(P$64-1)</f>
        <v>8894316.3383497596</v>
      </c>
      <c r="Q65" s="690">
        <f>Q45*(1+PARAMETROS!$G$89)*(1+PARAMETROS!$H$89)^Q$64</f>
        <v>9658317.0165419672</v>
      </c>
      <c r="R65" s="1014">
        <f>R45*(1+PARAMETROS!$G$89)*(1+PARAMETROS!$H$89)^(R$64-1)</f>
        <v>9696541.4815248325</v>
      </c>
      <c r="S65" s="690">
        <f>S45*(1+PARAMETROS!$G$89)*(1+PARAMETROS!$H$89)^S$64</f>
        <v>10529122.84774272</v>
      </c>
      <c r="T65" s="1014">
        <f>T45*(1+PARAMETROS!$G$89)*(1+PARAMETROS!$H$89)^(T$64-1)</f>
        <v>10616560.948438689</v>
      </c>
      <c r="U65" s="690">
        <f>U45*(1+PARAMETROS!$G$89)*(1+PARAMETROS!$H$89)^U$64</f>
        <v>11577445.371544046</v>
      </c>
      <c r="V65" s="1014">
        <f>V45*(1+PARAMETROS!$G$89)*(1+PARAMETROS!$H$89)^(V$64-1)</f>
        <v>11672018.421256801</v>
      </c>
      <c r="W65" s="690">
        <f>W45*(1+PARAMETROS!$G$89)*(1+PARAMETROS!$H$89)^W$64</f>
        <v>12726745.335000679</v>
      </c>
      <c r="X65" s="1014">
        <f>X45*(1+PARAMETROS!$G$89)*(1+PARAMETROS!$H$89)^(X$64-1)</f>
        <v>12829035.545569997</v>
      </c>
      <c r="Y65" s="690">
        <f>Y45*(1+PARAMETROS!$G$89)*(1+PARAMETROS!$H$89)^Y$64</f>
        <v>13875884.846088514</v>
      </c>
      <c r="Z65" s="1014">
        <f>Z45*(1+PARAMETROS!$G$89)*(1+PARAMETROS!$H$89)^(Z$64-1)</f>
        <v>13875884.846088514</v>
      </c>
      <c r="AA65" s="690">
        <f>AA45*(1+PARAMETROS!$G$89)*(1+PARAMETROS!$H$89)^AA$64</f>
        <v>15008157.049529335</v>
      </c>
      <c r="AB65" s="1014">
        <f>AB45*(1+PARAMETROS!$G$89)*(1+PARAMETROS!$H$89)^(AB$64-1)</f>
        <v>15008157.049529335</v>
      </c>
      <c r="AC65" s="690">
        <f>AC45*(1+PARAMETROS!$G$89)*(1+PARAMETROS!$H$89)^AC$64</f>
        <v>16232822.664770933</v>
      </c>
      <c r="AD65" s="1014">
        <f>AD45*(1+PARAMETROS!$G$89)*(1+PARAMETROS!$H$89)^(AD$64-1)</f>
        <v>16232822.664770933</v>
      </c>
      <c r="AE65" s="690">
        <f>AE45*(1+PARAMETROS!$G$89)*(1+PARAMETROS!$H$89)^AE$64</f>
        <v>17557420.994216237</v>
      </c>
      <c r="AF65" s="1014">
        <f>AF45*(1+PARAMETROS!$G$89)*(1+PARAMETROS!$H$89)^(AF$64-1)</f>
        <v>17557420.994216237</v>
      </c>
      <c r="AG65" s="690">
        <f>AG45*(1+PARAMETROS!$G$89)*(1+PARAMETROS!$H$89)^AG$64</f>
        <v>18990106.54734429</v>
      </c>
      <c r="AH65" s="1014">
        <f>AH45*(1+PARAMETROS!$G$89)*(1+PARAMETROS!$H$89)^(AH$64-1)</f>
        <v>18990106.54734429</v>
      </c>
      <c r="AI65" s="690">
        <f>AI45*(1+PARAMETROS!$G$89)*(1+PARAMETROS!$H$89)^AI$64</f>
        <v>20539699.24160758</v>
      </c>
      <c r="AJ65" s="1014">
        <f>AJ45*(1+PARAMETROS!$G$89)*(1+PARAMETROS!$H$89)^(AJ$64-1)</f>
        <v>20539699.24160758</v>
      </c>
      <c r="AK65" s="690">
        <f>AK45*(1+PARAMETROS!$G$89)*(1+PARAMETROS!$H$89)^AK$64</f>
        <v>22215738.699722759</v>
      </c>
      <c r="AL65" s="1014">
        <f>AL45*(1+PARAMETROS!$G$89)*(1+PARAMETROS!$H$89)^(AL$64-1)</f>
        <v>22215738.699722759</v>
      </c>
      <c r="AM65" s="690">
        <f>AM45*(1+PARAMETROS!$G$89)*(1+PARAMETROS!$H$89)^AM$64</f>
        <v>24028542.977620143</v>
      </c>
      <c r="AN65" s="1014">
        <f>AN45*(1+PARAMETROS!$G$89)*(1+PARAMETROS!$H$89)^(AN$64-1)</f>
        <v>24028542.977620143</v>
      </c>
      <c r="AO65" s="690">
        <f>AO45*(1+PARAMETROS!$G$89)*(1+PARAMETROS!$H$89)^AO$64</f>
        <v>25989272.084593952</v>
      </c>
      <c r="AP65" s="1014">
        <f>AP45*(1+PARAMETROS!$G$89)*(1+PARAMETROS!$H$89)^(AP$64-1)</f>
        <v>25989272.084593952</v>
      </c>
      <c r="AQ65" s="690">
        <f>AQ45*(1+PARAMETROS!$G$89)*(1+PARAMETROS!$H$89)^AQ$64</f>
        <v>28109996.686696813</v>
      </c>
    </row>
    <row r="66" spans="2:43" ht="15" thickBot="1" x14ac:dyDescent="0.3">
      <c r="B66" s="520" t="s">
        <v>543</v>
      </c>
      <c r="C66" s="689">
        <f>C46</f>
        <v>4762205.25</v>
      </c>
      <c r="D66" s="690">
        <f>D46*(1)</f>
        <v>6349607.0000000009</v>
      </c>
      <c r="E66" s="690">
        <f>E46*(1+PARAMETROS!$G$89)*(1+PARAMETROS!$H$89)^E$64</f>
        <v>6977894.8210400008</v>
      </c>
      <c r="F66" s="1014">
        <f>F46*(1+PARAMETROS!$G$89)*(1+PARAMETROS!$H$89)^(F$64-1)</f>
        <v>7055036.7544800006</v>
      </c>
      <c r="G66" s="690">
        <f>G46*(1+PARAMETROS!$G$89)*(1+PARAMETROS!$H$89)^G$64</f>
        <v>7714164.4688542709</v>
      </c>
      <c r="H66" s="1014">
        <f>H46*(1+PARAMETROS!$G$89)*(1+PARAMETROS!$H$89)^(H$64-1)</f>
        <v>7797601.1840629745</v>
      </c>
      <c r="I66" s="690">
        <f>I46*(1+PARAMETROS!$G$89)*(1+PARAMETROS!$H$89)^I$64</f>
        <v>8524130.5918522514</v>
      </c>
      <c r="J66" s="1014">
        <f>J46*(1+PARAMETROS!$G$89)*(1+PARAMETROS!$H$89)^(J$64-1)</f>
        <v>8572433.6218669266</v>
      </c>
      <c r="K66" s="690">
        <f>K46*(1+PARAMETROS!$G$89)*(1+PARAMETROS!$H$89)^K$64</f>
        <v>9324188.7626751419</v>
      </c>
      <c r="L66" s="1014">
        <f>L46*(1+PARAMETROS!$G$89)*(1+PARAMETROS!$H$89)^(L$64-1)</f>
        <v>9376433.3199390154</v>
      </c>
      <c r="M66" s="690">
        <f>M46*(1+PARAMETROS!$G$89)*(1+PARAMETROS!$H$89)^M$64</f>
        <v>10198057.991982652</v>
      </c>
      <c r="N66" s="1014">
        <f>N46*(1+PARAMETROS!$G$89)*(1+PARAMETROS!$H$89)^(N$64-1)</f>
        <v>10254565.705119252</v>
      </c>
      <c r="O66" s="690">
        <f>O46*(1+PARAMETROS!$G$89)*(1+PARAMETROS!$H$89)^O$64</f>
        <v>11104879.280054731</v>
      </c>
      <c r="P66" s="1014">
        <f>P46*(1+PARAMETROS!$G$89)*(1+PARAMETROS!$H$89)^(P$64-1)</f>
        <v>11118420.293452479</v>
      </c>
      <c r="Q66" s="690">
        <f>Q46*(1+PARAMETROS!$G$89)*(1+PARAMETROS!$H$89)^Q$64</f>
        <v>12040329.34948921</v>
      </c>
      <c r="R66" s="1014">
        <f>R46*(1+PARAMETROS!$G$89)*(1+PARAMETROS!$H$89)^(R$64-1)</f>
        <v>12054975.309580212</v>
      </c>
      <c r="S66" s="690">
        <f>S46*(1+PARAMETROS!$G$89)*(1+PARAMETROS!$H$89)^S$64</f>
        <v>13054502.365276393</v>
      </c>
      <c r="T66" s="1014">
        <f>T46*(1+PARAMETROS!$G$89)*(1+PARAMETROS!$H$89)^(T$64-1)</f>
        <v>13154160.852874063</v>
      </c>
      <c r="U66" s="690">
        <f>U46*(1+PARAMETROS!$G$89)*(1+PARAMETROS!$H$89)^U$64</f>
        <v>14335330.99865423</v>
      </c>
      <c r="V66" s="1014">
        <f>V46*(1+PARAMETROS!$G$89)*(1+PARAMETROS!$H$89)^(V$64-1)</f>
        <v>14443121.618839875</v>
      </c>
      <c r="W66" s="690">
        <f>W46*(1+PARAMETROS!$G$89)*(1+PARAMETROS!$H$89)^W$64</f>
        <v>15738266.67773</v>
      </c>
      <c r="X66" s="1014">
        <f>X46*(1+PARAMETROS!$G$89)*(1+PARAMETROS!$H$89)^(X$64-1)</f>
        <v>15854853.0125228</v>
      </c>
      <c r="Y66" s="690">
        <f>Y46*(1+PARAMETROS!$G$89)*(1+PARAMETROS!$H$89)^Y$64</f>
        <v>17148609.018344663</v>
      </c>
      <c r="Z66" s="1014">
        <f>Z46*(1+PARAMETROS!$G$89)*(1+PARAMETROS!$H$89)^(Z$64-1)</f>
        <v>17148609.018344663</v>
      </c>
      <c r="AA66" s="690">
        <f>AA46*(1+PARAMETROS!$G$89)*(1+PARAMETROS!$H$89)^AA$64</f>
        <v>18547935.514241587</v>
      </c>
      <c r="AB66" s="1014">
        <f>AB46*(1+PARAMETROS!$G$89)*(1+PARAMETROS!$H$89)^(AB$64-1)</f>
        <v>18547935.514241587</v>
      </c>
      <c r="AC66" s="690">
        <f>AC46*(1+PARAMETROS!$G$89)*(1+PARAMETROS!$H$89)^AC$64</f>
        <v>20061447.052203704</v>
      </c>
      <c r="AD66" s="1014">
        <f>AD46*(1+PARAMETROS!$G$89)*(1+PARAMETROS!$H$89)^(AD$64-1)</f>
        <v>20061447.052203704</v>
      </c>
      <c r="AE66" s="690">
        <f>AE46*(1+PARAMETROS!$G$89)*(1+PARAMETROS!$H$89)^AE$64</f>
        <v>21698461.131663527</v>
      </c>
      <c r="AF66" s="1014">
        <f>AF46*(1+PARAMETROS!$G$89)*(1+PARAMETROS!$H$89)^(AF$64-1)</f>
        <v>21698461.131663527</v>
      </c>
      <c r="AG66" s="690">
        <f>AG46*(1+PARAMETROS!$G$89)*(1+PARAMETROS!$H$89)^AG$64</f>
        <v>23469055.560007274</v>
      </c>
      <c r="AH66" s="1014">
        <f>AH46*(1+PARAMETROS!$G$89)*(1+PARAMETROS!$H$89)^(AH$64-1)</f>
        <v>23469055.560007274</v>
      </c>
      <c r="AI66" s="690">
        <f>AI46*(1+PARAMETROS!$G$89)*(1+PARAMETROS!$H$89)^AI$64</f>
        <v>25384130.493703868</v>
      </c>
      <c r="AJ66" s="1014">
        <f>AJ46*(1+PARAMETROS!$G$89)*(1+PARAMETROS!$H$89)^(AJ$64-1)</f>
        <v>25384130.493703868</v>
      </c>
      <c r="AK66" s="690">
        <f>AK46*(1+PARAMETROS!$G$89)*(1+PARAMETROS!$H$89)^AK$64</f>
        <v>27455475.541990105</v>
      </c>
      <c r="AL66" s="1014">
        <f>AL46*(1+PARAMETROS!$G$89)*(1+PARAMETROS!$H$89)^(AL$64-1)</f>
        <v>27455475.541990105</v>
      </c>
      <c r="AM66" s="690">
        <f>AM46*(1+PARAMETROS!$G$89)*(1+PARAMETROS!$H$89)^AM$64</f>
        <v>29695842.346216504</v>
      </c>
      <c r="AN66" s="1014">
        <f>AN46*(1+PARAMETROS!$G$89)*(1+PARAMETROS!$H$89)^(AN$64-1)</f>
        <v>29695842.346216504</v>
      </c>
      <c r="AO66" s="690">
        <f>AO46*(1+PARAMETROS!$G$89)*(1+PARAMETROS!$H$89)^AO$64</f>
        <v>32119023.081667773</v>
      </c>
      <c r="AP66" s="1014">
        <f>AP46*(1+PARAMETROS!$G$89)*(1+PARAMETROS!$H$89)^(AP$64-1)</f>
        <v>32119023.081667773</v>
      </c>
      <c r="AQ66" s="690">
        <f>AQ46*(1+PARAMETROS!$G$89)*(1+PARAMETROS!$H$89)^AQ$64</f>
        <v>34739935.365131855</v>
      </c>
    </row>
    <row r="67" spans="2:43" ht="15" thickBot="1" x14ac:dyDescent="0.3">
      <c r="B67" s="520" t="s">
        <v>544</v>
      </c>
      <c r="C67" s="689">
        <f>C47</f>
        <v>6268207.0000000009</v>
      </c>
      <c r="D67" s="690">
        <f>D47*(1)</f>
        <v>8357609.333333334</v>
      </c>
      <c r="E67" s="690">
        <f>E47*(1+PARAMETROS!$G$89)*(1+PARAMETROS!$H$89)^E$64</f>
        <v>9179241.3322133329</v>
      </c>
      <c r="F67" s="1014">
        <f>F47*(1+PARAMETROS!$G$89)*(1+PARAMETROS!$H$89)^(F$64-1)</f>
        <v>9275432.8409599997</v>
      </c>
      <c r="G67" s="690">
        <f>G47*(1+PARAMETROS!$G$89)*(1+PARAMETROS!$H$89)^G$64</f>
        <v>10136348.896642732</v>
      </c>
      <c r="H67" s="1014">
        <f>H47*(1+PARAMETROS!$G$89)*(1+PARAMETROS!$H$89)^(H$64-1)</f>
        <v>10240389.632503128</v>
      </c>
      <c r="I67" s="690">
        <f>I47*(1+PARAMETROS!$G$89)*(1+PARAMETROS!$H$89)^I$64</f>
        <v>11188535.886421988</v>
      </c>
      <c r="J67" s="1014">
        <f>J47*(1+PARAMETROS!$G$89)*(1+PARAMETROS!$H$89)^(J$64-1)</f>
        <v>11244290.866599068</v>
      </c>
      <c r="K67" s="690">
        <f>K47*(1+PARAMETROS!$G$89)*(1+PARAMETROS!$H$89)^K$64</f>
        <v>12222129.587873073</v>
      </c>
      <c r="L67" s="1014">
        <f>L47*(1+PARAMETROS!$G$89)*(1+PARAMETROS!$H$89)^(L$64-1)</f>
        <v>12282434.174432602</v>
      </c>
      <c r="M67" s="690">
        <f>M47*(1+PARAMETROS!$G$89)*(1+PARAMETROS!$H$89)^M$64</f>
        <v>13349906.243889088</v>
      </c>
      <c r="N67" s="1014">
        <f>N47*(1+PARAMETROS!$G$89)*(1+PARAMETROS!$H$89)^(N$64-1)</f>
        <v>13415131.684711883</v>
      </c>
      <c r="O67" s="690">
        <f>O47*(1+PARAMETROS!$G$89)*(1+PARAMETROS!$H$89)^O$64</f>
        <v>14513580.69720787</v>
      </c>
      <c r="P67" s="1014">
        <f>P47*(1+PARAMETROS!$G$89)*(1+PARAMETROS!$H$89)^(P$64-1)</f>
        <v>14517354.964231376</v>
      </c>
      <c r="Q67" s="690">
        <f>Q47*(1+PARAMETROS!$G$89)*(1+PARAMETROS!$H$89)^Q$64</f>
        <v>15706053.376525285</v>
      </c>
      <c r="R67" s="1014">
        <f>R47*(1+PARAMETROS!$G$89)*(1+PARAMETROS!$H$89)^(R$64-1)</f>
        <v>15710135.623737909</v>
      </c>
      <c r="S67" s="690">
        <f>S47*(1+PARAMETROS!$G$89)*(1+PARAMETROS!$H$89)^S$64</f>
        <v>16996498.049220085</v>
      </c>
      <c r="T67" s="1014">
        <f>T47*(1+PARAMETROS!$G$89)*(1+PARAMETROS!$H$89)^(T$64-1)</f>
        <v>17122591.058781408</v>
      </c>
      <c r="U67" s="690">
        <f>U47*(1+PARAMETROS!$G$89)*(1+PARAMETROS!$H$89)^U$64</f>
        <v>18656176.688319493</v>
      </c>
      <c r="V67" s="1014">
        <f>V47*(1+PARAMETROS!$G$89)*(1+PARAMETROS!$H$89)^(V$64-1)</f>
        <v>18792558.887461018</v>
      </c>
      <c r="W67" s="690">
        <f>W47*(1+PARAMETROS!$G$89)*(1+PARAMETROS!$H$89)^W$64</f>
        <v>20473542.679269303</v>
      </c>
      <c r="X67" s="1014">
        <f>X47*(1+PARAMETROS!$G$89)*(1+PARAMETROS!$H$89)^(X$64-1)</f>
        <v>20621053.665860765</v>
      </c>
      <c r="Y67" s="690">
        <f>Y47*(1+PARAMETROS!$G$89)*(1+PARAMETROS!$H$89)^Y$64</f>
        <v>22303731.644995008</v>
      </c>
      <c r="Z67" s="1014">
        <f>Z47*(1+PARAMETROS!$G$89)*(1+PARAMETROS!$H$89)^(Z$64-1)</f>
        <v>22303731.644995008</v>
      </c>
      <c r="AA67" s="690">
        <f>AA47*(1+PARAMETROS!$G$89)*(1+PARAMETROS!$H$89)^AA$64</f>
        <v>24123716.147226598</v>
      </c>
      <c r="AB67" s="1014">
        <f>AB47*(1+PARAMETROS!$G$89)*(1+PARAMETROS!$H$89)^(AB$64-1)</f>
        <v>24123716.147226598</v>
      </c>
      <c r="AC67" s="690">
        <f>AC47*(1+PARAMETROS!$G$89)*(1+PARAMETROS!$H$89)^AC$64</f>
        <v>26092211.384840295</v>
      </c>
      <c r="AD67" s="1014">
        <f>AD47*(1+PARAMETROS!$G$89)*(1+PARAMETROS!$H$89)^(AD$64-1)</f>
        <v>26092211.384840295</v>
      </c>
      <c r="AE67" s="690">
        <f>AE47*(1+PARAMETROS!$G$89)*(1+PARAMETROS!$H$89)^AE$64</f>
        <v>28221335.833843261</v>
      </c>
      <c r="AF67" s="1014">
        <f>AF47*(1+PARAMETROS!$G$89)*(1+PARAMETROS!$H$89)^(AF$64-1)</f>
        <v>28221335.833843261</v>
      </c>
      <c r="AG67" s="690">
        <f>AG47*(1+PARAMETROS!$G$89)*(1+PARAMETROS!$H$89)^AG$64</f>
        <v>30524196.837884881</v>
      </c>
      <c r="AH67" s="1014">
        <f>AH47*(1+PARAMETROS!$G$89)*(1+PARAMETROS!$H$89)^(AH$64-1)</f>
        <v>30524196.837884881</v>
      </c>
      <c r="AI67" s="690">
        <f>AI47*(1+PARAMETROS!$G$89)*(1+PARAMETROS!$H$89)^AI$64</f>
        <v>33014971.299856283</v>
      </c>
      <c r="AJ67" s="1014">
        <f>AJ47*(1+PARAMETROS!$G$89)*(1+PARAMETROS!$H$89)^(AJ$64-1)</f>
        <v>33014971.299856283</v>
      </c>
      <c r="AK67" s="690">
        <f>AK47*(1+PARAMETROS!$G$89)*(1+PARAMETROS!$H$89)^AK$64</f>
        <v>35708992.95792456</v>
      </c>
      <c r="AL67" s="1014">
        <f>AL47*(1+PARAMETROS!$G$89)*(1+PARAMETROS!$H$89)^(AL$64-1)</f>
        <v>35708992.95792456</v>
      </c>
      <c r="AM67" s="690">
        <f>AM47*(1+PARAMETROS!$G$89)*(1+PARAMETROS!$H$89)^AM$64</f>
        <v>38622846.783291206</v>
      </c>
      <c r="AN67" s="1014">
        <f>AN47*(1+PARAMETROS!$G$89)*(1+PARAMETROS!$H$89)^(AN$64-1)</f>
        <v>38622846.783291206</v>
      </c>
      <c r="AO67" s="690">
        <f>AO47*(1+PARAMETROS!$G$89)*(1+PARAMETROS!$H$89)^AO$64</f>
        <v>41774471.080807775</v>
      </c>
      <c r="AP67" s="1014">
        <f>AP47*(1+PARAMETROS!$G$89)*(1+PARAMETROS!$H$89)^(AP$64-1)</f>
        <v>41774471.080807775</v>
      </c>
      <c r="AQ67" s="690">
        <f>AQ47*(1+PARAMETROS!$G$89)*(1+PARAMETROS!$H$89)^AQ$64</f>
        <v>45183267.92100168</v>
      </c>
    </row>
    <row r="68" spans="2:43" ht="15" thickBot="1" x14ac:dyDescent="0.3">
      <c r="B68" s="520" t="s">
        <v>545</v>
      </c>
      <c r="C68" s="689">
        <f>C48</f>
        <v>7835258.7500000009</v>
      </c>
      <c r="D68" s="690">
        <f>D48*(1)</f>
        <v>10447011.666666668</v>
      </c>
      <c r="E68" s="690">
        <f>E48*(1+PARAMETROS!$G$89)*(1+PARAMETROS!$H$89)^E$64</f>
        <v>11474051.66526667</v>
      </c>
      <c r="F68" s="1014">
        <f>F48*(1+PARAMETROS!$G$89)*(1+PARAMETROS!$H$89)^(F$64-1)</f>
        <v>11594291.051200001</v>
      </c>
      <c r="G68" s="690">
        <f>G48*(1+PARAMETROS!$G$89)*(1+PARAMETROS!$H$89)^G$64</f>
        <v>12670436.120803414</v>
      </c>
      <c r="H68" s="1014">
        <f>H48*(1+PARAMETROS!$G$89)*(1+PARAMETROS!$H$89)^(H$64-1)</f>
        <v>12800487.04062891</v>
      </c>
      <c r="I68" s="690">
        <f>I48*(1+PARAMETROS!$G$89)*(1+PARAMETROS!$H$89)^I$64</f>
        <v>13985669.858027488</v>
      </c>
      <c r="J68" s="1014">
        <f>J48*(1+PARAMETROS!$G$89)*(1+PARAMETROS!$H$89)^(J$64-1)</f>
        <v>14055363.583248833</v>
      </c>
      <c r="K68" s="690">
        <f>K48*(1+PARAMETROS!$G$89)*(1+PARAMETROS!$H$89)^K$64</f>
        <v>15277661.984841347</v>
      </c>
      <c r="L68" s="1014">
        <f>L48*(1+PARAMETROS!$G$89)*(1+PARAMETROS!$H$89)^(L$64-1)</f>
        <v>15353042.718040753</v>
      </c>
      <c r="M68" s="690">
        <f>M48*(1+PARAMETROS!$G$89)*(1+PARAMETROS!$H$89)^M$64</f>
        <v>16687382.804861365</v>
      </c>
      <c r="N68" s="1014">
        <f>N48*(1+PARAMETROS!$G$89)*(1+PARAMETROS!$H$89)^(N$64-1)</f>
        <v>16768914.605889849</v>
      </c>
      <c r="O68" s="690">
        <f>O48*(1+PARAMETROS!$G$89)*(1+PARAMETROS!$H$89)^O$64</f>
        <v>18141975.871509843</v>
      </c>
      <c r="P68" s="1014">
        <f>P48*(1+PARAMETROS!$G$89)*(1+PARAMETROS!$H$89)^(P$64-1)</f>
        <v>18146693.705289219</v>
      </c>
      <c r="Q68" s="690">
        <f>Q48*(1+PARAMETROS!$G$89)*(1+PARAMETROS!$H$89)^Q$64</f>
        <v>19632566.720656607</v>
      </c>
      <c r="R68" s="1014">
        <f>R48*(1+PARAMETROS!$G$89)*(1+PARAMETROS!$H$89)^(R$64-1)</f>
        <v>19637669.529672384</v>
      </c>
      <c r="S68" s="690">
        <f>S48*(1+PARAMETROS!$G$89)*(1+PARAMETROS!$H$89)^S$64</f>
        <v>21245622.56152511</v>
      </c>
      <c r="T68" s="1014">
        <f>T48*(1+PARAMETROS!$G$89)*(1+PARAMETROS!$H$89)^(T$64-1)</f>
        <v>21403238.823476758</v>
      </c>
      <c r="U68" s="690">
        <f>U48*(1+PARAMETROS!$G$89)*(1+PARAMETROS!$H$89)^U$64</f>
        <v>23320220.860399365</v>
      </c>
      <c r="V68" s="1014">
        <f>V48*(1+PARAMETROS!$G$89)*(1+PARAMETROS!$H$89)^(V$64-1)</f>
        <v>23490698.609326269</v>
      </c>
      <c r="W68" s="690">
        <f>W48*(1+PARAMETROS!$G$89)*(1+PARAMETROS!$H$89)^W$64</f>
        <v>25591928.349086627</v>
      </c>
      <c r="X68" s="1014">
        <f>X48*(1+PARAMETROS!$G$89)*(1+PARAMETROS!$H$89)^(X$64-1)</f>
        <v>25776317.082325961</v>
      </c>
      <c r="Y68" s="690">
        <f>Y48*(1+PARAMETROS!$G$89)*(1+PARAMETROS!$H$89)^Y$64</f>
        <v>27879664.55624377</v>
      </c>
      <c r="Z68" s="1014">
        <f>Z48*(1+PARAMETROS!$G$89)*(1+PARAMETROS!$H$89)^(Z$64-1)</f>
        <v>27879664.55624377</v>
      </c>
      <c r="AA68" s="690">
        <f>AA48*(1+PARAMETROS!$G$89)*(1+PARAMETROS!$H$89)^AA$64</f>
        <v>30154645.184033256</v>
      </c>
      <c r="AB68" s="1014">
        <f>AB48*(1+PARAMETROS!$G$89)*(1+PARAMETROS!$H$89)^(AB$64-1)</f>
        <v>30154645.184033256</v>
      </c>
      <c r="AC68" s="690">
        <f>AC48*(1+PARAMETROS!$G$89)*(1+PARAMETROS!$H$89)^AC$64</f>
        <v>32615264.23105038</v>
      </c>
      <c r="AD68" s="1014">
        <f>AD48*(1+PARAMETROS!$G$89)*(1+PARAMETROS!$H$89)^(AD$64-1)</f>
        <v>32615264.23105038</v>
      </c>
      <c r="AE68" s="690">
        <f>AE48*(1+PARAMETROS!$G$89)*(1+PARAMETROS!$H$89)^AE$64</f>
        <v>35276669.792304084</v>
      </c>
      <c r="AF68" s="1014">
        <f>AF48*(1+PARAMETROS!$G$89)*(1+PARAMETROS!$H$89)^(AF$64-1)</f>
        <v>35276669.792304084</v>
      </c>
      <c r="AG68" s="690">
        <f>AG48*(1+PARAMETROS!$G$89)*(1+PARAMETROS!$H$89)^AG$64</f>
        <v>38155246.047356114</v>
      </c>
      <c r="AH68" s="1014">
        <f>AH48*(1+PARAMETROS!$G$89)*(1+PARAMETROS!$H$89)^(AH$64-1)</f>
        <v>38155246.047356114</v>
      </c>
      <c r="AI68" s="690">
        <f>AI48*(1+PARAMETROS!$G$89)*(1+PARAMETROS!$H$89)^AI$64</f>
        <v>41268714.124820367</v>
      </c>
      <c r="AJ68" s="1014">
        <f>AJ48*(1+PARAMETROS!$G$89)*(1+PARAMETROS!$H$89)^(AJ$64-1)</f>
        <v>41268714.124820367</v>
      </c>
      <c r="AK68" s="690">
        <f>AK48*(1+PARAMETROS!$G$89)*(1+PARAMETROS!$H$89)^AK$64</f>
        <v>44636241.197405711</v>
      </c>
      <c r="AL68" s="1014">
        <f>AL48*(1+PARAMETROS!$G$89)*(1+PARAMETROS!$H$89)^(AL$64-1)</f>
        <v>44636241.197405711</v>
      </c>
      <c r="AM68" s="690">
        <f>AM48*(1+PARAMETROS!$G$89)*(1+PARAMETROS!$H$89)^AM$64</f>
        <v>48278558.479114026</v>
      </c>
      <c r="AN68" s="1014">
        <f>AN48*(1+PARAMETROS!$G$89)*(1+PARAMETROS!$H$89)^(AN$64-1)</f>
        <v>48278558.479114026</v>
      </c>
      <c r="AO68" s="690">
        <f>AO48*(1+PARAMETROS!$G$89)*(1+PARAMETROS!$H$89)^AO$64</f>
        <v>52218088.851009741</v>
      </c>
      <c r="AP68" s="1014">
        <f>AP48*(1+PARAMETROS!$G$89)*(1+PARAMETROS!$H$89)^(AP$64-1)</f>
        <v>52218088.851009741</v>
      </c>
      <c r="AQ68" s="690">
        <f>AQ48*(1+PARAMETROS!$G$89)*(1+PARAMETROS!$H$89)^AQ$64</f>
        <v>56479084.901252121</v>
      </c>
    </row>
    <row r="69" spans="2:43" ht="15" thickBot="1" x14ac:dyDescent="0.3">
      <c r="B69" s="521" t="s">
        <v>546</v>
      </c>
      <c r="C69" s="689">
        <f>C49</f>
        <v>9402310.5000000019</v>
      </c>
      <c r="D69" s="690">
        <f>D49*(1)</f>
        <v>12536414.000000002</v>
      </c>
      <c r="E69" s="690">
        <f>E49*(1+PARAMETROS!$G$89)*(1+PARAMETROS!$H$89)^E$64</f>
        <v>13768861.99832</v>
      </c>
      <c r="F69" s="1014">
        <f>F49*(1+PARAMETROS!$G$89)*(1+PARAMETROS!$H$89)^(F$64-1)</f>
        <v>13913149.261439998</v>
      </c>
      <c r="G69" s="690">
        <f>G49*(1+PARAMETROS!$G$89)*(1+PARAMETROS!$H$89)^G$64</f>
        <v>15204523.344964098</v>
      </c>
      <c r="H69" s="1014">
        <f>H49*(1+PARAMETROS!$G$89)*(1+PARAMETROS!$H$89)^(H$64-1)</f>
        <v>15360584.448754691</v>
      </c>
      <c r="I69" s="690">
        <f>I49*(1+PARAMETROS!$G$89)*(1+PARAMETROS!$H$89)^I$64</f>
        <v>16782803.829632983</v>
      </c>
      <c r="J69" s="1014">
        <f>J49*(1+PARAMETROS!$G$89)*(1+PARAMETROS!$H$89)^(J$64-1)</f>
        <v>16866436.299898595</v>
      </c>
      <c r="K69" s="690">
        <f>K49*(1+PARAMETROS!$G$89)*(1+PARAMETROS!$H$89)^K$64</f>
        <v>18333194.381809615</v>
      </c>
      <c r="L69" s="1014">
        <f>L49*(1+PARAMETROS!$G$89)*(1+PARAMETROS!$H$89)^(L$64-1)</f>
        <v>18423651.261648905</v>
      </c>
      <c r="M69" s="690">
        <f>M49*(1+PARAMETROS!$G$89)*(1+PARAMETROS!$H$89)^M$64</f>
        <v>20024859.365833633</v>
      </c>
      <c r="N69" s="1014">
        <f>N49*(1+PARAMETROS!$G$89)*(1+PARAMETROS!$H$89)^(N$64-1)</f>
        <v>20122697.527067821</v>
      </c>
      <c r="O69" s="690">
        <f>O49*(1+PARAMETROS!$G$89)*(1+PARAMETROS!$H$89)^O$64</f>
        <v>21770371.04581181</v>
      </c>
      <c r="P69" s="1014">
        <f>P49*(1+PARAMETROS!$G$89)*(1+PARAMETROS!$H$89)^(P$64-1)</f>
        <v>21776032.446347065</v>
      </c>
      <c r="Q69" s="690">
        <f>Q49*(1+PARAMETROS!$G$89)*(1+PARAMETROS!$H$89)^Q$64</f>
        <v>23559080.064787924</v>
      </c>
      <c r="R69" s="1014">
        <f>R49*(1+PARAMETROS!$G$89)*(1+PARAMETROS!$H$89)^(R$64-1)</f>
        <v>23565203.435606856</v>
      </c>
      <c r="S69" s="690">
        <f>S49*(1+PARAMETROS!$G$89)*(1+PARAMETROS!$H$89)^S$64</f>
        <v>25494747.073830135</v>
      </c>
      <c r="T69" s="1014">
        <f>T49*(1+PARAMETROS!$G$89)*(1+PARAMETROS!$H$89)^(T$64-1)</f>
        <v>25683886.588172112</v>
      </c>
      <c r="U69" s="690">
        <f>U49*(1+PARAMETROS!$G$89)*(1+PARAMETROS!$H$89)^U$64</f>
        <v>27984265.032479241</v>
      </c>
      <c r="V69" s="1014">
        <f>V49*(1+PARAMETROS!$G$89)*(1+PARAMETROS!$H$89)^(V$64-1)</f>
        <v>28188838.331191521</v>
      </c>
      <c r="W69" s="690">
        <f>W49*(1+PARAMETROS!$G$89)*(1+PARAMETROS!$H$89)^W$64</f>
        <v>30710314.018903948</v>
      </c>
      <c r="X69" s="1014">
        <f>X49*(1+PARAMETROS!$G$89)*(1+PARAMETROS!$H$89)^(X$64-1)</f>
        <v>30931580.498791158</v>
      </c>
      <c r="Y69" s="690">
        <f>Y49*(1+PARAMETROS!$G$89)*(1+PARAMETROS!$H$89)^Y$64</f>
        <v>33455597.467492525</v>
      </c>
      <c r="Z69" s="1014">
        <f>Z49*(1+PARAMETROS!$G$89)*(1+PARAMETROS!$H$89)^(Z$64-1)</f>
        <v>33455597.467492525</v>
      </c>
      <c r="AA69" s="690">
        <f>AA49*(1+PARAMETROS!$G$89)*(1+PARAMETROS!$H$89)^AA$64</f>
        <v>36185574.22083991</v>
      </c>
      <c r="AB69" s="1014">
        <f>AB49*(1+PARAMETROS!$G$89)*(1+PARAMETROS!$H$89)^(AB$64-1)</f>
        <v>36185574.22083991</v>
      </c>
      <c r="AC69" s="690">
        <f>AC49*(1+PARAMETROS!$G$89)*(1+PARAMETROS!$H$89)^AC$64</f>
        <v>39138317.077260457</v>
      </c>
      <c r="AD69" s="1014">
        <f>AD49*(1+PARAMETROS!$G$89)*(1+PARAMETROS!$H$89)^(AD$64-1)</f>
        <v>39138317.077260457</v>
      </c>
      <c r="AE69" s="690">
        <f>AE49*(1+PARAMETROS!$G$89)*(1+PARAMETROS!$H$89)^AE$64</f>
        <v>42332003.750764906</v>
      </c>
      <c r="AF69" s="1014">
        <f>AF49*(1+PARAMETROS!$G$89)*(1+PARAMETROS!$H$89)^(AF$64-1)</f>
        <v>42332003.750764906</v>
      </c>
      <c r="AG69" s="690">
        <f>AG49*(1+PARAMETROS!$G$89)*(1+PARAMETROS!$H$89)^AG$64</f>
        <v>45786295.256827332</v>
      </c>
      <c r="AH69" s="1014">
        <f>AH49*(1+PARAMETROS!$G$89)*(1+PARAMETROS!$H$89)^(AH$64-1)</f>
        <v>45786295.256827332</v>
      </c>
      <c r="AI69" s="690">
        <f>AI49*(1+PARAMETROS!$G$89)*(1+PARAMETROS!$H$89)^AI$64</f>
        <v>49522456.949784443</v>
      </c>
      <c r="AJ69" s="1014">
        <f>AJ49*(1+PARAMETROS!$G$89)*(1+PARAMETROS!$H$89)^(AJ$64-1)</f>
        <v>49522456.949784443</v>
      </c>
      <c r="AK69" s="690">
        <f>AK49*(1+PARAMETROS!$G$89)*(1+PARAMETROS!$H$89)^AK$64</f>
        <v>53563489.436886854</v>
      </c>
      <c r="AL69" s="1014">
        <f>AL49*(1+PARAMETROS!$G$89)*(1+PARAMETROS!$H$89)^(AL$64-1)</f>
        <v>53563489.436886854</v>
      </c>
      <c r="AM69" s="690">
        <f>AM49*(1+PARAMETROS!$G$89)*(1+PARAMETROS!$H$89)^AM$64</f>
        <v>57934270.174936831</v>
      </c>
      <c r="AN69" s="1014">
        <f>AN49*(1+PARAMETROS!$G$89)*(1+PARAMETROS!$H$89)^(AN$64-1)</f>
        <v>57934270.174936831</v>
      </c>
      <c r="AO69" s="690">
        <f>AO49*(1+PARAMETROS!$G$89)*(1+PARAMETROS!$H$89)^AO$64</f>
        <v>62661706.621211693</v>
      </c>
      <c r="AP69" s="1014">
        <f>AP49*(1+PARAMETROS!$G$89)*(1+PARAMETROS!$H$89)^(AP$64-1)</f>
        <v>62661706.621211693</v>
      </c>
      <c r="AQ69" s="690">
        <f>AQ49*(1+PARAMETROS!$G$89)*(1+PARAMETROS!$H$89)^AQ$64</f>
        <v>67774901.881502554</v>
      </c>
    </row>
    <row r="72" spans="2:43" x14ac:dyDescent="0.25">
      <c r="B72" s="511" t="s">
        <v>559</v>
      </c>
    </row>
    <row r="73" spans="2:43" x14ac:dyDescent="0.25">
      <c r="B73" s="14"/>
    </row>
    <row r="74" spans="2:43" ht="15" thickBot="1" x14ac:dyDescent="0.3">
      <c r="B74" s="517" t="s">
        <v>372</v>
      </c>
      <c r="C74" s="166"/>
    </row>
    <row r="75" spans="2:43" ht="14.4" thickBot="1" x14ac:dyDescent="0.3">
      <c r="B75" s="512" t="s">
        <v>259</v>
      </c>
      <c r="C75" s="522">
        <v>2019</v>
      </c>
      <c r="D75" s="350">
        <v>2020</v>
      </c>
      <c r="E75" s="350">
        <v>2021</v>
      </c>
      <c r="F75" s="350">
        <v>2022</v>
      </c>
      <c r="G75" s="350">
        <v>2023</v>
      </c>
      <c r="H75" s="350">
        <v>2024</v>
      </c>
      <c r="I75" s="350">
        <v>2025</v>
      </c>
      <c r="J75" s="350">
        <v>2026</v>
      </c>
      <c r="K75" s="350">
        <v>2027</v>
      </c>
      <c r="L75" s="350">
        <v>2028</v>
      </c>
      <c r="M75" s="350">
        <v>2029</v>
      </c>
      <c r="N75" s="350">
        <v>2030</v>
      </c>
      <c r="O75" s="350">
        <v>2031</v>
      </c>
      <c r="P75" s="350">
        <v>2032</v>
      </c>
      <c r="Q75" s="350">
        <v>2033</v>
      </c>
      <c r="R75" s="350">
        <v>2034</v>
      </c>
      <c r="S75" s="350">
        <v>2035</v>
      </c>
      <c r="T75" s="350">
        <v>2036</v>
      </c>
      <c r="U75" s="350">
        <v>2037</v>
      </c>
      <c r="V75" s="350">
        <v>2038</v>
      </c>
      <c r="W75" s="350">
        <v>2039</v>
      </c>
      <c r="X75" s="350">
        <v>2040</v>
      </c>
      <c r="Y75" s="350">
        <v>2041</v>
      </c>
      <c r="Z75" s="350">
        <v>2042</v>
      </c>
      <c r="AA75" s="350">
        <v>2043</v>
      </c>
      <c r="AB75" s="350">
        <v>2044</v>
      </c>
      <c r="AC75" s="350">
        <v>2045</v>
      </c>
      <c r="AD75" s="350">
        <v>2046</v>
      </c>
      <c r="AE75" s="350">
        <v>2047</v>
      </c>
      <c r="AF75" s="350">
        <v>2048</v>
      </c>
      <c r="AG75" s="351">
        <v>2049</v>
      </c>
      <c r="AH75" s="351">
        <v>2050</v>
      </c>
      <c r="AI75" s="351">
        <v>2051</v>
      </c>
      <c r="AJ75" s="351">
        <v>2052</v>
      </c>
      <c r="AK75" s="351">
        <v>2053</v>
      </c>
      <c r="AL75" s="351">
        <v>2054</v>
      </c>
      <c r="AM75" s="351">
        <v>2055</v>
      </c>
      <c r="AN75" s="351">
        <v>2056</v>
      </c>
      <c r="AO75" s="351">
        <v>2057</v>
      </c>
      <c r="AP75" s="351">
        <v>2058</v>
      </c>
      <c r="AQ75" s="351">
        <v>2059</v>
      </c>
    </row>
    <row r="76" spans="2:43" ht="14.4" x14ac:dyDescent="0.25">
      <c r="B76" s="519" t="s">
        <v>542</v>
      </c>
      <c r="C76" s="527">
        <f>$D32*DEMANDA!C72*$D$12+$E32*DEMANDA!C72*$D$13</f>
        <v>3612250.3839263022</v>
      </c>
      <c r="D76" s="527">
        <f>$D32*DEMANDA!D72*$D$12+$E32*DEMANDA!D72*$D$13</f>
        <v>4816333.8452350711</v>
      </c>
      <c r="E76" s="527">
        <f>$D32*DEMANDA!E72*$D$12+$E32*DEMANDA!E72*$D$13</f>
        <v>4868607.4565184247</v>
      </c>
      <c r="F76" s="527">
        <f>$D32*DEMANDA!F72*$D$12+$E32*DEMANDA!F72*$D$13</f>
        <v>4920881.0678017801</v>
      </c>
      <c r="G76" s="527">
        <f>$D32*DEMANDA!G72*$D$12+$E32*DEMANDA!G72*$D$13</f>
        <v>4973154.6790851345</v>
      </c>
      <c r="H76" s="527">
        <f>$D32*DEMANDA!H72*$D$12+$E32*DEMANDA!H72*$D$13</f>
        <v>5025428.2903684899</v>
      </c>
      <c r="I76" s="527">
        <f>$D32*DEMANDA!I72*$D$12+$E32*DEMANDA!I72*$D$13</f>
        <v>5077701.9016518425</v>
      </c>
      <c r="J76" s="527">
        <f>$D32*DEMANDA!J72*$D$12+$E32*DEMANDA!J72*$D$13</f>
        <v>5093270.9291263334</v>
      </c>
      <c r="K76" s="527">
        <f>$D32*DEMANDA!K72*$D$12+$E32*DEMANDA!K72*$D$13</f>
        <v>5108839.9566008253</v>
      </c>
      <c r="L76" s="527">
        <f>$D32*DEMANDA!L72*$D$12+$E32*DEMANDA!L72*$D$13</f>
        <v>5124408.984075319</v>
      </c>
      <c r="M76" s="527">
        <f>$D32*DEMANDA!M72*$D$12+$E32*DEMANDA!M72*$D$13</f>
        <v>5139978.0115498109</v>
      </c>
      <c r="N76" s="527">
        <f>$D32*DEMANDA!N72*$D$12+$E32*DEMANDA!N72*$D$13</f>
        <v>5155547.0390243046</v>
      </c>
      <c r="O76" s="527">
        <f>$D32*DEMANDA!O72*$D$12+$E32*DEMANDA!O72*$D$13</f>
        <v>5176196.1783964857</v>
      </c>
      <c r="P76" s="527">
        <f>$D32*DEMANDA!P72*$D$12+$E32*DEMANDA!P72*$D$13</f>
        <v>5196845.3177686641</v>
      </c>
      <c r="Q76" s="527">
        <f>$D32*DEMANDA!Q72*$D$12+$E32*DEMANDA!Q72*$D$13</f>
        <v>5217494.4571408443</v>
      </c>
      <c r="R76" s="527">
        <f>$D32*DEMANDA!R72*$D$12+$E32*DEMANDA!R72*$D$13</f>
        <v>5238143.5965130236</v>
      </c>
      <c r="S76" s="527">
        <f>$D32*DEMANDA!S72*$D$12+$E32*DEMANDA!S72*$D$13</f>
        <v>5258792.735885201</v>
      </c>
      <c r="T76" s="527">
        <f>$D32*DEMANDA!T72*$D$12+$E32*DEMANDA!T72*$D$13</f>
        <v>5302463.8807116803</v>
      </c>
      <c r="U76" s="527">
        <f>$D32*DEMANDA!U72*$D$12+$E32*DEMANDA!U72*$D$13</f>
        <v>5346135.0255381586</v>
      </c>
      <c r="V76" s="527">
        <f>$D32*DEMANDA!V72*$D$12+$E32*DEMANDA!V72*$D$13</f>
        <v>5389806.1703646369</v>
      </c>
      <c r="W76" s="527">
        <f>$D32*DEMANDA!W72*$D$12+$E32*DEMANDA!W72*$D$13</f>
        <v>5433477.3151911153</v>
      </c>
      <c r="X76" s="527">
        <f>$D32*DEMANDA!X72*$D$12+$E32*DEMANDA!X72*$D$13</f>
        <v>5477148.4600175945</v>
      </c>
      <c r="Y76" s="527">
        <f>$D32*DEMANDA!Y72*$D$12+$E32*DEMANDA!Y72*$D$13</f>
        <v>5477148.4600175945</v>
      </c>
      <c r="Z76" s="527">
        <f>$D32*DEMANDA!Z72*$D$12+$E32*DEMANDA!Z72*$D$13</f>
        <v>5477148.4600175945</v>
      </c>
      <c r="AA76" s="527">
        <f>$D32*DEMANDA!AA72*$D$12+$E32*DEMANDA!AA72*$D$13</f>
        <v>5477148.4600175945</v>
      </c>
      <c r="AB76" s="527">
        <f>$D32*DEMANDA!AB72*$D$12+$E32*DEMANDA!AB72*$D$13</f>
        <v>5477148.4600175945</v>
      </c>
      <c r="AC76" s="527">
        <f>$D32*DEMANDA!AC72*$D$12+$E32*DEMANDA!AC72*$D$13</f>
        <v>5477148.4600175945</v>
      </c>
      <c r="AD76" s="527">
        <f>$D32*DEMANDA!AD72*$D$12+$E32*DEMANDA!AD72*$D$13</f>
        <v>5477148.4600175945</v>
      </c>
      <c r="AE76" s="527">
        <f>$D32*DEMANDA!AE72*$D$12+$E32*DEMANDA!AE72*$D$13</f>
        <v>5477148.4600175945</v>
      </c>
      <c r="AF76" s="527">
        <f>$D32*DEMANDA!AF72*$D$12+$E32*DEMANDA!AF72*$D$13</f>
        <v>5477148.4600175945</v>
      </c>
      <c r="AG76" s="527">
        <f>$D32*DEMANDA!AG72*$D$12+$E32*DEMANDA!AG72*$D$13</f>
        <v>5477148.4600175945</v>
      </c>
      <c r="AH76" s="527">
        <f>$D32*DEMANDA!AH72*$D$12+$E32*DEMANDA!AH72*$D$13</f>
        <v>5477148.4600175945</v>
      </c>
      <c r="AI76" s="527">
        <f>$D32*DEMANDA!AI72*$D$12+$E32*DEMANDA!AI72*$D$13</f>
        <v>5477148.4600175945</v>
      </c>
      <c r="AJ76" s="527">
        <f>$D32*DEMANDA!AJ72*$D$12+$E32*DEMANDA!AJ72*$D$13</f>
        <v>5477148.4600175945</v>
      </c>
      <c r="AK76" s="527">
        <f>$D32*DEMANDA!AK72*$D$12+$E32*DEMANDA!AK72*$D$13</f>
        <v>5477148.4600175945</v>
      </c>
      <c r="AL76" s="527">
        <f>$D32*DEMANDA!AL72*$D$12+$E32*DEMANDA!AL72*$D$13</f>
        <v>5477148.4600175945</v>
      </c>
      <c r="AM76" s="527">
        <f>$D32*DEMANDA!AM72*$D$12+$E32*DEMANDA!AM72*$D$13</f>
        <v>5477148.4600175945</v>
      </c>
      <c r="AN76" s="527">
        <f>$D32*DEMANDA!AN72*$D$12+$E32*DEMANDA!AN72*$D$13</f>
        <v>5477148.4600175945</v>
      </c>
      <c r="AO76" s="527">
        <f>$D32*DEMANDA!AO72*$D$12+$E32*DEMANDA!AO72*$D$13</f>
        <v>5477148.4600175945</v>
      </c>
      <c r="AP76" s="527">
        <f>$D32*DEMANDA!AP72*$D$12+$E32*DEMANDA!AP72*$D$13</f>
        <v>5477148.4600175945</v>
      </c>
      <c r="AQ76" s="527">
        <f>$D32*DEMANDA!AQ72*$D$12+$E32*DEMANDA!AQ72*$D$13</f>
        <v>5477148.4600175945</v>
      </c>
    </row>
    <row r="77" spans="2:43" ht="14.4" x14ac:dyDescent="0.25">
      <c r="B77" s="520" t="s">
        <v>543</v>
      </c>
      <c r="C77" s="530">
        <f>$D33*DEMANDA!C73*$D$12+$E33*DEMANDA!C73*$D$13</f>
        <v>4476291.4023983479</v>
      </c>
      <c r="D77" s="530">
        <f>$D33*DEMANDA!D73*$D$12+$E33*DEMANDA!D73*$D$13</f>
        <v>5968388.5365311326</v>
      </c>
      <c r="E77" s="530">
        <f>$D33*DEMANDA!E73*$D$12+$E33*DEMANDA!E73*$D$13</f>
        <v>6035107.7827827204</v>
      </c>
      <c r="F77" s="530">
        <f>$D33*DEMANDA!F73*$D$12+$E33*DEMANDA!F73*$D$13</f>
        <v>6101827.0290343091</v>
      </c>
      <c r="G77" s="530">
        <f>$D33*DEMANDA!G73*$D$12+$E33*DEMANDA!G73*$D$13</f>
        <v>6168546.2752858978</v>
      </c>
      <c r="H77" s="530">
        <f>$D33*DEMANDA!H73*$D$12+$E33*DEMANDA!H73*$D$13</f>
        <v>6235265.5215374874</v>
      </c>
      <c r="I77" s="530">
        <f>$D33*DEMANDA!I73*$D$12+$E33*DEMANDA!I73*$D$13</f>
        <v>6301984.7677890733</v>
      </c>
      <c r="J77" s="530">
        <f>$D33*DEMANDA!J73*$D$12+$E33*DEMANDA!J73*$D$13</f>
        <v>6337695.7363283755</v>
      </c>
      <c r="K77" s="530">
        <f>$D33*DEMANDA!K73*$D$12+$E33*DEMANDA!K73*$D$13</f>
        <v>6373406.7048676796</v>
      </c>
      <c r="L77" s="530">
        <f>$D33*DEMANDA!L73*$D$12+$E33*DEMANDA!L73*$D$13</f>
        <v>6409117.6734069809</v>
      </c>
      <c r="M77" s="530">
        <f>$D33*DEMANDA!M73*$D$12+$E33*DEMANDA!M73*$D$13</f>
        <v>6444828.6419462832</v>
      </c>
      <c r="N77" s="530">
        <f>$D33*DEMANDA!N73*$D$12+$E33*DEMANDA!N73*$D$13</f>
        <v>6480539.6104855882</v>
      </c>
      <c r="O77" s="530">
        <f>$D33*DEMANDA!O73*$D$12+$E33*DEMANDA!O73*$D$13</f>
        <v>6488451.4667089283</v>
      </c>
      <c r="P77" s="530">
        <f>$D33*DEMANDA!P73*$D$12+$E33*DEMANDA!P73*$D$13</f>
        <v>6496363.3229322694</v>
      </c>
      <c r="Q77" s="530">
        <f>$D33*DEMANDA!Q73*$D$12+$E33*DEMANDA!Q73*$D$13</f>
        <v>6504275.1791556086</v>
      </c>
      <c r="R77" s="530">
        <f>$D33*DEMANDA!R73*$D$12+$E33*DEMANDA!R73*$D$13</f>
        <v>6512187.0353789479</v>
      </c>
      <c r="S77" s="530">
        <f>$D33*DEMANDA!S73*$D$12+$E33*DEMANDA!S73*$D$13</f>
        <v>6520098.8916022908</v>
      </c>
      <c r="T77" s="530">
        <f>$D33*DEMANDA!T73*$D$12+$E33*DEMANDA!T73*$D$13</f>
        <v>6569873.5345831448</v>
      </c>
      <c r="U77" s="530">
        <f>$D33*DEMANDA!U73*$D$12+$E33*DEMANDA!U73*$D$13</f>
        <v>6619648.1775640007</v>
      </c>
      <c r="V77" s="530">
        <f>$D33*DEMANDA!V73*$D$12+$E33*DEMANDA!V73*$D$13</f>
        <v>6669422.8205448557</v>
      </c>
      <c r="W77" s="530">
        <f>$D33*DEMANDA!W73*$D$12+$E33*DEMANDA!W73*$D$13</f>
        <v>6719197.4635257097</v>
      </c>
      <c r="X77" s="530">
        <f>$D33*DEMANDA!X73*$D$12+$E33*DEMANDA!X73*$D$13</f>
        <v>6768972.1065065628</v>
      </c>
      <c r="Y77" s="530">
        <f>$D33*DEMANDA!Y73*$D$12+$E33*DEMANDA!Y73*$D$13</f>
        <v>6768972.1065065628</v>
      </c>
      <c r="Z77" s="530">
        <f>$D33*DEMANDA!Z73*$D$12+$E33*DEMANDA!Z73*$D$13</f>
        <v>6768972.1065065628</v>
      </c>
      <c r="AA77" s="530">
        <f>$D33*DEMANDA!AA73*$D$12+$E33*DEMANDA!AA73*$D$13</f>
        <v>6768972.1065065628</v>
      </c>
      <c r="AB77" s="530">
        <f>$D33*DEMANDA!AB73*$D$12+$E33*DEMANDA!AB73*$D$13</f>
        <v>6768972.1065065628</v>
      </c>
      <c r="AC77" s="530">
        <f>$D33*DEMANDA!AC73*$D$12+$E33*DEMANDA!AC73*$D$13</f>
        <v>6768972.1065065628</v>
      </c>
      <c r="AD77" s="530">
        <f>$D33*DEMANDA!AD73*$D$12+$E33*DEMANDA!AD73*$D$13</f>
        <v>6768972.1065065628</v>
      </c>
      <c r="AE77" s="530">
        <f>$D33*DEMANDA!AE73*$D$12+$E33*DEMANDA!AE73*$D$13</f>
        <v>6768972.1065065628</v>
      </c>
      <c r="AF77" s="530">
        <f>$D33*DEMANDA!AF73*$D$12+$E33*DEMANDA!AF73*$D$13</f>
        <v>6768972.1065065628</v>
      </c>
      <c r="AG77" s="530">
        <f>$D33*DEMANDA!AG73*$D$12+$E33*DEMANDA!AG73*$D$13</f>
        <v>6768972.1065065628</v>
      </c>
      <c r="AH77" s="530">
        <f>$D33*DEMANDA!AH73*$D$12+$E33*DEMANDA!AH73*$D$13</f>
        <v>6768972.1065065628</v>
      </c>
      <c r="AI77" s="530">
        <f>$D33*DEMANDA!AI73*$D$12+$E33*DEMANDA!AI73*$D$13</f>
        <v>6768972.1065065628</v>
      </c>
      <c r="AJ77" s="530">
        <f>$D33*DEMANDA!AJ73*$D$12+$E33*DEMANDA!AJ73*$D$13</f>
        <v>6768972.1065065628</v>
      </c>
      <c r="AK77" s="530">
        <f>$D33*DEMANDA!AK73*$D$12+$E33*DEMANDA!AK73*$D$13</f>
        <v>6768972.1065065628</v>
      </c>
      <c r="AL77" s="530">
        <f>$D33*DEMANDA!AL73*$D$12+$E33*DEMANDA!AL73*$D$13</f>
        <v>6768972.1065065628</v>
      </c>
      <c r="AM77" s="530">
        <f>$D33*DEMANDA!AM73*$D$12+$E33*DEMANDA!AM73*$D$13</f>
        <v>6768972.1065065628</v>
      </c>
      <c r="AN77" s="530">
        <f>$D33*DEMANDA!AN73*$D$12+$E33*DEMANDA!AN73*$D$13</f>
        <v>6768972.1065065628</v>
      </c>
      <c r="AO77" s="530">
        <f>$D33*DEMANDA!AO73*$D$12+$E33*DEMANDA!AO73*$D$13</f>
        <v>6768972.1065065628</v>
      </c>
      <c r="AP77" s="530">
        <f>$D33*DEMANDA!AP73*$D$12+$E33*DEMANDA!AP73*$D$13</f>
        <v>6768972.1065065628</v>
      </c>
      <c r="AQ77" s="530">
        <f>$D33*DEMANDA!AQ73*$D$12+$E33*DEMANDA!AQ73*$D$13</f>
        <v>6768972.1065065628</v>
      </c>
    </row>
    <row r="78" spans="2:43" ht="14.4" x14ac:dyDescent="0.25">
      <c r="B78" s="520" t="s">
        <v>544</v>
      </c>
      <c r="C78" s="530">
        <f>$D34*DEMANDA!C74*$D$12+$E34*DEMANDA!C74*$D$13</f>
        <v>5891875.6394536206</v>
      </c>
      <c r="D78" s="530">
        <f>$D34*DEMANDA!D74*$D$12+$E34*DEMANDA!D74*$D$13</f>
        <v>7855834.1859381627</v>
      </c>
      <c r="E78" s="530">
        <f>$D34*DEMANDA!E74*$D$12+$E34*DEMANDA!E74*$D$13</f>
        <v>7939029.2093604393</v>
      </c>
      <c r="F78" s="530">
        <f>$D34*DEMANDA!F74*$D$12+$E34*DEMANDA!F74*$D$13</f>
        <v>8022224.2327827197</v>
      </c>
      <c r="G78" s="530">
        <f>$D34*DEMANDA!G74*$D$12+$E34*DEMANDA!G74*$D$13</f>
        <v>8105419.256205</v>
      </c>
      <c r="H78" s="530">
        <f>$D34*DEMANDA!H74*$D$12+$E34*DEMANDA!H74*$D$13</f>
        <v>8188614.2796272784</v>
      </c>
      <c r="I78" s="530">
        <f>$D34*DEMANDA!I74*$D$12+$E34*DEMANDA!I74*$D$13</f>
        <v>8271809.303049555</v>
      </c>
      <c r="J78" s="530">
        <f>$D34*DEMANDA!J74*$D$12+$E34*DEMANDA!J74*$D$13</f>
        <v>8313029.581413215</v>
      </c>
      <c r="K78" s="530">
        <f>$D34*DEMANDA!K74*$D$12+$E34*DEMANDA!K74*$D$13</f>
        <v>8354249.8597768731</v>
      </c>
      <c r="L78" s="530">
        <f>$D34*DEMANDA!L74*$D$12+$E34*DEMANDA!L74*$D$13</f>
        <v>8395470.1381405313</v>
      </c>
      <c r="M78" s="530">
        <f>$D34*DEMANDA!M74*$D$12+$E34*DEMANDA!M74*$D$13</f>
        <v>8436690.4165041912</v>
      </c>
      <c r="N78" s="530">
        <f>$D34*DEMANDA!N74*$D$12+$E34*DEMANDA!N74*$D$13</f>
        <v>8477910.6948678493</v>
      </c>
      <c r="O78" s="530">
        <f>$D34*DEMANDA!O74*$D$12+$E34*DEMANDA!O74*$D$13</f>
        <v>8480115.9550770633</v>
      </c>
      <c r="P78" s="530">
        <f>$D34*DEMANDA!P74*$D$12+$E34*DEMANDA!P74*$D$13</f>
        <v>8482321.2152862754</v>
      </c>
      <c r="Q78" s="530">
        <f>$D34*DEMANDA!Q74*$D$12+$E34*DEMANDA!Q74*$D$13</f>
        <v>8484526.4754954875</v>
      </c>
      <c r="R78" s="530">
        <f>$D34*DEMANDA!R74*$D$12+$E34*DEMANDA!R74*$D$13</f>
        <v>8486731.7357047014</v>
      </c>
      <c r="S78" s="530">
        <f>$D34*DEMANDA!S74*$D$12+$E34*DEMANDA!S74*$D$13</f>
        <v>8488936.9959139116</v>
      </c>
      <c r="T78" s="530">
        <f>$D34*DEMANDA!T74*$D$12+$E34*DEMANDA!T74*$D$13</f>
        <v>8551914.4169503767</v>
      </c>
      <c r="U78" s="530">
        <f>$D34*DEMANDA!U74*$D$12+$E34*DEMANDA!U74*$D$13</f>
        <v>8614891.8379868399</v>
      </c>
      <c r="V78" s="530">
        <f>$D34*DEMANDA!V74*$D$12+$E34*DEMANDA!V74*$D$13</f>
        <v>8677869.2590233069</v>
      </c>
      <c r="W78" s="530">
        <f>$D34*DEMANDA!W74*$D$12+$E34*DEMANDA!W74*$D$13</f>
        <v>8740846.6800597738</v>
      </c>
      <c r="X78" s="530">
        <f>$D34*DEMANDA!X74*$D$12+$E34*DEMANDA!X74*$D$13</f>
        <v>8803824.1010962352</v>
      </c>
      <c r="Y78" s="530">
        <f>$D34*DEMANDA!Y74*$D$12+$E34*DEMANDA!Y74*$D$13</f>
        <v>8803824.1010962352</v>
      </c>
      <c r="Z78" s="530">
        <f>$D34*DEMANDA!Z74*$D$12+$E34*DEMANDA!Z74*$D$13</f>
        <v>8803824.1010962352</v>
      </c>
      <c r="AA78" s="530">
        <f>$D34*DEMANDA!AA74*$D$12+$E34*DEMANDA!AA74*$D$13</f>
        <v>8803824.1010962352</v>
      </c>
      <c r="AB78" s="530">
        <f>$D34*DEMANDA!AB74*$D$12+$E34*DEMANDA!AB74*$D$13</f>
        <v>8803824.1010962352</v>
      </c>
      <c r="AC78" s="530">
        <f>$D34*DEMANDA!AC74*$D$12+$E34*DEMANDA!AC74*$D$13</f>
        <v>8803824.1010962352</v>
      </c>
      <c r="AD78" s="530">
        <f>$D34*DEMANDA!AD74*$D$12+$E34*DEMANDA!AD74*$D$13</f>
        <v>8803824.1010962352</v>
      </c>
      <c r="AE78" s="530">
        <f>$D34*DEMANDA!AE74*$D$12+$E34*DEMANDA!AE74*$D$13</f>
        <v>8803824.1010962352</v>
      </c>
      <c r="AF78" s="530">
        <f>$D34*DEMANDA!AF74*$D$12+$E34*DEMANDA!AF74*$D$13</f>
        <v>8803824.1010962352</v>
      </c>
      <c r="AG78" s="530">
        <f>$D34*DEMANDA!AG74*$D$12+$E34*DEMANDA!AG74*$D$13</f>
        <v>8803824.1010962352</v>
      </c>
      <c r="AH78" s="530">
        <f>$D34*DEMANDA!AH74*$D$12+$E34*DEMANDA!AH74*$D$13</f>
        <v>8803824.1010962352</v>
      </c>
      <c r="AI78" s="530">
        <f>$D34*DEMANDA!AI74*$D$12+$E34*DEMANDA!AI74*$D$13</f>
        <v>8803824.1010962352</v>
      </c>
      <c r="AJ78" s="530">
        <f>$D34*DEMANDA!AJ74*$D$12+$E34*DEMANDA!AJ74*$D$13</f>
        <v>8803824.1010962352</v>
      </c>
      <c r="AK78" s="530">
        <f>$D34*DEMANDA!AK74*$D$12+$E34*DEMANDA!AK74*$D$13</f>
        <v>8803824.1010962352</v>
      </c>
      <c r="AL78" s="530">
        <f>$D34*DEMANDA!AL74*$D$12+$E34*DEMANDA!AL74*$D$13</f>
        <v>8803824.1010962352</v>
      </c>
      <c r="AM78" s="530">
        <f>$D34*DEMANDA!AM74*$D$12+$E34*DEMANDA!AM74*$D$13</f>
        <v>8803824.1010962352</v>
      </c>
      <c r="AN78" s="530">
        <f>$D34*DEMANDA!AN74*$D$12+$E34*DEMANDA!AN74*$D$13</f>
        <v>8803824.1010962352</v>
      </c>
      <c r="AO78" s="530">
        <f>$D34*DEMANDA!AO74*$D$12+$E34*DEMANDA!AO74*$D$13</f>
        <v>8803824.1010962352</v>
      </c>
      <c r="AP78" s="530">
        <f>$D34*DEMANDA!AP74*$D$12+$E34*DEMANDA!AP74*$D$13</f>
        <v>8803824.1010962352</v>
      </c>
      <c r="AQ78" s="530">
        <f>$D34*DEMANDA!AQ74*$D$12+$E34*DEMANDA!AQ74*$D$13</f>
        <v>8803824.1010962352</v>
      </c>
    </row>
    <row r="79" spans="2:43" ht="14.4" x14ac:dyDescent="0.25">
      <c r="B79" s="520" t="s">
        <v>545</v>
      </c>
      <c r="C79" s="530">
        <f>$D35*DEMANDA!C75*$D$12+$E35*DEMANDA!C75*$D$13</f>
        <v>7248879.6896839272</v>
      </c>
      <c r="D79" s="530">
        <f>$D35*DEMANDA!D75*$D$12+$E35*DEMANDA!D75*$D$13</f>
        <v>9665172.9195785671</v>
      </c>
      <c r="E79" s="530">
        <f>$D35*DEMANDA!E75*$D$12+$E35*DEMANDA!E75*$D$13</f>
        <v>9770760.7175455336</v>
      </c>
      <c r="F79" s="530">
        <f>$D35*DEMANDA!F75*$D$12+$E35*DEMANDA!F75*$D$13</f>
        <v>9876348.5155124944</v>
      </c>
      <c r="G79" s="530">
        <f>$D35*DEMANDA!G75*$D$12+$E35*DEMANDA!G75*$D$13</f>
        <v>9981936.3134794589</v>
      </c>
      <c r="H79" s="530">
        <f>$D35*DEMANDA!H75*$D$12+$E35*DEMANDA!H75*$D$13</f>
        <v>10087524.111446422</v>
      </c>
      <c r="I79" s="530">
        <f>$D35*DEMANDA!I75*$D$12+$E35*DEMANDA!I75*$D$13</f>
        <v>10193111.909413386</v>
      </c>
      <c r="J79" s="530">
        <f>$D35*DEMANDA!J75*$D$12+$E35*DEMANDA!J75*$D$13</f>
        <v>10244816.445398575</v>
      </c>
      <c r="K79" s="530">
        <f>$D35*DEMANDA!K75*$D$12+$E35*DEMANDA!K75*$D$13</f>
        <v>10296520.981383763</v>
      </c>
      <c r="L79" s="530">
        <f>$D35*DEMANDA!L75*$D$12+$E35*DEMANDA!L75*$D$13</f>
        <v>10348225.517368952</v>
      </c>
      <c r="M79" s="530">
        <f>$D35*DEMANDA!M75*$D$12+$E35*DEMANDA!M75*$D$13</f>
        <v>10399930.05335414</v>
      </c>
      <c r="N79" s="530">
        <f>$D35*DEMANDA!N75*$D$12+$E35*DEMANDA!N75*$D$13</f>
        <v>10451634.589339336</v>
      </c>
      <c r="O79" s="530">
        <f>$D35*DEMANDA!O75*$D$12+$E35*DEMANDA!O75*$D$13</f>
        <v>10456535.15906845</v>
      </c>
      <c r="P79" s="530">
        <f>$D35*DEMANDA!P75*$D$12+$E35*DEMANDA!P75*$D$13</f>
        <v>10461435.72879757</v>
      </c>
      <c r="Q79" s="530">
        <f>$D35*DEMANDA!Q75*$D$12+$E35*DEMANDA!Q75*$D$13</f>
        <v>10466336.298526686</v>
      </c>
      <c r="R79" s="530">
        <f>$D35*DEMANDA!R75*$D$12+$E35*DEMANDA!R75*$D$13</f>
        <v>10471236.868255801</v>
      </c>
      <c r="S79" s="530">
        <f>$D35*DEMANDA!S75*$D$12+$E35*DEMANDA!S75*$D$13</f>
        <v>10476137.437984917</v>
      </c>
      <c r="T79" s="530">
        <f>$D35*DEMANDA!T75*$D$12+$E35*DEMANDA!T75*$D$13</f>
        <v>10541090.282148192</v>
      </c>
      <c r="U79" s="530">
        <f>$D35*DEMANDA!U75*$D$12+$E35*DEMANDA!U75*$D$13</f>
        <v>10606043.126311468</v>
      </c>
      <c r="V79" s="530">
        <f>$D35*DEMANDA!V75*$D$12+$E35*DEMANDA!V75*$D$13</f>
        <v>10670995.970474744</v>
      </c>
      <c r="W79" s="530">
        <f>$D35*DEMANDA!W75*$D$12+$E35*DEMANDA!W75*$D$13</f>
        <v>10735948.81463802</v>
      </c>
      <c r="X79" s="530">
        <f>$D35*DEMANDA!X75*$D$12+$E35*DEMANDA!X75*$D$13</f>
        <v>10800901.658801299</v>
      </c>
      <c r="Y79" s="530">
        <f>$D35*DEMANDA!Y75*$D$12+$E35*DEMANDA!Y75*$D$13</f>
        <v>10800901.658801299</v>
      </c>
      <c r="Z79" s="530">
        <f>$D35*DEMANDA!Z75*$D$12+$E35*DEMANDA!Z75*$D$13</f>
        <v>10800901.658801299</v>
      </c>
      <c r="AA79" s="530">
        <f>$D35*DEMANDA!AA75*$D$12+$E35*DEMANDA!AA75*$D$13</f>
        <v>10800901.658801299</v>
      </c>
      <c r="AB79" s="530">
        <f>$D35*DEMANDA!AB75*$D$12+$E35*DEMANDA!AB75*$D$13</f>
        <v>10800901.658801299</v>
      </c>
      <c r="AC79" s="530">
        <f>$D35*DEMANDA!AC75*$D$12+$E35*DEMANDA!AC75*$D$13</f>
        <v>10800901.658801299</v>
      </c>
      <c r="AD79" s="530">
        <f>$D35*DEMANDA!AD75*$D$12+$E35*DEMANDA!AD75*$D$13</f>
        <v>10800901.658801299</v>
      </c>
      <c r="AE79" s="530">
        <f>$D35*DEMANDA!AE75*$D$12+$E35*DEMANDA!AE75*$D$13</f>
        <v>10800901.658801299</v>
      </c>
      <c r="AF79" s="530">
        <f>$D35*DEMANDA!AF75*$D$12+$E35*DEMANDA!AF75*$D$13</f>
        <v>10800901.658801299</v>
      </c>
      <c r="AG79" s="530">
        <f>$D35*DEMANDA!AG75*$D$12+$E35*DEMANDA!AG75*$D$13</f>
        <v>10800901.658801299</v>
      </c>
      <c r="AH79" s="530">
        <f>$D35*DEMANDA!AH75*$D$12+$E35*DEMANDA!AH75*$D$13</f>
        <v>10800901.658801299</v>
      </c>
      <c r="AI79" s="530">
        <f>$D35*DEMANDA!AI75*$D$12+$E35*DEMANDA!AI75*$D$13</f>
        <v>10800901.658801299</v>
      </c>
      <c r="AJ79" s="530">
        <f>$D35*DEMANDA!AJ75*$D$12+$E35*DEMANDA!AJ75*$D$13</f>
        <v>10800901.658801299</v>
      </c>
      <c r="AK79" s="530">
        <f>$D35*DEMANDA!AK75*$D$12+$E35*DEMANDA!AK75*$D$13</f>
        <v>10800901.658801299</v>
      </c>
      <c r="AL79" s="530">
        <f>$D35*DEMANDA!AL75*$D$12+$E35*DEMANDA!AL75*$D$13</f>
        <v>10800901.658801299</v>
      </c>
      <c r="AM79" s="530">
        <f>$D35*DEMANDA!AM75*$D$12+$E35*DEMANDA!AM75*$D$13</f>
        <v>10800901.658801299</v>
      </c>
      <c r="AN79" s="530">
        <f>$D35*DEMANDA!AN75*$D$12+$E35*DEMANDA!AN75*$D$13</f>
        <v>10800901.658801299</v>
      </c>
      <c r="AO79" s="530">
        <f>$D35*DEMANDA!AO75*$D$12+$E35*DEMANDA!AO75*$D$13</f>
        <v>10800901.658801299</v>
      </c>
      <c r="AP79" s="530">
        <f>$D35*DEMANDA!AP75*$D$12+$E35*DEMANDA!AP75*$D$13</f>
        <v>10800901.658801299</v>
      </c>
      <c r="AQ79" s="530">
        <f>$D35*DEMANDA!AQ75*$D$12+$E35*DEMANDA!AQ75*$D$13</f>
        <v>10800901.658801299</v>
      </c>
    </row>
    <row r="80" spans="2:43" ht="15" thickBot="1" x14ac:dyDescent="0.3">
      <c r="B80" s="521" t="s">
        <v>546</v>
      </c>
      <c r="C80" s="533">
        <f>$D36*DEMANDA!C76*$D$12+$E36*DEMANDA!C76*$D$13</f>
        <v>8615447.8520489205</v>
      </c>
      <c r="D80" s="533">
        <f>$D36*DEMANDA!D76*$D$12+$E36*DEMANDA!D76*$D$13</f>
        <v>11487263.802731898</v>
      </c>
      <c r="E80" s="533">
        <f>$D36*DEMANDA!E76*$D$12+$E36*DEMANDA!E76*$D$13</f>
        <v>11591397.855654387</v>
      </c>
      <c r="F80" s="533">
        <f>$D36*DEMANDA!F76*$D$12+$E36*DEMANDA!F76*$D$13</f>
        <v>11695531.908576876</v>
      </c>
      <c r="G80" s="533">
        <f>$D36*DEMANDA!G76*$D$12+$E36*DEMANDA!G76*$D$13</f>
        <v>11799665.961499367</v>
      </c>
      <c r="H80" s="533">
        <f>$D36*DEMANDA!H76*$D$12+$E36*DEMANDA!H76*$D$13</f>
        <v>11903800.01442186</v>
      </c>
      <c r="I80" s="533">
        <f>$D36*DEMANDA!I76*$D$12+$E36*DEMANDA!I76*$D$13</f>
        <v>12007934.067344345</v>
      </c>
      <c r="J80" s="533">
        <f>$D36*DEMANDA!J76*$D$12+$E36*DEMANDA!J76*$D$13</f>
        <v>12073807.539635034</v>
      </c>
      <c r="K80" s="533">
        <f>$D36*DEMANDA!K76*$D$12+$E36*DEMANDA!K76*$D$13</f>
        <v>12139681.011925723</v>
      </c>
      <c r="L80" s="533">
        <f>$D36*DEMANDA!L76*$D$12+$E36*DEMANDA!L76*$D$13</f>
        <v>12205554.484216407</v>
      </c>
      <c r="M80" s="533">
        <f>$D36*DEMANDA!M76*$D$12+$E36*DEMANDA!M76*$D$13</f>
        <v>12271427.956507096</v>
      </c>
      <c r="N80" s="533">
        <f>$D36*DEMANDA!N76*$D$12+$E36*DEMANDA!N76*$D$13</f>
        <v>12337301.428797778</v>
      </c>
      <c r="O80" s="533">
        <f>$D36*DEMANDA!O76*$D$12+$E36*DEMANDA!O76*$D$13</f>
        <v>12331366.194209488</v>
      </c>
      <c r="P80" s="533">
        <f>$D36*DEMANDA!P76*$D$12+$E36*DEMANDA!P76*$D$13</f>
        <v>12325430.959621197</v>
      </c>
      <c r="Q80" s="533">
        <f>$D36*DEMANDA!Q76*$D$12+$E36*DEMANDA!Q76*$D$13</f>
        <v>12319495.725032907</v>
      </c>
      <c r="R80" s="533">
        <f>$D36*DEMANDA!R76*$D$12+$E36*DEMANDA!R76*$D$13</f>
        <v>12313560.490444619</v>
      </c>
      <c r="S80" s="533">
        <f>$D36*DEMANDA!S76*$D$12+$E36*DEMANDA!S76*$D$13</f>
        <v>12307625.255856335</v>
      </c>
      <c r="T80" s="533">
        <f>$D36*DEMANDA!T76*$D$12+$E36*DEMANDA!T76*$D$13</f>
        <v>12391372.809452556</v>
      </c>
      <c r="U80" s="533">
        <f>$D36*DEMANDA!U76*$D$12+$E36*DEMANDA!U76*$D$13</f>
        <v>12475120.363048779</v>
      </c>
      <c r="V80" s="533">
        <f>$D36*DEMANDA!V76*$D$12+$E36*DEMANDA!V76*$D$13</f>
        <v>12558867.916645002</v>
      </c>
      <c r="W80" s="533">
        <f>$D36*DEMANDA!W76*$D$12+$E36*DEMANDA!W76*$D$13</f>
        <v>12642615.470241224</v>
      </c>
      <c r="X80" s="533">
        <f>$D36*DEMANDA!X76*$D$12+$E36*DEMANDA!X76*$D$13</f>
        <v>12726363.023837447</v>
      </c>
      <c r="Y80" s="533">
        <f>$D36*DEMANDA!Y76*$D$12+$E36*DEMANDA!Y76*$D$13</f>
        <v>12726363.023837447</v>
      </c>
      <c r="Z80" s="533">
        <f>$D36*DEMANDA!Z76*$D$12+$E36*DEMANDA!Z76*$D$13</f>
        <v>12726363.023837447</v>
      </c>
      <c r="AA80" s="533">
        <f>$D36*DEMANDA!AA76*$D$12+$E36*DEMANDA!AA76*$D$13</f>
        <v>12726363.023837447</v>
      </c>
      <c r="AB80" s="533">
        <f>$D36*DEMANDA!AB76*$D$12+$E36*DEMANDA!AB76*$D$13</f>
        <v>12726363.023837447</v>
      </c>
      <c r="AC80" s="533">
        <f>$D36*DEMANDA!AC76*$D$12+$E36*DEMANDA!AC76*$D$13</f>
        <v>12726363.023837447</v>
      </c>
      <c r="AD80" s="533">
        <f>$D36*DEMANDA!AD76*$D$12+$E36*DEMANDA!AD76*$D$13</f>
        <v>12726363.023837447</v>
      </c>
      <c r="AE80" s="533">
        <f>$D36*DEMANDA!AE76*$D$12+$E36*DEMANDA!AE76*$D$13</f>
        <v>12726363.023837447</v>
      </c>
      <c r="AF80" s="533">
        <f>$D36*DEMANDA!AF76*$D$12+$E36*DEMANDA!AF76*$D$13</f>
        <v>12726363.023837447</v>
      </c>
      <c r="AG80" s="533">
        <f>$D36*DEMANDA!AG76*$D$12+$E36*DEMANDA!AG76*$D$13</f>
        <v>12726363.023837447</v>
      </c>
      <c r="AH80" s="533">
        <f>$D36*DEMANDA!AH76*$D$12+$E36*DEMANDA!AH76*$D$13</f>
        <v>12726363.023837447</v>
      </c>
      <c r="AI80" s="533">
        <f>$D36*DEMANDA!AI76*$D$12+$E36*DEMANDA!AI76*$D$13</f>
        <v>12726363.023837447</v>
      </c>
      <c r="AJ80" s="533">
        <f>$D36*DEMANDA!AJ76*$D$12+$E36*DEMANDA!AJ76*$D$13</f>
        <v>12726363.023837447</v>
      </c>
      <c r="AK80" s="533">
        <f>$D36*DEMANDA!AK76*$D$12+$E36*DEMANDA!AK76*$D$13</f>
        <v>12726363.023837447</v>
      </c>
      <c r="AL80" s="533">
        <f>$D36*DEMANDA!AL76*$D$12+$E36*DEMANDA!AL76*$D$13</f>
        <v>12726363.023837447</v>
      </c>
      <c r="AM80" s="533">
        <f>$D36*DEMANDA!AM76*$D$12+$E36*DEMANDA!AM76*$D$13</f>
        <v>12726363.023837447</v>
      </c>
      <c r="AN80" s="533">
        <f>$D36*DEMANDA!AN76*$D$12+$E36*DEMANDA!AN76*$D$13</f>
        <v>12726363.023837447</v>
      </c>
      <c r="AO80" s="533">
        <f>$D36*DEMANDA!AO76*$D$12+$E36*DEMANDA!AO76*$D$13</f>
        <v>12726363.023837447</v>
      </c>
      <c r="AP80" s="533">
        <f>$D36*DEMANDA!AP76*$D$12+$E36*DEMANDA!AP76*$D$13</f>
        <v>12726363.023837447</v>
      </c>
      <c r="AQ80" s="533">
        <f>$D36*DEMANDA!AQ76*$D$12+$E36*DEMANDA!AQ76*$D$13</f>
        <v>12726363.023837447</v>
      </c>
    </row>
    <row r="83" spans="2:43" ht="15" thickBot="1" x14ac:dyDescent="0.3">
      <c r="B83" s="517" t="s">
        <v>374</v>
      </c>
      <c r="C83" s="166"/>
    </row>
    <row r="84" spans="2:43" ht="14.4" thickBot="1" x14ac:dyDescent="0.3">
      <c r="B84" s="512" t="s">
        <v>259</v>
      </c>
      <c r="C84" s="522">
        <v>2019</v>
      </c>
      <c r="D84" s="350">
        <v>2020</v>
      </c>
      <c r="E84" s="350">
        <v>2021</v>
      </c>
      <c r="F84" s="350">
        <v>2022</v>
      </c>
      <c r="G84" s="350">
        <v>2023</v>
      </c>
      <c r="H84" s="350">
        <v>2024</v>
      </c>
      <c r="I84" s="350">
        <v>2025</v>
      </c>
      <c r="J84" s="350">
        <v>2026</v>
      </c>
      <c r="K84" s="350">
        <v>2027</v>
      </c>
      <c r="L84" s="350">
        <v>2028</v>
      </c>
      <c r="M84" s="350">
        <v>2029</v>
      </c>
      <c r="N84" s="350">
        <v>2030</v>
      </c>
      <c r="O84" s="350">
        <v>2031</v>
      </c>
      <c r="P84" s="350">
        <v>2032</v>
      </c>
      <c r="Q84" s="350">
        <v>2033</v>
      </c>
      <c r="R84" s="350">
        <v>2034</v>
      </c>
      <c r="S84" s="350">
        <v>2035</v>
      </c>
      <c r="T84" s="350">
        <v>2036</v>
      </c>
      <c r="U84" s="350">
        <v>2037</v>
      </c>
      <c r="V84" s="350">
        <v>2038</v>
      </c>
      <c r="W84" s="350">
        <v>2039</v>
      </c>
      <c r="X84" s="350">
        <v>2040</v>
      </c>
      <c r="Y84" s="350">
        <v>2041</v>
      </c>
      <c r="Z84" s="350">
        <v>2042</v>
      </c>
      <c r="AA84" s="350">
        <v>2043</v>
      </c>
      <c r="AB84" s="350">
        <v>2044</v>
      </c>
      <c r="AC84" s="350">
        <v>2045</v>
      </c>
      <c r="AD84" s="350">
        <v>2046</v>
      </c>
      <c r="AE84" s="350">
        <v>2047</v>
      </c>
      <c r="AF84" s="350">
        <v>2048</v>
      </c>
      <c r="AG84" s="351">
        <v>2049</v>
      </c>
      <c r="AH84" s="350">
        <v>2050</v>
      </c>
      <c r="AI84" s="351">
        <v>2051</v>
      </c>
      <c r="AJ84" s="350">
        <v>2052</v>
      </c>
      <c r="AK84" s="351">
        <v>2053</v>
      </c>
      <c r="AL84" s="350">
        <v>2054</v>
      </c>
      <c r="AM84" s="351">
        <v>2055</v>
      </c>
      <c r="AN84" s="350">
        <v>2056</v>
      </c>
      <c r="AO84" s="351">
        <v>2057</v>
      </c>
      <c r="AP84" s="350">
        <v>2058</v>
      </c>
      <c r="AQ84" s="351">
        <v>2059</v>
      </c>
    </row>
    <row r="85" spans="2:43" ht="14.4" thickBot="1" x14ac:dyDescent="0.3">
      <c r="B85" s="691"/>
      <c r="C85" s="522"/>
      <c r="D85" s="350"/>
      <c r="E85" s="350">
        <v>1</v>
      </c>
      <c r="F85" s="350">
        <v>2</v>
      </c>
      <c r="G85" s="350">
        <v>3</v>
      </c>
      <c r="H85" s="350">
        <v>4</v>
      </c>
      <c r="I85" s="350">
        <v>5</v>
      </c>
      <c r="J85" s="350">
        <v>6</v>
      </c>
      <c r="K85" s="350">
        <v>7</v>
      </c>
      <c r="L85" s="350">
        <v>8</v>
      </c>
      <c r="M85" s="350">
        <v>9</v>
      </c>
      <c r="N85" s="350">
        <v>10</v>
      </c>
      <c r="O85" s="350">
        <v>11</v>
      </c>
      <c r="P85" s="350">
        <v>12</v>
      </c>
      <c r="Q85" s="350">
        <v>13</v>
      </c>
      <c r="R85" s="350">
        <v>14</v>
      </c>
      <c r="S85" s="350">
        <v>15</v>
      </c>
      <c r="T85" s="350">
        <v>16</v>
      </c>
      <c r="U85" s="350">
        <v>17</v>
      </c>
      <c r="V85" s="350">
        <v>18</v>
      </c>
      <c r="W85" s="350">
        <v>19</v>
      </c>
      <c r="X85" s="350">
        <v>20</v>
      </c>
      <c r="Y85" s="350">
        <v>21</v>
      </c>
      <c r="Z85" s="350">
        <v>22</v>
      </c>
      <c r="AA85" s="350">
        <v>23</v>
      </c>
      <c r="AB85" s="350">
        <v>24</v>
      </c>
      <c r="AC85" s="350">
        <v>25</v>
      </c>
      <c r="AD85" s="350">
        <v>26</v>
      </c>
      <c r="AE85" s="350">
        <v>27</v>
      </c>
      <c r="AF85" s="350">
        <v>28</v>
      </c>
      <c r="AG85" s="350">
        <v>29</v>
      </c>
      <c r="AH85" s="350">
        <v>30</v>
      </c>
      <c r="AI85" s="350">
        <v>31</v>
      </c>
      <c r="AJ85" s="350">
        <v>32</v>
      </c>
      <c r="AK85" s="350">
        <v>33</v>
      </c>
      <c r="AL85" s="350">
        <v>34</v>
      </c>
      <c r="AM85" s="350">
        <v>35</v>
      </c>
      <c r="AN85" s="350">
        <v>36</v>
      </c>
      <c r="AO85" s="350">
        <v>37</v>
      </c>
      <c r="AP85" s="350">
        <v>38</v>
      </c>
      <c r="AQ85" s="350">
        <v>39</v>
      </c>
    </row>
    <row r="86" spans="2:43" ht="15" thickBot="1" x14ac:dyDescent="0.3">
      <c r="B86" s="519" t="s">
        <v>542</v>
      </c>
      <c r="C86" s="689">
        <f>C76</f>
        <v>3612250.3839263022</v>
      </c>
      <c r="D86" s="690">
        <f>D76*(1)</f>
        <v>4816333.8452350711</v>
      </c>
      <c r="E86" s="690">
        <f>E76*(1+PARAMETROS!$G$88)*(1+PARAMETROS!$H$88)^E$54</f>
        <v>5090129.0957900127</v>
      </c>
      <c r="F86" s="1014">
        <f>F76*(1+PARAMETROS!$G$88)*(1+PARAMETROS!$H$88)^(F$54-1)</f>
        <v>5144781.1563867601</v>
      </c>
      <c r="G86" s="690">
        <f>G76*(1+PARAMETROS!$G$88)*(1+PARAMETROS!$H$88)^G$54</f>
        <v>5409490.3189496417</v>
      </c>
      <c r="H86" s="1014">
        <f>H76*(1+PARAMETROS!$G$88)*(1+PARAMETROS!$H$88)^(H$54-1)</f>
        <v>5466350.3227944979</v>
      </c>
      <c r="I86" s="690">
        <f>I76*(1+PARAMETROS!$G$88)*(1+PARAMETROS!$H$88)^I$54</f>
        <v>5746348.0238355808</v>
      </c>
      <c r="J86" s="1014">
        <f>J76*(1+PARAMETROS!$G$88)*(1+PARAMETROS!$H$88)^(J$54-1)</f>
        <v>5763967.2248036377</v>
      </c>
      <c r="K86" s="690">
        <f>K76*(1+PARAMETROS!$G$88)*(1+PARAMETROS!$H$88)^K$54</f>
        <v>6015162.5173728699</v>
      </c>
      <c r="L86" s="1014">
        <f>L76*(1+PARAMETROS!$G$88)*(1+PARAMETROS!$H$88)^(L$54-1)</f>
        <v>6033493.5340600377</v>
      </c>
      <c r="M86" s="690">
        <f>M76*(1+PARAMETROS!$G$88)*(1+PARAMETROS!$H$88)^M$54</f>
        <v>6296318.2625973923</v>
      </c>
      <c r="N86" s="1014">
        <f>N76*(1+PARAMETROS!$G$88)*(1+PARAMETROS!$H$88)^(N$54-1)</f>
        <v>6315389.8523587221</v>
      </c>
      <c r="O86" s="690">
        <f>O76*(1+PARAMETROS!$G$88)*(1+PARAMETROS!$H$88)^O$54</f>
        <v>6596848.07701449</v>
      </c>
      <c r="P86" s="1014">
        <f>P76*(1+PARAMETROS!$G$88)*(1+PARAMETROS!$H$88)^(P$54-1)</f>
        <v>6623164.5516349627</v>
      </c>
      <c r="Q86" s="690">
        <f>Q76*(1+PARAMETROS!$G$88)*(1+PARAMETROS!$H$88)^Q$54</f>
        <v>6918120.0597161585</v>
      </c>
      <c r="R86" s="1014">
        <f>R76*(1+PARAMETROS!$G$88)*(1+PARAMETROS!$H$88)^(R$54-1)</f>
        <v>6945499.7199112996</v>
      </c>
      <c r="S86" s="690">
        <f>S76*(1+PARAMETROS!$G$88)*(1+PARAMETROS!$H$88)^S$54</f>
        <v>7254583.7070627371</v>
      </c>
      <c r="T86" s="1014">
        <f>T76*(1+PARAMETROS!$G$88)*(1+PARAMETROS!$H$88)^(T$54-1)</f>
        <v>7314828.7084610704</v>
      </c>
      <c r="U86" s="690">
        <f>U76*(1+PARAMETROS!$G$88)*(1+PARAMETROS!$H$88)^U$54</f>
        <v>7673026.6877377257</v>
      </c>
      <c r="V86" s="1014">
        <f>V76*(1+PARAMETROS!$G$88)*(1+PARAMETROS!$H$88)^(V$54-1)</f>
        <v>7735705.5871925512</v>
      </c>
      <c r="W86" s="690">
        <f>W76*(1+PARAMETROS!$G$88)*(1+PARAMETROS!$H$88)^W$54</f>
        <v>8113439.2199079301</v>
      </c>
      <c r="X86" s="1014">
        <f>X76*(1+PARAMETROS!$G$88)*(1+PARAMETROS!$H$88)^(X$54-1)</f>
        <v>8178650.3469007323</v>
      </c>
      <c r="Y86" s="690">
        <f>Y76*(1+PARAMETROS!$G$88)*(1+PARAMETROS!$H$88)^Y$54</f>
        <v>8509067.8209155221</v>
      </c>
      <c r="Z86" s="1014">
        <f>Z76*(1+PARAMETROS!$G$88)*(1+PARAMETROS!$H$88)^(Z$54-1)</f>
        <v>8509067.8209155221</v>
      </c>
      <c r="AA86" s="690">
        <f>AA76*(1+PARAMETROS!$G$88)*(1+PARAMETROS!$H$88)^AA$54</f>
        <v>8852834.1608805079</v>
      </c>
      <c r="AB86" s="1014">
        <f>AB76*(1+PARAMETROS!$G$88)*(1+PARAMETROS!$H$88)^(AB$54-1)</f>
        <v>8852834.1608805079</v>
      </c>
      <c r="AC86" s="690">
        <f>AC76*(1+PARAMETROS!$G$88)*(1+PARAMETROS!$H$88)^AC$54</f>
        <v>9210488.6609800812</v>
      </c>
      <c r="AD86" s="1014">
        <f>AD76*(1+PARAMETROS!$G$88)*(1+PARAMETROS!$H$88)^(AD$54-1)</f>
        <v>9210488.6609800812</v>
      </c>
      <c r="AE86" s="690">
        <f>AE76*(1+PARAMETROS!$G$88)*(1+PARAMETROS!$H$88)^AE$54</f>
        <v>9582592.4028836749</v>
      </c>
      <c r="AF86" s="1014">
        <f>AF76*(1+PARAMETROS!$G$88)*(1+PARAMETROS!$H$88)^(AF$54-1)</f>
        <v>9582592.4028836749</v>
      </c>
      <c r="AG86" s="690">
        <f>AG76*(1+PARAMETROS!$G$88)*(1+PARAMETROS!$H$88)^AG$54</f>
        <v>9969729.1359601766</v>
      </c>
      <c r="AH86" s="1014">
        <f>AH76*(1+PARAMETROS!$G$88)*(1+PARAMETROS!$H$88)^(AH$54-1)</f>
        <v>9969729.1359601766</v>
      </c>
      <c r="AI86" s="690">
        <f>AI76*(1+PARAMETROS!$G$88)*(1+PARAMETROS!$H$88)^AI$54</f>
        <v>10372506.193052966</v>
      </c>
      <c r="AJ86" s="1014">
        <f>AJ76*(1+PARAMETROS!$G$88)*(1+PARAMETROS!$H$88)^(AJ$54-1)</f>
        <v>10372506.193052966</v>
      </c>
      <c r="AK86" s="690">
        <f>AK76*(1+PARAMETROS!$G$88)*(1+PARAMETROS!$H$88)^AK$54</f>
        <v>10791555.443252308</v>
      </c>
      <c r="AL86" s="1014">
        <f>AL76*(1+PARAMETROS!$G$88)*(1+PARAMETROS!$H$88)^(AL$54-1)</f>
        <v>10791555.443252308</v>
      </c>
      <c r="AM86" s="690">
        <f>AM76*(1+PARAMETROS!$G$88)*(1+PARAMETROS!$H$88)^AM$54</f>
        <v>11227534.283159701</v>
      </c>
      <c r="AN86" s="1014">
        <f>AN76*(1+PARAMETROS!$G$88)*(1+PARAMETROS!$H$88)^(AN$54-1)</f>
        <v>11227534.283159701</v>
      </c>
      <c r="AO86" s="690">
        <f>AO76*(1+PARAMETROS!$G$88)*(1+PARAMETROS!$H$88)^AO$54</f>
        <v>11681126.668199353</v>
      </c>
      <c r="AP86" s="1014">
        <f>AP76*(1+PARAMETROS!$G$88)*(1+PARAMETROS!$H$88)^(AP$54-1)</f>
        <v>11681126.668199353</v>
      </c>
      <c r="AQ86" s="690">
        <f>AQ76*(1+PARAMETROS!$G$88)*(1+PARAMETROS!$H$88)^AQ$54</f>
        <v>12153044.185594603</v>
      </c>
    </row>
    <row r="87" spans="2:43" ht="15" thickBot="1" x14ac:dyDescent="0.3">
      <c r="B87" s="520" t="s">
        <v>543</v>
      </c>
      <c r="C87" s="689">
        <f>C77</f>
        <v>4476291.4023983479</v>
      </c>
      <c r="D87" s="690">
        <f>D77*(1)</f>
        <v>5968388.5365311326</v>
      </c>
      <c r="E87" s="690">
        <f>E77*(1+PARAMETROS!$G$88)*(1+PARAMETROS!$H$88)^E$54</f>
        <v>6309705.1868993333</v>
      </c>
      <c r="F87" s="1014">
        <f>F77*(1+PARAMETROS!$G$88)*(1+PARAMETROS!$H$88)^(F$54-1)</f>
        <v>6379460.1588553693</v>
      </c>
      <c r="G87" s="690">
        <f>G77*(1+PARAMETROS!$G$88)*(1+PARAMETROS!$H$88)^G$54</f>
        <v>6709763.4220961863</v>
      </c>
      <c r="H87" s="1014">
        <f>H77*(1+PARAMETROS!$G$88)*(1+PARAMETROS!$H$88)^(H$54-1)</f>
        <v>6782336.494919247</v>
      </c>
      <c r="I87" s="690">
        <f>I77*(1+PARAMETROS!$G$88)*(1+PARAMETROS!$H$88)^I$54</f>
        <v>7131847.914279093</v>
      </c>
      <c r="J87" s="1014">
        <f>J77*(1+PARAMETROS!$G$88)*(1+PARAMETROS!$H$88)^(J$54-1)</f>
        <v>7172261.4039777145</v>
      </c>
      <c r="K87" s="690">
        <f>K77*(1+PARAMETROS!$G$88)*(1+PARAMETROS!$H$88)^K$54</f>
        <v>7504066.9593808595</v>
      </c>
      <c r="L87" s="1014">
        <f>L77*(1+PARAMETROS!$G$88)*(1+PARAMETROS!$H$88)^(L$54-1)</f>
        <v>7546113.154063304</v>
      </c>
      <c r="M87" s="690">
        <f>M77*(1+PARAMETROS!$G$88)*(1+PARAMETROS!$H$88)^M$54</f>
        <v>7894720.9864350781</v>
      </c>
      <c r="N87" s="1014">
        <f>N77*(1+PARAMETROS!$G$88)*(1+PARAMETROS!$H$88)^(N$54-1)</f>
        <v>7938465.8473826973</v>
      </c>
      <c r="O87" s="690">
        <f>O77*(1+PARAMETROS!$G$88)*(1+PARAMETROS!$H$88)^O$54</f>
        <v>8269263.201345765</v>
      </c>
      <c r="P87" s="1014">
        <f>P77*(1+PARAMETROS!$G$88)*(1+PARAMETROS!$H$88)^(P$54-1)</f>
        <v>8279346.5350745749</v>
      </c>
      <c r="Q87" s="690">
        <f>Q77*(1+PARAMETROS!$G$88)*(1+PARAMETROS!$H$88)^Q$54</f>
        <v>8624322.8355030399</v>
      </c>
      <c r="R87" s="1014">
        <f>R77*(1+PARAMETROS!$G$88)*(1+PARAMETROS!$H$88)^(R$54-1)</f>
        <v>8634813.5359144919</v>
      </c>
      <c r="S87" s="690">
        <f>S77*(1+PARAMETROS!$G$88)*(1+PARAMETROS!$H$88)^S$54</f>
        <v>8994574.5274735149</v>
      </c>
      <c r="T87" s="1014">
        <f>T77*(1+PARAMETROS!$G$88)*(1+PARAMETROS!$H$88)^(T$54-1)</f>
        <v>9063239.3964138161</v>
      </c>
      <c r="U87" s="690">
        <f>U77*(1+PARAMETROS!$G$88)*(1+PARAMETROS!$H$88)^U$54</f>
        <v>9500833.1976744309</v>
      </c>
      <c r="V87" s="1014">
        <f>V77*(1+PARAMETROS!$G$88)*(1+PARAMETROS!$H$88)^(V$54-1)</f>
        <v>9572272.1273199227</v>
      </c>
      <c r="W87" s="690">
        <f>W77*(1+PARAMETROS!$G$88)*(1+PARAMETROS!$H$88)^W$54</f>
        <v>10033316.983666813</v>
      </c>
      <c r="X87" s="1014">
        <f>X77*(1+PARAMETROS!$G$88)*(1+PARAMETROS!$H$88)^(X$54-1)</f>
        <v>10107642.046069978</v>
      </c>
      <c r="Y87" s="690">
        <f>Y77*(1+PARAMETROS!$G$88)*(1+PARAMETROS!$H$88)^Y$54</f>
        <v>10515990.784731206</v>
      </c>
      <c r="Z87" s="1014">
        <f>Z77*(1+PARAMETROS!$G$88)*(1+PARAMETROS!$H$88)^(Z$54-1)</f>
        <v>10515990.784731206</v>
      </c>
      <c r="AA87" s="690">
        <f>AA77*(1+PARAMETROS!$G$88)*(1+PARAMETROS!$H$88)^AA$54</f>
        <v>10940836.812434345</v>
      </c>
      <c r="AB87" s="1014">
        <f>AB77*(1+PARAMETROS!$G$88)*(1+PARAMETROS!$H$88)^(AB$54-1)</f>
        <v>10940836.812434345</v>
      </c>
      <c r="AC87" s="690">
        <f>AC77*(1+PARAMETROS!$G$88)*(1+PARAMETROS!$H$88)^AC$54</f>
        <v>11382846.619656693</v>
      </c>
      <c r="AD87" s="1014">
        <f>AD77*(1+PARAMETROS!$G$88)*(1+PARAMETROS!$H$88)^(AD$54-1)</f>
        <v>11382846.619656693</v>
      </c>
      <c r="AE87" s="690">
        <f>AE77*(1+PARAMETROS!$G$88)*(1+PARAMETROS!$H$88)^AE$54</f>
        <v>11842713.623090822</v>
      </c>
      <c r="AF87" s="1014">
        <f>AF77*(1+PARAMETROS!$G$88)*(1+PARAMETROS!$H$88)^(AF$54-1)</f>
        <v>11842713.623090822</v>
      </c>
      <c r="AG87" s="690">
        <f>AG77*(1+PARAMETROS!$G$88)*(1+PARAMETROS!$H$88)^AG$54</f>
        <v>12321159.253463693</v>
      </c>
      <c r="AH87" s="1014">
        <f>AH77*(1+PARAMETROS!$G$88)*(1+PARAMETROS!$H$88)^(AH$54-1)</f>
        <v>12321159.253463693</v>
      </c>
      <c r="AI87" s="690">
        <f>AI77*(1+PARAMETROS!$G$88)*(1+PARAMETROS!$H$88)^AI$54</f>
        <v>12818934.087303624</v>
      </c>
      <c r="AJ87" s="1014">
        <f>AJ77*(1+PARAMETROS!$G$88)*(1+PARAMETROS!$H$88)^(AJ$54-1)</f>
        <v>12818934.087303624</v>
      </c>
      <c r="AK87" s="690">
        <f>AK77*(1+PARAMETROS!$G$88)*(1+PARAMETROS!$H$88)^AK$54</f>
        <v>13336819.024430694</v>
      </c>
      <c r="AL87" s="1014">
        <f>AL77*(1+PARAMETROS!$G$88)*(1+PARAMETROS!$H$88)^(AL$54-1)</f>
        <v>13336819.024430694</v>
      </c>
      <c r="AM87" s="690">
        <f>AM77*(1+PARAMETROS!$G$88)*(1+PARAMETROS!$H$88)^AM$54</f>
        <v>13875626.513017694</v>
      </c>
      <c r="AN87" s="1014">
        <f>AN77*(1+PARAMETROS!$G$88)*(1+PARAMETROS!$H$88)^(AN$54-1)</f>
        <v>13875626.513017694</v>
      </c>
      <c r="AO87" s="690">
        <f>AO77*(1+PARAMETROS!$G$88)*(1+PARAMETROS!$H$88)^AO$54</f>
        <v>14436201.824143609</v>
      </c>
      <c r="AP87" s="1014">
        <f>AP77*(1+PARAMETROS!$G$88)*(1+PARAMETROS!$H$88)^(AP$54-1)</f>
        <v>14436201.824143609</v>
      </c>
      <c r="AQ87" s="690">
        <f>AQ77*(1+PARAMETROS!$G$88)*(1+PARAMETROS!$H$88)^AQ$54</f>
        <v>15019424.377839006</v>
      </c>
    </row>
    <row r="88" spans="2:43" ht="15" thickBot="1" x14ac:dyDescent="0.3">
      <c r="B88" s="520" t="s">
        <v>544</v>
      </c>
      <c r="C88" s="689">
        <f>C78</f>
        <v>5891875.6394536206</v>
      </c>
      <c r="D88" s="690">
        <f>D78*(1)</f>
        <v>7855834.1859381627</v>
      </c>
      <c r="E88" s="690">
        <f>E78*(1+PARAMETROS!$G$88)*(1+PARAMETROS!$H$88)^E$54</f>
        <v>8300255.0383863384</v>
      </c>
      <c r="F88" s="1014">
        <f>F78*(1+PARAMETROS!$G$88)*(1+PARAMETROS!$H$88)^(F$54-1)</f>
        <v>8387235.4353743326</v>
      </c>
      <c r="G88" s="690">
        <f>G78*(1+PARAMETROS!$G$88)*(1+PARAMETROS!$H$88)^G$54</f>
        <v>8816574.1519897636</v>
      </c>
      <c r="H88" s="1014">
        <f>H78*(1+PARAMETROS!$G$88)*(1+PARAMETROS!$H$88)^(H$54-1)</f>
        <v>8907068.5570160728</v>
      </c>
      <c r="I88" s="690">
        <f>I78*(1+PARAMETROS!$G$88)*(1+PARAMETROS!$H$88)^I$54</f>
        <v>9361064.5057088882</v>
      </c>
      <c r="J88" s="1014">
        <f>J78*(1+PARAMETROS!$G$88)*(1+PARAMETROS!$H$88)^(J$54-1)</f>
        <v>9407712.7867038641</v>
      </c>
      <c r="K88" s="690">
        <f>K78*(1+PARAMETROS!$G$88)*(1+PARAMETROS!$H$88)^K$54</f>
        <v>9836317.2548338678</v>
      </c>
      <c r="L88" s="1014">
        <f>L78*(1+PARAMETROS!$G$88)*(1+PARAMETROS!$H$88)^(L$54-1)</f>
        <v>9884850.126381034</v>
      </c>
      <c r="M88" s="690">
        <f>M78*(1+PARAMETROS!$G$88)*(1+PARAMETROS!$H$88)^M$54</f>
        <v>10334691.671044506</v>
      </c>
      <c r="N88" s="1014">
        <f>N78*(1+PARAMETROS!$G$88)*(1+PARAMETROS!$H$88)^(N$54-1)</f>
        <v>10385185.270602182</v>
      </c>
      <c r="O88" s="690">
        <f>O78*(1+PARAMETROS!$G$88)*(1+PARAMETROS!$H$88)^O$54</f>
        <v>10807557.268519158</v>
      </c>
      <c r="P88" s="1014">
        <f>P78*(1+PARAMETROS!$G$88)*(1+PARAMETROS!$H$88)^(P$54-1)</f>
        <v>10810367.781503802</v>
      </c>
      <c r="Q88" s="690">
        <f>Q78*(1+PARAMETROS!$G$88)*(1+PARAMETROS!$H$88)^Q$54</f>
        <v>11250030.697585784</v>
      </c>
      <c r="R88" s="1014">
        <f>R78*(1+PARAMETROS!$G$88)*(1+PARAMETROS!$H$88)^(R$54-1)</f>
        <v>11252954.75529501</v>
      </c>
      <c r="S88" s="690">
        <f>S78*(1+PARAMETROS!$G$88)*(1+PARAMETROS!$H$88)^S$54</f>
        <v>11710616.317049604</v>
      </c>
      <c r="T88" s="1014">
        <f>T78*(1+PARAMETROS!$G$88)*(1+PARAMETROS!$H$88)^(T$54-1)</f>
        <v>11797494.616976947</v>
      </c>
      <c r="U88" s="690">
        <f>U78*(1+PARAMETROS!$G$88)*(1+PARAMETROS!$H$88)^U$54</f>
        <v>12364501.582747223</v>
      </c>
      <c r="V88" s="1014">
        <f>V78*(1+PARAMETROS!$G$88)*(1+PARAMETROS!$H$88)^(V$54-1)</f>
        <v>12454889.765991636</v>
      </c>
      <c r="W88" s="690">
        <f>W78*(1+PARAMETROS!$G$88)*(1+PARAMETROS!$H$88)^W$54</f>
        <v>13052107.178385179</v>
      </c>
      <c r="X88" s="1014">
        <f>X78*(1+PARAMETROS!$G$88)*(1+PARAMETROS!$H$88)^(X$54-1)</f>
        <v>13146147.044232655</v>
      </c>
      <c r="Y88" s="690">
        <f>Y78*(1+PARAMETROS!$G$88)*(1+PARAMETROS!$H$88)^Y$54</f>
        <v>13677251.384819655</v>
      </c>
      <c r="Z88" s="1014">
        <f>Z78*(1+PARAMETROS!$G$88)*(1+PARAMETROS!$H$88)^(Z$54-1)</f>
        <v>13677251.384819655</v>
      </c>
      <c r="AA88" s="690">
        <f>AA78*(1+PARAMETROS!$G$88)*(1+PARAMETROS!$H$88)^AA$54</f>
        <v>14229812.340766367</v>
      </c>
      <c r="AB88" s="1014">
        <f>AB78*(1+PARAMETROS!$G$88)*(1+PARAMETROS!$H$88)^(AB$54-1)</f>
        <v>14229812.340766367</v>
      </c>
      <c r="AC88" s="690">
        <f>AC78*(1+PARAMETROS!$G$88)*(1+PARAMETROS!$H$88)^AC$54</f>
        <v>14804696.759333329</v>
      </c>
      <c r="AD88" s="1014">
        <f>AD78*(1+PARAMETROS!$G$88)*(1+PARAMETROS!$H$88)^(AD$54-1)</f>
        <v>14804696.759333329</v>
      </c>
      <c r="AE88" s="690">
        <f>AE78*(1+PARAMETROS!$G$88)*(1+PARAMETROS!$H$88)^AE$54</f>
        <v>15402806.508410394</v>
      </c>
      <c r="AF88" s="1014">
        <f>AF78*(1+PARAMETROS!$G$88)*(1+PARAMETROS!$H$88)^(AF$54-1)</f>
        <v>15402806.508410394</v>
      </c>
      <c r="AG88" s="690">
        <f>AG78*(1+PARAMETROS!$G$88)*(1+PARAMETROS!$H$88)^AG$54</f>
        <v>16025079.891350174</v>
      </c>
      <c r="AH88" s="1014">
        <f>AH78*(1+PARAMETROS!$G$88)*(1+PARAMETROS!$H$88)^(AH$54-1)</f>
        <v>16025079.891350174</v>
      </c>
      <c r="AI88" s="690">
        <f>AI78*(1+PARAMETROS!$G$88)*(1+PARAMETROS!$H$88)^AI$54</f>
        <v>16672493.11896072</v>
      </c>
      <c r="AJ88" s="1014">
        <f>AJ78*(1+PARAMETROS!$G$88)*(1+PARAMETROS!$H$88)^(AJ$54-1)</f>
        <v>16672493.11896072</v>
      </c>
      <c r="AK88" s="690">
        <f>AK78*(1+PARAMETROS!$G$88)*(1+PARAMETROS!$H$88)^AK$54</f>
        <v>17346061.840966739</v>
      </c>
      <c r="AL88" s="1014">
        <f>AL78*(1+PARAMETROS!$G$88)*(1+PARAMETROS!$H$88)^(AL$54-1)</f>
        <v>17346061.840966739</v>
      </c>
      <c r="AM88" s="690">
        <f>AM78*(1+PARAMETROS!$G$88)*(1+PARAMETROS!$H$88)^AM$54</f>
        <v>18046842.739341792</v>
      </c>
      <c r="AN88" s="1014">
        <f>AN78*(1+PARAMETROS!$G$88)*(1+PARAMETROS!$H$88)^(AN$54-1)</f>
        <v>18046842.739341792</v>
      </c>
      <c r="AO88" s="690">
        <f>AO78*(1+PARAMETROS!$G$88)*(1+PARAMETROS!$H$88)^AO$54</f>
        <v>18775935.186011203</v>
      </c>
      <c r="AP88" s="1014">
        <f>AP78*(1+PARAMETROS!$G$88)*(1+PARAMETROS!$H$88)^(AP$54-1)</f>
        <v>18775935.186011203</v>
      </c>
      <c r="AQ88" s="690">
        <f>AQ78*(1+PARAMETROS!$G$88)*(1+PARAMETROS!$H$88)^AQ$54</f>
        <v>19534482.967526048</v>
      </c>
    </row>
    <row r="89" spans="2:43" ht="15" thickBot="1" x14ac:dyDescent="0.3">
      <c r="B89" s="520" t="s">
        <v>545</v>
      </c>
      <c r="C89" s="689">
        <f>C79</f>
        <v>7248879.6896839272</v>
      </c>
      <c r="D89" s="690">
        <f>D79*(1)</f>
        <v>9665172.9195785671</v>
      </c>
      <c r="E89" s="690">
        <f>E79*(1+PARAMETROS!$G$88)*(1+PARAMETROS!$H$88)^E$54</f>
        <v>10215330.330193855</v>
      </c>
      <c r="F89" s="1014">
        <f>F79*(1+PARAMETROS!$G$88)*(1+PARAMETROS!$H$88)^(F$54-1)</f>
        <v>10325722.372968312</v>
      </c>
      <c r="G89" s="690">
        <f>G79*(1+PARAMETROS!$G$88)*(1+PARAMETROS!$H$88)^G$54</f>
        <v>10857733.438138779</v>
      </c>
      <c r="H89" s="1014">
        <f>H79*(1+PARAMETROS!$G$88)*(1+PARAMETROS!$H$88)^(H$54-1)</f>
        <v>10972585.319441328</v>
      </c>
      <c r="I89" s="690">
        <f>I79*(1+PARAMETROS!$G$88)*(1+PARAMETROS!$H$88)^I$54</f>
        <v>11535369.663653931</v>
      </c>
      <c r="J89" s="1014">
        <f>J79*(1+PARAMETROS!$G$88)*(1+PARAMETROS!$H$88)^(J$54-1)</f>
        <v>11593882.798914032</v>
      </c>
      <c r="K89" s="690">
        <f>K79*(1+PARAMETROS!$G$88)*(1+PARAMETROS!$H$88)^K$54</f>
        <v>12123152.729914764</v>
      </c>
      <c r="L89" s="1014">
        <f>L79*(1+PARAMETROS!$G$88)*(1+PARAMETROS!$H$88)^(L$54-1)</f>
        <v>12184029.795839375</v>
      </c>
      <c r="M89" s="690">
        <f>M79*(1+PARAMETROS!$G$88)*(1+PARAMETROS!$H$88)^M$54</f>
        <v>12739601.09897925</v>
      </c>
      <c r="N89" s="1014">
        <f>N79*(1+PARAMETROS!$G$88)*(1+PARAMETROS!$H$88)^(N$54-1)</f>
        <v>12802937.59836722</v>
      </c>
      <c r="O89" s="690">
        <f>O79*(1+PARAMETROS!$G$88)*(1+PARAMETROS!$H$88)^O$54</f>
        <v>13326421.850901373</v>
      </c>
      <c r="P89" s="1014">
        <f>P79*(1+PARAMETROS!$G$88)*(1+PARAMETROS!$H$88)^(P$54-1)</f>
        <v>13332667.424461499</v>
      </c>
      <c r="Q89" s="690">
        <f>Q79*(1+PARAMETROS!$G$88)*(1+PARAMETROS!$H$88)^Q$54</f>
        <v>13877805.083141696</v>
      </c>
      <c r="R89" s="1014">
        <f>R79*(1+PARAMETROS!$G$88)*(1+PARAMETROS!$H$88)^(R$54-1)</f>
        <v>13884302.977873644</v>
      </c>
      <c r="S89" s="690">
        <f>S79*(1+PARAMETROS!$G$88)*(1+PARAMETROS!$H$88)^S$54</f>
        <v>14451989.227858858</v>
      </c>
      <c r="T89" s="1014">
        <f>T79*(1+PARAMETROS!$G$88)*(1+PARAMETROS!$H$88)^(T$54-1)</f>
        <v>14541592.653713396</v>
      </c>
      <c r="U89" s="690">
        <f>U79*(1+PARAMETROS!$G$88)*(1+PARAMETROS!$H$88)^U$54</f>
        <v>15222296.401182488</v>
      </c>
      <c r="V89" s="1014">
        <f>V79*(1+PARAMETROS!$G$88)*(1+PARAMETROS!$H$88)^(V$54-1)</f>
        <v>15315519.805441551</v>
      </c>
      <c r="W89" s="690">
        <f>W79*(1+PARAMETROS!$G$88)*(1+PARAMETROS!$H$88)^W$54</f>
        <v>16031256.435372518</v>
      </c>
      <c r="X89" s="1014">
        <f>X79*(1+PARAMETROS!$G$88)*(1+PARAMETROS!$H$88)^(X$54-1)</f>
        <v>16128246.065163653</v>
      </c>
      <c r="Y89" s="690">
        <f>Y79*(1+PARAMETROS!$G$88)*(1+PARAMETROS!$H$88)^Y$54</f>
        <v>16779827.206196263</v>
      </c>
      <c r="Z89" s="1014">
        <f>Z79*(1+PARAMETROS!$G$88)*(1+PARAMETROS!$H$88)^(Z$54-1)</f>
        <v>16779827.206196263</v>
      </c>
      <c r="AA89" s="690">
        <f>AA79*(1+PARAMETROS!$G$88)*(1+PARAMETROS!$H$88)^AA$54</f>
        <v>17457732.225326594</v>
      </c>
      <c r="AB89" s="1014">
        <f>AB79*(1+PARAMETROS!$G$88)*(1+PARAMETROS!$H$88)^(AB$54-1)</f>
        <v>17457732.225326594</v>
      </c>
      <c r="AC89" s="690">
        <f>AC79*(1+PARAMETROS!$G$88)*(1+PARAMETROS!$H$88)^AC$54</f>
        <v>18163024.607229788</v>
      </c>
      <c r="AD89" s="1014">
        <f>AD79*(1+PARAMETROS!$G$88)*(1+PARAMETROS!$H$88)^(AD$54-1)</f>
        <v>18163024.607229788</v>
      </c>
      <c r="AE89" s="690">
        <f>AE79*(1+PARAMETROS!$G$88)*(1+PARAMETROS!$H$88)^AE$54</f>
        <v>18896810.80136187</v>
      </c>
      <c r="AF89" s="1014">
        <f>AF79*(1+PARAMETROS!$G$88)*(1+PARAMETROS!$H$88)^(AF$54-1)</f>
        <v>18896810.80136187</v>
      </c>
      <c r="AG89" s="690">
        <f>AG79*(1+PARAMETROS!$G$88)*(1+PARAMETROS!$H$88)^AG$54</f>
        <v>19660241.957736891</v>
      </c>
      <c r="AH89" s="1014">
        <f>AH79*(1+PARAMETROS!$G$88)*(1+PARAMETROS!$H$88)^(AH$54-1)</f>
        <v>19660241.957736891</v>
      </c>
      <c r="AI89" s="690">
        <f>AI79*(1+PARAMETROS!$G$88)*(1+PARAMETROS!$H$88)^AI$54</f>
        <v>20454515.732829459</v>
      </c>
      <c r="AJ89" s="1014">
        <f>AJ79*(1+PARAMETROS!$G$88)*(1+PARAMETROS!$H$88)^(AJ$54-1)</f>
        <v>20454515.732829459</v>
      </c>
      <c r="AK89" s="690">
        <f>AK79*(1+PARAMETROS!$G$88)*(1+PARAMETROS!$H$88)^AK$54</f>
        <v>21280878.168435775</v>
      </c>
      <c r="AL89" s="1014">
        <f>AL79*(1+PARAMETROS!$G$88)*(1+PARAMETROS!$H$88)^(AL$54-1)</f>
        <v>21280878.168435775</v>
      </c>
      <c r="AM89" s="690">
        <f>AM79*(1+PARAMETROS!$G$88)*(1+PARAMETROS!$H$88)^AM$54</f>
        <v>22140625.646440577</v>
      </c>
      <c r="AN89" s="1014">
        <f>AN79*(1+PARAMETROS!$G$88)*(1+PARAMETROS!$H$88)^(AN$54-1)</f>
        <v>22140625.646440577</v>
      </c>
      <c r="AO89" s="690">
        <f>AO79*(1+PARAMETROS!$G$88)*(1+PARAMETROS!$H$88)^AO$54</f>
        <v>23035106.922556777</v>
      </c>
      <c r="AP89" s="1014">
        <f>AP79*(1+PARAMETROS!$G$88)*(1+PARAMETROS!$H$88)^(AP$54-1)</f>
        <v>23035106.922556777</v>
      </c>
      <c r="AQ89" s="690">
        <f>AQ79*(1+PARAMETROS!$G$88)*(1+PARAMETROS!$H$88)^AQ$54</f>
        <v>23965725.242228065</v>
      </c>
    </row>
    <row r="90" spans="2:43" ht="15" thickBot="1" x14ac:dyDescent="0.3">
      <c r="B90" s="521" t="s">
        <v>546</v>
      </c>
      <c r="C90" s="689">
        <f>C80</f>
        <v>8615447.8520489205</v>
      </c>
      <c r="D90" s="690">
        <f>D80*(1)</f>
        <v>11487263.802731898</v>
      </c>
      <c r="E90" s="690">
        <f>E80*(1+PARAMETROS!$G$88)*(1+PARAMETROS!$H$88)^E$54</f>
        <v>12118806.45808666</v>
      </c>
      <c r="F90" s="1014">
        <f>F80*(1+PARAMETROS!$G$88)*(1+PARAMETROS!$H$88)^(F$54-1)</f>
        <v>12227678.610417124</v>
      </c>
      <c r="G90" s="690">
        <f>G80*(1+PARAMETROS!$G$88)*(1+PARAMETROS!$H$88)^G$54</f>
        <v>12834947.413562588</v>
      </c>
      <c r="H90" s="1014">
        <f>H80*(1+PARAMETROS!$G$88)*(1+PARAMETROS!$H$88)^(H$54-1)</f>
        <v>12948218.000847206</v>
      </c>
      <c r="I90" s="690">
        <f>I80*(1+PARAMETROS!$G$88)*(1+PARAMETROS!$H$88)^I$54</f>
        <v>13589172.727092341</v>
      </c>
      <c r="J90" s="1014">
        <f>J80*(1+PARAMETROS!$G$88)*(1+PARAMETROS!$H$88)^(J$54-1)</f>
        <v>13663720.604193525</v>
      </c>
      <c r="K90" s="690">
        <f>K80*(1+PARAMETROS!$G$88)*(1+PARAMETROS!$H$88)^K$54</f>
        <v>14293294.527939014</v>
      </c>
      <c r="L90" s="1014">
        <f>L80*(1+PARAMETROS!$G$88)*(1+PARAMETROS!$H$88)^(L$54-1)</f>
        <v>14370854.139275078</v>
      </c>
      <c r="M90" s="690">
        <f>M80*(1+PARAMETROS!$G$88)*(1+PARAMETROS!$H$88)^M$54</f>
        <v>15032129.666135842</v>
      </c>
      <c r="N90" s="1014">
        <f>N80*(1+PARAMETROS!$G$88)*(1+PARAMETROS!$H$88)^(N$54-1)</f>
        <v>15112822.685769882</v>
      </c>
      <c r="O90" s="690">
        <f>O80*(1+PARAMETROS!$G$88)*(1+PARAMETROS!$H$88)^O$54</f>
        <v>15715816.511118574</v>
      </c>
      <c r="P90" s="1014">
        <f>P80*(1+PARAMETROS!$G$88)*(1+PARAMETROS!$H$88)^(P$54-1)</f>
        <v>15708252.299962161</v>
      </c>
      <c r="Q90" s="690">
        <f>Q80*(1+PARAMETROS!$G$88)*(1+PARAMETROS!$H$88)^Q$54</f>
        <v>16334995.887593506</v>
      </c>
      <c r="R90" s="1014">
        <f>R80*(1+PARAMETROS!$G$88)*(1+PARAMETROS!$H$88)^(R$54-1)</f>
        <v>16327126.082306383</v>
      </c>
      <c r="S90" s="690">
        <f>S80*(1+PARAMETROS!$G$88)*(1+PARAMETROS!$H$88)^S$54</f>
        <v>16978554.230610836</v>
      </c>
      <c r="T90" s="1014">
        <f>T80*(1+PARAMETROS!$G$88)*(1+PARAMETROS!$H$88)^(T$54-1)</f>
        <v>17094085.240928024</v>
      </c>
      <c r="U90" s="690">
        <f>U80*(1+PARAMETROS!$G$88)*(1+PARAMETROS!$H$88)^U$54</f>
        <v>17904884.747795526</v>
      </c>
      <c r="V90" s="1014">
        <f>V80*(1+PARAMETROS!$G$88)*(1+PARAMETROS!$H$88)^(V$54-1)</f>
        <v>18025083.210929532</v>
      </c>
      <c r="W90" s="690">
        <f>W80*(1+PARAMETROS!$G$88)*(1+PARAMETROS!$H$88)^W$54</f>
        <v>18878351.053695701</v>
      </c>
      <c r="X90" s="1014">
        <f>X80*(1+PARAMETROS!$G$88)*(1+PARAMETROS!$H$88)^(X$54-1)</f>
        <v>19003405.534740321</v>
      </c>
      <c r="Y90" s="690">
        <f>Y80*(1+PARAMETROS!$G$88)*(1+PARAMETROS!$H$88)^Y$54</f>
        <v>19771143.11834383</v>
      </c>
      <c r="Z90" s="1014">
        <f>Z80*(1+PARAMETROS!$G$88)*(1+PARAMETROS!$H$88)^(Z$54-1)</f>
        <v>19771143.11834383</v>
      </c>
      <c r="AA90" s="690">
        <f>AA80*(1+PARAMETROS!$G$88)*(1+PARAMETROS!$H$88)^AA$54</f>
        <v>20569897.300324921</v>
      </c>
      <c r="AB90" s="1014">
        <f>AB80*(1+PARAMETROS!$G$88)*(1+PARAMETROS!$H$88)^(AB$54-1)</f>
        <v>20569897.300324921</v>
      </c>
      <c r="AC90" s="690">
        <f>AC80*(1+PARAMETROS!$G$88)*(1+PARAMETROS!$H$88)^AC$54</f>
        <v>21400921.151258048</v>
      </c>
      <c r="AD90" s="1014">
        <f>AD80*(1+PARAMETROS!$G$88)*(1+PARAMETROS!$H$88)^(AD$54-1)</f>
        <v>21400921.151258048</v>
      </c>
      <c r="AE90" s="690">
        <f>AE80*(1+PARAMETROS!$G$88)*(1+PARAMETROS!$H$88)^AE$54</f>
        <v>22265518.365768868</v>
      </c>
      <c r="AF90" s="1014">
        <f>AF80*(1+PARAMETROS!$G$88)*(1+PARAMETROS!$H$88)^(AF$54-1)</f>
        <v>22265518.365768868</v>
      </c>
      <c r="AG90" s="690">
        <f>AG80*(1+PARAMETROS!$G$88)*(1+PARAMETROS!$H$88)^AG$54</f>
        <v>23165045.307745934</v>
      </c>
      <c r="AH90" s="1014">
        <f>AH80*(1+PARAMETROS!$G$88)*(1+PARAMETROS!$H$88)^(AH$54-1)</f>
        <v>23165045.307745934</v>
      </c>
      <c r="AI90" s="690">
        <f>AI80*(1+PARAMETROS!$G$88)*(1+PARAMETROS!$H$88)^AI$54</f>
        <v>24100913.138178866</v>
      </c>
      <c r="AJ90" s="1014">
        <f>AJ80*(1+PARAMETROS!$G$88)*(1+PARAMETROS!$H$88)^(AJ$54-1)</f>
        <v>24100913.138178866</v>
      </c>
      <c r="AK90" s="690">
        <f>AK80*(1+PARAMETROS!$G$88)*(1+PARAMETROS!$H$88)^AK$54</f>
        <v>25074590.028961301</v>
      </c>
      <c r="AL90" s="1014">
        <f>AL80*(1+PARAMETROS!$G$88)*(1+PARAMETROS!$H$88)^(AL$54-1)</f>
        <v>25074590.028961301</v>
      </c>
      <c r="AM90" s="690">
        <f>AM80*(1+PARAMETROS!$G$88)*(1+PARAMETROS!$H$88)^AM$54</f>
        <v>26087603.466131333</v>
      </c>
      <c r="AN90" s="1014">
        <f>AN80*(1+PARAMETROS!$G$88)*(1+PARAMETROS!$H$88)^(AN$54-1)</f>
        <v>26087603.466131333</v>
      </c>
      <c r="AO90" s="690">
        <f>AO80*(1+PARAMETROS!$G$88)*(1+PARAMETROS!$H$88)^AO$54</f>
        <v>27141542.646163043</v>
      </c>
      <c r="AP90" s="1014">
        <f>AP80*(1+PARAMETROS!$G$88)*(1+PARAMETROS!$H$88)^(AP$54-1)</f>
        <v>27141542.646163043</v>
      </c>
      <c r="AQ90" s="690">
        <f>AQ80*(1+PARAMETROS!$G$88)*(1+PARAMETROS!$H$88)^AQ$54</f>
        <v>28238060.969068021</v>
      </c>
    </row>
    <row r="93" spans="2:43" ht="15" thickBot="1" x14ac:dyDescent="0.3">
      <c r="B93" s="517" t="s">
        <v>377</v>
      </c>
      <c r="C93" s="166"/>
    </row>
    <row r="94" spans="2:43" ht="14.4" thickBot="1" x14ac:dyDescent="0.3">
      <c r="B94" s="512" t="s">
        <v>259</v>
      </c>
      <c r="C94" s="522">
        <v>2019</v>
      </c>
      <c r="D94" s="350">
        <v>2020</v>
      </c>
      <c r="E94" s="350">
        <v>2021</v>
      </c>
      <c r="F94" s="350">
        <v>2022</v>
      </c>
      <c r="G94" s="350">
        <v>2023</v>
      </c>
      <c r="H94" s="350">
        <v>2024</v>
      </c>
      <c r="I94" s="350">
        <v>2025</v>
      </c>
      <c r="J94" s="350">
        <v>2026</v>
      </c>
      <c r="K94" s="350">
        <v>2027</v>
      </c>
      <c r="L94" s="350">
        <v>2028</v>
      </c>
      <c r="M94" s="350">
        <v>2029</v>
      </c>
      <c r="N94" s="350">
        <v>2030</v>
      </c>
      <c r="O94" s="350">
        <v>2031</v>
      </c>
      <c r="P94" s="350">
        <v>2032</v>
      </c>
      <c r="Q94" s="350">
        <v>2033</v>
      </c>
      <c r="R94" s="350">
        <v>2034</v>
      </c>
      <c r="S94" s="350">
        <v>2035</v>
      </c>
      <c r="T94" s="350">
        <v>2036</v>
      </c>
      <c r="U94" s="350">
        <v>2037</v>
      </c>
      <c r="V94" s="350">
        <v>2038</v>
      </c>
      <c r="W94" s="350">
        <v>2039</v>
      </c>
      <c r="X94" s="350">
        <v>2040</v>
      </c>
      <c r="Y94" s="350">
        <v>2041</v>
      </c>
      <c r="Z94" s="350">
        <v>2042</v>
      </c>
      <c r="AA94" s="350">
        <v>2043</v>
      </c>
      <c r="AB94" s="350">
        <v>2044</v>
      </c>
      <c r="AC94" s="350">
        <v>2045</v>
      </c>
      <c r="AD94" s="350">
        <v>2046</v>
      </c>
      <c r="AE94" s="350">
        <v>2047</v>
      </c>
      <c r="AF94" s="350">
        <v>2048</v>
      </c>
      <c r="AG94" s="351">
        <v>2049</v>
      </c>
      <c r="AH94" s="350">
        <v>2050</v>
      </c>
      <c r="AI94" s="351">
        <v>2051</v>
      </c>
      <c r="AJ94" s="350">
        <v>2052</v>
      </c>
      <c r="AK94" s="351">
        <v>2053</v>
      </c>
      <c r="AL94" s="350">
        <v>2054</v>
      </c>
      <c r="AM94" s="351">
        <v>2055</v>
      </c>
      <c r="AN94" s="350">
        <v>2056</v>
      </c>
      <c r="AO94" s="351">
        <v>2057</v>
      </c>
      <c r="AP94" s="350">
        <v>2058</v>
      </c>
      <c r="AQ94" s="351">
        <v>2059</v>
      </c>
    </row>
    <row r="95" spans="2:43" ht="14.4" thickBot="1" x14ac:dyDescent="0.3">
      <c r="B95" s="691"/>
      <c r="C95" s="522"/>
      <c r="D95" s="350"/>
      <c r="E95" s="350">
        <v>1</v>
      </c>
      <c r="F95" s="350">
        <v>2</v>
      </c>
      <c r="G95" s="350">
        <v>3</v>
      </c>
      <c r="H95" s="350">
        <v>4</v>
      </c>
      <c r="I95" s="350">
        <v>5</v>
      </c>
      <c r="J95" s="350">
        <v>6</v>
      </c>
      <c r="K95" s="350">
        <v>7</v>
      </c>
      <c r="L95" s="350">
        <v>8</v>
      </c>
      <c r="M95" s="350">
        <v>9</v>
      </c>
      <c r="N95" s="350">
        <v>10</v>
      </c>
      <c r="O95" s="350">
        <v>11</v>
      </c>
      <c r="P95" s="350">
        <v>12</v>
      </c>
      <c r="Q95" s="350">
        <v>13</v>
      </c>
      <c r="R95" s="350">
        <v>14</v>
      </c>
      <c r="S95" s="350">
        <v>15</v>
      </c>
      <c r="T95" s="350">
        <v>16</v>
      </c>
      <c r="U95" s="350">
        <v>17</v>
      </c>
      <c r="V95" s="350">
        <v>18</v>
      </c>
      <c r="W95" s="350">
        <v>19</v>
      </c>
      <c r="X95" s="350">
        <v>20</v>
      </c>
      <c r="Y95" s="350">
        <v>21</v>
      </c>
      <c r="Z95" s="350">
        <v>22</v>
      </c>
      <c r="AA95" s="350">
        <v>23</v>
      </c>
      <c r="AB95" s="350">
        <v>24</v>
      </c>
      <c r="AC95" s="350">
        <v>25</v>
      </c>
      <c r="AD95" s="350">
        <v>26</v>
      </c>
      <c r="AE95" s="350">
        <v>27</v>
      </c>
      <c r="AF95" s="350">
        <v>28</v>
      </c>
      <c r="AG95" s="350">
        <v>29</v>
      </c>
      <c r="AH95" s="350">
        <v>30</v>
      </c>
      <c r="AI95" s="350">
        <v>31</v>
      </c>
      <c r="AJ95" s="350">
        <v>32</v>
      </c>
      <c r="AK95" s="350">
        <v>33</v>
      </c>
      <c r="AL95" s="350">
        <v>34</v>
      </c>
      <c r="AM95" s="350">
        <v>35</v>
      </c>
      <c r="AN95" s="350">
        <v>36</v>
      </c>
      <c r="AO95" s="350">
        <v>37</v>
      </c>
      <c r="AP95" s="350">
        <v>38</v>
      </c>
      <c r="AQ95" s="350">
        <v>39</v>
      </c>
    </row>
    <row r="96" spans="2:43" ht="15" thickBot="1" x14ac:dyDescent="0.3">
      <c r="B96" s="519" t="s">
        <v>542</v>
      </c>
      <c r="C96" s="689">
        <f>C76</f>
        <v>3612250.3839263022</v>
      </c>
      <c r="D96" s="690">
        <f>D76*(1)</f>
        <v>4816333.8452350711</v>
      </c>
      <c r="E96" s="690">
        <f>E76*(1+PARAMETROS!$G$89)*(1+PARAMETROS!$H$89)^E$64</f>
        <v>5291202.5837442242</v>
      </c>
      <c r="F96" s="1014">
        <f>F76*(1+PARAMETROS!$G$89)*(1+PARAMETROS!$H$89)^(F$64-1)</f>
        <v>5348013.5444869744</v>
      </c>
      <c r="G96" s="690">
        <f>G76*(1+PARAMETROS!$G$89)*(1+PARAMETROS!$H$89)^G$64</f>
        <v>5845858.1848564697</v>
      </c>
      <c r="H96" s="1014">
        <f>H76*(1+PARAMETROS!$G$89)*(1+PARAMETROS!$H$89)^(H$64-1)</f>
        <v>5907304.9199958285</v>
      </c>
      <c r="I96" s="690">
        <f>I76*(1+PARAMETROS!$G$89)*(1+PARAMETROS!$H$89)^I$64</f>
        <v>6455801.7901942171</v>
      </c>
      <c r="J96" s="1014">
        <f>J76*(1+PARAMETROS!$G$89)*(1+PARAMETROS!$H$89)^(J$64-1)</f>
        <v>6475596.2872694982</v>
      </c>
      <c r="K96" s="690">
        <f>K76*(1+PARAMETROS!$G$89)*(1+PARAMETROS!$H$89)^K$64</f>
        <v>7025414.6723473165</v>
      </c>
      <c r="L96" s="1014">
        <f>L76*(1+PARAMETROS!$G$89)*(1+PARAMETROS!$H$89)^(L$64-1)</f>
        <v>7046824.4003839456</v>
      </c>
      <c r="M96" s="690">
        <f>M76*(1+PARAMETROS!$G$89)*(1+PARAMETROS!$H$89)^M$64</f>
        <v>7645002.033299692</v>
      </c>
      <c r="N96" s="1014">
        <f>N76*(1+PARAMETROS!$G$89)*(1+PARAMETROS!$H$89)^(N$64-1)</f>
        <v>7668158.79514411</v>
      </c>
      <c r="O96" s="690">
        <f>O76*(1+PARAMETROS!$G$89)*(1+PARAMETROS!$H$89)^O$64</f>
        <v>8327099.4322552541</v>
      </c>
      <c r="P96" s="1014">
        <f>P76*(1+PARAMETROS!$G$89)*(1+PARAMETROS!$H$89)^(P$64-1)</f>
        <v>8360318.3116826359</v>
      </c>
      <c r="Q96" s="690">
        <f>Q76*(1+PARAMETROS!$G$89)*(1+PARAMETROS!$H$89)^Q$64</f>
        <v>9078449.8259046003</v>
      </c>
      <c r="R96" s="1014">
        <f>R76*(1+PARAMETROS!$G$89)*(1+PARAMETROS!$H$89)^(R$64-1)</f>
        <v>9114379.3658932578</v>
      </c>
      <c r="S96" s="690">
        <f>S76*(1+PARAMETROS!$G$89)*(1+PARAMETROS!$H$89)^S$64</f>
        <v>9896974.1126018744</v>
      </c>
      <c r="T96" s="1014">
        <f>T76*(1+PARAMETROS!$G$89)*(1+PARAMETROS!$H$89)^(T$64-1)</f>
        <v>9979162.5941645745</v>
      </c>
      <c r="U96" s="690">
        <f>U76*(1+PARAMETROS!$G$89)*(1+PARAMETROS!$H$89)^U$64</f>
        <v>10882357.323506618</v>
      </c>
      <c r="V96" s="1014">
        <f>V76*(1+PARAMETROS!$G$89)*(1+PARAMETROS!$H$89)^(V$64-1)</f>
        <v>10971252.385164831</v>
      </c>
      <c r="W96" s="690">
        <f>W76*(1+PARAMETROS!$G$89)*(1+PARAMETROS!$H$89)^W$64</f>
        <v>11962655.478483804</v>
      </c>
      <c r="X96" s="1014">
        <f>X76*(1+PARAMETROS!$G$89)*(1+PARAMETROS!$H$89)^(X$64-1)</f>
        <v>12058804.377173329</v>
      </c>
      <c r="Y96" s="690">
        <f>Y76*(1+PARAMETROS!$G$89)*(1+PARAMETROS!$H$89)^Y$64</f>
        <v>13042802.814350676</v>
      </c>
      <c r="Z96" s="1014">
        <f>Z76*(1+PARAMETROS!$G$89)*(1+PARAMETROS!$H$89)^(Z$64-1)</f>
        <v>13042802.814350676</v>
      </c>
      <c r="AA96" s="690">
        <f>AA76*(1+PARAMETROS!$G$89)*(1+PARAMETROS!$H$89)^AA$64</f>
        <v>14107095.524001688</v>
      </c>
      <c r="AB96" s="1014">
        <f>AB76*(1+PARAMETROS!$G$89)*(1+PARAMETROS!$H$89)^(AB$64-1)</f>
        <v>14107095.524001688</v>
      </c>
      <c r="AC96" s="690">
        <f>AC76*(1+PARAMETROS!$G$89)*(1+PARAMETROS!$H$89)^AC$64</f>
        <v>15258234.51876023</v>
      </c>
      <c r="AD96" s="1014">
        <f>AD76*(1+PARAMETROS!$G$89)*(1+PARAMETROS!$H$89)^(AD$64-1)</f>
        <v>15258234.51876023</v>
      </c>
      <c r="AE96" s="690">
        <f>AE76*(1+PARAMETROS!$G$89)*(1+PARAMETROS!$H$89)^AE$64</f>
        <v>16503306.455491064</v>
      </c>
      <c r="AF96" s="1014">
        <f>AF76*(1+PARAMETROS!$G$89)*(1+PARAMETROS!$H$89)^(AF$64-1)</f>
        <v>16503306.455491064</v>
      </c>
      <c r="AG96" s="690">
        <f>AG76*(1+PARAMETROS!$G$89)*(1+PARAMETROS!$H$89)^AG$64</f>
        <v>17849976.262259141</v>
      </c>
      <c r="AH96" s="1014">
        <f>AH76*(1+PARAMETROS!$G$89)*(1+PARAMETROS!$H$89)^(AH$64-1)</f>
        <v>17849976.262259141</v>
      </c>
      <c r="AI96" s="690">
        <f>AI76*(1+PARAMETROS!$G$89)*(1+PARAMETROS!$H$89)^AI$64</f>
        <v>19306534.325259484</v>
      </c>
      <c r="AJ96" s="1014">
        <f>AJ76*(1+PARAMETROS!$G$89)*(1+PARAMETROS!$H$89)^(AJ$64-1)</f>
        <v>19306534.325259484</v>
      </c>
      <c r="AK96" s="690">
        <f>AK76*(1+PARAMETROS!$G$89)*(1+PARAMETROS!$H$89)^AK$64</f>
        <v>20881947.52620066</v>
      </c>
      <c r="AL96" s="1014">
        <f>AL76*(1+PARAMETROS!$G$89)*(1+PARAMETROS!$H$89)^(AL$64-1)</f>
        <v>20881947.52620066</v>
      </c>
      <c r="AM96" s="690">
        <f>AM76*(1+PARAMETROS!$G$89)*(1+PARAMETROS!$H$89)^AM$64</f>
        <v>22585914.444338638</v>
      </c>
      <c r="AN96" s="1014">
        <f>AN76*(1+PARAMETROS!$G$89)*(1+PARAMETROS!$H$89)^(AN$64-1)</f>
        <v>22585914.444338638</v>
      </c>
      <c r="AO96" s="690">
        <f>AO76*(1+PARAMETROS!$G$89)*(1+PARAMETROS!$H$89)^AO$64</f>
        <v>24428925.062996674</v>
      </c>
      <c r="AP96" s="1014">
        <f>AP76*(1+PARAMETROS!$G$89)*(1+PARAMETROS!$H$89)^(AP$64-1)</f>
        <v>24428925.062996674</v>
      </c>
      <c r="AQ96" s="690">
        <f>AQ76*(1+PARAMETROS!$G$89)*(1+PARAMETROS!$H$89)^AQ$64</f>
        <v>26422325.348137196</v>
      </c>
    </row>
    <row r="97" spans="2:43" ht="15" thickBot="1" x14ac:dyDescent="0.3">
      <c r="B97" s="520" t="s">
        <v>543</v>
      </c>
      <c r="C97" s="689">
        <f>C77</f>
        <v>4476291.4023983479</v>
      </c>
      <c r="D97" s="690">
        <f>D77*(1)</f>
        <v>5968388.5365311326</v>
      </c>
      <c r="E97" s="690">
        <f>E77*(1+PARAMETROS!$G$89)*(1+PARAMETROS!$H$89)^E$64</f>
        <v>6558955.1383282607</v>
      </c>
      <c r="F97" s="1014">
        <f>F77*(1+PARAMETROS!$G$89)*(1+PARAMETROS!$H$89)^(F$64-1)</f>
        <v>6631465.6151544871</v>
      </c>
      <c r="G97" s="690">
        <f>G77*(1+PARAMETROS!$G$89)*(1+PARAMETROS!$H$89)^G$64</f>
        <v>7251020.5410863394</v>
      </c>
      <c r="H97" s="1014">
        <f>H77*(1+PARAMETROS!$G$89)*(1+PARAMETROS!$H$89)^(H$64-1)</f>
        <v>7329447.8728215871</v>
      </c>
      <c r="I97" s="690">
        <f>I77*(1+PARAMETROS!$G$89)*(1+PARAMETROS!$H$89)^I$64</f>
        <v>8012357.8212486701</v>
      </c>
      <c r="J97" s="1014">
        <f>J77*(1+PARAMETROS!$G$89)*(1+PARAMETROS!$H$89)^(J$64-1)</f>
        <v>8057760.8281779662</v>
      </c>
      <c r="K97" s="690">
        <f>K77*(1+PARAMETROS!$G$89)*(1+PARAMETROS!$H$89)^K$64</f>
        <v>8764382.0040520169</v>
      </c>
      <c r="L97" s="1014">
        <f>L77*(1+PARAMETROS!$G$89)*(1+PARAMETROS!$H$89)^(L$64-1)</f>
        <v>8813489.8963467423</v>
      </c>
      <c r="M97" s="690">
        <f>M77*(1+PARAMETROS!$G$89)*(1+PARAMETROS!$H$89)^M$64</f>
        <v>9585785.768194614</v>
      </c>
      <c r="N97" s="1014">
        <f>N77*(1+PARAMETROS!$G$89)*(1+PARAMETROS!$H$89)^(N$64-1)</f>
        <v>9638900.8645005934</v>
      </c>
      <c r="O97" s="690">
        <f>O77*(1+PARAMETROS!$G$89)*(1+PARAMETROS!$H$89)^O$64</f>
        <v>10438163.211461864</v>
      </c>
      <c r="P97" s="1014">
        <f>P77*(1+PARAMETROS!$G$89)*(1+PARAMETROS!$H$89)^(P$64-1)</f>
        <v>10450891.247879887</v>
      </c>
      <c r="Q97" s="690">
        <f>Q77*(1+PARAMETROS!$G$89)*(1+PARAMETROS!$H$89)^Q$64</f>
        <v>11317450.617896622</v>
      </c>
      <c r="R97" s="1014">
        <f>R77*(1+PARAMETROS!$G$89)*(1+PARAMETROS!$H$89)^(R$64-1)</f>
        <v>11331217.262086354</v>
      </c>
      <c r="S97" s="690">
        <f>S77*(1+PARAMETROS!$G$89)*(1+PARAMETROS!$H$89)^S$64</f>
        <v>12270734.593028219</v>
      </c>
      <c r="T97" s="1014">
        <f>T77*(1+PARAMETROS!$G$89)*(1+PARAMETROS!$H$89)^(T$64-1)</f>
        <v>12364409.772444203</v>
      </c>
      <c r="U97" s="690">
        <f>U77*(1+PARAMETROS!$G$89)*(1+PARAMETROS!$H$89)^U$64</f>
        <v>13474664.683931984</v>
      </c>
      <c r="V97" s="1014">
        <f>V77*(1+PARAMETROS!$G$89)*(1+PARAMETROS!$H$89)^(V$64-1)</f>
        <v>13575983.757988313</v>
      </c>
      <c r="W97" s="690">
        <f>W77*(1+PARAMETROS!$G$89)*(1+PARAMETROS!$H$89)^W$64</f>
        <v>14793370.743139485</v>
      </c>
      <c r="X97" s="1014">
        <f>X77*(1+PARAMETROS!$G$89)*(1+PARAMETROS!$H$89)^(X$64-1)</f>
        <v>14902957.453638805</v>
      </c>
      <c r="Y97" s="690">
        <f>Y77*(1+PARAMETROS!$G$89)*(1+PARAMETROS!$H$89)^Y$64</f>
        <v>16119038.781855736</v>
      </c>
      <c r="Z97" s="1014">
        <f>Z77*(1+PARAMETROS!$G$89)*(1+PARAMETROS!$H$89)^(Z$64-1)</f>
        <v>16119038.781855736</v>
      </c>
      <c r="AA97" s="690">
        <f>AA77*(1+PARAMETROS!$G$89)*(1+PARAMETROS!$H$89)^AA$64</f>
        <v>17434352.346455161</v>
      </c>
      <c r="AB97" s="1014">
        <f>AB77*(1+PARAMETROS!$G$89)*(1+PARAMETROS!$H$89)^(AB$64-1)</f>
        <v>17434352.346455161</v>
      </c>
      <c r="AC97" s="690">
        <f>AC77*(1+PARAMETROS!$G$89)*(1+PARAMETROS!$H$89)^AC$64</f>
        <v>18856995.497925907</v>
      </c>
      <c r="AD97" s="1014">
        <f>AD77*(1+PARAMETROS!$G$89)*(1+PARAMETROS!$H$89)^(AD$64-1)</f>
        <v>18856995.497925907</v>
      </c>
      <c r="AE97" s="690">
        <f>AE77*(1+PARAMETROS!$G$89)*(1+PARAMETROS!$H$89)^AE$64</f>
        <v>20395726.330556661</v>
      </c>
      <c r="AF97" s="1014">
        <f>AF77*(1+PARAMETROS!$G$89)*(1+PARAMETROS!$H$89)^(AF$64-1)</f>
        <v>20395726.330556661</v>
      </c>
      <c r="AG97" s="690">
        <f>AG77*(1+PARAMETROS!$G$89)*(1+PARAMETROS!$H$89)^AG$64</f>
        <v>22060017.59913009</v>
      </c>
      <c r="AH97" s="1014">
        <f>AH77*(1+PARAMETROS!$G$89)*(1+PARAMETROS!$H$89)^(AH$64-1)</f>
        <v>22060017.59913009</v>
      </c>
      <c r="AI97" s="690">
        <f>AI77*(1+PARAMETROS!$G$89)*(1+PARAMETROS!$H$89)^AI$64</f>
        <v>23860115.035219103</v>
      </c>
      <c r="AJ97" s="1014">
        <f>AJ77*(1+PARAMETROS!$G$89)*(1+PARAMETROS!$H$89)^(AJ$64-1)</f>
        <v>23860115.035219103</v>
      </c>
      <c r="AK97" s="690">
        <f>AK77*(1+PARAMETROS!$G$89)*(1+PARAMETROS!$H$89)^AK$64</f>
        <v>25807100.422092982</v>
      </c>
      <c r="AL97" s="1014">
        <f>AL77*(1+PARAMETROS!$G$89)*(1+PARAMETROS!$H$89)^(AL$64-1)</f>
        <v>25807100.422092982</v>
      </c>
      <c r="AM97" s="690">
        <f>AM77*(1+PARAMETROS!$G$89)*(1+PARAMETROS!$H$89)^AM$64</f>
        <v>27912959.816535775</v>
      </c>
      <c r="AN97" s="1014">
        <f>AN77*(1+PARAMETROS!$G$89)*(1+PARAMETROS!$H$89)^(AN$64-1)</f>
        <v>27912959.816535775</v>
      </c>
      <c r="AO97" s="690">
        <f>AO77*(1+PARAMETROS!$G$89)*(1+PARAMETROS!$H$89)^AO$64</f>
        <v>30190657.337565098</v>
      </c>
      <c r="AP97" s="1014">
        <f>AP77*(1+PARAMETROS!$G$89)*(1+PARAMETROS!$H$89)^(AP$64-1)</f>
        <v>30190657.337565098</v>
      </c>
      <c r="AQ97" s="690">
        <f>AQ77*(1+PARAMETROS!$G$89)*(1+PARAMETROS!$H$89)^AQ$64</f>
        <v>32654214.976310406</v>
      </c>
    </row>
    <row r="98" spans="2:43" ht="15" thickBot="1" x14ac:dyDescent="0.3">
      <c r="B98" s="520" t="s">
        <v>544</v>
      </c>
      <c r="C98" s="689">
        <f>C78</f>
        <v>5891875.6394536206</v>
      </c>
      <c r="D98" s="690">
        <f>D78*(1)</f>
        <v>7855834.1859381627</v>
      </c>
      <c r="E98" s="690">
        <f>E78*(1+PARAMETROS!$G$89)*(1+PARAMETROS!$H$89)^E$64</f>
        <v>8628136.9447329249</v>
      </c>
      <c r="F98" s="1014">
        <f>F78*(1+PARAMETROS!$G$89)*(1+PARAMETROS!$H$89)^(F$64-1)</f>
        <v>8718553.2961882595</v>
      </c>
      <c r="G98" s="690">
        <f>G78*(1+PARAMETROS!$G$89)*(1+PARAMETROS!$H$89)^G$64</f>
        <v>9527781.5708913114</v>
      </c>
      <c r="H98" s="1014">
        <f>H78*(1+PARAMETROS!$G$89)*(1+PARAMETROS!$H$89)^(H$64-1)</f>
        <v>9625575.8966253977</v>
      </c>
      <c r="I98" s="690">
        <f>I78*(1+PARAMETROS!$G$89)*(1+PARAMETROS!$H$89)^I$64</f>
        <v>10516797.23250402</v>
      </c>
      <c r="J98" s="1014">
        <f>J78*(1+PARAMETROS!$G$89)*(1+PARAMETROS!$H$89)^(J$64-1)</f>
        <v>10569204.788521804</v>
      </c>
      <c r="K98" s="690">
        <f>K78*(1+PARAMETROS!$G$89)*(1+PARAMETROS!$H$89)^K$64</f>
        <v>11488335.91185401</v>
      </c>
      <c r="L98" s="1014">
        <f>L78*(1+PARAMETROS!$G$89)*(1+PARAMETROS!$H$89)^(L$64-1)</f>
        <v>11545019.924442843</v>
      </c>
      <c r="M98" s="690">
        <f>M78*(1+PARAMETROS!$G$89)*(1+PARAMETROS!$H$89)^M$64</f>
        <v>12548402.978293465</v>
      </c>
      <c r="N98" s="1014">
        <f>N78*(1+PARAMETROS!$G$89)*(1+PARAMETROS!$H$89)^(N$64-1)</f>
        <v>12609712.406309543</v>
      </c>
      <c r="O98" s="690">
        <f>O78*(1+PARAMETROS!$G$89)*(1+PARAMETROS!$H$89)^O$64</f>
        <v>13642212.605793551</v>
      </c>
      <c r="P98" s="1014">
        <f>P78*(1+PARAMETROS!$G$89)*(1+PARAMETROS!$H$89)^(P$64-1)</f>
        <v>13645760.272922697</v>
      </c>
      <c r="Q98" s="690">
        <f>Q78*(1+PARAMETROS!$G$89)*(1+PARAMETROS!$H$89)^Q$64</f>
        <v>14763091.467960075</v>
      </c>
      <c r="R98" s="1014">
        <f>R78*(1+PARAMETROS!$G$89)*(1+PARAMETROS!$H$89)^(R$64-1)</f>
        <v>14766928.62472696</v>
      </c>
      <c r="S98" s="690">
        <f>S78*(1+PARAMETROS!$G$89)*(1+PARAMETROS!$H$89)^S$64</f>
        <v>15976060.269263741</v>
      </c>
      <c r="T98" s="1014">
        <f>T78*(1+PARAMETROS!$G$89)*(1+PARAMETROS!$H$89)^(T$64-1)</f>
        <v>16094582.891656348</v>
      </c>
      <c r="U98" s="690">
        <f>U78*(1+PARAMETROS!$G$89)*(1+PARAMETROS!$H$89)^U$64</f>
        <v>17536094.923995353</v>
      </c>
      <c r="V98" s="1014">
        <f>V78*(1+PARAMETROS!$G$89)*(1+PARAMETROS!$H$89)^(V$64-1)</f>
        <v>17664288.992375206</v>
      </c>
      <c r="W98" s="690">
        <f>W78*(1+PARAMETROS!$G$89)*(1+PARAMETROS!$H$89)^W$64</f>
        <v>19244349.678512674</v>
      </c>
      <c r="X98" s="1014">
        <f>X78*(1+PARAMETROS!$G$89)*(1+PARAMETROS!$H$89)^(X$64-1)</f>
        <v>19383004.382872306</v>
      </c>
      <c r="Y98" s="690">
        <f>Y78*(1+PARAMETROS!$G$89)*(1+PARAMETROS!$H$89)^Y$64</f>
        <v>20964657.540514693</v>
      </c>
      <c r="Z98" s="1014">
        <f>Z78*(1+PARAMETROS!$G$89)*(1+PARAMETROS!$H$89)^(Z$64-1)</f>
        <v>20964657.540514693</v>
      </c>
      <c r="AA98" s="690">
        <f>AA78*(1+PARAMETROS!$G$89)*(1+PARAMETROS!$H$89)^AA$64</f>
        <v>22675373.595820688</v>
      </c>
      <c r="AB98" s="1014">
        <f>AB78*(1+PARAMETROS!$G$89)*(1+PARAMETROS!$H$89)^(AB$64-1)</f>
        <v>22675373.595820688</v>
      </c>
      <c r="AC98" s="690">
        <f>AC78*(1+PARAMETROS!$G$89)*(1+PARAMETROS!$H$89)^AC$64</f>
        <v>24525684.081239663</v>
      </c>
      <c r="AD98" s="1014">
        <f>AD78*(1+PARAMETROS!$G$89)*(1+PARAMETROS!$H$89)^(AD$64-1)</f>
        <v>24525684.081239663</v>
      </c>
      <c r="AE98" s="690">
        <f>AE78*(1+PARAMETROS!$G$89)*(1+PARAMETROS!$H$89)^AE$64</f>
        <v>26526979.902268816</v>
      </c>
      <c r="AF98" s="1014">
        <f>AF78*(1+PARAMETROS!$G$89)*(1+PARAMETROS!$H$89)^(AF$64-1)</f>
        <v>26526979.902268816</v>
      </c>
      <c r="AG98" s="690">
        <f>AG78*(1+PARAMETROS!$G$89)*(1+PARAMETROS!$H$89)^AG$64</f>
        <v>28691581.46229396</v>
      </c>
      <c r="AH98" s="1014">
        <f>AH78*(1+PARAMETROS!$G$89)*(1+PARAMETROS!$H$89)^(AH$64-1)</f>
        <v>28691581.46229396</v>
      </c>
      <c r="AI98" s="690">
        <f>AI78*(1+PARAMETROS!$G$89)*(1+PARAMETROS!$H$89)^AI$64</f>
        <v>31032814.509617142</v>
      </c>
      <c r="AJ98" s="1014">
        <f>AJ78*(1+PARAMETROS!$G$89)*(1+PARAMETROS!$H$89)^(AJ$64-1)</f>
        <v>31032814.509617142</v>
      </c>
      <c r="AK98" s="690">
        <f>AK78*(1+PARAMETROS!$G$89)*(1+PARAMETROS!$H$89)^AK$64</f>
        <v>33565092.173601903</v>
      </c>
      <c r="AL98" s="1014">
        <f>AL78*(1+PARAMETROS!$G$89)*(1+PARAMETROS!$H$89)^(AL$64-1)</f>
        <v>33565092.173601903</v>
      </c>
      <c r="AM98" s="690">
        <f>AM78*(1+PARAMETROS!$G$89)*(1+PARAMETROS!$H$89)^AM$64</f>
        <v>36304003.694967829</v>
      </c>
      <c r="AN98" s="1014">
        <f>AN78*(1+PARAMETROS!$G$89)*(1+PARAMETROS!$H$89)^(AN$64-1)</f>
        <v>36304003.694967829</v>
      </c>
      <c r="AO98" s="690">
        <f>AO78*(1+PARAMETROS!$G$89)*(1+PARAMETROS!$H$89)^AO$64</f>
        <v>39266410.396477208</v>
      </c>
      <c r="AP98" s="1014">
        <f>AP78*(1+PARAMETROS!$G$89)*(1+PARAMETROS!$H$89)^(AP$64-1)</f>
        <v>39266410.396477208</v>
      </c>
      <c r="AQ98" s="690">
        <f>AQ78*(1+PARAMETROS!$G$89)*(1+PARAMETROS!$H$89)^AQ$64</f>
        <v>42470549.484829739</v>
      </c>
    </row>
    <row r="99" spans="2:43" ht="15" thickBot="1" x14ac:dyDescent="0.3">
      <c r="B99" s="520" t="s">
        <v>545</v>
      </c>
      <c r="C99" s="689">
        <f>C79</f>
        <v>7248879.6896839272</v>
      </c>
      <c r="D99" s="690">
        <f>D79*(1)</f>
        <v>9665172.9195785671</v>
      </c>
      <c r="E99" s="690">
        <f>E79*(1+PARAMETROS!$G$89)*(1+PARAMETROS!$H$89)^E$64</f>
        <v>10618862.747828485</v>
      </c>
      <c r="F99" s="1014">
        <f>F79*(1+PARAMETROS!$G$89)*(1+PARAMETROS!$H$89)^(F$64-1)</f>
        <v>10733615.566658977</v>
      </c>
      <c r="G99" s="690">
        <f>G79*(1+PARAMETROS!$G$89)*(1+PARAMETROS!$H$89)^G$64</f>
        <v>11733595.245745417</v>
      </c>
      <c r="H99" s="1014">
        <f>H79*(1+PARAMETROS!$G$89)*(1+PARAMETROS!$H$89)^(H$64-1)</f>
        <v>11857711.894592481</v>
      </c>
      <c r="I99" s="690">
        <f>I79*(1+PARAMETROS!$G$89)*(1+PARAMETROS!$H$89)^I$64</f>
        <v>12959545.752584217</v>
      </c>
      <c r="J99" s="1014">
        <f>J79*(1+PARAMETROS!$G$89)*(1+PARAMETROS!$H$89)^(J$64-1)</f>
        <v>13025283.017677655</v>
      </c>
      <c r="K99" s="690">
        <f>K79*(1+PARAMETROS!$G$89)*(1+PARAMETROS!$H$89)^K$64</f>
        <v>14159247.537845211</v>
      </c>
      <c r="L99" s="1014">
        <f>L79*(1+PARAMETROS!$G$89)*(1+PARAMETROS!$H$89)^(L$64-1)</f>
        <v>14230348.963770274</v>
      </c>
      <c r="M99" s="690">
        <f>M79*(1+PARAMETROS!$G$89)*(1+PARAMETROS!$H$89)^M$64</f>
        <v>15468448.741494482</v>
      </c>
      <c r="N99" s="1014">
        <f>N79*(1+PARAMETROS!$G$89)*(1+PARAMETROS!$H$89)^(N$64-1)</f>
        <v>15545352.043775041</v>
      </c>
      <c r="O99" s="690">
        <f>O79*(1+PARAMETROS!$G$89)*(1+PARAMETROS!$H$89)^O$64</f>
        <v>16821736.461582467</v>
      </c>
      <c r="P99" s="1014">
        <f>P79*(1+PARAMETROS!$G$89)*(1+PARAMETROS!$H$89)^(P$64-1)</f>
        <v>16829620.152617868</v>
      </c>
      <c r="Q99" s="690">
        <f>Q79*(1+PARAMETROS!$G$89)*(1+PARAMETROS!$H$89)^Q$64</f>
        <v>18211444.157295365</v>
      </c>
      <c r="R99" s="1014">
        <f>R79*(1+PARAMETROS!$G$89)*(1+PARAMETROS!$H$89)^(R$64-1)</f>
        <v>18219971.157519244</v>
      </c>
      <c r="S99" s="690">
        <f>S79*(1+PARAMETROS!$G$89)*(1+PARAMETROS!$H$89)^S$64</f>
        <v>19715943.607414961</v>
      </c>
      <c r="T99" s="1014">
        <f>T79*(1+PARAMETROS!$G$89)*(1+PARAMETROS!$H$89)^(T$64-1)</f>
        <v>19838183.948403716</v>
      </c>
      <c r="U99" s="690">
        <f>U79*(1+PARAMETROS!$G$89)*(1+PARAMETROS!$H$89)^U$64</f>
        <v>21589194.911406904</v>
      </c>
      <c r="V99" s="1014">
        <f>V79*(1+PARAMETROS!$G$89)*(1+PARAMETROS!$H$89)^(V$64-1)</f>
        <v>21721410.064220343</v>
      </c>
      <c r="W99" s="690">
        <f>W79*(1+PARAMETROS!$G$89)*(1+PARAMETROS!$H$89)^W$64</f>
        <v>23636881.034743741</v>
      </c>
      <c r="X99" s="1014">
        <f>X79*(1+PARAMETROS!$G$89)*(1+PARAMETROS!$H$89)^(X$64-1)</f>
        <v>23779884.944026764</v>
      </c>
      <c r="Y99" s="690">
        <f>Y79*(1+PARAMETROS!$G$89)*(1+PARAMETROS!$H$89)^Y$64</f>
        <v>25720323.555459354</v>
      </c>
      <c r="Z99" s="1014">
        <f>Z79*(1+PARAMETROS!$G$89)*(1+PARAMETROS!$H$89)^(Z$64-1)</f>
        <v>25720323.555459354</v>
      </c>
      <c r="AA99" s="690">
        <f>AA79*(1+PARAMETROS!$G$89)*(1+PARAMETROS!$H$89)^AA$64</f>
        <v>27819101.957584832</v>
      </c>
      <c r="AB99" s="1014">
        <f>AB79*(1+PARAMETROS!$G$89)*(1+PARAMETROS!$H$89)^(AB$64-1)</f>
        <v>27819101.957584832</v>
      </c>
      <c r="AC99" s="690">
        <f>AC79*(1+PARAMETROS!$G$89)*(1+PARAMETROS!$H$89)^AC$64</f>
        <v>30089140.677323766</v>
      </c>
      <c r="AD99" s="1014">
        <f>AD79*(1+PARAMETROS!$G$89)*(1+PARAMETROS!$H$89)^(AD$64-1)</f>
        <v>30089140.677323766</v>
      </c>
      <c r="AE99" s="690">
        <f>AE79*(1+PARAMETROS!$G$89)*(1+PARAMETROS!$H$89)^AE$64</f>
        <v>32544414.556593381</v>
      </c>
      <c r="AF99" s="1014">
        <f>AF79*(1+PARAMETROS!$G$89)*(1+PARAMETROS!$H$89)^(AF$64-1)</f>
        <v>32544414.556593381</v>
      </c>
      <c r="AG99" s="690">
        <f>AG79*(1+PARAMETROS!$G$89)*(1+PARAMETROS!$H$89)^AG$64</f>
        <v>35200038.784411408</v>
      </c>
      <c r="AH99" s="1014">
        <f>AH79*(1+PARAMETROS!$G$89)*(1+PARAMETROS!$H$89)^(AH$64-1)</f>
        <v>35200038.784411408</v>
      </c>
      <c r="AI99" s="690">
        <f>AI79*(1+PARAMETROS!$G$89)*(1+PARAMETROS!$H$89)^AI$64</f>
        <v>38072361.949219376</v>
      </c>
      <c r="AJ99" s="1014">
        <f>AJ79*(1+PARAMETROS!$G$89)*(1+PARAMETROS!$H$89)^(AJ$64-1)</f>
        <v>38072361.949219376</v>
      </c>
      <c r="AK99" s="690">
        <f>AK79*(1+PARAMETROS!$G$89)*(1+PARAMETROS!$H$89)^AK$64</f>
        <v>41179066.684275679</v>
      </c>
      <c r="AL99" s="1014">
        <f>AL79*(1+PARAMETROS!$G$89)*(1+PARAMETROS!$H$89)^(AL$64-1)</f>
        <v>41179066.684275679</v>
      </c>
      <c r="AM99" s="690">
        <f>AM79*(1+PARAMETROS!$G$89)*(1+PARAMETROS!$H$89)^AM$64</f>
        <v>44539278.525712587</v>
      </c>
      <c r="AN99" s="1014">
        <f>AN79*(1+PARAMETROS!$G$89)*(1+PARAMETROS!$H$89)^(AN$64-1)</f>
        <v>44539278.525712587</v>
      </c>
      <c r="AO99" s="690">
        <f>AO79*(1+PARAMETROS!$G$89)*(1+PARAMETROS!$H$89)^AO$64</f>
        <v>48173683.65341074</v>
      </c>
      <c r="AP99" s="1014">
        <f>AP79*(1+PARAMETROS!$G$89)*(1+PARAMETROS!$H$89)^(AP$64-1)</f>
        <v>48173683.65341074</v>
      </c>
      <c r="AQ99" s="690">
        <f>AQ79*(1+PARAMETROS!$G$89)*(1+PARAMETROS!$H$89)^AQ$64</f>
        <v>52104656.239529043</v>
      </c>
    </row>
    <row r="100" spans="2:43" ht="15" thickBot="1" x14ac:dyDescent="0.3">
      <c r="B100" s="521" t="s">
        <v>546</v>
      </c>
      <c r="C100" s="689">
        <f>C80</f>
        <v>8615447.8520489205</v>
      </c>
      <c r="D100" s="690">
        <f>D80*(1)</f>
        <v>11487263.802731898</v>
      </c>
      <c r="E100" s="690">
        <f>E80*(1+PARAMETROS!$G$89)*(1+PARAMETROS!$H$89)^E$64</f>
        <v>12597531.189525187</v>
      </c>
      <c r="F100" s="1014">
        <f>F80*(1+PARAMETROS!$G$89)*(1+PARAMETROS!$H$89)^(F$64-1)</f>
        <v>12710704.078241348</v>
      </c>
      <c r="G100" s="690">
        <f>G80*(1+PARAMETROS!$G$89)*(1+PARAMETROS!$H$89)^G$64</f>
        <v>13870305.327461245</v>
      </c>
      <c r="H100" s="1014">
        <f>H80*(1+PARAMETROS!$G$89)*(1+PARAMETROS!$H$89)^(H$64-1)</f>
        <v>13992713.123896649</v>
      </c>
      <c r="I100" s="690">
        <f>I80*(1+PARAMETROS!$G$89)*(1+PARAMETROS!$H$89)^I$64</f>
        <v>15266914.787431143</v>
      </c>
      <c r="J100" s="1014">
        <f>J80*(1+PARAMETROS!$G$89)*(1+PARAMETROS!$H$89)^(J$64-1)</f>
        <v>15350666.47049119</v>
      </c>
      <c r="K100" s="690">
        <f>K80*(1+PARAMETROS!$G$89)*(1+PARAMETROS!$H$89)^K$64</f>
        <v>16693866.674881017</v>
      </c>
      <c r="L100" s="1014">
        <f>L80*(1+PARAMETROS!$G$89)*(1+PARAMETROS!$H$89)^(L$64-1)</f>
        <v>16784452.495278753</v>
      </c>
      <c r="M100" s="690">
        <f>M80*(1+PARAMETROS!$G$89)*(1+PARAMETROS!$H$89)^M$64</f>
        <v>18252041.442235705</v>
      </c>
      <c r="N100" s="1014">
        <f>N80*(1+PARAMETROS!$G$89)*(1+PARAMETROS!$H$89)^(N$64-1)</f>
        <v>18350019.065577898</v>
      </c>
      <c r="O100" s="690">
        <f>O80*(1+PARAMETROS!$G$89)*(1+PARAMETROS!$H$89)^O$64</f>
        <v>19837832.434423633</v>
      </c>
      <c r="P100" s="1014">
        <f>P80*(1+PARAMETROS!$G$89)*(1+PARAMETROS!$H$89)^(P$64-1)</f>
        <v>19828284.247518212</v>
      </c>
      <c r="Q100" s="690">
        <f>Q80*(1+PARAMETROS!$G$89)*(1+PARAMETROS!$H$89)^Q$64</f>
        <v>21435944.923158802</v>
      </c>
      <c r="R100" s="1014">
        <f>R80*(1+PARAMETROS!$G$89)*(1+PARAMETROS!$H$89)^(R$64-1)</f>
        <v>21425617.604201902</v>
      </c>
      <c r="S100" s="690">
        <f>S80*(1+PARAMETROS!$G$89)*(1+PARAMETROS!$H$89)^S$64</f>
        <v>23162777.972521003</v>
      </c>
      <c r="T100" s="1014">
        <f>T80*(1+PARAMETROS!$G$89)*(1+PARAMETROS!$H$89)^(T$64-1)</f>
        <v>23320389.692846011</v>
      </c>
      <c r="U100" s="690">
        <f>U80*(1+PARAMETROS!$G$89)*(1+PARAMETROS!$H$89)^U$64</f>
        <v>25393806.328485787</v>
      </c>
      <c r="V100" s="1014">
        <f>V80*(1+PARAMETROS!$G$89)*(1+PARAMETROS!$H$89)^(V$64-1)</f>
        <v>25564279.165189322</v>
      </c>
      <c r="W100" s="690">
        <f>W80*(1+PARAMETROS!$G$89)*(1+PARAMETROS!$H$89)^W$64</f>
        <v>27834707.765247319</v>
      </c>
      <c r="X100" s="1014">
        <f>X80*(1+PARAMETROS!$G$89)*(1+PARAMETROS!$H$89)^(X$64-1)</f>
        <v>28019091.185425859</v>
      </c>
      <c r="Y100" s="690">
        <f>Y80*(1+PARAMETROS!$G$89)*(1+PARAMETROS!$H$89)^Y$64</f>
        <v>30305449.026156619</v>
      </c>
      <c r="Z100" s="1014">
        <f>Z80*(1+PARAMETROS!$G$89)*(1+PARAMETROS!$H$89)^(Z$64-1)</f>
        <v>30305449.026156619</v>
      </c>
      <c r="AA100" s="690">
        <f>AA80*(1+PARAMETROS!$G$89)*(1+PARAMETROS!$H$89)^AA$64</f>
        <v>32778373.666690994</v>
      </c>
      <c r="AB100" s="1014">
        <f>AB80*(1+PARAMETROS!$G$89)*(1+PARAMETROS!$H$89)^(AB$64-1)</f>
        <v>32778373.666690994</v>
      </c>
      <c r="AC100" s="690">
        <f>AC80*(1+PARAMETROS!$G$89)*(1+PARAMETROS!$H$89)^AC$64</f>
        <v>35453088.957892992</v>
      </c>
      <c r="AD100" s="1014">
        <f>AD80*(1+PARAMETROS!$G$89)*(1+PARAMETROS!$H$89)^(AD$64-1)</f>
        <v>35453088.957892992</v>
      </c>
      <c r="AE100" s="690">
        <f>AE80*(1+PARAMETROS!$G$89)*(1+PARAMETROS!$H$89)^AE$64</f>
        <v>38346061.01685705</v>
      </c>
      <c r="AF100" s="1014">
        <f>AF80*(1+PARAMETROS!$G$89)*(1+PARAMETROS!$H$89)^(AF$64-1)</f>
        <v>38346061.01685705</v>
      </c>
      <c r="AG100" s="690">
        <f>AG80*(1+PARAMETROS!$G$89)*(1+PARAMETROS!$H$89)^AG$64</f>
        <v>41475099.595832601</v>
      </c>
      <c r="AH100" s="1014">
        <f>AH80*(1+PARAMETROS!$G$89)*(1+PARAMETROS!$H$89)^(AH$64-1)</f>
        <v>41475099.595832601</v>
      </c>
      <c r="AI100" s="690">
        <f>AI80*(1+PARAMETROS!$G$89)*(1+PARAMETROS!$H$89)^AI$64</f>
        <v>44859467.722852536</v>
      </c>
      <c r="AJ100" s="1014">
        <f>AJ80*(1+PARAMETROS!$G$89)*(1+PARAMETROS!$H$89)^(AJ$64-1)</f>
        <v>44859467.722852536</v>
      </c>
      <c r="AK100" s="690">
        <f>AK80*(1+PARAMETROS!$G$89)*(1+PARAMETROS!$H$89)^AK$64</f>
        <v>48520000.289037302</v>
      </c>
      <c r="AL100" s="1014">
        <f>AL80*(1+PARAMETROS!$G$89)*(1+PARAMETROS!$H$89)^(AL$64-1)</f>
        <v>48520000.289037302</v>
      </c>
      <c r="AM100" s="690">
        <f>AM80*(1+PARAMETROS!$G$89)*(1+PARAMETROS!$H$89)^AM$64</f>
        <v>52479232.312622756</v>
      </c>
      <c r="AN100" s="1014">
        <f>AN80*(1+PARAMETROS!$G$89)*(1+PARAMETROS!$H$89)^(AN$64-1)</f>
        <v>52479232.312622756</v>
      </c>
      <c r="AO100" s="690">
        <f>AO80*(1+PARAMETROS!$G$89)*(1+PARAMETROS!$H$89)^AO$64</f>
        <v>56761537.669332787</v>
      </c>
      <c r="AP100" s="1014">
        <f>AP80*(1+PARAMETROS!$G$89)*(1+PARAMETROS!$H$89)^(AP$64-1)</f>
        <v>56761537.669332787</v>
      </c>
      <c r="AQ100" s="690">
        <f>AQ80*(1+PARAMETROS!$G$89)*(1+PARAMETROS!$H$89)^AQ$64</f>
        <v>61393279.14315033</v>
      </c>
    </row>
  </sheetData>
  <sheetProtection algorithmName="SHA-512" hashValue="1domWUwhMisHlGoka6hjjTFMjKP4xPW8Z0cLagi5HkoqlgW8w/tUr5fPb3SACEY4MZ76hLaGMvJHOOwceMcxqA==" saltValue="fKEt/6i3FX3cjCYOcqdWzg==" spinCount="100000" sheet="1" objects="1" scenarios="1"/>
  <mergeCells count="2">
    <mergeCell ref="B2:B5"/>
    <mergeCell ref="E20:F20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002060"/>
  </sheetPr>
  <dimension ref="A2:L59"/>
  <sheetViews>
    <sheetView workbookViewId="0">
      <selection activeCell="B120" sqref="B120"/>
    </sheetView>
  </sheetViews>
  <sheetFormatPr baseColWidth="10" defaultRowHeight="13.2" x14ac:dyDescent="0.25"/>
  <cols>
    <col min="2" max="2" width="53.109375" bestFit="1" customWidth="1"/>
    <col min="3" max="3" width="20.33203125" customWidth="1"/>
    <col min="4" max="4" width="13.6640625" customWidth="1"/>
    <col min="5" max="5" width="16.6640625" customWidth="1"/>
    <col min="11" max="11" width="12.109375" bestFit="1" customWidth="1"/>
  </cols>
  <sheetData>
    <row r="2" spans="1:12" x14ac:dyDescent="0.25">
      <c r="A2" s="321"/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</row>
    <row r="3" spans="1:12" x14ac:dyDescent="0.25">
      <c r="A3" s="321"/>
      <c r="B3" s="851"/>
      <c r="C3" s="321"/>
      <c r="D3" s="321"/>
      <c r="E3" s="321"/>
      <c r="F3" s="321"/>
      <c r="G3" s="321"/>
      <c r="H3" s="321"/>
      <c r="I3" s="321"/>
      <c r="J3" s="321"/>
      <c r="K3" s="321"/>
      <c r="L3" s="321"/>
    </row>
    <row r="4" spans="1:12" x14ac:dyDescent="0.25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</row>
    <row r="5" spans="1:12" x14ac:dyDescent="0.25">
      <c r="A5" s="321"/>
      <c r="B5" s="871" t="s">
        <v>561</v>
      </c>
      <c r="C5" s="321"/>
      <c r="D5" s="321"/>
      <c r="E5" s="321"/>
      <c r="F5" s="321"/>
      <c r="G5" s="321"/>
      <c r="H5" s="321"/>
      <c r="I5" s="321"/>
      <c r="J5" s="321"/>
      <c r="K5" s="321"/>
      <c r="L5" s="321"/>
    </row>
    <row r="6" spans="1:12" x14ac:dyDescent="0.25">
      <c r="A6" s="321"/>
      <c r="B6" s="851"/>
      <c r="C6" s="321"/>
      <c r="D6" s="321"/>
      <c r="E6" s="321"/>
      <c r="F6" s="321"/>
      <c r="G6" s="321"/>
      <c r="H6" s="321"/>
      <c r="I6" s="321"/>
      <c r="J6" s="321"/>
      <c r="K6" s="321"/>
      <c r="L6" s="321"/>
    </row>
    <row r="7" spans="1:12" ht="27" customHeight="1" x14ac:dyDescent="0.25">
      <c r="A7" s="321"/>
      <c r="B7" s="339" t="s">
        <v>461</v>
      </c>
      <c r="C7" s="872" t="s">
        <v>464</v>
      </c>
      <c r="D7" s="872" t="s">
        <v>313</v>
      </c>
      <c r="E7" s="872" t="s">
        <v>314</v>
      </c>
      <c r="F7" s="872">
        <v>2015</v>
      </c>
      <c r="G7" s="872">
        <v>2016</v>
      </c>
      <c r="H7" s="872">
        <v>2017</v>
      </c>
      <c r="I7" s="872">
        <v>2018</v>
      </c>
      <c r="J7" s="321"/>
      <c r="K7" s="321"/>
      <c r="L7" s="321"/>
    </row>
    <row r="8" spans="1:12" ht="27" customHeight="1" x14ac:dyDescent="0.25">
      <c r="A8" s="321"/>
      <c r="B8" s="873" t="s">
        <v>21</v>
      </c>
      <c r="C8" s="874">
        <f>CHIFFRAGE_TC!L45</f>
        <v>1296416.0921332496</v>
      </c>
      <c r="D8" s="875">
        <f>CHIFFRAGE_TC!O45</f>
        <v>0.79880960085773034</v>
      </c>
      <c r="E8" s="875">
        <f>CHIFFRAGE_TC!P45</f>
        <v>0.2011903991422696</v>
      </c>
      <c r="F8" s="874">
        <f>INVERSION_ANUALIZADA_TC_Alt_4!E44:H44</f>
        <v>837660.63502099994</v>
      </c>
      <c r="G8" s="874">
        <f>INVERSION_ANUALIZADA_TC_Alt_4!F44:I44</f>
        <v>458755.45711224986</v>
      </c>
      <c r="H8" s="874">
        <f>INVERSION_ANUALIZADA_TC_Alt_4!G44:J44</f>
        <v>0</v>
      </c>
      <c r="I8" s="874">
        <f>INVERSION_ANUALIZADA_TC_Alt_4!H44:K44</f>
        <v>0</v>
      </c>
      <c r="J8" s="321"/>
      <c r="K8" s="877">
        <f>SUM(F8:I8)</f>
        <v>1296416.0921332499</v>
      </c>
      <c r="L8" s="321" t="str">
        <f>IF(C8=K8,"OK!","NOK")</f>
        <v>OK!</v>
      </c>
    </row>
    <row r="9" spans="1:12" ht="13.8" x14ac:dyDescent="0.25">
      <c r="A9" s="321"/>
      <c r="B9" s="873" t="s">
        <v>552</v>
      </c>
      <c r="C9" s="874">
        <f>CHIFFRAGE_TC!L33</f>
        <v>3891361.3627656233</v>
      </c>
      <c r="D9" s="875">
        <f>CHIFFRAGE_TC!O33</f>
        <v>0.79869671828289279</v>
      </c>
      <c r="E9" s="875">
        <f>CHIFFRAGE_TC!P33</f>
        <v>0.20130328171710718</v>
      </c>
      <c r="F9" s="874">
        <f>INVERSION_ANUALIZADA_TC_Alt_4!E32:H32</f>
        <v>1044207.8897851558</v>
      </c>
      <c r="G9" s="874">
        <f>INVERSION_ANUALIZADA_TC_Alt_4!F32:I32</f>
        <v>949051.15766015579</v>
      </c>
      <c r="H9" s="874">
        <f>INVERSION_ANUALIZADA_TC_Alt_4!G32:J32</f>
        <v>1898102.3153203116</v>
      </c>
      <c r="I9" s="874">
        <f>INVERSION_ANUALIZADA_TC_Alt_4!H32:K32</f>
        <v>0</v>
      </c>
      <c r="J9" s="321"/>
      <c r="K9" s="877">
        <f t="shared" ref="K9:K20" si="0">SUM(F9:I9)</f>
        <v>3891361.3627656233</v>
      </c>
      <c r="L9" s="321" t="str">
        <f t="shared" ref="L9:L22" si="1">IF(C9=K9,"OK!","NOK")</f>
        <v>OK!</v>
      </c>
    </row>
    <row r="10" spans="1:12" ht="13.8" x14ac:dyDescent="0.25">
      <c r="A10" s="321"/>
      <c r="B10" s="873" t="s">
        <v>539</v>
      </c>
      <c r="C10" s="986">
        <f>CHIFFRAGE_TC!L38</f>
        <v>14707198.841885544</v>
      </c>
      <c r="D10" s="875">
        <f>CHIFFRAGE_TC!O38</f>
        <v>0.59390240417868123</v>
      </c>
      <c r="E10" s="875">
        <f>CHIFFRAGE_TC!P38</f>
        <v>0.40609759582131877</v>
      </c>
      <c r="F10" s="874">
        <f>INVERSION_ANUALIZADA_TC_Alt_4!E37:H37</f>
        <v>2941439.768377109</v>
      </c>
      <c r="G10" s="874">
        <f>INVERSION_ANUALIZADA_TC_Alt_4!F37:I37</f>
        <v>8824319.3051313274</v>
      </c>
      <c r="H10" s="874">
        <f>INVERSION_ANUALIZADA_TC_Alt_4!G37:J37</f>
        <v>2941439.768377109</v>
      </c>
      <c r="I10" s="874">
        <f>INVERSION_ANUALIZADA_TC_Alt_4!H37:K37</f>
        <v>0</v>
      </c>
      <c r="J10" s="321"/>
      <c r="K10" s="877">
        <f t="shared" si="0"/>
        <v>14707198.841885544</v>
      </c>
      <c r="L10" s="321" t="str">
        <f t="shared" si="1"/>
        <v>OK!</v>
      </c>
    </row>
    <row r="11" spans="1:12" ht="13.8" x14ac:dyDescent="0.25">
      <c r="A11" s="321"/>
      <c r="B11" s="873" t="s">
        <v>23</v>
      </c>
      <c r="C11" s="874">
        <f>CHIFFRAGE_TC!L53</f>
        <v>8052303.7439364512</v>
      </c>
      <c r="D11" s="875">
        <f>CHIFFRAGE_TC!O53</f>
        <v>5.7734021151533553E-2</v>
      </c>
      <c r="E11" s="875">
        <f>CHIFFRAGE_TC!P53</f>
        <v>0.94226597884846641</v>
      </c>
      <c r="F11" s="874">
        <f>INVERSION_ANUALIZADA_TC_Alt_4!E52:H52</f>
        <v>1610460.7487872904</v>
      </c>
      <c r="G11" s="874">
        <f>INVERSION_ANUALIZADA_TC_Alt_4!F52:I52</f>
        <v>4831382.2463618703</v>
      </c>
      <c r="H11" s="874">
        <f>INVERSION_ANUALIZADA_TC_Alt_4!G52:J52</f>
        <v>1610460.7487872904</v>
      </c>
      <c r="I11" s="874">
        <f>INVERSION_ANUALIZADA_TC_Alt_4!H52:K52</f>
        <v>0</v>
      </c>
      <c r="J11" s="321"/>
      <c r="K11" s="877">
        <f t="shared" si="0"/>
        <v>8052303.7439364512</v>
      </c>
      <c r="L11" s="321" t="str">
        <f t="shared" si="1"/>
        <v>OK!</v>
      </c>
    </row>
    <row r="12" spans="1:12" ht="13.8" x14ac:dyDescent="0.25">
      <c r="A12" s="321"/>
      <c r="B12" s="873" t="s">
        <v>33</v>
      </c>
      <c r="C12" s="874">
        <f>CHIFFRAGE_TC!L61</f>
        <v>7348567.3625788782</v>
      </c>
      <c r="D12" s="875">
        <f>CHIFFRAGE_TC!O61</f>
        <v>8.6629384159487274E-2</v>
      </c>
      <c r="E12" s="875">
        <f>CHIFFRAGE_TC!P61</f>
        <v>0.91337061584051293</v>
      </c>
      <c r="F12" s="874">
        <f>INVERSION_ANUALIZADA_TC_Alt_4!E60:H60</f>
        <v>1641714.5338326178</v>
      </c>
      <c r="G12" s="874">
        <f>INVERSION_ANUALIZADA_TC_Alt_4!F60:I60</f>
        <v>4933826.9305674639</v>
      </c>
      <c r="H12" s="874">
        <f>INVERSION_ANUALIZADA_TC_Alt_4!G60:J60</f>
        <v>773025.8981787971</v>
      </c>
      <c r="I12" s="874">
        <f>INVERSION_ANUALIZADA_TC_Alt_4!H60:K60</f>
        <v>0</v>
      </c>
      <c r="J12" s="321"/>
      <c r="K12" s="877">
        <f t="shared" si="0"/>
        <v>7348567.3625788791</v>
      </c>
      <c r="L12" s="321" t="str">
        <f t="shared" si="1"/>
        <v>OK!</v>
      </c>
    </row>
    <row r="13" spans="1:12" ht="13.8" x14ac:dyDescent="0.25">
      <c r="A13" s="321"/>
      <c r="B13" s="873" t="s">
        <v>36</v>
      </c>
      <c r="C13" s="874">
        <f>CHIFFRAGE_TC!L70</f>
        <v>5990482.7500083493</v>
      </c>
      <c r="D13" s="875">
        <f>CHIFFRAGE_TC!O70</f>
        <v>0.63862941004387641</v>
      </c>
      <c r="E13" s="875">
        <f>CHIFFRAGE_TC!P70</f>
        <v>0.36137058995612359</v>
      </c>
      <c r="F13" s="874">
        <f>INVERSION_ANUALIZADA_TC_Alt_4!E69:H69</f>
        <v>195217.69582874991</v>
      </c>
      <c r="G13" s="874">
        <f>INVERSION_ANUALIZADA_TC_Alt_4!F69:I69</f>
        <v>3816976.1662550489</v>
      </c>
      <c r="H13" s="874">
        <f>INVERSION_ANUALIZADA_TC_Alt_4!G69:J69</f>
        <v>1978288.8879245506</v>
      </c>
      <c r="I13" s="874">
        <f>INVERSION_ANUALIZADA_TC_Alt_4!H69:K69</f>
        <v>0</v>
      </c>
      <c r="J13" s="321"/>
      <c r="K13" s="877">
        <f t="shared" si="0"/>
        <v>5990482.7500083493</v>
      </c>
      <c r="L13" s="321" t="str">
        <f t="shared" si="1"/>
        <v>OK!</v>
      </c>
    </row>
    <row r="14" spans="1:12" ht="13.8" x14ac:dyDescent="0.25">
      <c r="A14" s="321"/>
      <c r="B14" s="873" t="s">
        <v>128</v>
      </c>
      <c r="C14" s="874"/>
      <c r="D14" s="876"/>
      <c r="E14" s="876"/>
      <c r="F14" s="874"/>
      <c r="G14" s="874"/>
      <c r="H14" s="874"/>
      <c r="I14" s="874"/>
      <c r="J14" s="321"/>
      <c r="K14" s="877"/>
      <c r="L14" s="321"/>
    </row>
    <row r="15" spans="1:12" ht="13.8" x14ac:dyDescent="0.25">
      <c r="A15" s="321"/>
      <c r="B15" s="878" t="s">
        <v>462</v>
      </c>
      <c r="C15" s="874">
        <f>CHIFFRAGE_TC!L57</f>
        <v>28203244.316168398</v>
      </c>
      <c r="D15" s="875">
        <f>CHIFFRAGE_TC!O57</f>
        <v>7.9522838118778333E-2</v>
      </c>
      <c r="E15" s="875">
        <f>CHIFFRAGE_TC!P57</f>
        <v>0.92047716188122175</v>
      </c>
      <c r="F15" s="874">
        <f>INVERSION_ANUALIZADA_TC_Alt_4!E56</f>
        <v>0</v>
      </c>
      <c r="G15" s="874">
        <f>INVERSION_ANUALIZADA_TC_Alt_4!F56</f>
        <v>0</v>
      </c>
      <c r="H15" s="874">
        <f>INVERSION_ANUALIZADA_TC_Alt_4!G56</f>
        <v>19742271.021317877</v>
      </c>
      <c r="I15" s="874">
        <f>INVERSION_ANUALIZADA_TC_Alt_4!H56</f>
        <v>8460973.2948505189</v>
      </c>
      <c r="J15" s="321"/>
      <c r="K15" s="877">
        <f t="shared" si="0"/>
        <v>28203244.316168398</v>
      </c>
      <c r="L15" s="321" t="str">
        <f t="shared" si="1"/>
        <v>OK!</v>
      </c>
    </row>
    <row r="16" spans="1:12" ht="13.8" x14ac:dyDescent="0.25">
      <c r="A16" s="321"/>
      <c r="B16" s="878" t="s">
        <v>463</v>
      </c>
      <c r="C16" s="874">
        <f>CHIFFRAGE_TC!L85</f>
        <v>27063451.759753697</v>
      </c>
      <c r="D16" s="875">
        <f>CHIFFRAGE_TC!O85</f>
        <v>0.79809959628477656</v>
      </c>
      <c r="E16" s="875">
        <f>CHIFFRAGE_TC!P85</f>
        <v>0.2019004037152235</v>
      </c>
      <c r="F16" s="874">
        <f>INVERSION_ANUALIZADA_TC_Alt_4!E84</f>
        <v>0</v>
      </c>
      <c r="G16" s="874">
        <f>INVERSION_ANUALIZADA_TC_Alt_4!F84</f>
        <v>8620428.6975352056</v>
      </c>
      <c r="H16" s="874">
        <f>INVERSION_ANUALIZADA_TC_Alt_4!G84</f>
        <v>14512302.36541787</v>
      </c>
      <c r="I16" s="874">
        <f>INVERSION_ANUALIZADA_TC_Alt_4!H84</f>
        <v>3930720.696800624</v>
      </c>
      <c r="J16" s="321"/>
      <c r="K16" s="877">
        <f t="shared" si="0"/>
        <v>27063451.7597537</v>
      </c>
      <c r="L16" s="321" t="str">
        <f t="shared" si="1"/>
        <v>OK!</v>
      </c>
    </row>
    <row r="17" spans="1:12" ht="13.8" x14ac:dyDescent="0.25">
      <c r="A17" s="321"/>
      <c r="B17" s="873" t="s">
        <v>79</v>
      </c>
      <c r="C17" s="874">
        <f>CHIFFRAGE_TC!L175</f>
        <v>5708448.9335223995</v>
      </c>
      <c r="D17" s="875">
        <f>CHIFFRAGE_TC!O175</f>
        <v>0.34110738262877516</v>
      </c>
      <c r="E17" s="875">
        <f>CHIFFRAGE_TC!P175</f>
        <v>0.65889261737122506</v>
      </c>
      <c r="F17" s="874">
        <f>INVERSION_ANUALIZADA_TC_Alt_4!E174</f>
        <v>0</v>
      </c>
      <c r="G17" s="874">
        <f>INVERSION_ANUALIZADA_TC_Alt_4!F174</f>
        <v>1390906.9267441938</v>
      </c>
      <c r="H17" s="874">
        <f>INVERSION_ANUALIZADA_TC_Alt_4!G174</f>
        <v>3406568.6250864295</v>
      </c>
      <c r="I17" s="874">
        <f>INVERSION_ANUALIZADA_TC_Alt_4!H174</f>
        <v>910973.38169177715</v>
      </c>
      <c r="J17" s="321"/>
      <c r="K17" s="877">
        <f t="shared" si="0"/>
        <v>5708448.9335224004</v>
      </c>
      <c r="L17" s="321" t="str">
        <f t="shared" si="1"/>
        <v>OK!</v>
      </c>
    </row>
    <row r="18" spans="1:12" ht="27.6" x14ac:dyDescent="0.25">
      <c r="A18" s="321"/>
      <c r="B18" s="879" t="s">
        <v>465</v>
      </c>
      <c r="C18" s="874">
        <f>CHIFFRAGE_TC!L184</f>
        <v>4667125.5117874993</v>
      </c>
      <c r="D18" s="875">
        <f>CHIFFRAGE_TC!O184</f>
        <v>0.80317705605303535</v>
      </c>
      <c r="E18" s="875">
        <f>CHIFFRAGE_TC!P184</f>
        <v>0.19682294394696465</v>
      </c>
      <c r="F18" s="874">
        <f>INVERSION_ANUALIZADA_TC_Alt_4!E183</f>
        <v>0</v>
      </c>
      <c r="G18" s="874">
        <f>INVERSION_ANUALIZADA_TC_Alt_4!F183</f>
        <v>0</v>
      </c>
      <c r="H18" s="874">
        <f>INVERSION_ANUALIZADA_TC_Alt_4!G183</f>
        <v>2077580.6896937499</v>
      </c>
      <c r="I18" s="874">
        <f>INVERSION_ANUALIZADA_TC_Alt_4!H183</f>
        <v>2589544.8220937494</v>
      </c>
      <c r="J18" s="321"/>
      <c r="K18" s="877">
        <f t="shared" si="0"/>
        <v>4667125.5117874993</v>
      </c>
      <c r="L18" s="321" t="str">
        <f t="shared" si="1"/>
        <v>OK!</v>
      </c>
    </row>
    <row r="19" spans="1:12" ht="13.8" x14ac:dyDescent="0.25">
      <c r="A19" s="321"/>
      <c r="B19" s="873" t="s">
        <v>553</v>
      </c>
      <c r="C19" s="874">
        <f>CHIFFRAGE_TC!L194+CHIFFRAGE_TC!L195</f>
        <v>12831432.080944814</v>
      </c>
      <c r="D19" s="875">
        <v>0</v>
      </c>
      <c r="E19" s="875">
        <v>1</v>
      </c>
      <c r="F19" s="874">
        <f>INVERSION_ANUALIZADA_TC_Alt_4!E193+INVERSION_ANUALIZADA_TC_Alt_4!E194</f>
        <v>6415716.0404724069</v>
      </c>
      <c r="G19" s="874">
        <f>INVERSION_ANUALIZADA_TC_Alt_4!F193+INVERSION_ANUALIZADA_TC_Alt_4!F194</f>
        <v>6415716.0404724069</v>
      </c>
      <c r="H19" s="874">
        <f>INVERSION_ANUALIZADA_TC_Alt_4!G193+INVERSION_ANUALIZADA_TC_Alt_4!G194</f>
        <v>0</v>
      </c>
      <c r="I19" s="874">
        <f>INVERSION_ANUALIZADA_TC_Alt_4!H193+INVERSION_ANUALIZADA_TC_Alt_4!H194</f>
        <v>0</v>
      </c>
      <c r="J19" s="321"/>
      <c r="K19" s="877">
        <f t="shared" si="0"/>
        <v>12831432.080944814</v>
      </c>
      <c r="L19" s="321"/>
    </row>
    <row r="20" spans="1:12" ht="13.8" x14ac:dyDescent="0.25">
      <c r="A20" s="321"/>
      <c r="B20" s="873" t="str">
        <f>CHIFFRAGE_TC!B197</f>
        <v>% gastos de Gestión externalizados (auditores, seguros)</v>
      </c>
      <c r="C20" s="874">
        <f>CHIFFRAGE_TC!L197</f>
        <v>3207858.020236203</v>
      </c>
      <c r="D20" s="875">
        <v>0</v>
      </c>
      <c r="E20" s="875">
        <v>1</v>
      </c>
      <c r="F20" s="874">
        <f>INVERSION_ANUALIZADA_TC_Alt_4!E196</f>
        <v>801964.50505905075</v>
      </c>
      <c r="G20" s="874">
        <f>INVERSION_ANUALIZADA_TC_Alt_4!F196</f>
        <v>801964.50505905075</v>
      </c>
      <c r="H20" s="874">
        <f>INVERSION_ANUALIZADA_TC_Alt_4!G196</f>
        <v>801964.50505905075</v>
      </c>
      <c r="I20" s="874">
        <f>INVERSION_ANUALIZADA_TC_Alt_4!H196</f>
        <v>801964.50505905075</v>
      </c>
      <c r="J20" s="321"/>
      <c r="K20" s="877">
        <f t="shared" si="0"/>
        <v>3207858.020236203</v>
      </c>
      <c r="L20" s="321"/>
    </row>
    <row r="21" spans="1:12" ht="13.8" x14ac:dyDescent="0.25">
      <c r="A21" s="321"/>
      <c r="B21" s="873"/>
      <c r="C21" s="874"/>
      <c r="D21" s="875"/>
      <c r="E21" s="875"/>
      <c r="F21" s="874"/>
      <c r="G21" s="874"/>
      <c r="H21" s="874"/>
      <c r="I21" s="874"/>
      <c r="J21" s="321"/>
      <c r="K21" s="877"/>
      <c r="L21" s="321"/>
    </row>
    <row r="22" spans="1:12" x14ac:dyDescent="0.25">
      <c r="A22" s="321"/>
      <c r="B22" s="880" t="s">
        <v>557</v>
      </c>
      <c r="C22" s="881">
        <f>SUM(C8:C20)</f>
        <v>122967890.77572112</v>
      </c>
      <c r="D22" s="882" t="s">
        <v>416</v>
      </c>
      <c r="E22" s="882" t="s">
        <v>416</v>
      </c>
      <c r="F22" s="874">
        <f>SUM(F9:F19)</f>
        <v>13848756.67708333</v>
      </c>
      <c r="G22" s="874">
        <f>SUM(G9:G19)</f>
        <v>39782607.470727675</v>
      </c>
      <c r="H22" s="874">
        <f>SUM(H9:H19)</f>
        <v>48940040.320103981</v>
      </c>
      <c r="I22" s="874">
        <f>SUM(I9:I19)</f>
        <v>15892212.19543667</v>
      </c>
      <c r="J22" s="321"/>
      <c r="K22" s="877">
        <f>CHIFFRAGE_TC!L228</f>
        <v>122967890.77572113</v>
      </c>
      <c r="L22" s="321" t="str">
        <f t="shared" si="1"/>
        <v>OK!</v>
      </c>
    </row>
    <row r="23" spans="1:12" x14ac:dyDescent="0.25">
      <c r="A23" s="321"/>
      <c r="B23" s="880" t="s">
        <v>556</v>
      </c>
      <c r="C23" s="881">
        <f>CHIFFRAGE_TC!L230</f>
        <v>150226397.47530755</v>
      </c>
      <c r="D23" s="987"/>
      <c r="E23" s="987"/>
      <c r="F23" s="988"/>
      <c r="G23" s="988"/>
      <c r="H23" s="988"/>
      <c r="I23" s="988"/>
      <c r="J23" s="321"/>
      <c r="K23" s="877"/>
      <c r="L23" s="321"/>
    </row>
    <row r="24" spans="1:12" x14ac:dyDescent="0.25">
      <c r="A24" s="321"/>
      <c r="B24" s="880"/>
      <c r="C24" s="881"/>
      <c r="D24" s="987"/>
      <c r="E24" s="987"/>
      <c r="F24" s="988"/>
      <c r="G24" s="988"/>
      <c r="H24" s="988"/>
      <c r="I24" s="988"/>
      <c r="J24" s="321"/>
      <c r="K24" s="877"/>
      <c r="L24" s="321"/>
    </row>
    <row r="25" spans="1:12" ht="13.8" x14ac:dyDescent="0.25">
      <c r="A25" s="321"/>
      <c r="B25" s="989" t="s">
        <v>554</v>
      </c>
      <c r="C25" s="874">
        <f>CHIFFRAGE_TC!L12</f>
        <v>5650000</v>
      </c>
      <c r="D25" s="987"/>
      <c r="E25" s="987"/>
      <c r="F25" s="988"/>
      <c r="G25" s="988"/>
      <c r="H25" s="988"/>
      <c r="I25" s="988"/>
      <c r="J25" s="321"/>
      <c r="K25" s="877"/>
      <c r="L25" s="321"/>
    </row>
    <row r="26" spans="1:12" ht="13.8" x14ac:dyDescent="0.25">
      <c r="A26" s="321"/>
      <c r="B26" s="989" t="s">
        <v>555</v>
      </c>
      <c r="C26" s="986">
        <f>CHIFFRAGE_TC!L237</f>
        <v>5946430.0337270051</v>
      </c>
      <c r="D26" s="987"/>
      <c r="E26" s="987"/>
      <c r="F26" s="988"/>
      <c r="G26" s="988"/>
      <c r="H26" s="988"/>
      <c r="I26" s="988"/>
      <c r="J26" s="321"/>
      <c r="K26" s="877"/>
      <c r="L26" s="321"/>
    </row>
    <row r="27" spans="1:12" x14ac:dyDescent="0.25">
      <c r="A27" s="321"/>
      <c r="B27" s="880"/>
      <c r="C27" s="881"/>
      <c r="D27" s="987"/>
      <c r="E27" s="987"/>
      <c r="F27" s="988"/>
      <c r="G27" s="988"/>
      <c r="H27" s="988"/>
      <c r="I27" s="988"/>
      <c r="J27" s="321"/>
      <c r="K27" s="877"/>
      <c r="L27" s="321"/>
    </row>
    <row r="28" spans="1:12" x14ac:dyDescent="0.25">
      <c r="A28" s="321"/>
      <c r="B28" s="880" t="s">
        <v>466</v>
      </c>
      <c r="C28" s="881">
        <f>C22+C25+C26</f>
        <v>134564320.80944812</v>
      </c>
      <c r="D28" s="987"/>
      <c r="E28" s="987"/>
      <c r="F28" s="988"/>
      <c r="G28" s="988"/>
      <c r="H28" s="988"/>
      <c r="I28" s="988"/>
      <c r="J28" s="321"/>
      <c r="K28" s="877"/>
      <c r="L28" s="321"/>
    </row>
    <row r="29" spans="1:12" x14ac:dyDescent="0.25">
      <c r="A29" s="321"/>
      <c r="B29" s="883" t="s">
        <v>467</v>
      </c>
      <c r="C29" s="881">
        <f>CHIFFRAGE_TC!L243</f>
        <v>163854312.61718035</v>
      </c>
      <c r="D29" s="321"/>
      <c r="E29" s="321"/>
      <c r="F29" s="321"/>
      <c r="G29" s="321"/>
      <c r="H29" s="321"/>
      <c r="I29" s="321"/>
      <c r="J29" s="321"/>
      <c r="K29" s="321"/>
      <c r="L29" s="321"/>
    </row>
    <row r="30" spans="1:12" x14ac:dyDescent="0.25">
      <c r="A30" s="321"/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</row>
    <row r="31" spans="1:12" x14ac:dyDescent="0.25">
      <c r="A31" s="321"/>
      <c r="B31" s="321"/>
      <c r="C31" s="321"/>
      <c r="D31" s="321"/>
      <c r="E31" s="321"/>
      <c r="F31" s="321"/>
      <c r="G31" s="321"/>
      <c r="H31" s="321"/>
      <c r="I31" s="321"/>
      <c r="J31" s="321"/>
      <c r="K31" s="321"/>
      <c r="L31" s="321"/>
    </row>
    <row r="32" spans="1:12" x14ac:dyDescent="0.25">
      <c r="A32" s="321"/>
      <c r="B32" s="871" t="s">
        <v>562</v>
      </c>
      <c r="C32" s="321"/>
      <c r="D32" s="321"/>
      <c r="E32" s="321"/>
      <c r="F32" s="321"/>
      <c r="G32" s="321"/>
      <c r="H32" s="321"/>
      <c r="I32" s="321"/>
      <c r="J32" s="321"/>
      <c r="K32" s="321"/>
      <c r="L32" s="321"/>
    </row>
    <row r="33" spans="1:12" x14ac:dyDescent="0.25">
      <c r="A33" s="321"/>
      <c r="B33" s="851"/>
      <c r="C33" s="321"/>
      <c r="D33" s="321"/>
      <c r="E33" s="321"/>
      <c r="F33" s="321"/>
      <c r="G33" s="321"/>
      <c r="H33" s="321"/>
      <c r="I33" s="321"/>
      <c r="J33" s="321"/>
      <c r="K33" s="321"/>
      <c r="L33" s="321"/>
    </row>
    <row r="34" spans="1:12" x14ac:dyDescent="0.25">
      <c r="A34" s="321"/>
      <c r="B34" s="339" t="s">
        <v>461</v>
      </c>
      <c r="C34" s="872" t="s">
        <v>464</v>
      </c>
      <c r="D34" s="872" t="s">
        <v>313</v>
      </c>
      <c r="E34" s="872" t="s">
        <v>314</v>
      </c>
      <c r="F34" s="872">
        <v>2015</v>
      </c>
      <c r="G34" s="872">
        <v>2016</v>
      </c>
      <c r="H34" s="872">
        <v>2017</v>
      </c>
      <c r="I34" s="872">
        <v>2018</v>
      </c>
      <c r="J34" s="321"/>
      <c r="K34" s="321"/>
      <c r="L34" s="321"/>
    </row>
    <row r="35" spans="1:12" ht="13.8" x14ac:dyDescent="0.25">
      <c r="A35" s="321"/>
      <c r="B35" s="873" t="s">
        <v>21</v>
      </c>
      <c r="C35" s="874">
        <f>CHIFFRAGE_TC!M45</f>
        <v>903881.45848499984</v>
      </c>
      <c r="D35" s="875">
        <f>CHIFFRAGE_TC!Q45</f>
        <v>0.79880999251295304</v>
      </c>
      <c r="E35" s="875">
        <f>CHIFFRAGE_TC!R45</f>
        <v>0.20119000748704682</v>
      </c>
      <c r="F35" s="874">
        <f>INVERSION_ANUALIZADA_TC_Alt_20!E44</f>
        <v>0</v>
      </c>
      <c r="G35" s="874">
        <f>INVERSION_ANUALIZADA_TC_Alt_20!F44</f>
        <v>584906.40889437497</v>
      </c>
      <c r="H35" s="874">
        <f>INVERSION_ANUALIZADA_TC_Alt_20!G44</f>
        <v>318975.04959062487</v>
      </c>
      <c r="I35" s="874">
        <f>INVERSION_ANUALIZADA_TC_Alt_20!H44</f>
        <v>0</v>
      </c>
      <c r="J35" s="321"/>
      <c r="K35" s="877">
        <f>SUM(F35:I35)</f>
        <v>903881.45848499984</v>
      </c>
      <c r="L35" s="321" t="str">
        <f>IF(C35=K35,"OK!","NOK")</f>
        <v>OK!</v>
      </c>
    </row>
    <row r="36" spans="1:12" ht="13.8" x14ac:dyDescent="0.25">
      <c r="A36" s="321"/>
      <c r="B36" s="873" t="s">
        <v>552</v>
      </c>
      <c r="C36" s="874">
        <f>CHIFFRAGE_TC!M33</f>
        <v>3891361.3627656233</v>
      </c>
      <c r="D36" s="875">
        <f>CHIFFRAGE_TC!Q33</f>
        <v>0.79869671828289279</v>
      </c>
      <c r="E36" s="875">
        <f>CHIFFRAGE_TC!R33</f>
        <v>0.20130328171710718</v>
      </c>
      <c r="F36" s="874">
        <f>INVERSION_ANUALIZADA_TC_Alt_20!E32</f>
        <v>0</v>
      </c>
      <c r="G36" s="874">
        <f>INVERSION_ANUALIZADA_TC_Alt_20!F32</f>
        <v>1044207.8897851558</v>
      </c>
      <c r="H36" s="874">
        <f>INVERSION_ANUALIZADA_TC_Alt_20!G32</f>
        <v>949051.15766015579</v>
      </c>
      <c r="I36" s="874">
        <f>INVERSION_ANUALIZADA_TC_Alt_20!H32</f>
        <v>1898102.3153203116</v>
      </c>
      <c r="J36" s="321"/>
      <c r="K36" s="877">
        <f t="shared" ref="K36:K49" si="2">SUM(F36:I36)</f>
        <v>3891361.3627656233</v>
      </c>
      <c r="L36" s="321" t="str">
        <f t="shared" ref="L36:L40" si="3">IF(C36=K36,"OK!","NOK")</f>
        <v>OK!</v>
      </c>
    </row>
    <row r="37" spans="1:12" ht="13.8" x14ac:dyDescent="0.25">
      <c r="A37" s="321"/>
      <c r="B37" s="873" t="s">
        <v>539</v>
      </c>
      <c r="C37" s="874">
        <f>CHIFFRAGE_TC!M38</f>
        <v>9461305.7847933825</v>
      </c>
      <c r="D37" s="875">
        <f>CHIFFRAGE_TC!Q38</f>
        <v>0.5876292233224607</v>
      </c>
      <c r="E37" s="875">
        <f>CHIFFRAGE_TC!R38</f>
        <v>0.41237077667753924</v>
      </c>
      <c r="F37" s="874">
        <f>INVERSION_ANUALIZADA_TC_Alt_20!E37</f>
        <v>0</v>
      </c>
      <c r="G37" s="874">
        <f>INVERSION_ANUALIZADA_TC_Alt_20!F37</f>
        <v>1892261.1569586764</v>
      </c>
      <c r="H37" s="874">
        <f>INVERSION_ANUALIZADA_TC_Alt_20!G37</f>
        <v>5676783.4708760297</v>
      </c>
      <c r="I37" s="874">
        <f>INVERSION_ANUALIZADA_TC_Alt_20!H37</f>
        <v>1892261.1569586764</v>
      </c>
      <c r="J37" s="321"/>
      <c r="K37" s="877">
        <f t="shared" si="2"/>
        <v>9461305.7847933825</v>
      </c>
      <c r="L37" s="321" t="str">
        <f t="shared" si="3"/>
        <v>OK!</v>
      </c>
    </row>
    <row r="38" spans="1:12" ht="13.8" x14ac:dyDescent="0.25">
      <c r="A38" s="321"/>
      <c r="B38" s="873" t="s">
        <v>23</v>
      </c>
      <c r="C38" s="874">
        <f>CHIFFRAGE_TC!M53</f>
        <v>5541879.635532734</v>
      </c>
      <c r="D38" s="875">
        <f>CHIFFRAGE_TC!Q53</f>
        <v>5.773402115153356E-2</v>
      </c>
      <c r="E38" s="875">
        <f>CHIFFRAGE_TC!R53</f>
        <v>0.94226597884846641</v>
      </c>
      <c r="F38" s="874">
        <f>INVERSION_ANUALIZADA_TC_Alt_20!E52</f>
        <v>0</v>
      </c>
      <c r="G38" s="874">
        <f>INVERSION_ANUALIZADA_TC_Alt_20!F52</f>
        <v>1108375.9271065469</v>
      </c>
      <c r="H38" s="874">
        <f>INVERSION_ANUALIZADA_TC_Alt_20!G52</f>
        <v>3325127.7813196406</v>
      </c>
      <c r="I38" s="874">
        <f>INVERSION_ANUALIZADA_TC_Alt_20!H52</f>
        <v>1108375.9271065469</v>
      </c>
      <c r="J38" s="321"/>
      <c r="K38" s="877">
        <f t="shared" si="2"/>
        <v>5541879.6355327349</v>
      </c>
      <c r="L38" s="321" t="str">
        <f t="shared" si="3"/>
        <v>OK!</v>
      </c>
    </row>
    <row r="39" spans="1:12" ht="13.8" x14ac:dyDescent="0.25">
      <c r="A39" s="321"/>
      <c r="B39" s="873" t="s">
        <v>33</v>
      </c>
      <c r="C39" s="874">
        <f>CHIFFRAGE_TC!M61</f>
        <v>4371114.3234404521</v>
      </c>
      <c r="D39" s="875">
        <f>CHIFFRAGE_TC!Q61</f>
        <v>8.5500636337618258E-2</v>
      </c>
      <c r="E39" s="875">
        <f>CHIFFRAGE_TC!R61</f>
        <v>0.91449936366238183</v>
      </c>
      <c r="F39" s="874">
        <f>INVERSION_ANUALIZADA_TC_Alt_20!E60</f>
        <v>0</v>
      </c>
      <c r="G39" s="874">
        <f>INVERSION_ANUALIZADA_TC_Alt_20!F60</f>
        <v>1084215.5840216852</v>
      </c>
      <c r="H39" s="874">
        <f>INVERSION_ANUALIZADA_TC_Alt_20!G60</f>
        <v>2730271.7823891086</v>
      </c>
      <c r="I39" s="874">
        <f>INVERSION_ANUALIZADA_TC_Alt_20!H60</f>
        <v>556626.95702965884</v>
      </c>
      <c r="J39" s="321"/>
      <c r="K39" s="877">
        <f t="shared" si="2"/>
        <v>4371114.323440453</v>
      </c>
      <c r="L39" s="321" t="str">
        <f t="shared" si="3"/>
        <v>OK!</v>
      </c>
    </row>
    <row r="40" spans="1:12" ht="13.8" x14ac:dyDescent="0.25">
      <c r="A40" s="321"/>
      <c r="B40" s="873" t="s">
        <v>36</v>
      </c>
      <c r="C40" s="874">
        <f>CHIFFRAGE_TC!M70</f>
        <v>4497340.7742826398</v>
      </c>
      <c r="D40" s="875">
        <f>CHIFFRAGE_TC!Q70</f>
        <v>0.61889161566014428</v>
      </c>
      <c r="E40" s="875">
        <f>CHIFFRAGE_TC!R70</f>
        <v>0.38110838433985578</v>
      </c>
      <c r="F40" s="874">
        <f>INVERSION_ANUALIZADA_TC_Alt_20!E69</f>
        <v>0</v>
      </c>
      <c r="G40" s="874">
        <f>INVERSION_ANUALIZADA_TC_Alt_20!F69</f>
        <v>162681.41319062494</v>
      </c>
      <c r="H40" s="874">
        <f>INVERSION_ANUALIZADA_TC_Alt_20!G69</f>
        <v>2830249.3611642579</v>
      </c>
      <c r="I40" s="874">
        <f>INVERSION_ANUALIZADA_TC_Alt_20!H69</f>
        <v>1504409.9999277573</v>
      </c>
      <c r="J40" s="321"/>
      <c r="K40" s="877">
        <f t="shared" si="2"/>
        <v>4497340.7742826398</v>
      </c>
      <c r="L40" s="321" t="str">
        <f t="shared" si="3"/>
        <v>OK!</v>
      </c>
    </row>
    <row r="41" spans="1:12" ht="13.8" x14ac:dyDescent="0.25">
      <c r="A41" s="321"/>
      <c r="B41" s="873" t="s">
        <v>128</v>
      </c>
      <c r="C41" s="874"/>
      <c r="D41" s="876"/>
      <c r="E41" s="876"/>
      <c r="F41" s="874"/>
      <c r="G41" s="874"/>
      <c r="H41" s="874"/>
      <c r="I41" s="874"/>
      <c r="J41" s="321"/>
      <c r="K41" s="877"/>
      <c r="L41" s="321"/>
    </row>
    <row r="42" spans="1:12" ht="13.8" x14ac:dyDescent="0.25">
      <c r="A42" s="321"/>
      <c r="B42" s="878" t="s">
        <v>462</v>
      </c>
      <c r="C42" s="874">
        <f>CHIFFRAGE_TC!M57</f>
        <v>22562595.45293472</v>
      </c>
      <c r="D42" s="875">
        <f>CHIFFRAGE_TC!Q57</f>
        <v>7.9522838118778333E-2</v>
      </c>
      <c r="E42" s="875">
        <f>CHIFFRAGE_TC!R57</f>
        <v>0.92047716188122175</v>
      </c>
      <c r="F42" s="874">
        <f>INVERSION_ANUALIZADA_TC_Alt_20!E56</f>
        <v>0</v>
      </c>
      <c r="G42" s="874">
        <f>INVERSION_ANUALIZADA_TC_Alt_20!F56</f>
        <v>0</v>
      </c>
      <c r="H42" s="874">
        <f>INVERSION_ANUALIZADA_TC_Alt_20!G56</f>
        <v>15793816.817054302</v>
      </c>
      <c r="I42" s="874">
        <f>INVERSION_ANUALIZADA_TC_Alt_20!H56</f>
        <v>6768778.6358804163</v>
      </c>
      <c r="J42" s="321"/>
      <c r="K42" s="877">
        <f t="shared" si="2"/>
        <v>22562595.45293472</v>
      </c>
      <c r="L42" s="321" t="str">
        <f t="shared" ref="L42:L49" si="4">IF(C42=K42,"OK!","NOK")</f>
        <v>OK!</v>
      </c>
    </row>
    <row r="43" spans="1:12" ht="13.8" x14ac:dyDescent="0.25">
      <c r="A43" s="321"/>
      <c r="B43" s="878" t="s">
        <v>463</v>
      </c>
      <c r="C43" s="874">
        <f>CHIFFRAGE_TC!M85</f>
        <v>21170054.667694658</v>
      </c>
      <c r="D43" s="875">
        <f>CHIFFRAGE_TC!Q85</f>
        <v>0.79936701500304164</v>
      </c>
      <c r="E43" s="875">
        <f>CHIFFRAGE_TC!R85</f>
        <v>0.20063298499695845</v>
      </c>
      <c r="F43" s="874">
        <f>INVERSION_ANUALIZADA_TC_Alt_20!E84</f>
        <v>0</v>
      </c>
      <c r="G43" s="874">
        <f>INVERSION_ANUALIZADA_TC_Alt_20!F84</f>
        <v>7050206.2113428824</v>
      </c>
      <c r="H43" s="874">
        <f>INVERSION_ANUALIZADA_TC_Alt_20!G84</f>
        <v>11594958.680468652</v>
      </c>
      <c r="I43" s="874">
        <f>INVERSION_ANUALIZADA_TC_Alt_20!H84</f>
        <v>2524889.7758831242</v>
      </c>
      <c r="J43" s="321"/>
      <c r="K43" s="877">
        <f t="shared" si="2"/>
        <v>21170054.667694658</v>
      </c>
      <c r="L43" s="321" t="str">
        <f t="shared" si="4"/>
        <v>OK!</v>
      </c>
    </row>
    <row r="44" spans="1:12" ht="13.8" x14ac:dyDescent="0.25">
      <c r="A44" s="321"/>
      <c r="B44" s="873" t="s">
        <v>79</v>
      </c>
      <c r="C44" s="874">
        <f>CHIFFRAGE_TC!M175</f>
        <v>4324580.6650465485</v>
      </c>
      <c r="D44" s="875">
        <f>CHIFFRAGE_TC!Q175</f>
        <v>0.33731844248357756</v>
      </c>
      <c r="E44" s="875">
        <f>CHIFFRAGE_TC!R175</f>
        <v>0.66268155751642255</v>
      </c>
      <c r="F44" s="874">
        <f>INVERSION_ANUALIZADA_TC_Alt_20!E174</f>
        <v>0</v>
      </c>
      <c r="G44" s="874">
        <f>INVERSION_ANUALIZADA_TC_Alt_20!F174</f>
        <v>1044939.8596252309</v>
      </c>
      <c r="H44" s="874">
        <f>INVERSION_ANUALIZADA_TC_Alt_20!G174</f>
        <v>2584666.7287848108</v>
      </c>
      <c r="I44" s="874">
        <f>INVERSION_ANUALIZADA_TC_Alt_20!H174</f>
        <v>694974.07663650764</v>
      </c>
      <c r="J44" s="321"/>
      <c r="K44" s="877">
        <f t="shared" si="2"/>
        <v>4324580.6650465494</v>
      </c>
      <c r="L44" s="321" t="str">
        <f t="shared" si="4"/>
        <v>OK!</v>
      </c>
    </row>
    <row r="45" spans="1:12" ht="27.6" x14ac:dyDescent="0.25">
      <c r="A45" s="321"/>
      <c r="B45" s="879" t="s">
        <v>465</v>
      </c>
      <c r="C45" s="874">
        <f>CHIFFRAGE_TC!M184</f>
        <v>2271414.2968074996</v>
      </c>
      <c r="D45" s="875">
        <f>CHIFFRAGE_TC!Q184</f>
        <v>0.80257619941669145</v>
      </c>
      <c r="E45" s="875">
        <f>CHIFFRAGE_TC!R184</f>
        <v>0.19742380058330852</v>
      </c>
      <c r="F45" s="874">
        <f>INVERSION_ANUALIZADA_TC_Alt_20!E183</f>
        <v>0</v>
      </c>
      <c r="G45" s="874">
        <f>INVERSION_ANUALIZADA_TC_Alt_20!F183</f>
        <v>0</v>
      </c>
      <c r="H45" s="874">
        <f>INVERSION_ANUALIZADA_TC_Alt_20!G183</f>
        <v>1037580.6896937499</v>
      </c>
      <c r="I45" s="874">
        <f>INVERSION_ANUALIZADA_TC_Alt_20!H183</f>
        <v>1233833.60711375</v>
      </c>
      <c r="J45" s="321"/>
      <c r="K45" s="877">
        <f t="shared" si="2"/>
        <v>2271414.2968074996</v>
      </c>
      <c r="L45" s="321" t="str">
        <f t="shared" si="4"/>
        <v>OK!</v>
      </c>
    </row>
    <row r="46" spans="1:12" ht="13.8" x14ac:dyDescent="0.25">
      <c r="A46" s="321"/>
      <c r="B46" s="873" t="s">
        <v>553</v>
      </c>
      <c r="C46" s="874">
        <f>CHIFFRAGE_TC!M194+CHIFFRAGE_TC!M195</f>
        <v>9479463.4106139913</v>
      </c>
      <c r="D46" s="875">
        <v>0</v>
      </c>
      <c r="E46" s="875">
        <v>1</v>
      </c>
      <c r="F46" s="874">
        <f>INVERSION_ANUALIZADA_TC_Alt_20!E193+INVERSION_ANUALIZADA_TC_Alt_20!E194</f>
        <v>4739731.7053069957</v>
      </c>
      <c r="G46" s="874">
        <f>INVERSION_ANUALIZADA_TC_Alt_20!F193+INVERSION_ANUALIZADA_TC_Alt_20!F194</f>
        <v>4739731.7053069957</v>
      </c>
      <c r="H46" s="874">
        <f>INVERSION_ANUALIZADA_TC_Alt_20!G193+INVERSION_ANUALIZADA_TC_Alt_20!G194</f>
        <v>0</v>
      </c>
      <c r="I46" s="874">
        <f>INVERSION_ANUALIZADA_TC_Alt_20!H193+INVERSION_ANUALIZADA_TC_Alt_20!H194</f>
        <v>0</v>
      </c>
      <c r="J46" s="321"/>
      <c r="K46" s="877">
        <f t="shared" si="2"/>
        <v>9479463.4106139913</v>
      </c>
      <c r="L46" s="321"/>
    </row>
    <row r="47" spans="1:12" ht="13.8" x14ac:dyDescent="0.25">
      <c r="A47" s="321"/>
      <c r="B47" s="873" t="str">
        <f>B20</f>
        <v>% gastos de Gestión externalizados (auditores, seguros)</v>
      </c>
      <c r="C47" s="874">
        <f>CHIFFRAGE_TC!M197</f>
        <v>2369865.8526534974</v>
      </c>
      <c r="D47" s="875">
        <v>0</v>
      </c>
      <c r="E47" s="875">
        <v>1</v>
      </c>
      <c r="F47" s="874">
        <f>INVERSION_ANUALIZADA_TC_Alt_20!E196</f>
        <v>592466.46316337434</v>
      </c>
      <c r="G47" s="874">
        <f>INVERSION_ANUALIZADA_TC_Alt_20!F196</f>
        <v>592466.46316337434</v>
      </c>
      <c r="H47" s="874">
        <f>INVERSION_ANUALIZADA_TC_Alt_20!G196</f>
        <v>592466.46316337434</v>
      </c>
      <c r="I47" s="874">
        <f>INVERSION_ANUALIZADA_TC_Alt_20!H196</f>
        <v>592466.46316337434</v>
      </c>
      <c r="J47" s="321"/>
      <c r="K47" s="877">
        <f t="shared" si="2"/>
        <v>2369865.8526534974</v>
      </c>
      <c r="L47" s="321"/>
    </row>
    <row r="48" spans="1:12" ht="13.8" x14ac:dyDescent="0.25">
      <c r="A48" s="321"/>
      <c r="B48" s="873"/>
      <c r="C48" s="874"/>
      <c r="D48" s="875"/>
      <c r="E48" s="875"/>
      <c r="F48" s="874"/>
      <c r="G48" s="874"/>
      <c r="H48" s="874"/>
      <c r="I48" s="874"/>
      <c r="J48" s="321"/>
      <c r="K48" s="877"/>
      <c r="L48" s="321"/>
    </row>
    <row r="49" spans="1:12" x14ac:dyDescent="0.25">
      <c r="A49" s="321"/>
      <c r="B49" s="880" t="s">
        <v>557</v>
      </c>
      <c r="C49" s="881">
        <f>SUM(C35:C47)</f>
        <v>90844857.685050726</v>
      </c>
      <c r="D49" s="882" t="s">
        <v>416</v>
      </c>
      <c r="E49" s="882" t="s">
        <v>416</v>
      </c>
      <c r="F49" s="874">
        <f>SUM(F36:F46)</f>
        <v>4739731.7053069957</v>
      </c>
      <c r="G49" s="874">
        <f>SUM(G36:G46)</f>
        <v>18126619.7473378</v>
      </c>
      <c r="H49" s="874">
        <f>SUM(H36:H46)</f>
        <v>46522506.469410703</v>
      </c>
      <c r="I49" s="874">
        <f>SUM(I36:I46)</f>
        <v>18182252.451856747</v>
      </c>
      <c r="J49" s="321"/>
      <c r="K49" s="877">
        <f t="shared" si="2"/>
        <v>87571110.373912245</v>
      </c>
      <c r="L49" s="321" t="str">
        <f t="shared" si="4"/>
        <v>NOK</v>
      </c>
    </row>
    <row r="50" spans="1:12" x14ac:dyDescent="0.25">
      <c r="A50" s="321"/>
      <c r="B50" s="880" t="s">
        <v>556</v>
      </c>
      <c r="C50" s="881">
        <f>CHIFFRAGE_TC!M230</f>
        <v>111159515.10640152</v>
      </c>
      <c r="D50" s="987"/>
      <c r="E50" s="987"/>
      <c r="F50" s="988"/>
      <c r="G50" s="988"/>
      <c r="H50" s="988"/>
      <c r="I50" s="988"/>
      <c r="J50" s="321"/>
      <c r="K50" s="877"/>
      <c r="L50" s="321"/>
    </row>
    <row r="51" spans="1:12" x14ac:dyDescent="0.25">
      <c r="A51" s="321"/>
      <c r="B51" s="880"/>
      <c r="C51" s="881"/>
      <c r="D51" s="987"/>
      <c r="E51" s="987"/>
      <c r="F51" s="988"/>
      <c r="G51" s="988"/>
      <c r="H51" s="988"/>
      <c r="I51" s="988"/>
      <c r="J51" s="321"/>
      <c r="K51" s="877"/>
      <c r="L51" s="321"/>
    </row>
    <row r="52" spans="1:12" ht="13.8" x14ac:dyDescent="0.25">
      <c r="A52" s="321"/>
      <c r="B52" s="989" t="s">
        <v>554</v>
      </c>
      <c r="C52" s="874">
        <f>CHIFFRAGE_TC!M12</f>
        <v>4412500</v>
      </c>
      <c r="D52" s="987"/>
      <c r="E52" s="987"/>
      <c r="F52" s="988"/>
      <c r="G52" s="988"/>
      <c r="H52" s="988"/>
      <c r="I52" s="988"/>
      <c r="J52" s="321"/>
      <c r="K52" s="877"/>
      <c r="L52" s="321"/>
    </row>
    <row r="53" spans="1:12" ht="13.8" x14ac:dyDescent="0.25">
      <c r="A53" s="321"/>
      <c r="B53" s="989" t="s">
        <v>555</v>
      </c>
      <c r="C53" s="874">
        <f>CHIFFRAGE_TC!M237</f>
        <v>4549776.4210891631</v>
      </c>
      <c r="D53" s="987"/>
      <c r="E53" s="987"/>
      <c r="F53" s="988"/>
      <c r="G53" s="988"/>
      <c r="H53" s="988"/>
      <c r="I53" s="988"/>
      <c r="J53" s="321"/>
      <c r="K53" s="877"/>
      <c r="L53" s="321"/>
    </row>
    <row r="54" spans="1:12" x14ac:dyDescent="0.25">
      <c r="A54" s="321"/>
      <c r="B54" s="880"/>
      <c r="C54" s="874"/>
      <c r="D54" s="987"/>
      <c r="E54" s="987"/>
      <c r="F54" s="988"/>
      <c r="G54" s="988"/>
      <c r="H54" s="988"/>
      <c r="I54" s="988"/>
      <c r="J54" s="321"/>
      <c r="K54" s="877"/>
      <c r="L54" s="321"/>
    </row>
    <row r="55" spans="1:12" x14ac:dyDescent="0.25">
      <c r="A55" s="321"/>
      <c r="B55" s="880" t="s">
        <v>466</v>
      </c>
      <c r="C55" s="881">
        <f>C49+C52+C53</f>
        <v>99807134.106139883</v>
      </c>
      <c r="D55" s="987"/>
      <c r="E55" s="987"/>
      <c r="F55" s="988"/>
      <c r="G55" s="988"/>
      <c r="H55" s="988"/>
      <c r="I55" s="988"/>
      <c r="J55" s="321"/>
      <c r="K55" s="877"/>
      <c r="L55" s="321"/>
    </row>
    <row r="56" spans="1:12" x14ac:dyDescent="0.25">
      <c r="A56" s="321"/>
      <c r="B56" s="883" t="s">
        <v>467</v>
      </c>
      <c r="C56" s="881">
        <f>CHIFFRAGE_TC!M243</f>
        <v>121704863.81646812</v>
      </c>
      <c r="D56" s="321"/>
      <c r="E56" s="321"/>
      <c r="F56" s="321"/>
      <c r="G56" s="321"/>
      <c r="H56" s="321"/>
      <c r="I56" s="321"/>
      <c r="J56" s="321"/>
      <c r="K56" s="321"/>
      <c r="L56" s="321"/>
    </row>
    <row r="57" spans="1:12" x14ac:dyDescent="0.25">
      <c r="A57" s="321"/>
      <c r="B57" s="321"/>
      <c r="C57" s="321"/>
      <c r="D57" s="321"/>
      <c r="E57" s="321"/>
      <c r="F57" s="321"/>
      <c r="G57" s="321"/>
      <c r="H57" s="321"/>
      <c r="I57" s="321"/>
      <c r="J57" s="321"/>
      <c r="K57" s="321"/>
      <c r="L57" s="321"/>
    </row>
    <row r="58" spans="1:12" x14ac:dyDescent="0.25">
      <c r="A58" s="321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</row>
    <row r="59" spans="1:12" x14ac:dyDescent="0.25">
      <c r="A59" s="321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</row>
  </sheetData>
  <sheetProtection algorithmName="SHA-512" hashValue="8C5RrYI3ZAxS+JeMPFyWNHPogMgpYGIacc+t9SxPfgPolKLtgOoEDnNOq3+wnrK4HeqerPpc+Eljt/WNxapuCw==" saltValue="8uM5XHPWHiikTcdgLMjOjw==" spinCount="100000" sheet="1" objects="1" scenarios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78A5C509811C34983DC4C2557BA2B8B" ma:contentTypeVersion="0" ma:contentTypeDescription="Crear nuevo documento." ma:contentTypeScope="" ma:versionID="fb2fa99566fa6be6fed0d5e4c424ca03">
  <xsd:schema xmlns:xsd="http://www.w3.org/2001/XMLSchema" xmlns:xs="http://www.w3.org/2001/XMLSchema" xmlns:p="http://schemas.microsoft.com/office/2006/metadata/properties" xmlns:ns2="8f7f2b02-361a-46f8-9361-5c4aecfb9ebc" targetNamespace="http://schemas.microsoft.com/office/2006/metadata/properties" ma:root="true" ma:fieldsID="b4c26f74305476fd7b87c9911725229a" ns2:_="">
    <xsd:import namespace="8f7f2b02-361a-46f8-9361-5c4aecfb9eb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7f2b02-361a-46f8-9361-5c4aecfb9eb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f7f2b02-361a-46f8-9361-5c4aecfb9ebc">CFA3TTQ3VTST-23-71</_dlc_DocId>
    <_dlc_DocIdUrl xmlns="8f7f2b02-361a-46f8-9361-5c4aecfb9ebc">
      <Url>https://guayaquil.gob.ec/_layouts/15/DocIdRedir.aspx?ID=CFA3TTQ3VTST-23-71</Url>
      <Description>CFA3TTQ3VTST-23-71</Description>
    </_dlc_DocIdUrl>
  </documentManagement>
</p:properties>
</file>

<file path=customXml/itemProps1.xml><?xml version="1.0" encoding="utf-8"?>
<ds:datastoreItem xmlns:ds="http://schemas.openxmlformats.org/officeDocument/2006/customXml" ds:itemID="{7F593EAE-736B-44E7-95F9-AB436DE2F968}"/>
</file>

<file path=customXml/itemProps2.xml><?xml version="1.0" encoding="utf-8"?>
<ds:datastoreItem xmlns:ds="http://schemas.openxmlformats.org/officeDocument/2006/customXml" ds:itemID="{66BE89F9-5673-4AD7-87A0-54C0F64C5F3F}"/>
</file>

<file path=customXml/itemProps3.xml><?xml version="1.0" encoding="utf-8"?>
<ds:datastoreItem xmlns:ds="http://schemas.openxmlformats.org/officeDocument/2006/customXml" ds:itemID="{56B9F0CA-FCF2-46F8-AD64-882565D18E21}"/>
</file>

<file path=customXml/itemProps4.xml><?xml version="1.0" encoding="utf-8"?>
<ds:datastoreItem xmlns:ds="http://schemas.openxmlformats.org/officeDocument/2006/customXml" ds:itemID="{9885E317-86F1-4058-AAC5-CB36ED9248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12</vt:i4>
      </vt:variant>
    </vt:vector>
  </HeadingPairs>
  <TitlesOfParts>
    <vt:vector size="30" baseType="lpstr">
      <vt:lpstr>Mensaje</vt:lpstr>
      <vt:lpstr>PARAMETROS</vt:lpstr>
      <vt:lpstr>CASH_FLOWS_RECAP</vt:lpstr>
      <vt:lpstr>CANTIDADES</vt:lpstr>
      <vt:lpstr>PRECIOS UNITARIOS</vt:lpstr>
      <vt:lpstr>DEMANDA</vt:lpstr>
      <vt:lpstr>OFERTA ALIMENTADORA</vt:lpstr>
      <vt:lpstr>INGRESOS de pasajeros</vt:lpstr>
      <vt:lpstr>Sintesis_Inversion_TC</vt:lpstr>
      <vt:lpstr>CHIFFRAGE_TC</vt:lpstr>
      <vt:lpstr>INVERSION_ANUALIZADA_TC_Alt_4</vt:lpstr>
      <vt:lpstr>INVERSION_ANUALIZADA_TC_Alt_20</vt:lpstr>
      <vt:lpstr>OPERACION_Mano_de_Obras</vt:lpstr>
      <vt:lpstr>OPERACION_ANUALIZADA_TC</vt:lpstr>
      <vt:lpstr>1_CASH_FLOW_TC_4_BASE</vt:lpstr>
      <vt:lpstr>5_CASH_FLOW_TC_4_WORST_CASE</vt:lpstr>
      <vt:lpstr>7_CASH_FLOW_TC_22_BASE</vt:lpstr>
      <vt:lpstr>11_CASH_FLOW_TC_22_WORST_CASE</vt:lpstr>
      <vt:lpstr>Capex_Category_Code</vt:lpstr>
      <vt:lpstr>EUR_GTQ_rate_DB</vt:lpstr>
      <vt:lpstr>hor_pasaj_1_AMC</vt:lpstr>
      <vt:lpstr>sal_agent</vt:lpstr>
      <vt:lpstr>sal_agex</vt:lpstr>
      <vt:lpstr>sal_agex2</vt:lpstr>
      <vt:lpstr>sal_chefex</vt:lpstr>
      <vt:lpstr>sal_chefquai</vt:lpstr>
      <vt:lpstr>sal_direx</vt:lpstr>
      <vt:lpstr>sal_dirinst</vt:lpstr>
      <vt:lpstr>sal_supmaint</vt:lpstr>
      <vt:lpstr>Suministro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Stéphane Fortin</dc:creator>
  <cp:lastModifiedBy>Jean-Marc Mirailles</cp:lastModifiedBy>
  <cp:lastPrinted>2015-03-03T10:29:56Z</cp:lastPrinted>
  <dcterms:created xsi:type="dcterms:W3CDTF">2012-06-27T15:40:36Z</dcterms:created>
  <dcterms:modified xsi:type="dcterms:W3CDTF">2015-06-08T13:07:12Z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0x010100078A5C509811C34983DC4C2557BA2B8B</vt:lpwstr>
  </property>
  <property fmtid="{D5CDD505-2E9C-101B-9397-08002B2CF9AE}" pid="3" name="_dlc_DocIdItemGuid">
    <vt:lpwstr>4b6cded5-5dd4-4091-aed6-c4744105ce9e</vt:lpwstr>
  </property>
</Properties>
</file>